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showInkAnnotation="0" codeName="ThisWorkbook"/>
  <bookViews>
    <workbookView xWindow="105" yWindow="135" windowWidth="23580" windowHeight="11115" tabRatio="730" firstSheet="3" activeTab="3"/>
  </bookViews>
  <sheets>
    <sheet name="MWare_Cached" sheetId="44" state="veryHidden" r:id="rId1"/>
    <sheet name="MW-Cache" sheetId="55" state="veryHidden" r:id="rId2"/>
    <sheet name="__FDSCACHE__" sheetId="61" state="veryHidden" r:id="rId3"/>
    <sheet name="ImportantDisclosures" sheetId="116" r:id="rId4"/>
    <sheet name="Model" sheetId="8" r:id="rId5"/>
    <sheet name="CNW" sheetId="103" r:id="rId6"/>
    <sheet name="DCF" sheetId="105" r:id="rId7"/>
    <sheet name="Fuel" sheetId="104" r:id="rId8"/>
    <sheet name="IndexInformation" sheetId="117" r:id="rId9"/>
    <sheet name="ModPubIndex" sheetId="118" r:id="rId10"/>
  </sheets>
  <definedNames>
    <definedName name="____abc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__abc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_abc1" hidden="1">{"cover a","2q",FALSE,"Cover";"Op Earn Mgd Q2",#N/A,FALSE,"Op-Earn (Mng)";"Op Earn Rpt Q2",#N/A,FALSE,"Op-Earn (Rpt)";"Loans",#N/A,FALSE,"Loans";"Credit Costs",#N/A,FALSE,"CCosts";"Net Interest Margin",#N/A,FALSE,"Margin";"Nonint Income",#N/A,FALSE,"NonII";"Nonint Exp",#N/A,FALSE,"NonIE";"Valuation",#N/A,FALSE,"Valuation"}</definedName>
    <definedName name="__abc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_FDS_HYPERLINK_TOGGLE_STATE__" hidden="1">"ON"</definedName>
    <definedName name="__FDS_UNIQUE_RANGE_ID_GENERATOR_COUNTER" hidden="1">1</definedName>
    <definedName name="__FDS_USED_FOR_REUSING_RANGE_IDS_RECYCLE">{16,16,16,16,16,16,16,16,16,16,16}</definedName>
    <definedName name="_1__FDSAUDITLINK__" localSheetId="5" hidden="1">{"fdsup://directions/FAT Viewer?action=UPDATE&amp;creator=factset&amp;DYN_ARGS=TRUE&amp;DOC_NAME=FAT:FQL_AUDITING_CLIENT_TEMPLATE.FAT&amp;display_string=Audit&amp;VAR:KEY=VEZGZAVIHI&amp;VAR:QUERY=RkZfTkVUX0lOQyhBTk4sMjAxMCk=&amp;WINDOW=FIRST_POPUP&amp;HEIGHT=450&amp;WIDTH=450&amp;START_MAXIMIZED=","FALSE&amp;VAR:CALENDAR=US&amp;VAR:SYMBOL=UNP&amp;VAR:INDEX=0"}</definedName>
    <definedName name="_1__FDSAUDITLINK__" localSheetId="6" hidden="1">{"fdsup://Directions/FactSet Auditing Viewer?action=AUDIT_VALUE&amp;DB=129&amp;ID1=03783310&amp;VALUEID=02001&amp;SDATE=2009&amp;PERIODTYPE=ANN_STD&amp;window=popup_no_bar&amp;width=385&amp;height=120&amp;START_MAXIMIZED=FALSE&amp;creator=factset&amp;display_string=Audit"}</definedName>
    <definedName name="_1__FDSAUDITLINK__" localSheetId="7" hidden="1">{"fdsup://directions/FAT Viewer?action=UPDATE&amp;creator=factset&amp;DYN_ARGS=TRUE&amp;DOC_NAME=FAT:FQL_AUDITING_CLIENT_TEMPLATE.FAT&amp;display_string=Audit&amp;VAR:KEY=VEZGZAVIHI&amp;VAR:QUERY=RkZfTkVUX0lOQyhBTk4sMjAxMCk=&amp;WINDOW=FIRST_POPUP&amp;HEIGHT=450&amp;WIDTH=450&amp;START_MAXIMIZED=","FALSE&amp;VAR:CALENDAR=US&amp;VAR:SYMBOL=UNP&amp;VAR:INDEX=0"}</definedName>
    <definedName name="_1__FDSAUDITLINK__" hidden="1">{"fdsup://directions/FAT Viewer?action=UPDATE&amp;creator=factset&amp;DYN_ARGS=TRUE&amp;DOC_NAME=FAT:FQL_AUDITING_CLIENT_TEMPLATE.FAT&amp;display_string=Audit&amp;VAR:KEY=FAFQLSZAJI&amp;VAR:QUERY=RkZfTkVUX0lOQyhBTk4sMjAwOSk=&amp;WINDOW=FIRST_POPUP&amp;HEIGHT=450&amp;WIDTH=450&amp;START_MAXIMIZED=","FALSE&amp;VAR:CALENDAR=US&amp;VAR:SYMBOL=UNP&amp;VAR:INDEX=0"}</definedName>
    <definedName name="_10__FDSAUDITLINK__" localSheetId="6" hidden="1">{"fdsup://directions/FAT Viewer?action=UPDATE&amp;creator=factset&amp;DYN_ARGS=TRUE&amp;DOC_NAME=FAT:FQL_AUDITING_CLIENT_TEMPLATE.FAT&amp;display_string=Audit&amp;VAR:KEY=CHSVMLSVYH&amp;VAR:QUERY=RkZfRUJJVChBTk4sMjAxMCk=&amp;WINDOW=FIRST_POPUP&amp;HEIGHT=450&amp;WIDTH=450&amp;START_MAXIMIZED=FALS","E&amp;VAR:CALENDAR=US&amp;VAR:SYMBOL=RA&amp;VAR:INDEX=0"}</definedName>
    <definedName name="_10__FDSAUDITLINK__" hidden="1">{"fdsup://directions/FAT Viewer?action=UPDATE&amp;creator=factset&amp;DYN_ARGS=TRUE&amp;DOC_NAME=FAT:FQL_AUDITING_CLIENT_TEMPLATE.FAT&amp;display_string=Audit&amp;VAR:KEY=DINMPSLEFW&amp;VAR:QUERY=RkZfRUJJVChBTk4sMjAwOSk=&amp;WINDOW=FIRST_POPUP&amp;HEIGHT=450&amp;WIDTH=450&amp;START_MAXIMIZED=FALS","E&amp;VAR:CALENDAR=US&amp;VAR:SYMBOL=RA&amp;VAR:INDEX=0"}</definedName>
    <definedName name="_100__FDSAUDITLINK__" localSheetId="6" hidden="1">{"fdsup://Directions/FactSet Auditing Viewer?action=AUDIT_VALUE&amp;DB=129&amp;ID1=48517030&amp;VALUEID=01250&amp;SDATE=2010&amp;PERIODTYPE=ANN_STD&amp;window=popup_no_bar&amp;width=385&amp;height=120&amp;START_MAXIMIZED=FALSE&amp;creator=factset&amp;display_string=Audit"}</definedName>
    <definedName name="_100__FDSAUDITLINK__" hidden="1">{"fdsup://directions/FAT Viewer?action=UPDATE&amp;creator=factset&amp;DYN_ARGS=TRUE&amp;DOC_NAME=FAT:FQL_AUDITING_CLIENT_TEMPLATE.FAT&amp;display_string=Audit&amp;VAR:KEY=XCTUNKTUDO&amp;VAR:QUERY=RkZfTkVUX0lOQyhBTk4sMjAwOSk=&amp;WINDOW=FIRST_POPUP&amp;HEIGHT=450&amp;WIDTH=450&amp;START_MAXIMIZED=","FALSE&amp;VAR:CALENDAR=US&amp;VAR:SYMBOL=CSX&amp;VAR:INDEX=0"}</definedName>
    <definedName name="_101__FDSAUDITLINK__" localSheetId="6" hidden="1">{"fdsup://Directions/FactSet Auditing Viewer?action=AUDIT_VALUE&amp;DB=129&amp;ID1=37155910&amp;VALUEID=01250&amp;SDATE=2010&amp;PERIODTYPE=ANN_STD&amp;window=popup_no_bar&amp;width=385&amp;height=120&amp;START_MAXIMIZED=FALSE&amp;creator=factset&amp;display_string=Audit"}</definedName>
    <definedName name="_101__FDSAUDITLINK__" hidden="1">{"fdsup://directions/FAT Viewer?action=UPDATE&amp;creator=factset&amp;DYN_ARGS=TRUE&amp;DOC_NAME=FAT:FQL_AUDITING_CLIENT_TEMPLATE.FAT&amp;display_string=Audit&amp;VAR:KEY=ZIJWZYDWHC&amp;VAR:QUERY=RkZfTkVUX0lOQyhBTk4sMjAwOSk=&amp;WINDOW=FIRST_POPUP&amp;HEIGHT=450&amp;WIDTH=450&amp;START_MAXIMIZED=","FALSE&amp;VAR:CALENDAR=US&amp;VAR:SYMBOL=CP&amp;VAR:INDEX=0"}</definedName>
    <definedName name="_102__FDSAUDITLINK__" localSheetId="6" hidden="1">{"fdsup://Directions/FactSet Auditing Viewer?action=AUDIT_VALUE&amp;DB=129&amp;ID1=12640810&amp;VALUEID=01250&amp;SDATE=2010&amp;PERIODTYPE=ANN_STD&amp;window=popup_no_bar&amp;width=385&amp;height=120&amp;START_MAXIMIZED=FALSE&amp;creator=factset&amp;display_string=Audit"}</definedName>
    <definedName name="_102__FDSAUDITLINK__" hidden="1">{"fdsup://directions/FAT Viewer?action=UPDATE&amp;creator=factset&amp;DYN_ARGS=TRUE&amp;DOC_NAME=FAT:FQL_AUDITING_CLIENT_TEMPLATE.FAT&amp;display_string=Audit&amp;VAR:KEY=ZIVKNCFMTU&amp;VAR:QUERY=RkZfTkVUX0lOQyhBTk4sMjAwOSk=&amp;WINDOW=FIRST_POPUP&amp;HEIGHT=450&amp;WIDTH=450&amp;START_MAXIMIZED=","FALSE&amp;VAR:CALENDAR=US&amp;VAR:SYMBOL=CNI&amp;VAR:INDEX=0"}</definedName>
    <definedName name="_103__FDSAUDITLINK__" localSheetId="6" hidden="1">{"fdsup://Directions/FactSet Auditing Viewer?action=AUDIT_VALUE&amp;DB=129&amp;ID1=90781810&amp;VALUEID=01001&amp;SDATE=2010&amp;PERIODTYPE=ANN_STD&amp;window=popup_no_bar&amp;width=385&amp;height=120&amp;START_MAXIMIZED=FALSE&amp;creator=factset&amp;display_string=Audit"}</definedName>
    <definedName name="_103__FDSAUDITLINK__" hidden="1">{"fdsup://directions/FAT Viewer?action=UPDATE&amp;creator=factset&amp;DYN_ARGS=TRUE&amp;DOC_NAME=FAT:FQL_AUDITING_CLIENT_TEMPLATE.FAT&amp;display_string=Audit&amp;VAR:KEY=JSNEFUFKBO&amp;VAR:QUERY=RkZfRUJJVChBTk4sMjAwOSk=&amp;WINDOW=FIRST_POPUP&amp;HEIGHT=450&amp;WIDTH=450&amp;START_MAXIMIZED=FALS","E&amp;VAR:CALENDAR=US&amp;VAR:SYMBOL=NSC&amp;VAR:INDEX=0"}</definedName>
    <definedName name="_104__FDSAUDITLINK__" localSheetId="6" hidden="1">{"fdsup://Directions/FactSet Auditing Viewer?action=AUDIT_VALUE&amp;DB=129&amp;ID1=75075340&amp;VALUEID=01001&amp;SDATE=2010&amp;PERIODTYPE=ANN_STD&amp;window=popup_no_bar&amp;width=385&amp;height=120&amp;START_MAXIMIZED=FALSE&amp;creator=factset&amp;display_string=Audit"}</definedName>
    <definedName name="_104__FDSAUDITLINK__" hidden="1">{"fdsup://directions/FAT Viewer?action=UPDATE&amp;creator=factset&amp;DYN_ARGS=TRUE&amp;DOC_NAME=FAT:FQL_AUDITING_CLIENT_TEMPLATE.FAT&amp;display_string=Audit&amp;VAR:KEY=FWBSRAVMTC&amp;VAR:QUERY=RkZfRUJJVChBTk4sMjAwOSk=&amp;WINDOW=FIRST_POPUP&amp;HEIGHT=450&amp;WIDTH=450&amp;START_MAXIMIZED=FALS","E&amp;VAR:CALENDAR=US&amp;VAR:SYMBOL=KSU&amp;VAR:INDEX=0"}</definedName>
    <definedName name="_105__FDSAUDITLINK__" localSheetId="6" hidden="1">{"fdsup://Directions/FactSet Auditing Viewer?action=AUDIT_VALUE&amp;DB=129&amp;ID1=65584410&amp;VALUEID=01001&amp;SDATE=2010&amp;PERIODTYPE=ANN_STD&amp;window=popup_no_bar&amp;width=385&amp;height=120&amp;START_MAXIMIZED=FALSE&amp;creator=factset&amp;display_string=Audit"}</definedName>
    <definedName name="_105__FDSAUDITLINK__" hidden="1">{"fdsup://directions/FAT Viewer?action=UPDATE&amp;creator=factset&amp;DYN_ARGS=TRUE&amp;DOC_NAME=FAT:FQL_AUDITING_CLIENT_TEMPLATE.FAT&amp;display_string=Audit&amp;VAR:KEY=JEFYFGBSLG&amp;VAR:QUERY=RkZfRUJJVChBTk4sMjAwOSk=&amp;WINDOW=FIRST_POPUP&amp;HEIGHT=450&amp;WIDTH=450&amp;START_MAXIMIZED=FALS","E&amp;VAR:CALENDAR=US&amp;VAR:SYMBOL=GWR&amp;VAR:INDEX=0"}</definedName>
    <definedName name="_106__FDSAUDITLINK__" localSheetId="6" hidden="1">{"fdsup://Directions/FactSet Auditing Viewer?action=AUDIT_VALUE&amp;DB=129&amp;ID1=48517030&amp;VALUEID=01001&amp;SDATE=2010&amp;PERIODTYPE=ANN_STD&amp;window=popup_no_bar&amp;width=385&amp;height=120&amp;START_MAXIMIZED=FALSE&amp;creator=factset&amp;display_string=Audit"}</definedName>
    <definedName name="_106__FDSAUDITLINK__" hidden="1">{"fdsup://directions/FAT Viewer?action=UPDATE&amp;creator=factset&amp;DYN_ARGS=TRUE&amp;DOC_NAME=FAT:FQL_AUDITING_CLIENT_TEMPLATE.FAT&amp;display_string=Audit&amp;VAR:KEY=LOVABURQPM&amp;VAR:QUERY=RkZfRUJJVChBTk4sMjAwOSk=&amp;WINDOW=FIRST_POPUP&amp;HEIGHT=450&amp;WIDTH=450&amp;START_MAXIMIZED=FALS","E&amp;VAR:CALENDAR=US&amp;VAR:SYMBOL=CSX&amp;VAR:INDEX=0"}</definedName>
    <definedName name="_107__FDSAUDITLINK__" localSheetId="6" hidden="1">{"fdsup://Directions/FactSet Auditing Viewer?action=AUDIT_VALUE&amp;DB=129&amp;ID1=37155910&amp;VALUEID=01001&amp;SDATE=2010&amp;PERIODTYPE=ANN_STD&amp;window=popup_no_bar&amp;width=385&amp;height=120&amp;START_MAXIMIZED=FALSE&amp;creator=factset&amp;display_string=Audit"}</definedName>
    <definedName name="_107__FDSAUDITLINK__" hidden="1">{"fdsup://directions/FAT Viewer?action=UPDATE&amp;creator=factset&amp;DYN_ARGS=TRUE&amp;DOC_NAME=FAT:FQL_AUDITING_CLIENT_TEMPLATE.FAT&amp;display_string=Audit&amp;VAR:KEY=BUBMLSREXC&amp;VAR:QUERY=RkZfRUJJVChBTk4sMjAwOSk=&amp;WINDOW=FIRST_POPUP&amp;HEIGHT=450&amp;WIDTH=450&amp;START_MAXIMIZED=FALS","E&amp;VAR:CALENDAR=US&amp;VAR:SYMBOL=CP&amp;VAR:INDEX=0"}</definedName>
    <definedName name="_108__FDSAUDITLINK__" localSheetId="6" hidden="1">{"fdsup://Directions/FactSet Auditing Viewer?action=AUDIT_VALUE&amp;DB=129&amp;ID1=12640810&amp;VALUEID=01001&amp;SDATE=2010&amp;PERIODTYPE=ANN_STD&amp;window=popup_no_bar&amp;width=385&amp;height=120&amp;START_MAXIMIZED=FALSE&amp;creator=factset&amp;display_string=Audit"}</definedName>
    <definedName name="_108__FDSAUDITLINK__" hidden="1">{"fdsup://directions/FAT Viewer?action=UPDATE&amp;creator=factset&amp;DYN_ARGS=TRUE&amp;DOC_NAME=FAT:FQL_AUDITING_CLIENT_TEMPLATE.FAT&amp;display_string=Audit&amp;VAR:KEY=VMNIVYHKNS&amp;VAR:QUERY=RkZfRUJJVChBTk4sMjAwOSk=&amp;WINDOW=FIRST_POPUP&amp;HEIGHT=450&amp;WIDTH=450&amp;START_MAXIMIZED=FALS","E&amp;VAR:CALENDAR=US&amp;VAR:SYMBOL=CNI&amp;VAR:INDEX=0"}</definedName>
    <definedName name="_109__FDSAUDITLINK__" localSheetId="6" hidden="1">{"fdsup://directions/FAT Viewer?action=UPDATE&amp;creator=factset&amp;DYN_ARGS=TRUE&amp;DOC_NAME=FAT:FQL_AUDITING_CLIENT_TEMPLATE.FAT&amp;display_string=Audit&amp;VAR:KEY=GFSNGJUZGB&amp;VAR:QUERY=RkZfTkVUX0lOQyhBTk4sMjAxMCk=&amp;WINDOW=FIRST_POPUP&amp;HEIGHT=450&amp;WIDTH=450&amp;START_MAXIMIZED=","FALSE&amp;VAR:CALENDAR=US&amp;VAR:SYMBOL=UNP&amp;VAR:INDEX=0"}</definedName>
    <definedName name="_109__FDSAUDITLINK__" hidden="1">{"fdsup://directions/FAT Viewer?action=UPDATE&amp;creator=factset&amp;DYN_ARGS=TRUE&amp;DOC_NAME=FAT:FQL_AUDITING_CLIENT_TEMPLATE.FAT&amp;display_string=Audit&amp;VAR:KEY=BSJCZYVKZC&amp;VAR:QUERY=RkZfRUJJVERBKEFOTiwyMDA5KQ==&amp;WINDOW=FIRST_POPUP&amp;HEIGHT=450&amp;WIDTH=450&amp;START_MAXIMIZED=","FALSE&amp;VAR:CALENDAR=US&amp;VAR:SYMBOL=NSC&amp;VAR:INDEX=0"}</definedName>
    <definedName name="_11__FDSAUDITLINK__" localSheetId="6" hidden="1">{"fdsup://directions/FAT Viewer?action=UPDATE&amp;creator=factset&amp;DYN_ARGS=TRUE&amp;DOC_NAME=FAT:FQL_AUDITING_CLIENT_TEMPLATE.FAT&amp;display_string=Audit&amp;VAR:KEY=CBKNWDAHKJ&amp;VAR:QUERY=RkZfRUJJVChBTk4sMjAxMCk=&amp;WINDOW=FIRST_POPUP&amp;HEIGHT=450&amp;WIDTH=450&amp;START_MAXIMIZED=FALS","E&amp;VAR:CALENDAR=US&amp;VAR:SYMBOL=NSC&amp;VAR:INDEX=0"}</definedName>
    <definedName name="_11__FDSAUDITLINK__" hidden="1">{"fdsup://directions/FAT Viewer?action=UPDATE&amp;creator=factset&amp;DYN_ARGS=TRUE&amp;DOC_NAME=FAT:FQL_AUDITING_CLIENT_TEMPLATE.FAT&amp;display_string=Audit&amp;VAR:KEY=JSNEFUFKBO&amp;VAR:QUERY=RkZfRUJJVChBTk4sMjAwOSk=&amp;WINDOW=FIRST_POPUP&amp;HEIGHT=450&amp;WIDTH=450&amp;START_MAXIMIZED=FALS","E&amp;VAR:CALENDAR=US&amp;VAR:SYMBOL=NSC&amp;VAR:INDEX=0"}</definedName>
    <definedName name="_110__FDSAUDITLINK__" localSheetId="6" hidden="1">{"fdsup://directions/FAT Viewer?action=UPDATE&amp;creator=factset&amp;DYN_ARGS=TRUE&amp;DOC_NAME=FAT:FQL_AUDITING_CLIENT_TEMPLATE.FAT&amp;display_string=Audit&amp;VAR:KEY=CBUFQRWTMN&amp;VAR:QUERY=RkZfTkVUX0lOQyhBTk4sMjAxMCk=&amp;WINDOW=FIRST_POPUP&amp;HEIGHT=450&amp;WIDTH=450&amp;START_MAXIMIZED=","FALSE&amp;VAR:CALENDAR=US&amp;VAR:SYMBOL=RA&amp;VAR:INDEX=0"}</definedName>
    <definedName name="_110__FDSAUDITLINK__" hidden="1">{"fdsup://directions/FAT Viewer?action=UPDATE&amp;creator=factset&amp;DYN_ARGS=TRUE&amp;DOC_NAME=FAT:FQL_AUDITING_CLIENT_TEMPLATE.FAT&amp;display_string=Audit&amp;VAR:KEY=XKXCRUTYVA&amp;VAR:QUERY=RkZfRUJJVERBKEFOTiwyMDA5KQ==&amp;WINDOW=FIRST_POPUP&amp;HEIGHT=450&amp;WIDTH=450&amp;START_MAXIMIZED=","FALSE&amp;VAR:CALENDAR=US&amp;VAR:SYMBOL=KSU&amp;VAR:INDEX=0"}</definedName>
    <definedName name="_111__FDSAUDITLINK__" localSheetId="6" hidden="1">{"fdsup://directions/FAT Viewer?action=UPDATE&amp;creator=factset&amp;DYN_ARGS=TRUE&amp;DOC_NAME=FAT:FQL_AUDITING_CLIENT_TEMPLATE.FAT&amp;display_string=Audit&amp;VAR:KEY=CFMTMNEHCF&amp;VAR:QUERY=RkZfTkVUX0lOQyhBTk4sMjAxMCk=&amp;WINDOW=FIRST_POPUP&amp;HEIGHT=450&amp;WIDTH=450&amp;START_MAXIMIZED=","FALSE&amp;VAR:CALENDAR=US&amp;VAR:SYMBOL=NSC&amp;VAR:INDEX=0"}</definedName>
    <definedName name="_111__FDSAUDITLINK__" hidden="1">{"fdsup://directions/FAT Viewer?action=UPDATE&amp;creator=factset&amp;DYN_ARGS=TRUE&amp;DOC_NAME=FAT:FQL_AUDITING_CLIENT_TEMPLATE.FAT&amp;display_string=Audit&amp;VAR:KEY=ZWBUHQBQBE&amp;VAR:QUERY=RkZfRUJJVERBKEFOTiwyMDA5KQ==&amp;WINDOW=FIRST_POPUP&amp;HEIGHT=450&amp;WIDTH=450&amp;START_MAXIMIZED=","FALSE&amp;VAR:CALENDAR=US&amp;VAR:SYMBOL=GWR&amp;VAR:INDEX=0"}</definedName>
    <definedName name="_112__FDSAUDITLINK__" localSheetId="6" hidden="1">{"fdsup://directions/FAT Viewer?action=UPDATE&amp;creator=factset&amp;DYN_ARGS=TRUE&amp;DOC_NAME=FAT:FQL_AUDITING_CLIENT_TEMPLATE.FAT&amp;display_string=Audit&amp;VAR:KEY=EPWDAVAVWL&amp;VAR:QUERY=RkZfTkVUX0lOQyhBTk4sMjAxMCk=&amp;WINDOW=FIRST_POPUP&amp;HEIGHT=450&amp;WIDTH=450&amp;START_MAXIMIZED=","FALSE&amp;VAR:CALENDAR=US&amp;VAR:SYMBOL=KSU&amp;VAR:INDEX=0"}</definedName>
    <definedName name="_112__FDSAUDITLINK__" hidden="1">{"fdsup://directions/FAT Viewer?action=UPDATE&amp;creator=factset&amp;DYN_ARGS=TRUE&amp;DOC_NAME=FAT:FQL_AUDITING_CLIENT_TEMPLATE.FAT&amp;display_string=Audit&amp;VAR:KEY=BIVUXIBITK&amp;VAR:QUERY=RkZfRUJJVERBKEFOTiwyMDA5KQ==&amp;WINDOW=FIRST_POPUP&amp;HEIGHT=450&amp;WIDTH=450&amp;START_MAXIMIZED=","FALSE&amp;VAR:CALENDAR=US&amp;VAR:SYMBOL=CSX&amp;VAR:INDEX=0"}</definedName>
    <definedName name="_113__FDSAUDITLINK__" localSheetId="6" hidden="1">{"fdsup://directions/FAT Viewer?action=UPDATE&amp;creator=factset&amp;DYN_ARGS=TRUE&amp;DOC_NAME=FAT:FQL_AUDITING_CLIENT_TEMPLATE.FAT&amp;display_string=Audit&amp;VAR:KEY=ENALIHQZUJ&amp;VAR:QUERY=RkZfTkVUX0lOQyhBTk4sMjAxMCk=&amp;WINDOW=FIRST_POPUP&amp;HEIGHT=450&amp;WIDTH=450&amp;START_MAXIMIZED=","FALSE&amp;VAR:CALENDAR=US&amp;VAR:SYMBOL=GWR&amp;VAR:INDEX=0"}</definedName>
    <definedName name="_113__FDSAUDITLINK__" hidden="1">{"fdsup://directions/FAT Viewer?action=UPDATE&amp;creator=factset&amp;DYN_ARGS=TRUE&amp;DOC_NAME=FAT:FQL_AUDITING_CLIENT_TEMPLATE.FAT&amp;display_string=Audit&amp;VAR:KEY=DWHGPKXKXY&amp;VAR:QUERY=RkZfRUJJVERBKEFOTiwyMDA5KQ==&amp;WINDOW=FIRST_POPUP&amp;HEIGHT=450&amp;WIDTH=450&amp;START_MAXIMIZED=","FALSE&amp;VAR:CALENDAR=US&amp;VAR:SYMBOL=CP&amp;VAR:INDEX=0"}</definedName>
    <definedName name="_114__FDSAUDITLINK__" localSheetId="6" hidden="1">{"fdsup://directions/FAT Viewer?action=UPDATE&amp;creator=factset&amp;DYN_ARGS=TRUE&amp;DOC_NAME=FAT:FQL_AUDITING_CLIENT_TEMPLATE.FAT&amp;display_string=Audit&amp;VAR:KEY=EFKFOZQBKX&amp;VAR:QUERY=RkZfTkVUX0lOQyhBTk4sMjAxMCk=&amp;WINDOW=FIRST_POPUP&amp;HEIGHT=450&amp;WIDTH=450&amp;START_MAXIMIZED=","FALSE&amp;VAR:CALENDAR=US&amp;VAR:SYMBOL=CSX&amp;VAR:INDEX=0"}</definedName>
    <definedName name="_114__FDSAUDITLINK__" hidden="1">{"fdsup://directions/FAT Viewer?action=UPDATE&amp;creator=factset&amp;DYN_ARGS=TRUE&amp;DOC_NAME=FAT:FQL_AUDITING_CLIENT_TEMPLATE.FAT&amp;display_string=Audit&amp;VAR:KEY=JCDUDYVCBO&amp;VAR:QUERY=RkZfRUJJVERBKEFOTiwyMDA5KQ==&amp;WINDOW=FIRST_POPUP&amp;HEIGHT=450&amp;WIDTH=450&amp;START_MAXIMIZED=","FALSE&amp;VAR:CALENDAR=US&amp;VAR:SYMBOL=CNI&amp;VAR:INDEX=0"}</definedName>
    <definedName name="_115__FDSAUDITLINK__" localSheetId="6" hidden="1">{"fdsup://directions/FAT Viewer?action=UPDATE&amp;creator=factset&amp;DYN_ARGS=TRUE&amp;DOC_NAME=FAT:FQL_AUDITING_CLIENT_TEMPLATE.FAT&amp;display_string=Audit&amp;VAR:KEY=OZKRUNWHIL&amp;VAR:QUERY=RkZfTkVUX0lOQyhBTk4sMjAxMCk=&amp;WINDOW=FIRST_POPUP&amp;HEIGHT=450&amp;WIDTH=450&amp;START_MAXIMIZED=","FALSE&amp;VAR:CALENDAR=US&amp;VAR:SYMBOL=CP&amp;VAR:INDEX=0"}</definedName>
    <definedName name="_115__FDSAUDITLINK__" hidden="1">{"fdsup://directions/FAT Viewer?action=UPDATE&amp;creator=factset&amp;DYN_ARGS=TRUE&amp;DOC_NAME=FAT:FQL_AUDITING_CLIENT_TEMPLATE.FAT&amp;display_string=Audit&amp;VAR:KEY=TYJGTERWZO&amp;VAR:QUERY=RkZfTkVUX0lOQyhBTk4sMjAwOSk=&amp;WINDOW=FIRST_POPUP&amp;HEIGHT=450&amp;WIDTH=450&amp;START_MAXIMIZED=","FALSE&amp;VAR:CALENDAR=US&amp;VAR:SYMBOL=NSC&amp;VAR:INDEX=0"}</definedName>
    <definedName name="_116__FDSAUDITLINK__" localSheetId="6" hidden="1">{"fdsup://directions/FAT Viewer?action=UPDATE&amp;creator=factset&amp;DYN_ARGS=TRUE&amp;DOC_NAME=FAT:FQL_AUDITING_CLIENT_TEMPLATE.FAT&amp;display_string=Audit&amp;VAR:KEY=QPUPARQXUX&amp;VAR:QUERY=RkZfTkVUX0lOQyhBTk4sMjAxMCk=&amp;WINDOW=FIRST_POPUP&amp;HEIGHT=450&amp;WIDTH=450&amp;START_MAXIMIZED=","FALSE&amp;VAR:CALENDAR=US&amp;VAR:SYMBOL=CNI&amp;VAR:INDEX=0"}</definedName>
    <definedName name="_116__FDSAUDITLINK__" hidden="1">{"fdsup://directions/FAT Viewer?action=UPDATE&amp;creator=factset&amp;DYN_ARGS=TRUE&amp;DOC_NAME=FAT:FQL_AUDITING_CLIENT_TEMPLATE.FAT&amp;display_string=Audit&amp;VAR:KEY=DWHWRCVQHK&amp;VAR:QUERY=RkZfTkVUX0lOQyhBTk4sMjAwOSk=&amp;WINDOW=FIRST_POPUP&amp;HEIGHT=450&amp;WIDTH=450&amp;START_MAXIMIZED=","FALSE&amp;VAR:CALENDAR=US&amp;VAR:SYMBOL=KSU&amp;VAR:INDEX=0"}</definedName>
    <definedName name="_117__FDSAUDITLINK__" localSheetId="6" hidden="1">{"fdsup://Directions/FactSet Auditing Viewer?action=AUDIT_VALUE&amp;DB=129&amp;ID1=90781810&amp;VALUEID=01250&amp;SDATE=2010&amp;PERIODTYPE=ANN_STD&amp;window=popup_no_bar&amp;width=385&amp;height=120&amp;START_MAXIMIZED=FALSE&amp;creator=factset&amp;display_string=Audit"}</definedName>
    <definedName name="_117__FDSAUDITLINK__" hidden="1">{"fdsup://directions/FAT Viewer?action=UPDATE&amp;creator=factset&amp;DYN_ARGS=TRUE&amp;DOC_NAME=FAT:FQL_AUDITING_CLIENT_TEMPLATE.FAT&amp;display_string=Audit&amp;VAR:KEY=VOBYRCLIDS&amp;VAR:QUERY=RkZfTkVUX0lOQyhBTk4sMjAwOSk=&amp;WINDOW=FIRST_POPUP&amp;HEIGHT=450&amp;WIDTH=450&amp;START_MAXIMIZED=","FALSE&amp;VAR:CALENDAR=US&amp;VAR:SYMBOL=GWR&amp;VAR:INDEX=0"}</definedName>
    <definedName name="_118__FDSAUDITLINK__" localSheetId="6" hidden="1">{"fdsup://Directions/FactSet Auditing Viewer?action=AUDIT_VALUE&amp;DB=129&amp;ID1=75075340&amp;VALUEID=01250&amp;SDATE=2010&amp;PERIODTYPE=ANN_STD&amp;window=popup_no_bar&amp;width=385&amp;height=120&amp;START_MAXIMIZED=FALSE&amp;creator=factset&amp;display_string=Audit"}</definedName>
    <definedName name="_118__FDSAUDITLINK__" hidden="1">{"fdsup://directions/FAT Viewer?action=UPDATE&amp;creator=factset&amp;DYN_ARGS=TRUE&amp;DOC_NAME=FAT:FQL_AUDITING_CLIENT_TEMPLATE.FAT&amp;display_string=Audit&amp;VAR:KEY=XCTUNKTUDO&amp;VAR:QUERY=RkZfTkVUX0lOQyhBTk4sMjAwOSk=&amp;WINDOW=FIRST_POPUP&amp;HEIGHT=450&amp;WIDTH=450&amp;START_MAXIMIZED=","FALSE&amp;VAR:CALENDAR=US&amp;VAR:SYMBOL=CSX&amp;VAR:INDEX=0"}</definedName>
    <definedName name="_119__FDSAUDITLINK__" localSheetId="6" hidden="1">{"fdsup://Directions/FactSet Auditing Viewer?action=AUDIT_VALUE&amp;DB=129&amp;ID1=65584410&amp;VALUEID=01250&amp;SDATE=2010&amp;PERIODTYPE=ANN_STD&amp;window=popup_no_bar&amp;width=385&amp;height=120&amp;START_MAXIMIZED=FALSE&amp;creator=factset&amp;display_string=Audit"}</definedName>
    <definedName name="_119__FDSAUDITLINK__" hidden="1">{"fdsup://directions/FAT Viewer?action=UPDATE&amp;creator=factset&amp;DYN_ARGS=TRUE&amp;DOC_NAME=FAT:FQL_AUDITING_CLIENT_TEMPLATE.FAT&amp;display_string=Audit&amp;VAR:KEY=ZIJWZYDWHC&amp;VAR:QUERY=RkZfTkVUX0lOQyhBTk4sMjAwOSk=&amp;WINDOW=FIRST_POPUP&amp;HEIGHT=450&amp;WIDTH=450&amp;START_MAXIMIZED=","FALSE&amp;VAR:CALENDAR=US&amp;VAR:SYMBOL=CP&amp;VAR:INDEX=0"}</definedName>
    <definedName name="_12__FDSAUDITLINK__" localSheetId="6" hidden="1">{"fdsup://Directions/FactSet Auditing Viewer?action=AUDIT_VALUE&amp;DB=129&amp;ID1=45814010&amp;VALUEID=02001&amp;SDATE=2009&amp;PERIODTYPE=ANN_STD&amp;window=popup_no_bar&amp;width=385&amp;height=120&amp;START_MAXIMIZED=FALSE&amp;creator=factset&amp;display_string=Audit"}</definedName>
    <definedName name="_12__FDSAUDITLINK__" hidden="1">{"fdsup://directions/FAT Viewer?action=UPDATE&amp;creator=factset&amp;DYN_ARGS=TRUE&amp;DOC_NAME=FAT:FQL_AUDITING_CLIENT_TEMPLATE.FAT&amp;display_string=Audit&amp;VAR:KEY=FWBSRAVMTC&amp;VAR:QUERY=RkZfRUJJVChBTk4sMjAwOSk=&amp;WINDOW=FIRST_POPUP&amp;HEIGHT=450&amp;WIDTH=450&amp;START_MAXIMIZED=FALS","E&amp;VAR:CALENDAR=US&amp;VAR:SYMBOL=KSU&amp;VAR:INDEX=0"}</definedName>
    <definedName name="_120__FDSAUDITLINK__" localSheetId="6" hidden="1">{"fdsup://Directions/FactSet Auditing Viewer?action=AUDIT_VALUE&amp;DB=129&amp;ID1=48517030&amp;VALUEID=01250&amp;SDATE=2010&amp;PERIODTYPE=ANN_STD&amp;window=popup_no_bar&amp;width=385&amp;height=120&amp;START_MAXIMIZED=FALSE&amp;creator=factset&amp;display_string=Audit"}</definedName>
    <definedName name="_120__FDSAUDITLINK__" hidden="1">{"fdsup://directions/FAT Viewer?action=UPDATE&amp;creator=factset&amp;DYN_ARGS=TRUE&amp;DOC_NAME=FAT:FQL_AUDITING_CLIENT_TEMPLATE.FAT&amp;display_string=Audit&amp;VAR:KEY=ZIVKNCFMTU&amp;VAR:QUERY=RkZfTkVUX0lOQyhBTk4sMjAwOSk=&amp;WINDOW=FIRST_POPUP&amp;HEIGHT=450&amp;WIDTH=450&amp;START_MAXIMIZED=","FALSE&amp;VAR:CALENDAR=US&amp;VAR:SYMBOL=CNI&amp;VAR:INDEX=0"}</definedName>
    <definedName name="_121__FDSAUDITLINK__" localSheetId="6" hidden="1">{"fdsup://Directions/FactSet Auditing Viewer?action=AUDIT_VALUE&amp;DB=129&amp;ID1=37155910&amp;VALUEID=01250&amp;SDATE=2010&amp;PERIODTYPE=ANN_STD&amp;window=popup_no_bar&amp;width=385&amp;height=120&amp;START_MAXIMIZED=FALSE&amp;creator=factset&amp;display_string=Audit"}</definedName>
    <definedName name="_121__FDSAUDITLINK__" hidden="1">{"fdsup://directions/FAT Viewer?action=UPDATE&amp;creator=factset&amp;DYN_ARGS=TRUE&amp;DOC_NAME=FAT:FQL_AUDITING_CLIENT_TEMPLATE.FAT&amp;display_string=Audit&amp;VAR:KEY=JSNEFUFKBO&amp;VAR:QUERY=RkZfRUJJVChBTk4sMjAwOSk=&amp;WINDOW=FIRST_POPUP&amp;HEIGHT=450&amp;WIDTH=450&amp;START_MAXIMIZED=FALS","E&amp;VAR:CALENDAR=US&amp;VAR:SYMBOL=NSC&amp;VAR:INDEX=0"}</definedName>
    <definedName name="_122__FDSAUDITLINK__" localSheetId="6" hidden="1">{"fdsup://Directions/FactSet Auditing Viewer?action=AUDIT_VALUE&amp;DB=129&amp;ID1=12640810&amp;VALUEID=01250&amp;SDATE=2010&amp;PERIODTYPE=ANN_STD&amp;window=popup_no_bar&amp;width=385&amp;height=120&amp;START_MAXIMIZED=FALSE&amp;creator=factset&amp;display_string=Audit"}</definedName>
    <definedName name="_122__FDSAUDITLINK__" hidden="1">{"fdsup://directions/FAT Viewer?action=UPDATE&amp;creator=factset&amp;DYN_ARGS=TRUE&amp;DOC_NAME=FAT:FQL_AUDITING_CLIENT_TEMPLATE.FAT&amp;display_string=Audit&amp;VAR:KEY=FWBSRAVMTC&amp;VAR:QUERY=RkZfRUJJVChBTk4sMjAwOSk=&amp;WINDOW=FIRST_POPUP&amp;HEIGHT=450&amp;WIDTH=450&amp;START_MAXIMIZED=FALS","E&amp;VAR:CALENDAR=US&amp;VAR:SYMBOL=KSU&amp;VAR:INDEX=0"}</definedName>
    <definedName name="_123__FDSAUDITLINK__" localSheetId="6" hidden="1">{"fdsup://Directions/FactSet Auditing Viewer?action=AUDIT_VALUE&amp;DB=129&amp;ID1=90781810&amp;VALUEID=01001&amp;SDATE=2010&amp;PERIODTYPE=ANN_STD&amp;window=popup_no_bar&amp;width=385&amp;height=120&amp;START_MAXIMIZED=FALSE&amp;creator=factset&amp;display_string=Audit"}</definedName>
    <definedName name="_123__FDSAUDITLINK__" hidden="1">{"fdsup://directions/FAT Viewer?action=UPDATE&amp;creator=factset&amp;DYN_ARGS=TRUE&amp;DOC_NAME=FAT:FQL_AUDITING_CLIENT_TEMPLATE.FAT&amp;display_string=Audit&amp;VAR:KEY=JEFYFGBSLG&amp;VAR:QUERY=RkZfRUJJVChBTk4sMjAwOSk=&amp;WINDOW=FIRST_POPUP&amp;HEIGHT=450&amp;WIDTH=450&amp;START_MAXIMIZED=FALS","E&amp;VAR:CALENDAR=US&amp;VAR:SYMBOL=GWR&amp;VAR:INDEX=0"}</definedName>
    <definedName name="_124__FDSAUDITLINK__" localSheetId="6" hidden="1">{"fdsup://Directions/FactSet Auditing Viewer?action=AUDIT_VALUE&amp;DB=129&amp;ID1=75075340&amp;VALUEID=01001&amp;SDATE=2010&amp;PERIODTYPE=ANN_STD&amp;window=popup_no_bar&amp;width=385&amp;height=120&amp;START_MAXIMIZED=FALSE&amp;creator=factset&amp;display_string=Audit"}</definedName>
    <definedName name="_124__FDSAUDITLINK__" hidden="1">{"fdsup://directions/FAT Viewer?action=UPDATE&amp;creator=factset&amp;DYN_ARGS=TRUE&amp;DOC_NAME=FAT:FQL_AUDITING_CLIENT_TEMPLATE.FAT&amp;display_string=Audit&amp;VAR:KEY=LOVABURQPM&amp;VAR:QUERY=RkZfRUJJVChBTk4sMjAwOSk=&amp;WINDOW=FIRST_POPUP&amp;HEIGHT=450&amp;WIDTH=450&amp;START_MAXIMIZED=FALS","E&amp;VAR:CALENDAR=US&amp;VAR:SYMBOL=CSX&amp;VAR:INDEX=0"}</definedName>
    <definedName name="_125__FDSAUDITLINK__" localSheetId="6" hidden="1">{"fdsup://Directions/FactSet Auditing Viewer?action=AUDIT_VALUE&amp;DB=129&amp;ID1=65584410&amp;VALUEID=01001&amp;SDATE=2010&amp;PERIODTYPE=ANN_STD&amp;window=popup_no_bar&amp;width=385&amp;height=120&amp;START_MAXIMIZED=FALSE&amp;creator=factset&amp;display_string=Audit"}</definedName>
    <definedName name="_125__FDSAUDITLINK__" hidden="1">{"fdsup://directions/FAT Viewer?action=UPDATE&amp;creator=factset&amp;DYN_ARGS=TRUE&amp;DOC_NAME=FAT:FQL_AUDITING_CLIENT_TEMPLATE.FAT&amp;display_string=Audit&amp;VAR:KEY=BUBMLSREXC&amp;VAR:QUERY=RkZfRUJJVChBTk4sMjAwOSk=&amp;WINDOW=FIRST_POPUP&amp;HEIGHT=450&amp;WIDTH=450&amp;START_MAXIMIZED=FALS","E&amp;VAR:CALENDAR=US&amp;VAR:SYMBOL=CP&amp;VAR:INDEX=0"}</definedName>
    <definedName name="_126__FDSAUDITLINK__" localSheetId="6" hidden="1">{"fdsup://Directions/FactSet Auditing Viewer?action=AUDIT_VALUE&amp;DB=129&amp;ID1=48517030&amp;VALUEID=01001&amp;SDATE=2010&amp;PERIODTYPE=ANN_STD&amp;window=popup_no_bar&amp;width=385&amp;height=120&amp;START_MAXIMIZED=FALSE&amp;creator=factset&amp;display_string=Audit"}</definedName>
    <definedName name="_126__FDSAUDITLINK__" hidden="1">{"fdsup://directions/FAT Viewer?action=UPDATE&amp;creator=factset&amp;DYN_ARGS=TRUE&amp;DOC_NAME=FAT:FQL_AUDITING_CLIENT_TEMPLATE.FAT&amp;display_string=Audit&amp;VAR:KEY=VMNIVYHKNS&amp;VAR:QUERY=RkZfRUJJVChBTk4sMjAwOSk=&amp;WINDOW=FIRST_POPUP&amp;HEIGHT=450&amp;WIDTH=450&amp;START_MAXIMIZED=FALS","E&amp;VAR:CALENDAR=US&amp;VAR:SYMBOL=CNI&amp;VAR:INDEX=0"}</definedName>
    <definedName name="_127__FDSAUDITLINK__" localSheetId="6" hidden="1">{"fdsup://Directions/FactSet Auditing Viewer?action=AUDIT_VALUE&amp;DB=129&amp;ID1=37155910&amp;VALUEID=01001&amp;SDATE=2010&amp;PERIODTYPE=ANN_STD&amp;window=popup_no_bar&amp;width=385&amp;height=120&amp;START_MAXIMIZED=FALSE&amp;creator=factset&amp;display_string=Audit"}</definedName>
    <definedName name="_127__FDSAUDITLINK__" hidden="1">{"fdsup://directions/FAT Viewer?action=UPDATE&amp;creator=factset&amp;DYN_ARGS=TRUE&amp;DOC_NAME=FAT:FQL_AUDITING_CLIENT_TEMPLATE.FAT&amp;display_string=Audit&amp;VAR:KEY=BSJCZYVKZC&amp;VAR:QUERY=RkZfRUJJVERBKEFOTiwyMDA5KQ==&amp;WINDOW=FIRST_POPUP&amp;HEIGHT=450&amp;WIDTH=450&amp;START_MAXIMIZED=","FALSE&amp;VAR:CALENDAR=US&amp;VAR:SYMBOL=NSC&amp;VAR:INDEX=0"}</definedName>
    <definedName name="_128__FDSAUDITLINK__" localSheetId="6" hidden="1">{"fdsup://Directions/FactSet Auditing Viewer?action=AUDIT_VALUE&amp;DB=129&amp;ID1=12640810&amp;VALUEID=01001&amp;SDATE=2010&amp;PERIODTYPE=ANN_STD&amp;window=popup_no_bar&amp;width=385&amp;height=120&amp;START_MAXIMIZED=FALSE&amp;creator=factset&amp;display_string=Audit"}</definedName>
    <definedName name="_128__FDSAUDITLINK__" hidden="1">{"fdsup://directions/FAT Viewer?action=UPDATE&amp;creator=factset&amp;DYN_ARGS=TRUE&amp;DOC_NAME=FAT:FQL_AUDITING_CLIENT_TEMPLATE.FAT&amp;display_string=Audit&amp;VAR:KEY=XKXCRUTYVA&amp;VAR:QUERY=RkZfRUJJVERBKEFOTiwyMDA5KQ==&amp;WINDOW=FIRST_POPUP&amp;HEIGHT=450&amp;WIDTH=450&amp;START_MAXIMIZED=","FALSE&amp;VAR:CALENDAR=US&amp;VAR:SYMBOL=KSU&amp;VAR:INDEX=0"}</definedName>
    <definedName name="_129__FDSAUDITLINK__" localSheetId="6" hidden="1">{"fdsup://directions/FAT Viewer?action=UPDATE&amp;creator=factset&amp;DYN_ARGS=TRUE&amp;DOC_NAME=FAT:FQL_AUDITING_CLIENT_TEMPLATE.FAT&amp;display_string=Audit&amp;VAR:KEY=GFSNGJUZGB&amp;VAR:QUERY=RkZfTkVUX0lOQyhBTk4sMjAxMCk=&amp;WINDOW=FIRST_POPUP&amp;HEIGHT=450&amp;WIDTH=450&amp;START_MAXIMIZED=","FALSE&amp;VAR:CALENDAR=US&amp;VAR:SYMBOL=UNP&amp;VAR:INDEX=0"}</definedName>
    <definedName name="_129__FDSAUDITLINK__" hidden="1">{"fdsup://directions/FAT Viewer?action=UPDATE&amp;creator=factset&amp;DYN_ARGS=TRUE&amp;DOC_NAME=FAT:FQL_AUDITING_CLIENT_TEMPLATE.FAT&amp;display_string=Audit&amp;VAR:KEY=ZWBUHQBQBE&amp;VAR:QUERY=RkZfRUJJVERBKEFOTiwyMDA5KQ==&amp;WINDOW=FIRST_POPUP&amp;HEIGHT=450&amp;WIDTH=450&amp;START_MAXIMIZED=","FALSE&amp;VAR:CALENDAR=US&amp;VAR:SYMBOL=GWR&amp;VAR:INDEX=0"}</definedName>
    <definedName name="_13__FDSAUDITLINK__" localSheetId="6" hidden="1">{"fdsup://Directions/FactSet Auditing Viewer?action=AUDIT_VALUE&amp;DB=129&amp;ID1=595937&amp;VALUEID=02001&amp;SDATE=2009&amp;PERIODTYPE=ANN_STD&amp;window=popup_no_bar&amp;width=385&amp;height=120&amp;START_MAXIMIZED=FALSE&amp;creator=factset&amp;display_string=Audit"}</definedName>
    <definedName name="_13__FDSAUDITLINK__" hidden="1">{"fdsup://directions/FAT Viewer?action=UPDATE&amp;creator=factset&amp;DYN_ARGS=TRUE&amp;DOC_NAME=FAT:FQL_AUDITING_CLIENT_TEMPLATE.FAT&amp;display_string=Audit&amp;VAR:KEY=JEFYFGBSLG&amp;VAR:QUERY=RkZfRUJJVChBTk4sMjAwOSk=&amp;WINDOW=FIRST_POPUP&amp;HEIGHT=450&amp;WIDTH=450&amp;START_MAXIMIZED=FALS","E&amp;VAR:CALENDAR=US&amp;VAR:SYMBOL=GWR&amp;VAR:INDEX=0"}</definedName>
    <definedName name="_130__FDSAUDITLINK__" localSheetId="6" hidden="1">{"fdsup://directions/FAT Viewer?action=UPDATE&amp;creator=factset&amp;DYN_ARGS=TRUE&amp;DOC_NAME=FAT:FQL_AUDITING_CLIENT_TEMPLATE.FAT&amp;display_string=Audit&amp;VAR:KEY=CBUFQRWTMN&amp;VAR:QUERY=RkZfTkVUX0lOQyhBTk4sMjAxMCk=&amp;WINDOW=FIRST_POPUP&amp;HEIGHT=450&amp;WIDTH=450&amp;START_MAXIMIZED=","FALSE&amp;VAR:CALENDAR=US&amp;VAR:SYMBOL=RA&amp;VAR:INDEX=0"}</definedName>
    <definedName name="_130__FDSAUDITLINK__" hidden="1">{"fdsup://directions/FAT Viewer?action=UPDATE&amp;creator=factset&amp;DYN_ARGS=TRUE&amp;DOC_NAME=FAT:FQL_AUDITING_CLIENT_TEMPLATE.FAT&amp;display_string=Audit&amp;VAR:KEY=BIVUXIBITK&amp;VAR:QUERY=RkZfRUJJVERBKEFOTiwyMDA5KQ==&amp;WINDOW=FIRST_POPUP&amp;HEIGHT=450&amp;WIDTH=450&amp;START_MAXIMIZED=","FALSE&amp;VAR:CALENDAR=US&amp;VAR:SYMBOL=CSX&amp;VAR:INDEX=0"}</definedName>
    <definedName name="_131__FDSAUDITLINK__" localSheetId="6" hidden="1">{"fdsup://directions/FAT Viewer?action=UPDATE&amp;creator=factset&amp;DYN_ARGS=TRUE&amp;DOC_NAME=FAT:FQL_AUDITING_CLIENT_TEMPLATE.FAT&amp;display_string=Audit&amp;VAR:KEY=CFMTMNEHCF&amp;VAR:QUERY=RkZfTkVUX0lOQyhBTk4sMjAxMCk=&amp;WINDOW=FIRST_POPUP&amp;HEIGHT=450&amp;WIDTH=450&amp;START_MAXIMIZED=","FALSE&amp;VAR:CALENDAR=US&amp;VAR:SYMBOL=NSC&amp;VAR:INDEX=0"}</definedName>
    <definedName name="_131__FDSAUDITLINK__" hidden="1">{"fdsup://directions/FAT Viewer?action=UPDATE&amp;creator=factset&amp;DYN_ARGS=TRUE&amp;DOC_NAME=FAT:FQL_AUDITING_CLIENT_TEMPLATE.FAT&amp;display_string=Audit&amp;VAR:KEY=DWHGPKXKXY&amp;VAR:QUERY=RkZfRUJJVERBKEFOTiwyMDA5KQ==&amp;WINDOW=FIRST_POPUP&amp;HEIGHT=450&amp;WIDTH=450&amp;START_MAXIMIZED=","FALSE&amp;VAR:CALENDAR=US&amp;VAR:SYMBOL=CP&amp;VAR:INDEX=0"}</definedName>
    <definedName name="_132__FDSAUDITLINK__" localSheetId="6" hidden="1">{"fdsup://directions/FAT Viewer?action=UPDATE&amp;creator=factset&amp;DYN_ARGS=TRUE&amp;DOC_NAME=FAT:FQL_AUDITING_CLIENT_TEMPLATE.FAT&amp;display_string=Audit&amp;VAR:KEY=EPWDAVAVWL&amp;VAR:QUERY=RkZfTkVUX0lOQyhBTk4sMjAxMCk=&amp;WINDOW=FIRST_POPUP&amp;HEIGHT=450&amp;WIDTH=450&amp;START_MAXIMIZED=","FALSE&amp;VAR:CALENDAR=US&amp;VAR:SYMBOL=KSU&amp;VAR:INDEX=0"}</definedName>
    <definedName name="_132__FDSAUDITLINK__" hidden="1">{"fdsup://directions/FAT Viewer?action=UPDATE&amp;creator=factset&amp;DYN_ARGS=TRUE&amp;DOC_NAME=FAT:FQL_AUDITING_CLIENT_TEMPLATE.FAT&amp;display_string=Audit&amp;VAR:KEY=JCDUDYVCBO&amp;VAR:QUERY=RkZfRUJJVERBKEFOTiwyMDA5KQ==&amp;WINDOW=FIRST_POPUP&amp;HEIGHT=450&amp;WIDTH=450&amp;START_MAXIMIZED=","FALSE&amp;VAR:CALENDAR=US&amp;VAR:SYMBOL=CNI&amp;VAR:INDEX=0"}</definedName>
    <definedName name="_133__FDSAUDITLINK__" localSheetId="6" hidden="1">{"fdsup://directions/FAT Viewer?action=UPDATE&amp;creator=factset&amp;DYN_ARGS=TRUE&amp;DOC_NAME=FAT:FQL_AUDITING_CLIENT_TEMPLATE.FAT&amp;display_string=Audit&amp;VAR:KEY=ENALIHQZUJ&amp;VAR:QUERY=RkZfTkVUX0lOQyhBTk4sMjAxMCk=&amp;WINDOW=FIRST_POPUP&amp;HEIGHT=450&amp;WIDTH=450&amp;START_MAXIMIZED=","FALSE&amp;VAR:CALENDAR=US&amp;VAR:SYMBOL=GWR&amp;VAR:INDEX=0"}</definedName>
    <definedName name="_133__FDSAUDITLINK__" hidden="1">{"fdsup://directions/FAT Viewer?action=UPDATE&amp;creator=factset&amp;DYN_ARGS=TRUE&amp;DOC_NAME=FAT:FQL_AUDITING_CLIENT_TEMPLATE.FAT&amp;display_string=Audit&amp;VAR:KEY=TYJGTERWZO&amp;VAR:QUERY=RkZfTkVUX0lOQyhBTk4sMjAwOSk=&amp;WINDOW=FIRST_POPUP&amp;HEIGHT=450&amp;WIDTH=450&amp;START_MAXIMIZED=","FALSE&amp;VAR:CALENDAR=US&amp;VAR:SYMBOL=NSC&amp;VAR:INDEX=0"}</definedName>
    <definedName name="_134__FDSAUDITLINK__" localSheetId="6" hidden="1">{"fdsup://directions/FAT Viewer?action=UPDATE&amp;creator=factset&amp;DYN_ARGS=TRUE&amp;DOC_NAME=FAT:FQL_AUDITING_CLIENT_TEMPLATE.FAT&amp;display_string=Audit&amp;VAR:KEY=EFKFOZQBKX&amp;VAR:QUERY=RkZfTkVUX0lOQyhBTk4sMjAxMCk=&amp;WINDOW=FIRST_POPUP&amp;HEIGHT=450&amp;WIDTH=450&amp;START_MAXIMIZED=","FALSE&amp;VAR:CALENDAR=US&amp;VAR:SYMBOL=CSX&amp;VAR:INDEX=0"}</definedName>
    <definedName name="_134__FDSAUDITLINK__" hidden="1">{"fdsup://directions/FAT Viewer?action=UPDATE&amp;creator=factset&amp;DYN_ARGS=TRUE&amp;DOC_NAME=FAT:FQL_AUDITING_CLIENT_TEMPLATE.FAT&amp;display_string=Audit&amp;VAR:KEY=DWHWRCVQHK&amp;VAR:QUERY=RkZfTkVUX0lOQyhBTk4sMjAwOSk=&amp;WINDOW=FIRST_POPUP&amp;HEIGHT=450&amp;WIDTH=450&amp;START_MAXIMIZED=","FALSE&amp;VAR:CALENDAR=US&amp;VAR:SYMBOL=KSU&amp;VAR:INDEX=0"}</definedName>
    <definedName name="_135__FDSAUDITLINK__" localSheetId="6" hidden="1">{"fdsup://directions/FAT Viewer?action=UPDATE&amp;creator=factset&amp;DYN_ARGS=TRUE&amp;DOC_NAME=FAT:FQL_AUDITING_CLIENT_TEMPLATE.FAT&amp;display_string=Audit&amp;VAR:KEY=OZKRUNWHIL&amp;VAR:QUERY=RkZfTkVUX0lOQyhBTk4sMjAxMCk=&amp;WINDOW=FIRST_POPUP&amp;HEIGHT=450&amp;WIDTH=450&amp;START_MAXIMIZED=","FALSE&amp;VAR:CALENDAR=US&amp;VAR:SYMBOL=CP&amp;VAR:INDEX=0"}</definedName>
    <definedName name="_135__FDSAUDITLINK__" hidden="1">{"fdsup://directions/FAT Viewer?action=UPDATE&amp;creator=factset&amp;DYN_ARGS=TRUE&amp;DOC_NAME=FAT:FQL_AUDITING_CLIENT_TEMPLATE.FAT&amp;display_string=Audit&amp;VAR:KEY=VOBYRCLIDS&amp;VAR:QUERY=RkZfTkVUX0lOQyhBTk4sMjAwOSk=&amp;WINDOW=FIRST_POPUP&amp;HEIGHT=450&amp;WIDTH=450&amp;START_MAXIMIZED=","FALSE&amp;VAR:CALENDAR=US&amp;VAR:SYMBOL=GWR&amp;VAR:INDEX=0"}</definedName>
    <definedName name="_136__FDSAUDITLINK__" localSheetId="6" hidden="1">{"fdsup://directions/FAT Viewer?action=UPDATE&amp;creator=factset&amp;DYN_ARGS=TRUE&amp;DOC_NAME=FAT:FQL_AUDITING_CLIENT_TEMPLATE.FAT&amp;display_string=Audit&amp;VAR:KEY=QPUPARQXUX&amp;VAR:QUERY=RkZfTkVUX0lOQyhBTk4sMjAxMCk=&amp;WINDOW=FIRST_POPUP&amp;HEIGHT=450&amp;WIDTH=450&amp;START_MAXIMIZED=","FALSE&amp;VAR:CALENDAR=US&amp;VAR:SYMBOL=CNI&amp;VAR:INDEX=0"}</definedName>
    <definedName name="_136__FDSAUDITLINK__" hidden="1">{"fdsup://directions/FAT Viewer?action=UPDATE&amp;creator=factset&amp;DYN_ARGS=TRUE&amp;DOC_NAME=FAT:FQL_AUDITING_CLIENT_TEMPLATE.FAT&amp;display_string=Audit&amp;VAR:KEY=XCTUNKTUDO&amp;VAR:QUERY=RkZfTkVUX0lOQyhBTk4sMjAwOSk=&amp;WINDOW=FIRST_POPUP&amp;HEIGHT=450&amp;WIDTH=450&amp;START_MAXIMIZED=","FALSE&amp;VAR:CALENDAR=US&amp;VAR:SYMBOL=CSX&amp;VAR:INDEX=0"}</definedName>
    <definedName name="_137__FDSAUDITLINK__" localSheetId="6" hidden="1">{"fdsup://directions/FAT Viewer?action=UPDATE&amp;creator=factset&amp;DYN_ARGS=TRUE&amp;DOC_NAME=FAT:FQL_AUDITING_CLIENT_TEMPLATE.FAT&amp;display_string=Audit&amp;VAR:KEY=NQPIJATGHS&amp;VAR:QUERY=RkZfTkVUX0lOQyhBTk4sMjAxMCk=&amp;WINDOW=FIRST_POPUP&amp;HEIGHT=450&amp;WIDTH=450&amp;START_MAXIMIZED=","FALSE&amp;VAR:CALENDAR=US&amp;VAR:SYMBOL=UNP&amp;VAR:INDEX=0"}</definedName>
    <definedName name="_137__FDSAUDITLINK__" hidden="1">{"fdsup://directions/FAT Viewer?action=UPDATE&amp;creator=factset&amp;DYN_ARGS=TRUE&amp;DOC_NAME=FAT:FQL_AUDITING_CLIENT_TEMPLATE.FAT&amp;display_string=Audit&amp;VAR:KEY=ZIJWZYDWHC&amp;VAR:QUERY=RkZfTkVUX0lOQyhBTk4sMjAwOSk=&amp;WINDOW=FIRST_POPUP&amp;HEIGHT=450&amp;WIDTH=450&amp;START_MAXIMIZED=","FALSE&amp;VAR:CALENDAR=US&amp;VAR:SYMBOL=CP&amp;VAR:INDEX=0"}</definedName>
    <definedName name="_138__FDSAUDITLINK__" localSheetId="6" hidden="1">{"fdsup://directions/FAT Viewer?action=UPDATE&amp;creator=factset&amp;DYN_ARGS=TRUE&amp;DOC_NAME=FAT:FQL_AUDITING_CLIENT_TEMPLATE.FAT&amp;display_string=Audit&amp;VAR:KEY=TALGXWRMTO&amp;VAR:QUERY=RkZfTkVUX0lOQyhBTk4sMjAxMCk=&amp;WINDOW=FIRST_POPUP&amp;HEIGHT=450&amp;WIDTH=450&amp;START_MAXIMIZED=","FALSE&amp;VAR:CALENDAR=US&amp;VAR:SYMBOL=RA&amp;VAR:INDEX=0"}</definedName>
    <definedName name="_138__FDSAUDITLINK__" hidden="1">{"fdsup://directions/FAT Viewer?action=UPDATE&amp;creator=factset&amp;DYN_ARGS=TRUE&amp;DOC_NAME=FAT:FQL_AUDITING_CLIENT_TEMPLATE.FAT&amp;display_string=Audit&amp;VAR:KEY=ZIVKNCFMTU&amp;VAR:QUERY=RkZfTkVUX0lOQyhBTk4sMjAwOSk=&amp;WINDOW=FIRST_POPUP&amp;HEIGHT=450&amp;WIDTH=450&amp;START_MAXIMIZED=","FALSE&amp;VAR:CALENDAR=US&amp;VAR:SYMBOL=CNI&amp;VAR:INDEX=0"}</definedName>
    <definedName name="_139__FDSAUDITLINK__" localSheetId="6" hidden="1">{"fdsup://directions/FAT Viewer?action=UPDATE&amp;creator=factset&amp;DYN_ARGS=TRUE&amp;DOC_NAME=FAT:FQL_AUDITING_CLIENT_TEMPLATE.FAT&amp;display_string=Audit&amp;VAR:KEY=HMBQPKXIDA&amp;VAR:QUERY=RkZfTkVUX0lOQyhBTk4sMjAxMCk=&amp;WINDOW=FIRST_POPUP&amp;HEIGHT=450&amp;WIDTH=450&amp;START_MAXIMIZED=","FALSE&amp;VAR:CALENDAR=US&amp;VAR:SYMBOL=NSC&amp;VAR:INDEX=0"}</definedName>
    <definedName name="_139__FDSAUDITLINK__" hidden="1">{"fdsup://directions/FAT Viewer?action=UPDATE&amp;creator=factset&amp;DYN_ARGS=TRUE&amp;DOC_NAME=FAT:FQL_AUDITING_CLIENT_TEMPLATE.FAT&amp;display_string=Audit&amp;VAR:KEY=JSNEFUFKBO&amp;VAR:QUERY=RkZfRUJJVChBTk4sMjAwOSk=&amp;WINDOW=FIRST_POPUP&amp;HEIGHT=450&amp;WIDTH=450&amp;START_MAXIMIZED=FALS","E&amp;VAR:CALENDAR=US&amp;VAR:SYMBOL=NSC&amp;VAR:INDEX=0"}</definedName>
    <definedName name="_14__FDSAUDITLINK__" localSheetId="6" hidden="1">{"fdsup://Directions/FactSet Auditing Viewer?action=AUDIT_VALUE&amp;DB=129&amp;ID1=590294&amp;VALUEID=02001&amp;SDATE=2009&amp;PERIODTYPE=ANN_STD&amp;window=popup_no_bar&amp;width=385&amp;height=120&amp;START_MAXIMIZED=FALSE&amp;creator=factset&amp;display_string=Audit"}</definedName>
    <definedName name="_14__FDSAUDITLINK__" hidden="1">{"fdsup://directions/FAT Viewer?action=UPDATE&amp;creator=factset&amp;DYN_ARGS=TRUE&amp;DOC_NAME=FAT:FQL_AUDITING_CLIENT_TEMPLATE.FAT&amp;display_string=Audit&amp;VAR:KEY=LOVABURQPM&amp;VAR:QUERY=RkZfRUJJVChBTk4sMjAwOSk=&amp;WINDOW=FIRST_POPUP&amp;HEIGHT=450&amp;WIDTH=450&amp;START_MAXIMIZED=FALS","E&amp;VAR:CALENDAR=US&amp;VAR:SYMBOL=CSX&amp;VAR:INDEX=0"}</definedName>
    <definedName name="_140__FDSAUDITLINK__" localSheetId="6" hidden="1">{"fdsup://directions/FAT Viewer?action=UPDATE&amp;creator=factset&amp;DYN_ARGS=TRUE&amp;DOC_NAME=FAT:FQL_AUDITING_CLIENT_TEMPLATE.FAT&amp;display_string=Audit&amp;VAR:KEY=NWRKRUFQBQ&amp;VAR:QUERY=RkZfTkVUX0lOQyhBTk4sMjAxMCk=&amp;WINDOW=FIRST_POPUP&amp;HEIGHT=450&amp;WIDTH=450&amp;START_MAXIMIZED=","FALSE&amp;VAR:CALENDAR=US&amp;VAR:SYMBOL=KSU&amp;VAR:INDEX=0"}</definedName>
    <definedName name="_140__FDSAUDITLINK__" hidden="1">{"fdsup://directions/FAT Viewer?action=UPDATE&amp;creator=factset&amp;DYN_ARGS=TRUE&amp;DOC_NAME=FAT:FQL_AUDITING_CLIENT_TEMPLATE.FAT&amp;display_string=Audit&amp;VAR:KEY=FWBSRAVMTC&amp;VAR:QUERY=RkZfRUJJVChBTk4sMjAwOSk=&amp;WINDOW=FIRST_POPUP&amp;HEIGHT=450&amp;WIDTH=450&amp;START_MAXIMIZED=FALS","E&amp;VAR:CALENDAR=US&amp;VAR:SYMBOL=KSU&amp;VAR:INDEX=0"}</definedName>
    <definedName name="_141__FDSAUDITLINK__" localSheetId="6" hidden="1">{"fdsup://directions/FAT Viewer?action=UPDATE&amp;creator=factset&amp;DYN_ARGS=TRUE&amp;DOC_NAME=FAT:FQL_AUDITING_CLIENT_TEMPLATE.FAT&amp;display_string=Audit&amp;VAR:KEY=PSHITCFIVG&amp;VAR:QUERY=RkZfTkVUX0lOQyhBTk4sMjAxMCk=&amp;WINDOW=FIRST_POPUP&amp;HEIGHT=450&amp;WIDTH=450&amp;START_MAXIMIZED=","FALSE&amp;VAR:CALENDAR=US&amp;VAR:SYMBOL=GWR&amp;VAR:INDEX=0"}</definedName>
    <definedName name="_141__FDSAUDITLINK__" hidden="1">{"fdsup://directions/FAT Viewer?action=UPDATE&amp;creator=factset&amp;DYN_ARGS=TRUE&amp;DOC_NAME=FAT:FQL_AUDITING_CLIENT_TEMPLATE.FAT&amp;display_string=Audit&amp;VAR:KEY=JEFYFGBSLG&amp;VAR:QUERY=RkZfRUJJVChBTk4sMjAwOSk=&amp;WINDOW=FIRST_POPUP&amp;HEIGHT=450&amp;WIDTH=450&amp;START_MAXIMIZED=FALS","E&amp;VAR:CALENDAR=US&amp;VAR:SYMBOL=GWR&amp;VAR:INDEX=0"}</definedName>
    <definedName name="_142__FDSAUDITLINK__" localSheetId="6" hidden="1">{"fdsup://directions/FAT Viewer?action=UPDATE&amp;creator=factset&amp;DYN_ARGS=TRUE&amp;DOC_NAME=FAT:FQL_AUDITING_CLIENT_TEMPLATE.FAT&amp;display_string=Audit&amp;VAR:KEY=TEJSHGRUZU&amp;VAR:QUERY=RkZfTkVUX0lOQyhBTk4sMjAxMCk=&amp;WINDOW=FIRST_POPUP&amp;HEIGHT=450&amp;WIDTH=450&amp;START_MAXIMIZED=","FALSE&amp;VAR:CALENDAR=US&amp;VAR:SYMBOL=CSX&amp;VAR:INDEX=0"}</definedName>
    <definedName name="_142__FDSAUDITLINK__" hidden="1">{"fdsup://directions/FAT Viewer?action=UPDATE&amp;creator=factset&amp;DYN_ARGS=TRUE&amp;DOC_NAME=FAT:FQL_AUDITING_CLIENT_TEMPLATE.FAT&amp;display_string=Audit&amp;VAR:KEY=LOVABURQPM&amp;VAR:QUERY=RkZfRUJJVChBTk4sMjAwOSk=&amp;WINDOW=FIRST_POPUP&amp;HEIGHT=450&amp;WIDTH=450&amp;START_MAXIMIZED=FALS","E&amp;VAR:CALENDAR=US&amp;VAR:SYMBOL=CSX&amp;VAR:INDEX=0"}</definedName>
    <definedName name="_143__FDSAUDITLINK__" localSheetId="6" hidden="1">{"fdsup://directions/FAT Viewer?action=UPDATE&amp;creator=factset&amp;DYN_ARGS=TRUE&amp;DOC_NAME=FAT:FQL_AUDITING_CLIENT_TEMPLATE.FAT&amp;display_string=Audit&amp;VAR:KEY=PUVSNUNGVG&amp;VAR:QUERY=RkZfTkVUX0lOQyhBTk4sMjAxMCk=&amp;WINDOW=FIRST_POPUP&amp;HEIGHT=450&amp;WIDTH=450&amp;START_MAXIMIZED=","FALSE&amp;VAR:CALENDAR=US&amp;VAR:SYMBOL=CP&amp;VAR:INDEX=0"}</definedName>
    <definedName name="_143__FDSAUDITLINK__" hidden="1">{"fdsup://directions/FAT Viewer?action=UPDATE&amp;creator=factset&amp;DYN_ARGS=TRUE&amp;DOC_NAME=FAT:FQL_AUDITING_CLIENT_TEMPLATE.FAT&amp;display_string=Audit&amp;VAR:KEY=BUBMLSREXC&amp;VAR:QUERY=RkZfRUJJVChBTk4sMjAwOSk=&amp;WINDOW=FIRST_POPUP&amp;HEIGHT=450&amp;WIDTH=450&amp;START_MAXIMIZED=FALS","E&amp;VAR:CALENDAR=US&amp;VAR:SYMBOL=CP&amp;VAR:INDEX=0"}</definedName>
    <definedName name="_144__FDSAUDITLINK__" localSheetId="6" hidden="1">{"fdsup://directions/FAT Viewer?action=UPDATE&amp;creator=factset&amp;DYN_ARGS=TRUE&amp;DOC_NAME=FAT:FQL_AUDITING_CLIENT_TEMPLATE.FAT&amp;display_string=Audit&amp;VAR:KEY=PIRGRKDAXG&amp;VAR:QUERY=RkZfTkVUX0lOQyhBTk4sMjAxMCk=&amp;WINDOW=FIRST_POPUP&amp;HEIGHT=450&amp;WIDTH=450&amp;START_MAXIMIZED=","FALSE&amp;VAR:CALENDAR=US&amp;VAR:SYMBOL=CNI&amp;VAR:INDEX=0"}</definedName>
    <definedName name="_144__FDSAUDITLINK__" hidden="1">{"fdsup://directions/FAT Viewer?action=UPDATE&amp;creator=factset&amp;DYN_ARGS=TRUE&amp;DOC_NAME=FAT:FQL_AUDITING_CLIENT_TEMPLATE.FAT&amp;display_string=Audit&amp;VAR:KEY=VMNIVYHKNS&amp;VAR:QUERY=RkZfRUJJVChBTk4sMjAwOSk=&amp;WINDOW=FIRST_POPUP&amp;HEIGHT=450&amp;WIDTH=450&amp;START_MAXIMIZED=FALS","E&amp;VAR:CALENDAR=US&amp;VAR:SYMBOL=CNI&amp;VAR:INDEX=0"}</definedName>
    <definedName name="_145__FDSAUDITLINK__" localSheetId="6" hidden="1">{"fdsup://directions/FAT Viewer?action=UPDATE&amp;creator=factset&amp;DYN_ARGS=TRUE&amp;DOC_NAME=FAT:FQL_AUDITING_CLIENT_TEMPLATE.FAT&amp;display_string=Audit&amp;VAR:KEY=NQXCBEJGFG&amp;VAR:QUERY=RkZfRUJJVChBTk4sMjAxMCk=&amp;WINDOW=FIRST_POPUP&amp;HEIGHT=450&amp;WIDTH=450&amp;START_MAXIMIZED=FALS","E&amp;VAR:CALENDAR=US&amp;VAR:SYMBOL=UNP&amp;VAR:INDEX=0"}</definedName>
    <definedName name="_145__FDSAUDITLINK__" hidden="1">{"fdsup://directions/FAT Viewer?action=UPDATE&amp;creator=factset&amp;DYN_ARGS=TRUE&amp;DOC_NAME=FAT:FQL_AUDITING_CLIENT_TEMPLATE.FAT&amp;display_string=Audit&amp;VAR:KEY=BSJCZYVKZC&amp;VAR:QUERY=RkZfRUJJVERBKEFOTiwyMDA5KQ==&amp;WINDOW=FIRST_POPUP&amp;HEIGHT=450&amp;WIDTH=450&amp;START_MAXIMIZED=","FALSE&amp;VAR:CALENDAR=US&amp;VAR:SYMBOL=NSC&amp;VAR:INDEX=0"}</definedName>
    <definedName name="_146__FDSAUDITLINK__" localSheetId="6" hidden="1">{"fdsup://directions/FAT Viewer?action=UPDATE&amp;creator=factset&amp;DYN_ARGS=TRUE&amp;DOC_NAME=FAT:FQL_AUDITING_CLIENT_TEMPLATE.FAT&amp;display_string=Audit&amp;VAR:KEY=LCROTGTGRW&amp;VAR:QUERY=RkZfRUJJVChBTk4sMjAxMCk=&amp;WINDOW=FIRST_POPUP&amp;HEIGHT=450&amp;WIDTH=450&amp;START_MAXIMIZED=FALS","E&amp;VAR:CALENDAR=US&amp;VAR:SYMBOL=RA&amp;VAR:INDEX=0"}</definedName>
    <definedName name="_146__FDSAUDITLINK__" hidden="1">{"fdsup://directions/FAT Viewer?action=UPDATE&amp;creator=factset&amp;DYN_ARGS=TRUE&amp;DOC_NAME=FAT:FQL_AUDITING_CLIENT_TEMPLATE.FAT&amp;display_string=Audit&amp;VAR:KEY=XKXCRUTYVA&amp;VAR:QUERY=RkZfRUJJVERBKEFOTiwyMDA5KQ==&amp;WINDOW=FIRST_POPUP&amp;HEIGHT=450&amp;WIDTH=450&amp;START_MAXIMIZED=","FALSE&amp;VAR:CALENDAR=US&amp;VAR:SYMBOL=KSU&amp;VAR:INDEX=0"}</definedName>
    <definedName name="_147__FDSAUDITLINK__" localSheetId="6" hidden="1">{"fdsup://directions/FAT Viewer?action=UPDATE&amp;creator=factset&amp;DYN_ARGS=TRUE&amp;DOC_NAME=FAT:FQL_AUDITING_CLIENT_TEMPLATE.FAT&amp;display_string=Audit&amp;VAR:KEY=TSLEZADAFC&amp;VAR:QUERY=RkZfRUJJVChBTk4sMjAxMCk=&amp;WINDOW=FIRST_POPUP&amp;HEIGHT=450&amp;WIDTH=450&amp;START_MAXIMIZED=FALS","E&amp;VAR:CALENDAR=US&amp;VAR:SYMBOL=NSC&amp;VAR:INDEX=0"}</definedName>
    <definedName name="_147__FDSAUDITLINK__" hidden="1">{"fdsup://directions/FAT Viewer?action=UPDATE&amp;creator=factset&amp;DYN_ARGS=TRUE&amp;DOC_NAME=FAT:FQL_AUDITING_CLIENT_TEMPLATE.FAT&amp;display_string=Audit&amp;VAR:KEY=ZWBUHQBQBE&amp;VAR:QUERY=RkZfRUJJVERBKEFOTiwyMDA5KQ==&amp;WINDOW=FIRST_POPUP&amp;HEIGHT=450&amp;WIDTH=450&amp;START_MAXIMIZED=","FALSE&amp;VAR:CALENDAR=US&amp;VAR:SYMBOL=GWR&amp;VAR:INDEX=0"}</definedName>
    <definedName name="_148__FDSAUDITLINK__" localSheetId="6" hidden="1">{"fdsup://directions/FAT Viewer?action=UPDATE&amp;creator=factset&amp;DYN_ARGS=TRUE&amp;DOC_NAME=FAT:FQL_AUDITING_CLIENT_TEMPLATE.FAT&amp;display_string=Audit&amp;VAR:KEY=DKZARCNIFO&amp;VAR:QUERY=RkZfRUJJVChBTk4sMjAxMCk=&amp;WINDOW=FIRST_POPUP&amp;HEIGHT=450&amp;WIDTH=450&amp;START_MAXIMIZED=FALS","E&amp;VAR:CALENDAR=US&amp;VAR:SYMBOL=KSU&amp;VAR:INDEX=0"}</definedName>
    <definedName name="_148__FDSAUDITLINK__" hidden="1">{"fdsup://directions/FAT Viewer?action=UPDATE&amp;creator=factset&amp;DYN_ARGS=TRUE&amp;DOC_NAME=FAT:FQL_AUDITING_CLIENT_TEMPLATE.FAT&amp;display_string=Audit&amp;VAR:KEY=BIVUXIBITK&amp;VAR:QUERY=RkZfRUJJVERBKEFOTiwyMDA5KQ==&amp;WINDOW=FIRST_POPUP&amp;HEIGHT=450&amp;WIDTH=450&amp;START_MAXIMIZED=","FALSE&amp;VAR:CALENDAR=US&amp;VAR:SYMBOL=CSX&amp;VAR:INDEX=0"}</definedName>
    <definedName name="_149__FDSAUDITLINK__" localSheetId="6" hidden="1">{"fdsup://directions/FAT Viewer?action=UPDATE&amp;creator=factset&amp;DYN_ARGS=TRUE&amp;DOC_NAME=FAT:FQL_AUDITING_CLIENT_TEMPLATE.FAT&amp;display_string=Audit&amp;VAR:KEY=JGFQXYRAHG&amp;VAR:QUERY=RkZfRUJJVChBTk4sMjAxMCk=&amp;WINDOW=FIRST_POPUP&amp;HEIGHT=450&amp;WIDTH=450&amp;START_MAXIMIZED=FALS","E&amp;VAR:CALENDAR=US&amp;VAR:SYMBOL=GWR&amp;VAR:INDEX=0"}</definedName>
    <definedName name="_149__FDSAUDITLINK__" hidden="1">{"fdsup://directions/FAT Viewer?action=UPDATE&amp;creator=factset&amp;DYN_ARGS=TRUE&amp;DOC_NAME=FAT:FQL_AUDITING_CLIENT_TEMPLATE.FAT&amp;display_string=Audit&amp;VAR:KEY=DWHGPKXKXY&amp;VAR:QUERY=RkZfRUJJVERBKEFOTiwyMDA5KQ==&amp;WINDOW=FIRST_POPUP&amp;HEIGHT=450&amp;WIDTH=450&amp;START_MAXIMIZED=","FALSE&amp;VAR:CALENDAR=US&amp;VAR:SYMBOL=CP&amp;VAR:INDEX=0"}</definedName>
    <definedName name="_15__FDSAUDITLINK__" localSheetId="6" hidden="1">{"fdsup://Directions/FactSet Auditing Viewer?action=AUDIT_VALUE&amp;DB=129&amp;ID1=590294&amp;VALUEID=02001&amp;SDATE=200903&amp;PERIODTYPE=QTR_STD&amp;window=popup_no_bar&amp;width=385&amp;height=120&amp;START_MAXIMIZED=FALSE&amp;creator=factset&amp;display_string=Audit"}</definedName>
    <definedName name="_15__FDSAUDITLINK__" hidden="1">{"fdsup://directions/FAT Viewer?action=UPDATE&amp;creator=factset&amp;DYN_ARGS=TRUE&amp;DOC_NAME=FAT:FQL_AUDITING_CLIENT_TEMPLATE.FAT&amp;display_string=Audit&amp;VAR:KEY=BUBMLSREXC&amp;VAR:QUERY=RkZfRUJJVChBTk4sMjAwOSk=&amp;WINDOW=FIRST_POPUP&amp;HEIGHT=450&amp;WIDTH=450&amp;START_MAXIMIZED=FALS","E&amp;VAR:CALENDAR=US&amp;VAR:SYMBOL=CP&amp;VAR:INDEX=0"}</definedName>
    <definedName name="_150__FDSAUDITLINK__" localSheetId="6" hidden="1">{"fdsup://directions/FAT Viewer?action=UPDATE&amp;creator=factset&amp;DYN_ARGS=TRUE&amp;DOC_NAME=FAT:FQL_AUDITING_CLIENT_TEMPLATE.FAT&amp;display_string=Audit&amp;VAR:KEY=TEBGJOLEZO&amp;VAR:QUERY=RkZfRUJJVChBTk4sMjAxMCk=&amp;WINDOW=FIRST_POPUP&amp;HEIGHT=450&amp;WIDTH=450&amp;START_MAXIMIZED=FALS","E&amp;VAR:CALENDAR=US&amp;VAR:SYMBOL=CSX&amp;VAR:INDEX=0"}</definedName>
    <definedName name="_150__FDSAUDITLINK__" hidden="1">{"fdsup://directions/FAT Viewer?action=UPDATE&amp;creator=factset&amp;DYN_ARGS=TRUE&amp;DOC_NAME=FAT:FQL_AUDITING_CLIENT_TEMPLATE.FAT&amp;display_string=Audit&amp;VAR:KEY=JCDUDYVCBO&amp;VAR:QUERY=RkZfRUJJVERBKEFOTiwyMDA5KQ==&amp;WINDOW=FIRST_POPUP&amp;HEIGHT=450&amp;WIDTH=450&amp;START_MAXIMIZED=","FALSE&amp;VAR:CALENDAR=US&amp;VAR:SYMBOL=CNI&amp;VAR:INDEX=0"}</definedName>
    <definedName name="_151__FDSAUDITLINK__" localSheetId="6" hidden="1">{"fdsup://directions/FAT Viewer?action=UPDATE&amp;creator=factset&amp;DYN_ARGS=TRUE&amp;DOC_NAME=FAT:FQL_AUDITING_CLIENT_TEMPLATE.FAT&amp;display_string=Audit&amp;VAR:KEY=HMVUPGRQDM&amp;VAR:QUERY=RkZfRUJJVChBTk4sMjAxMCk=&amp;WINDOW=FIRST_POPUP&amp;HEIGHT=450&amp;WIDTH=450&amp;START_MAXIMIZED=FALS","E&amp;VAR:CALENDAR=US&amp;VAR:SYMBOL=CP&amp;VAR:INDEX=0"}</definedName>
    <definedName name="_151__FDSAUDITLINK__" hidden="1">{"fdsup://directions/FAT Viewer?action=UPDATE&amp;creator=factset&amp;DYN_ARGS=TRUE&amp;DOC_NAME=FAT:FQL_AUDITING_CLIENT_TEMPLATE.FAT&amp;display_string=Audit&amp;VAR:KEY=TYJGTERWZO&amp;VAR:QUERY=RkZfTkVUX0lOQyhBTk4sMjAwOSk=&amp;WINDOW=FIRST_POPUP&amp;HEIGHT=450&amp;WIDTH=450&amp;START_MAXIMIZED=","FALSE&amp;VAR:CALENDAR=US&amp;VAR:SYMBOL=NSC&amp;VAR:INDEX=0"}</definedName>
    <definedName name="_152__FDSAUDITLINK__" localSheetId="6" hidden="1">{"fdsup://directions/FAT Viewer?action=UPDATE&amp;creator=factset&amp;DYN_ARGS=TRUE&amp;DOC_NAME=FAT:FQL_AUDITING_CLIENT_TEMPLATE.FAT&amp;display_string=Audit&amp;VAR:KEY=XCLQPOHIPY&amp;VAR:QUERY=RkZfRUJJVChBTk4sMjAxMCk=&amp;WINDOW=FIRST_POPUP&amp;HEIGHT=450&amp;WIDTH=450&amp;START_MAXIMIZED=FALS","E&amp;VAR:CALENDAR=US&amp;VAR:SYMBOL=CNI&amp;VAR:INDEX=0"}</definedName>
    <definedName name="_152__FDSAUDITLINK__" hidden="1">{"fdsup://directions/FAT Viewer?action=UPDATE&amp;creator=factset&amp;DYN_ARGS=TRUE&amp;DOC_NAME=FAT:FQL_AUDITING_CLIENT_TEMPLATE.FAT&amp;display_string=Audit&amp;VAR:KEY=DWHWRCVQHK&amp;VAR:QUERY=RkZfTkVUX0lOQyhBTk4sMjAwOSk=&amp;WINDOW=FIRST_POPUP&amp;HEIGHT=450&amp;WIDTH=450&amp;START_MAXIMIZED=","FALSE&amp;VAR:CALENDAR=US&amp;VAR:SYMBOL=KSU&amp;VAR:INDEX=0"}</definedName>
    <definedName name="_153__FDSAUDITLINK__" localSheetId="6" hidden="1">{"fdsup://directions/FAT Viewer?action=UPDATE&amp;creator=factset&amp;DYN_ARGS=TRUE&amp;DOC_NAME=FAT:FQL_AUDITING_CLIENT_TEMPLATE.FAT&amp;display_string=Audit&amp;VAR:KEY=NYPUZSLQVA&amp;VAR:QUERY=RkZfRUJJVERBKEFOTiwyMDEwKQ==&amp;WINDOW=FIRST_POPUP&amp;HEIGHT=450&amp;WIDTH=450&amp;START_MAXIMIZED=","FALSE&amp;VAR:CALENDAR=US&amp;VAR:SYMBOL=UNP&amp;VAR:INDEX=0"}</definedName>
    <definedName name="_153__FDSAUDITLINK__" hidden="1">{"fdsup://directions/FAT Viewer?action=UPDATE&amp;creator=factset&amp;DYN_ARGS=TRUE&amp;DOC_NAME=FAT:FQL_AUDITING_CLIENT_TEMPLATE.FAT&amp;display_string=Audit&amp;VAR:KEY=VOBYRCLIDS&amp;VAR:QUERY=RkZfTkVUX0lOQyhBTk4sMjAwOSk=&amp;WINDOW=FIRST_POPUP&amp;HEIGHT=450&amp;WIDTH=450&amp;START_MAXIMIZED=","FALSE&amp;VAR:CALENDAR=US&amp;VAR:SYMBOL=GWR&amp;VAR:INDEX=0"}</definedName>
    <definedName name="_154__FDSAUDITLINK__" localSheetId="6" hidden="1">{"fdsup://directions/FAT Viewer?action=UPDATE&amp;creator=factset&amp;DYN_ARGS=TRUE&amp;DOC_NAME=FAT:FQL_AUDITING_CLIENT_TEMPLATE.FAT&amp;display_string=Audit&amp;VAR:KEY=HWRYLYPIFY&amp;VAR:QUERY=RkZfRUJJVERBKEFOTiwyMDEwKQ==&amp;WINDOW=FIRST_POPUP&amp;HEIGHT=450&amp;WIDTH=450&amp;START_MAXIMIZED=","FALSE&amp;VAR:CALENDAR=US&amp;VAR:SYMBOL=RA&amp;VAR:INDEX=0"}</definedName>
    <definedName name="_154__FDSAUDITLINK__" hidden="1">{"fdsup://directions/FAT Viewer?action=UPDATE&amp;creator=factset&amp;DYN_ARGS=TRUE&amp;DOC_NAME=FAT:FQL_AUDITING_CLIENT_TEMPLATE.FAT&amp;display_string=Audit&amp;VAR:KEY=XCTUNKTUDO&amp;VAR:QUERY=RkZfTkVUX0lOQyhBTk4sMjAwOSk=&amp;WINDOW=FIRST_POPUP&amp;HEIGHT=450&amp;WIDTH=450&amp;START_MAXIMIZED=","FALSE&amp;VAR:CALENDAR=US&amp;VAR:SYMBOL=CSX&amp;VAR:INDEX=0"}</definedName>
    <definedName name="_155__FDSAUDITLINK__" localSheetId="6" hidden="1">{"fdsup://directions/FAT Viewer?action=UPDATE&amp;creator=factset&amp;DYN_ARGS=TRUE&amp;DOC_NAME=FAT:FQL_AUDITING_CLIENT_TEMPLATE.FAT&amp;display_string=Audit&amp;VAR:KEY=RWNWNAXCJK&amp;VAR:QUERY=RkZfRUJJVERBKEFOTiwyMDEwKQ==&amp;WINDOW=FIRST_POPUP&amp;HEIGHT=450&amp;WIDTH=450&amp;START_MAXIMIZED=","FALSE&amp;VAR:CALENDAR=US&amp;VAR:SYMBOL=NSC&amp;VAR:INDEX=0"}</definedName>
    <definedName name="_155__FDSAUDITLINK__" hidden="1">{"fdsup://directions/FAT Viewer?action=UPDATE&amp;creator=factset&amp;DYN_ARGS=TRUE&amp;DOC_NAME=FAT:FQL_AUDITING_CLIENT_TEMPLATE.FAT&amp;display_string=Audit&amp;VAR:KEY=ZIJWZYDWHC&amp;VAR:QUERY=RkZfTkVUX0lOQyhBTk4sMjAwOSk=&amp;WINDOW=FIRST_POPUP&amp;HEIGHT=450&amp;WIDTH=450&amp;START_MAXIMIZED=","FALSE&amp;VAR:CALENDAR=US&amp;VAR:SYMBOL=CP&amp;VAR:INDEX=0"}</definedName>
    <definedName name="_156__FDSAUDITLINK__" localSheetId="6" hidden="1">{"fdsup://directions/FAT Viewer?action=UPDATE&amp;creator=factset&amp;DYN_ARGS=TRUE&amp;DOC_NAME=FAT:FQL_AUDITING_CLIENT_TEMPLATE.FAT&amp;display_string=Audit&amp;VAR:KEY=ZSPGZCHCLI&amp;VAR:QUERY=RkZfRUJJVERBKEFOTiwyMDEwKQ==&amp;WINDOW=FIRST_POPUP&amp;HEIGHT=450&amp;WIDTH=450&amp;START_MAXIMIZED=","FALSE&amp;VAR:CALENDAR=US&amp;VAR:SYMBOL=KSU&amp;VAR:INDEX=0"}</definedName>
    <definedName name="_156__FDSAUDITLINK__" hidden="1">{"fdsup://directions/FAT Viewer?action=UPDATE&amp;creator=factset&amp;DYN_ARGS=TRUE&amp;DOC_NAME=FAT:FQL_AUDITING_CLIENT_TEMPLATE.FAT&amp;display_string=Audit&amp;VAR:KEY=ZIVKNCFMTU&amp;VAR:QUERY=RkZfTkVUX0lOQyhBTk4sMjAwOSk=&amp;WINDOW=FIRST_POPUP&amp;HEIGHT=450&amp;WIDTH=450&amp;START_MAXIMIZED=","FALSE&amp;VAR:CALENDAR=US&amp;VAR:SYMBOL=CNI&amp;VAR:INDEX=0"}</definedName>
    <definedName name="_157__FDSAUDITLINK__" localSheetId="6" hidden="1">{"fdsup://directions/FAT Viewer?action=UPDATE&amp;creator=factset&amp;DYN_ARGS=TRUE&amp;DOC_NAME=FAT:FQL_AUDITING_CLIENT_TEMPLATE.FAT&amp;display_string=Audit&amp;VAR:KEY=ZOHQTSZKPK&amp;VAR:QUERY=RkZfRUJJVERBKEFOTiwyMDEwKQ==&amp;WINDOW=FIRST_POPUP&amp;HEIGHT=450&amp;WIDTH=450&amp;START_MAXIMIZED=","FALSE&amp;VAR:CALENDAR=US&amp;VAR:SYMBOL=GWR&amp;VAR:INDEX=0"}</definedName>
    <definedName name="_157__FDSAUDITLINK__" hidden="1">{"fdsup://directions/FAT Viewer?action=UPDATE&amp;creator=factset&amp;DYN_ARGS=TRUE&amp;DOC_NAME=FAT:FQL_AUDITING_CLIENT_TEMPLATE.FAT&amp;display_string=Audit&amp;VAR:KEY=TYJGTERWZO&amp;VAR:QUERY=RkZfTkVUX0lOQyhBTk4sMjAwOSk=&amp;WINDOW=FIRST_POPUP&amp;HEIGHT=450&amp;WIDTH=450&amp;START_MAXIMIZED=","FALSE&amp;VAR:CALENDAR=US&amp;VAR:SYMBOL=NSC&amp;VAR:INDEX=0"}</definedName>
    <definedName name="_158__FDSAUDITLINK__" localSheetId="6" hidden="1">{"fdsup://directions/FAT Viewer?action=UPDATE&amp;creator=factset&amp;DYN_ARGS=TRUE&amp;DOC_NAME=FAT:FQL_AUDITING_CLIENT_TEMPLATE.FAT&amp;display_string=Audit&amp;VAR:KEY=PQLMHUNSDY&amp;VAR:QUERY=RkZfRUJJVERBKEFOTiwyMDEwKQ==&amp;WINDOW=FIRST_POPUP&amp;HEIGHT=450&amp;WIDTH=450&amp;START_MAXIMIZED=","FALSE&amp;VAR:CALENDAR=US&amp;VAR:SYMBOL=CSX&amp;VAR:INDEX=0"}</definedName>
    <definedName name="_158__FDSAUDITLINK__" hidden="1">{"fdsup://directions/FAT Viewer?action=UPDATE&amp;creator=factset&amp;DYN_ARGS=TRUE&amp;DOC_NAME=FAT:FQL_AUDITING_CLIENT_TEMPLATE.FAT&amp;display_string=Audit&amp;VAR:KEY=DWHWRCVQHK&amp;VAR:QUERY=RkZfTkVUX0lOQyhBTk4sMjAwOSk=&amp;WINDOW=FIRST_POPUP&amp;HEIGHT=450&amp;WIDTH=450&amp;START_MAXIMIZED=","FALSE&amp;VAR:CALENDAR=US&amp;VAR:SYMBOL=KSU&amp;VAR:INDEX=0"}</definedName>
    <definedName name="_159__FDSAUDITLINK__" localSheetId="6" hidden="1">{"fdsup://directions/FAT Viewer?action=UPDATE&amp;creator=factset&amp;DYN_ARGS=TRUE&amp;DOC_NAME=FAT:FQL_AUDITING_CLIENT_TEMPLATE.FAT&amp;display_string=Audit&amp;VAR:KEY=TOBWXQLKPG&amp;VAR:QUERY=RkZfRUJJVERBKEFOTiwyMDEwKQ==&amp;WINDOW=FIRST_POPUP&amp;HEIGHT=450&amp;WIDTH=450&amp;START_MAXIMIZED=","FALSE&amp;VAR:CALENDAR=US&amp;VAR:SYMBOL=CP&amp;VAR:INDEX=0"}</definedName>
    <definedName name="_159__FDSAUDITLINK__" hidden="1">{"fdsup://directions/FAT Viewer?action=UPDATE&amp;creator=factset&amp;DYN_ARGS=TRUE&amp;DOC_NAME=FAT:FQL_AUDITING_CLIENT_TEMPLATE.FAT&amp;display_string=Audit&amp;VAR:KEY=VOBYRCLIDS&amp;VAR:QUERY=RkZfTkVUX0lOQyhBTk4sMjAwOSk=&amp;WINDOW=FIRST_POPUP&amp;HEIGHT=450&amp;WIDTH=450&amp;START_MAXIMIZED=","FALSE&amp;VAR:CALENDAR=US&amp;VAR:SYMBOL=GWR&amp;VAR:INDEX=0"}</definedName>
    <definedName name="_16__FDSAUDITLINK__" localSheetId="6" hidden="1">{"fdsup://Directions/FactSet Auditing Viewer?action=AUDIT_VALUE&amp;DB=129&amp;ID1=590294&amp;VALUEID=02001&amp;SDATE=200903&amp;PERIODTYPE=QTR_STD&amp;window=popup_no_bar&amp;width=385&amp;height=120&amp;START_MAXIMIZED=FALSE&amp;creator=factset&amp;display_string=Audit"}</definedName>
    <definedName name="_16__FDSAUDITLINK__" hidden="1">{"fdsup://directions/FAT Viewer?action=UPDATE&amp;creator=factset&amp;DYN_ARGS=TRUE&amp;DOC_NAME=FAT:FQL_AUDITING_CLIENT_TEMPLATE.FAT&amp;display_string=Audit&amp;VAR:KEY=VMNIVYHKNS&amp;VAR:QUERY=RkZfRUJJVChBTk4sMjAwOSk=&amp;WINDOW=FIRST_POPUP&amp;HEIGHT=450&amp;WIDTH=450&amp;START_MAXIMIZED=FALS","E&amp;VAR:CALENDAR=US&amp;VAR:SYMBOL=CNI&amp;VAR:INDEX=0"}</definedName>
    <definedName name="_160__FDSAUDITLINK__" localSheetId="6" hidden="1">{"fdsup://directions/FAT Viewer?action=UPDATE&amp;creator=factset&amp;DYN_ARGS=TRUE&amp;DOC_NAME=FAT:FQL_AUDITING_CLIENT_TEMPLATE.FAT&amp;display_string=Audit&amp;VAR:KEY=FILMJGJSXK&amp;VAR:QUERY=RkZfRUJJVERBKEFOTiwyMDEwKQ==&amp;WINDOW=FIRST_POPUP&amp;HEIGHT=450&amp;WIDTH=450&amp;START_MAXIMIZED=","FALSE&amp;VAR:CALENDAR=US&amp;VAR:SYMBOL=CNI&amp;VAR:INDEX=0"}</definedName>
    <definedName name="_160__FDSAUDITLINK__" hidden="1">{"fdsup://directions/FAT Viewer?action=UPDATE&amp;creator=factset&amp;DYN_ARGS=TRUE&amp;DOC_NAME=FAT:FQL_AUDITING_CLIENT_TEMPLATE.FAT&amp;display_string=Audit&amp;VAR:KEY=XCTUNKTUDO&amp;VAR:QUERY=RkZfTkVUX0lOQyhBTk4sMjAwOSk=&amp;WINDOW=FIRST_POPUP&amp;HEIGHT=450&amp;WIDTH=450&amp;START_MAXIMIZED=","FALSE&amp;VAR:CALENDAR=US&amp;VAR:SYMBOL=CSX&amp;VAR:INDEX=0"}</definedName>
    <definedName name="_161__FDSAUDITLINK__" localSheetId="6" hidden="1">{"fdsup://directions/FAT Viewer?action=UPDATE&amp;creator=factset&amp;DYN_ARGS=TRUE&amp;DOC_NAME=FAT:FQL_AUDITING_CLIENT_TEMPLATE.FAT&amp;display_string=Audit&amp;VAR:KEY=NQPIJATGHS&amp;VAR:QUERY=RkZfTkVUX0lOQyhBTk4sMjAxMCk=&amp;WINDOW=FIRST_POPUP&amp;HEIGHT=450&amp;WIDTH=450&amp;START_MAXIMIZED=","FALSE&amp;VAR:CALENDAR=US&amp;VAR:SYMBOL=UNP&amp;VAR:INDEX=0"}</definedName>
    <definedName name="_161__FDSAUDITLINK__" hidden="1">{"fdsup://directions/FAT Viewer?action=UPDATE&amp;creator=factset&amp;DYN_ARGS=TRUE&amp;DOC_NAME=FAT:FQL_AUDITING_CLIENT_TEMPLATE.FAT&amp;display_string=Audit&amp;VAR:KEY=ZIJWZYDWHC&amp;VAR:QUERY=RkZfTkVUX0lOQyhBTk4sMjAwOSk=&amp;WINDOW=FIRST_POPUP&amp;HEIGHT=450&amp;WIDTH=450&amp;START_MAXIMIZED=","FALSE&amp;VAR:CALENDAR=US&amp;VAR:SYMBOL=CP&amp;VAR:INDEX=0"}</definedName>
    <definedName name="_162__FDSAUDITLINK__" localSheetId="6" hidden="1">{"fdsup://directions/FAT Viewer?action=UPDATE&amp;creator=factset&amp;DYN_ARGS=TRUE&amp;DOC_NAME=FAT:FQL_AUDITING_CLIENT_TEMPLATE.FAT&amp;display_string=Audit&amp;VAR:KEY=TALGXWRMTO&amp;VAR:QUERY=RkZfTkVUX0lOQyhBTk4sMjAxMCk=&amp;WINDOW=FIRST_POPUP&amp;HEIGHT=450&amp;WIDTH=450&amp;START_MAXIMIZED=","FALSE&amp;VAR:CALENDAR=US&amp;VAR:SYMBOL=RA&amp;VAR:INDEX=0"}</definedName>
    <definedName name="_162__FDSAUDITLINK__" hidden="1">{"fdsup://directions/FAT Viewer?action=UPDATE&amp;creator=factset&amp;DYN_ARGS=TRUE&amp;DOC_NAME=FAT:FQL_AUDITING_CLIENT_TEMPLATE.FAT&amp;display_string=Audit&amp;VAR:KEY=ZIVKNCFMTU&amp;VAR:QUERY=RkZfTkVUX0lOQyhBTk4sMjAwOSk=&amp;WINDOW=FIRST_POPUP&amp;HEIGHT=450&amp;WIDTH=450&amp;START_MAXIMIZED=","FALSE&amp;VAR:CALENDAR=US&amp;VAR:SYMBOL=CNI&amp;VAR:INDEX=0"}</definedName>
    <definedName name="_163__FDSAUDITLINK__" localSheetId="6" hidden="1">{"fdsup://directions/FAT Viewer?action=UPDATE&amp;creator=factset&amp;DYN_ARGS=TRUE&amp;DOC_NAME=FAT:FQL_AUDITING_CLIENT_TEMPLATE.FAT&amp;display_string=Audit&amp;VAR:KEY=HMBQPKXIDA&amp;VAR:QUERY=RkZfTkVUX0lOQyhBTk4sMjAxMCk=&amp;WINDOW=FIRST_POPUP&amp;HEIGHT=450&amp;WIDTH=450&amp;START_MAXIMIZED=","FALSE&amp;VAR:CALENDAR=US&amp;VAR:SYMBOL=NSC&amp;VAR:INDEX=0"}</definedName>
    <definedName name="_163__FDSAUDITLINK__" hidden="1">{"fdsup://directions/FAT Viewer?action=UPDATE&amp;creator=factset&amp;DYN_ARGS=TRUE&amp;DOC_NAME=FAT:FQL_AUDITING_CLIENT_TEMPLATE.FAT&amp;display_string=Audit&amp;VAR:KEY=VEZGZAVIHI&amp;VAR:QUERY=RkZfTkVUX0lOQyhBTk4sMjAxMCk=&amp;WINDOW=FIRST_POPUP&amp;HEIGHT=450&amp;WIDTH=450&amp;START_MAXIMIZED=","FALSE&amp;VAR:CALENDAR=US&amp;VAR:SYMBOL=UNP&amp;VAR:INDEX=0"}</definedName>
    <definedName name="_164__FDSAUDITLINK__" localSheetId="6" hidden="1">{"fdsup://directions/FAT Viewer?action=UPDATE&amp;creator=factset&amp;DYN_ARGS=TRUE&amp;DOC_NAME=FAT:FQL_AUDITING_CLIENT_TEMPLATE.FAT&amp;display_string=Audit&amp;VAR:KEY=NWRKRUFQBQ&amp;VAR:QUERY=RkZfTkVUX0lOQyhBTk4sMjAxMCk=&amp;WINDOW=FIRST_POPUP&amp;HEIGHT=450&amp;WIDTH=450&amp;START_MAXIMIZED=","FALSE&amp;VAR:CALENDAR=US&amp;VAR:SYMBOL=KSU&amp;VAR:INDEX=0"}</definedName>
    <definedName name="_164__FDSAUDITLINK__" hidden="1">{"fdsup://directions/FAT Viewer?action=UPDATE&amp;creator=factset&amp;DYN_ARGS=TRUE&amp;DOC_NAME=FAT:FQL_AUDITING_CLIENT_TEMPLATE.FAT&amp;display_string=Audit&amp;VAR:KEY=HKNIZORYTW&amp;VAR:QUERY=RkZfTkVUX0lOQyhBTk4sMjAxMCk=&amp;WINDOW=FIRST_POPUP&amp;HEIGHT=450&amp;WIDTH=450&amp;START_MAXIMIZED=","FALSE&amp;VAR:CALENDAR=US&amp;VAR:SYMBOL=RA&amp;VAR:INDEX=0"}</definedName>
    <definedName name="_165__FDSAUDITLINK__" localSheetId="6" hidden="1">{"fdsup://directions/FAT Viewer?action=UPDATE&amp;creator=factset&amp;DYN_ARGS=TRUE&amp;DOC_NAME=FAT:FQL_AUDITING_CLIENT_TEMPLATE.FAT&amp;display_string=Audit&amp;VAR:KEY=PSHITCFIVG&amp;VAR:QUERY=RkZfTkVUX0lOQyhBTk4sMjAxMCk=&amp;WINDOW=FIRST_POPUP&amp;HEIGHT=450&amp;WIDTH=450&amp;START_MAXIMIZED=","FALSE&amp;VAR:CALENDAR=US&amp;VAR:SYMBOL=GWR&amp;VAR:INDEX=0"}</definedName>
    <definedName name="_165__FDSAUDITLINK__" hidden="1">{"fdsup://directions/FAT Viewer?action=UPDATE&amp;creator=factset&amp;DYN_ARGS=TRUE&amp;DOC_NAME=FAT:FQL_AUDITING_CLIENT_TEMPLATE.FAT&amp;display_string=Audit&amp;VAR:KEY=DUBSNOHOHG&amp;VAR:QUERY=RkZfTkVUX0lOQyhBTk4sMjAxMCk=&amp;WINDOW=FIRST_POPUP&amp;HEIGHT=450&amp;WIDTH=450&amp;START_MAXIMIZED=","FALSE&amp;VAR:CALENDAR=US&amp;VAR:SYMBOL=NSC&amp;VAR:INDEX=0"}</definedName>
    <definedName name="_166__FDSAUDITLINK__" localSheetId="6" hidden="1">{"fdsup://directions/FAT Viewer?action=UPDATE&amp;creator=factset&amp;DYN_ARGS=TRUE&amp;DOC_NAME=FAT:FQL_AUDITING_CLIENT_TEMPLATE.FAT&amp;display_string=Audit&amp;VAR:KEY=TEJSHGRUZU&amp;VAR:QUERY=RkZfTkVUX0lOQyhBTk4sMjAxMCk=&amp;WINDOW=FIRST_POPUP&amp;HEIGHT=450&amp;WIDTH=450&amp;START_MAXIMIZED=","FALSE&amp;VAR:CALENDAR=US&amp;VAR:SYMBOL=CSX&amp;VAR:INDEX=0"}</definedName>
    <definedName name="_166__FDSAUDITLINK__" hidden="1">{"fdsup://directions/FAT Viewer?action=UPDATE&amp;creator=factset&amp;DYN_ARGS=TRUE&amp;DOC_NAME=FAT:FQL_AUDITING_CLIENT_TEMPLATE.FAT&amp;display_string=Audit&amp;VAR:KEY=LCZSLYTIZM&amp;VAR:QUERY=RkZfRUJJVChBTk4sMjAxMCk=&amp;WINDOW=FIRST_POPUP&amp;HEIGHT=450&amp;WIDTH=450&amp;START_MAXIMIZED=FALS","E&amp;VAR:CALENDAR=US&amp;VAR:SYMBOL=UNP&amp;VAR:INDEX=0"}</definedName>
    <definedName name="_167__FDSAUDITLINK__" localSheetId="6" hidden="1">{"fdsup://directions/FAT Viewer?action=UPDATE&amp;creator=factset&amp;DYN_ARGS=TRUE&amp;DOC_NAME=FAT:FQL_AUDITING_CLIENT_TEMPLATE.FAT&amp;display_string=Audit&amp;VAR:KEY=PUVSNUNGVG&amp;VAR:QUERY=RkZfTkVUX0lOQyhBTk4sMjAxMCk=&amp;WINDOW=FIRST_POPUP&amp;HEIGHT=450&amp;WIDTH=450&amp;START_MAXIMIZED=","FALSE&amp;VAR:CALENDAR=US&amp;VAR:SYMBOL=CP&amp;VAR:INDEX=0"}</definedName>
    <definedName name="_167__FDSAUDITLINK__" hidden="1">{"fdsup://directions/FAT Viewer?action=UPDATE&amp;creator=factset&amp;DYN_ARGS=TRUE&amp;DOC_NAME=FAT:FQL_AUDITING_CLIENT_TEMPLATE.FAT&amp;display_string=Audit&amp;VAR:KEY=HUBOBMLMBQ&amp;VAR:QUERY=RkZfRUJJVChBTk4sMjAxMCk=&amp;WINDOW=FIRST_POPUP&amp;HEIGHT=450&amp;WIDTH=450&amp;START_MAXIMIZED=FALS","E&amp;VAR:CALENDAR=US&amp;VAR:SYMBOL=RA&amp;VAR:INDEX=0"}</definedName>
    <definedName name="_168__FDSAUDITLINK__" localSheetId="6" hidden="1">{"fdsup://directions/FAT Viewer?action=UPDATE&amp;creator=factset&amp;DYN_ARGS=TRUE&amp;DOC_NAME=FAT:FQL_AUDITING_CLIENT_TEMPLATE.FAT&amp;display_string=Audit&amp;VAR:KEY=PIRGRKDAXG&amp;VAR:QUERY=RkZfTkVUX0lOQyhBTk4sMjAxMCk=&amp;WINDOW=FIRST_POPUP&amp;HEIGHT=450&amp;WIDTH=450&amp;START_MAXIMIZED=","FALSE&amp;VAR:CALENDAR=US&amp;VAR:SYMBOL=CNI&amp;VAR:INDEX=0"}</definedName>
    <definedName name="_168__FDSAUDITLINK__" hidden="1">{"fdsup://directions/FAT Viewer?action=UPDATE&amp;creator=factset&amp;DYN_ARGS=TRUE&amp;DOC_NAME=FAT:FQL_AUDITING_CLIENT_TEMPLATE.FAT&amp;display_string=Audit&amp;VAR:KEY=TELSLIPKPW&amp;VAR:QUERY=RkZfRUJJVChBTk4sMjAxMCk=&amp;WINDOW=FIRST_POPUP&amp;HEIGHT=450&amp;WIDTH=450&amp;START_MAXIMIZED=FALS","E&amp;VAR:CALENDAR=US&amp;VAR:SYMBOL=NSC&amp;VAR:INDEX=0"}</definedName>
    <definedName name="_169__FDSAUDITLINK__" localSheetId="6" hidden="1">{"fdsup://directions/FAT Viewer?action=UPDATE&amp;creator=factset&amp;DYN_ARGS=TRUE&amp;DOC_NAME=FAT:FQL_AUDITING_CLIENT_TEMPLATE.FAT&amp;display_string=Audit&amp;VAR:KEY=NQXCBEJGFG&amp;VAR:QUERY=RkZfRUJJVChBTk4sMjAxMCk=&amp;WINDOW=FIRST_POPUP&amp;HEIGHT=450&amp;WIDTH=450&amp;START_MAXIMIZED=FALS","E&amp;VAR:CALENDAR=US&amp;VAR:SYMBOL=UNP&amp;VAR:INDEX=0"}</definedName>
    <definedName name="_169__FDSAUDITLINK__" hidden="1">{"fdsup://directions/FAT Viewer?action=UPDATE&amp;creator=factset&amp;DYN_ARGS=TRUE&amp;DOC_NAME=FAT:FQL_AUDITING_CLIENT_TEMPLATE.FAT&amp;display_string=Audit&amp;VAR:KEY=LGVIBSLILE&amp;VAR:QUERY=RkZfRUJJVERBKEFOTiwyMDEwKQ==&amp;WINDOW=FIRST_POPUP&amp;HEIGHT=450&amp;WIDTH=450&amp;START_MAXIMIZED=","FALSE&amp;VAR:CALENDAR=US&amp;VAR:SYMBOL=UNP&amp;VAR:INDEX=0"}</definedName>
    <definedName name="_17__FDSAUDITLINK__" localSheetId="6" hidden="1">{"fdsup://Directions/FactSet Auditing Viewer?action=AUDIT_VALUE&amp;DB=129&amp;ID1=62007610&amp;VALUEID=02001&amp;SDATE=2009&amp;PERIODTYPE=ANN_STD&amp;window=popup_no_bar&amp;width=385&amp;height=120&amp;START_MAXIMIZED=FALSE&amp;creator=factset&amp;display_string=Audit"}</definedName>
    <definedName name="_17__FDSAUDITLINK__" hidden="1">{"fdsup://directions/FAT Viewer?action=UPDATE&amp;creator=factset&amp;DYN_ARGS=TRUE&amp;DOC_NAME=FAT:FQL_AUDITING_CLIENT_TEMPLATE.FAT&amp;display_string=Audit&amp;VAR:KEY=PKTKFOVOTE&amp;VAR:QUERY=RkZfRUJJVERBKEFOTiwyMDA5KQ==&amp;WINDOW=FIRST_POPUP&amp;HEIGHT=450&amp;WIDTH=450&amp;START_MAXIMIZED=","FALSE&amp;VAR:CALENDAR=US&amp;VAR:SYMBOL=UNP&amp;VAR:INDEX=0"}</definedName>
    <definedName name="_170__FDSAUDITLINK__" localSheetId="6" hidden="1">{"fdsup://directions/FAT Viewer?action=UPDATE&amp;creator=factset&amp;DYN_ARGS=TRUE&amp;DOC_NAME=FAT:FQL_AUDITING_CLIENT_TEMPLATE.FAT&amp;display_string=Audit&amp;VAR:KEY=LCROTGTGRW&amp;VAR:QUERY=RkZfRUJJVChBTk4sMjAxMCk=&amp;WINDOW=FIRST_POPUP&amp;HEIGHT=450&amp;WIDTH=450&amp;START_MAXIMIZED=FALS","E&amp;VAR:CALENDAR=US&amp;VAR:SYMBOL=RA&amp;VAR:INDEX=0"}</definedName>
    <definedName name="_170__FDSAUDITLINK__" hidden="1">{"fdsup://directions/FAT Viewer?action=UPDATE&amp;creator=factset&amp;DYN_ARGS=TRUE&amp;DOC_NAME=FAT:FQL_AUDITING_CLIENT_TEMPLATE.FAT&amp;display_string=Audit&amp;VAR:KEY=BIZOBITOPM&amp;VAR:QUERY=RkZfRUJJVERBKEFOTiwyMDEwKQ==&amp;WINDOW=FIRST_POPUP&amp;HEIGHT=450&amp;WIDTH=450&amp;START_MAXIMIZED=","FALSE&amp;VAR:CALENDAR=US&amp;VAR:SYMBOL=RA&amp;VAR:INDEX=0"}</definedName>
    <definedName name="_171__FDSAUDITLINK__" localSheetId="6" hidden="1">{"fdsup://directions/FAT Viewer?action=UPDATE&amp;creator=factset&amp;DYN_ARGS=TRUE&amp;DOC_NAME=FAT:FQL_AUDITING_CLIENT_TEMPLATE.FAT&amp;display_string=Audit&amp;VAR:KEY=TSLEZADAFC&amp;VAR:QUERY=RkZfRUJJVChBTk4sMjAxMCk=&amp;WINDOW=FIRST_POPUP&amp;HEIGHT=450&amp;WIDTH=450&amp;START_MAXIMIZED=FALS","E&amp;VAR:CALENDAR=US&amp;VAR:SYMBOL=NSC&amp;VAR:INDEX=0"}</definedName>
    <definedName name="_171__FDSAUDITLINK__" hidden="1">{"fdsup://directions/FAT Viewer?action=UPDATE&amp;creator=factset&amp;DYN_ARGS=TRUE&amp;DOC_NAME=FAT:FQL_AUDITING_CLIENT_TEMPLATE.FAT&amp;display_string=Audit&amp;VAR:KEY=BAPOBKVWDO&amp;VAR:QUERY=RkZfRUJJVERBKEFOTiwyMDEwKQ==&amp;WINDOW=FIRST_POPUP&amp;HEIGHT=450&amp;WIDTH=450&amp;START_MAXIMIZED=","FALSE&amp;VAR:CALENDAR=US&amp;VAR:SYMBOL=NSC&amp;VAR:INDEX=0"}</definedName>
    <definedName name="_172__FDSAUDITLINK__" localSheetId="6" hidden="1">{"fdsup://directions/FAT Viewer?action=UPDATE&amp;creator=factset&amp;DYN_ARGS=TRUE&amp;DOC_NAME=FAT:FQL_AUDITING_CLIENT_TEMPLATE.FAT&amp;display_string=Audit&amp;VAR:KEY=DKZARCNIFO&amp;VAR:QUERY=RkZfRUJJVChBTk4sMjAxMCk=&amp;WINDOW=FIRST_POPUP&amp;HEIGHT=450&amp;WIDTH=450&amp;START_MAXIMIZED=FALS","E&amp;VAR:CALENDAR=US&amp;VAR:SYMBOL=KSU&amp;VAR:INDEX=0"}</definedName>
    <definedName name="_172__FDSAUDITLINK__" hidden="1">{"fdsup://directions/FAT Viewer?action=UPDATE&amp;creator=factset&amp;DYN_ARGS=TRUE&amp;DOC_NAME=FAT:FQL_AUDITING_CLIENT_TEMPLATE.FAT&amp;display_string=Audit&amp;VAR:KEY=MFGBYLQTCL&amp;VAR:QUERY=RkZfSU5WRU5fVFVSTihDQUwsMjAwMywsLFJGKQ==&amp;WINDOW=FIRST_POPUP&amp;HEIGHT=450&amp;WIDTH=450&amp;STAR","T_MAXIMIZED=FALSE&amp;VAR:CALENDAR=US&amp;VAR:SYMBOL=556352&amp;VAR:INDEX=0"}</definedName>
    <definedName name="_173__FDSAUDITLINK__" localSheetId="6" hidden="1">{"fdsup://directions/FAT Viewer?action=UPDATE&amp;creator=factset&amp;DYN_ARGS=TRUE&amp;DOC_NAME=FAT:FQL_AUDITING_CLIENT_TEMPLATE.FAT&amp;display_string=Audit&amp;VAR:KEY=JGFQXYRAHG&amp;VAR:QUERY=RkZfRUJJVChBTk4sMjAxMCk=&amp;WINDOW=FIRST_POPUP&amp;HEIGHT=450&amp;WIDTH=450&amp;START_MAXIMIZED=FALS","E&amp;VAR:CALENDAR=US&amp;VAR:SYMBOL=GWR&amp;VAR:INDEX=0"}</definedName>
    <definedName name="_173__FDSAUDITLINK__" hidden="1">{"fdsup://directions/FAT Viewer?action=UPDATE&amp;creator=factset&amp;DYN_ARGS=TRUE&amp;DOC_NAME=FAT:FQL_AUDITING_CLIENT_TEMPLATE.FAT&amp;display_string=Audit&amp;VAR:KEY=MFCLEDOJUP&amp;VAR:QUERY=RkZfSU5WRU5fVFVSTihDQUwsMjAwNCwsLFJGKQ==&amp;WINDOW=FIRST_POPUP&amp;HEIGHT=450&amp;WIDTH=450&amp;STAR","T_MAXIMIZED=FALSE&amp;VAR:CALENDAR=US&amp;VAR:SYMBOL=556352&amp;VAR:INDEX=0"}</definedName>
    <definedName name="_174__FDSAUDITLINK__" localSheetId="6" hidden="1">{"fdsup://directions/FAT Viewer?action=UPDATE&amp;creator=factset&amp;DYN_ARGS=TRUE&amp;DOC_NAME=FAT:FQL_AUDITING_CLIENT_TEMPLATE.FAT&amp;display_string=Audit&amp;VAR:KEY=TEBGJOLEZO&amp;VAR:QUERY=RkZfRUJJVChBTk4sMjAxMCk=&amp;WINDOW=FIRST_POPUP&amp;HEIGHT=450&amp;WIDTH=450&amp;START_MAXIMIZED=FALS","E&amp;VAR:CALENDAR=US&amp;VAR:SYMBOL=CSX&amp;VAR:INDEX=0"}</definedName>
    <definedName name="_174__FDSAUDITLINK__" hidden="1">{"fdsup://directions/FAT Viewer?action=UPDATE&amp;creator=factset&amp;DYN_ARGS=TRUE&amp;DOC_NAME=FAT:FQL_AUDITING_CLIENT_TEMPLATE.FAT&amp;display_string=Audit&amp;VAR:KEY=QTSJQFYZCB&amp;VAR:QUERY=RkZfSU5WRU5fVFVSTihDQUwsMjAwNSwsLFJGKQ==&amp;WINDOW=FIRST_POPUP&amp;HEIGHT=450&amp;WIDTH=450&amp;STAR","T_MAXIMIZED=FALSE&amp;VAR:CALENDAR=US&amp;VAR:SYMBOL=556352&amp;VAR:INDEX=0"}</definedName>
    <definedName name="_175__FDSAUDITLINK__" localSheetId="6" hidden="1">{"fdsup://directions/FAT Viewer?action=UPDATE&amp;creator=factset&amp;DYN_ARGS=TRUE&amp;DOC_NAME=FAT:FQL_AUDITING_CLIENT_TEMPLATE.FAT&amp;display_string=Audit&amp;VAR:KEY=HMVUPGRQDM&amp;VAR:QUERY=RkZfRUJJVChBTk4sMjAxMCk=&amp;WINDOW=FIRST_POPUP&amp;HEIGHT=450&amp;WIDTH=450&amp;START_MAXIMIZED=FALS","E&amp;VAR:CALENDAR=US&amp;VAR:SYMBOL=CP&amp;VAR:INDEX=0"}</definedName>
    <definedName name="_175__FDSAUDITLINK__" hidden="1">{"fdsup://directions/FAT Viewer?action=UPDATE&amp;creator=factset&amp;DYN_ARGS=TRUE&amp;DOC_NAME=FAT:FQL_AUDITING_CLIENT_TEMPLATE.FAT&amp;display_string=Audit&amp;VAR:KEY=ETCJKLGNCT&amp;VAR:QUERY=RkZfSU5WRU5fVFVSTihDQUwsMjAwNiwsLFJGKQ==&amp;WINDOW=FIRST_POPUP&amp;HEIGHT=450&amp;WIDTH=450&amp;STAR","T_MAXIMIZED=FALSE&amp;VAR:CALENDAR=US&amp;VAR:SYMBOL=556352&amp;VAR:INDEX=0"}</definedName>
    <definedName name="_176__FDSAUDITLINK__" localSheetId="6" hidden="1">{"fdsup://directions/FAT Viewer?action=UPDATE&amp;creator=factset&amp;DYN_ARGS=TRUE&amp;DOC_NAME=FAT:FQL_AUDITING_CLIENT_TEMPLATE.FAT&amp;display_string=Audit&amp;VAR:KEY=XCLQPOHIPY&amp;VAR:QUERY=RkZfRUJJVChBTk4sMjAxMCk=&amp;WINDOW=FIRST_POPUP&amp;HEIGHT=450&amp;WIDTH=450&amp;START_MAXIMIZED=FALS","E&amp;VAR:CALENDAR=US&amp;VAR:SYMBOL=CNI&amp;VAR:INDEX=0"}</definedName>
    <definedName name="_176__FDSAUDITLINK__" hidden="1">{"fdsup://directions/FAT Viewer?action=UPDATE&amp;creator=factset&amp;DYN_ARGS=TRUE&amp;DOC_NAME=FAT:FQL_AUDITING_CLIENT_TEMPLATE.FAT&amp;display_string=Audit&amp;VAR:KEY=IRCPENSLOD&amp;VAR:QUERY=RkZfSU5WRU5fVFVSTihDQUwsMjAwOCwsLFJGKQ==&amp;WINDOW=FIRST_POPUP&amp;HEIGHT=450&amp;WIDTH=450&amp;STAR","T_MAXIMIZED=FALSE&amp;VAR:CALENDAR=US&amp;VAR:SYMBOL=556352&amp;VAR:INDEX=0"}</definedName>
    <definedName name="_177__FDSAUDITLINK__" localSheetId="6" hidden="1">{"fdsup://directions/FAT Viewer?action=UPDATE&amp;creator=factset&amp;DYN_ARGS=TRUE&amp;DOC_NAME=FAT:FQL_AUDITING_CLIENT_TEMPLATE.FAT&amp;display_string=Audit&amp;VAR:KEY=NYPUZSLQVA&amp;VAR:QUERY=RkZfRUJJVERBKEFOTiwyMDEwKQ==&amp;WINDOW=FIRST_POPUP&amp;HEIGHT=450&amp;WIDTH=450&amp;START_MAXIMIZED=","FALSE&amp;VAR:CALENDAR=US&amp;VAR:SYMBOL=UNP&amp;VAR:INDEX=0"}</definedName>
    <definedName name="_177__FDSAUDITLINK__" hidden="1">{"fdsup://directions/FAT Viewer?action=UPDATE&amp;creator=factset&amp;DYN_ARGS=TRUE&amp;DOC_NAME=FAT:FQL_AUDITING_CLIENT_TEMPLATE.FAT&amp;display_string=Audit&amp;VAR:KEY=KJKJMDIRGB&amp;VAR:QUERY=RkZfSU5WRU5fVFVSTihDQUwsMjAwOSwsLFJGKQ==&amp;WINDOW=FIRST_POPUP&amp;HEIGHT=450&amp;WIDTH=450&amp;STAR","T_MAXIMIZED=FALSE&amp;VAR:CALENDAR=US&amp;VAR:SYMBOL=556352&amp;VAR:INDEX=0"}</definedName>
    <definedName name="_178__FDSAUDITLINK__" localSheetId="6" hidden="1">{"fdsup://directions/FAT Viewer?action=UPDATE&amp;creator=factset&amp;DYN_ARGS=TRUE&amp;DOC_NAME=FAT:FQL_AUDITING_CLIENT_TEMPLATE.FAT&amp;display_string=Audit&amp;VAR:KEY=HWRYLYPIFY&amp;VAR:QUERY=RkZfRUJJVERBKEFOTiwyMDEwKQ==&amp;WINDOW=FIRST_POPUP&amp;HEIGHT=450&amp;WIDTH=450&amp;START_MAXIMIZED=","FALSE&amp;VAR:CALENDAR=US&amp;VAR:SYMBOL=RA&amp;VAR:INDEX=0"}</definedName>
    <definedName name="_178__FDSAUDITLINK__" hidden="1">{"fdsup://directions/FAT Viewer?action=UPDATE&amp;creator=factset&amp;DYN_ARGS=TRUE&amp;DOC_NAME=FAT:FQL_AUDITING_CLIENT_TEMPLATE.FAT&amp;display_string=Audit&amp;VAR:KEY=ALEDQDKJQZ&amp;VAR:QUERY=RkZfSU5WRU5fVFVSTihDQUwsMjAwMSwsLFJGKQ==&amp;WINDOW=FIRST_POPUP&amp;HEIGHT=450&amp;WIDTH=450&amp;STAR","T_MAXIMIZED=FALSE&amp;VAR:CALENDAR=US&amp;VAR:SYMBOL=556352&amp;VAR:INDEX=0"}</definedName>
    <definedName name="_179__FDSAUDITLINK__" localSheetId="6" hidden="1">{"fdsup://directions/FAT Viewer?action=UPDATE&amp;creator=factset&amp;DYN_ARGS=TRUE&amp;DOC_NAME=FAT:FQL_AUDITING_CLIENT_TEMPLATE.FAT&amp;display_string=Audit&amp;VAR:KEY=RWNWNAXCJK&amp;VAR:QUERY=RkZfRUJJVERBKEFOTiwyMDEwKQ==&amp;WINDOW=FIRST_POPUP&amp;HEIGHT=450&amp;WIDTH=450&amp;START_MAXIMIZED=","FALSE&amp;VAR:CALENDAR=US&amp;VAR:SYMBOL=NSC&amp;VAR:INDEX=0"}</definedName>
    <definedName name="_179__FDSAUDITLINK__" hidden="1">{"fdsup://directions/FAT Viewer?action=UPDATE&amp;creator=factset&amp;DYN_ARGS=TRUE&amp;DOC_NAME=FAT:FQL_AUDITING_CLIENT_TEMPLATE.FAT&amp;display_string=Audit&amp;VAR:KEY=EZADMRYPAD&amp;VAR:QUERY=RkZfSU5WRU5fVFVSTihDQUwsMjAwMiwsLFJGKQ==&amp;WINDOW=FIRST_POPUP&amp;HEIGHT=450&amp;WIDTH=450&amp;STAR","T_MAXIMIZED=FALSE&amp;VAR:CALENDAR=US&amp;VAR:SYMBOL=556352&amp;VAR:INDEX=0"}</definedName>
    <definedName name="_18__FDSAUDITLINK__" localSheetId="6" hidden="1">{"fdsup://Directions/FactSet Auditing Viewer?action=AUDIT_VALUE&amp;DB=129&amp;ID1=11132010&amp;VALUEID=02001&amp;SDATE=200903&amp;PERIODTYPE=QTR_STD&amp;window=popup_no_bar&amp;width=385&amp;height=120&amp;START_MAXIMIZED=FALSE&amp;creator=factset&amp;display_string=Audit"}</definedName>
    <definedName name="_18__FDSAUDITLINK__" hidden="1">{"fdsup://directions/FAT Viewer?action=UPDATE&amp;creator=factset&amp;DYN_ARGS=TRUE&amp;DOC_NAME=FAT:FQL_AUDITING_CLIENT_TEMPLATE.FAT&amp;display_string=Audit&amp;VAR:KEY=FERALMTIRM&amp;VAR:QUERY=RkZfRUJJVERBKEFOTiwyMDA5KQ==&amp;WINDOW=FIRST_POPUP&amp;HEIGHT=450&amp;WIDTH=450&amp;START_MAXIMIZED=","FALSE&amp;VAR:CALENDAR=US&amp;VAR:SYMBOL=RA&amp;VAR:INDEX=0"}</definedName>
    <definedName name="_180__FDSAUDITLINK__" localSheetId="6" hidden="1">{"fdsup://directions/FAT Viewer?action=UPDATE&amp;creator=factset&amp;DYN_ARGS=TRUE&amp;DOC_NAME=FAT:FQL_AUDITING_CLIENT_TEMPLATE.FAT&amp;display_string=Audit&amp;VAR:KEY=ZSPGZCHCLI&amp;VAR:QUERY=RkZfRUJJVERBKEFOTiwyMDEwKQ==&amp;WINDOW=FIRST_POPUP&amp;HEIGHT=450&amp;WIDTH=450&amp;START_MAXIMIZED=","FALSE&amp;VAR:CALENDAR=US&amp;VAR:SYMBOL=KSU&amp;VAR:INDEX=0"}</definedName>
    <definedName name="_180__FDSAUDITLINK__" hidden="1">{"fdsup://directions/FAT Viewer?action=UPDATE&amp;creator=factset&amp;DYN_ARGS=TRUE&amp;DOC_NAME=FAT:FQL_AUDITING_CLIENT_TEMPLATE.FAT&amp;display_string=Audit&amp;VAR:KEY=MFGBYLQTCL&amp;VAR:QUERY=RkZfSU5WRU5fVFVSTihDQUwsMjAwMywsLFJGKQ==&amp;WINDOW=FIRST_POPUP&amp;HEIGHT=450&amp;WIDTH=450&amp;STAR","T_MAXIMIZED=FALSE&amp;VAR:CALENDAR=US&amp;VAR:SYMBOL=556352&amp;VAR:INDEX=0"}</definedName>
    <definedName name="_181__FDSAUDITLINK__" localSheetId="6" hidden="1">{"fdsup://directions/FAT Viewer?action=UPDATE&amp;creator=factset&amp;DYN_ARGS=TRUE&amp;DOC_NAME=FAT:FQL_AUDITING_CLIENT_TEMPLATE.FAT&amp;display_string=Audit&amp;VAR:KEY=ZOHQTSZKPK&amp;VAR:QUERY=RkZfRUJJVERBKEFOTiwyMDEwKQ==&amp;WINDOW=FIRST_POPUP&amp;HEIGHT=450&amp;WIDTH=450&amp;START_MAXIMIZED=","FALSE&amp;VAR:CALENDAR=US&amp;VAR:SYMBOL=GWR&amp;VAR:INDEX=0"}</definedName>
    <definedName name="_181__FDSAUDITLINK__" hidden="1">{"fdsup://directions/FAT Viewer?action=UPDATE&amp;creator=factset&amp;DYN_ARGS=TRUE&amp;DOC_NAME=FAT:FQL_AUDITING_CLIENT_TEMPLATE.FAT&amp;display_string=Audit&amp;VAR:KEY=MFCLEDOJUP&amp;VAR:QUERY=RkZfSU5WRU5fVFVSTihDQUwsMjAwNCwsLFJGKQ==&amp;WINDOW=FIRST_POPUP&amp;HEIGHT=450&amp;WIDTH=450&amp;STAR","T_MAXIMIZED=FALSE&amp;VAR:CALENDAR=US&amp;VAR:SYMBOL=556352&amp;VAR:INDEX=0"}</definedName>
    <definedName name="_182__FDSAUDITLINK__" localSheetId="6" hidden="1">{"fdsup://directions/FAT Viewer?action=UPDATE&amp;creator=factset&amp;DYN_ARGS=TRUE&amp;DOC_NAME=FAT:FQL_AUDITING_CLIENT_TEMPLATE.FAT&amp;display_string=Audit&amp;VAR:KEY=PQLMHUNSDY&amp;VAR:QUERY=RkZfRUJJVERBKEFOTiwyMDEwKQ==&amp;WINDOW=FIRST_POPUP&amp;HEIGHT=450&amp;WIDTH=450&amp;START_MAXIMIZED=","FALSE&amp;VAR:CALENDAR=US&amp;VAR:SYMBOL=CSX&amp;VAR:INDEX=0"}</definedName>
    <definedName name="_182__FDSAUDITLINK__" hidden="1">{"fdsup://directions/FAT Viewer?action=UPDATE&amp;creator=factset&amp;DYN_ARGS=TRUE&amp;DOC_NAME=FAT:FQL_AUDITING_CLIENT_TEMPLATE.FAT&amp;display_string=Audit&amp;VAR:KEY=QTSJQFYZCB&amp;VAR:QUERY=RkZfSU5WRU5fVFVSTihDQUwsMjAwNSwsLFJGKQ==&amp;WINDOW=FIRST_POPUP&amp;HEIGHT=450&amp;WIDTH=450&amp;STAR","T_MAXIMIZED=FALSE&amp;VAR:CALENDAR=US&amp;VAR:SYMBOL=556352&amp;VAR:INDEX=0"}</definedName>
    <definedName name="_183__FDSAUDITLINK__" localSheetId="6" hidden="1">{"fdsup://directions/FAT Viewer?action=UPDATE&amp;creator=factset&amp;DYN_ARGS=TRUE&amp;DOC_NAME=FAT:FQL_AUDITING_CLIENT_TEMPLATE.FAT&amp;display_string=Audit&amp;VAR:KEY=TOBWXQLKPG&amp;VAR:QUERY=RkZfRUJJVERBKEFOTiwyMDEwKQ==&amp;WINDOW=FIRST_POPUP&amp;HEIGHT=450&amp;WIDTH=450&amp;START_MAXIMIZED=","FALSE&amp;VAR:CALENDAR=US&amp;VAR:SYMBOL=CP&amp;VAR:INDEX=0"}</definedName>
    <definedName name="_183__FDSAUDITLINK__" hidden="1">{"fdsup://directions/FAT Viewer?action=UPDATE&amp;creator=factset&amp;DYN_ARGS=TRUE&amp;DOC_NAME=FAT:FQL_AUDITING_CLIENT_TEMPLATE.FAT&amp;display_string=Audit&amp;VAR:KEY=ETCJKLGNCT&amp;VAR:QUERY=RkZfSU5WRU5fVFVSTihDQUwsMjAwNiwsLFJGKQ==&amp;WINDOW=FIRST_POPUP&amp;HEIGHT=450&amp;WIDTH=450&amp;STAR","T_MAXIMIZED=FALSE&amp;VAR:CALENDAR=US&amp;VAR:SYMBOL=556352&amp;VAR:INDEX=0"}</definedName>
    <definedName name="_184__FDSAUDITLINK__" localSheetId="6" hidden="1">{"fdsup://directions/FAT Viewer?action=UPDATE&amp;creator=factset&amp;DYN_ARGS=TRUE&amp;DOC_NAME=FAT:FQL_AUDITING_CLIENT_TEMPLATE.FAT&amp;display_string=Audit&amp;VAR:KEY=FILMJGJSXK&amp;VAR:QUERY=RkZfRUJJVERBKEFOTiwyMDEwKQ==&amp;WINDOW=FIRST_POPUP&amp;HEIGHT=450&amp;WIDTH=450&amp;START_MAXIMIZED=","FALSE&amp;VAR:CALENDAR=US&amp;VAR:SYMBOL=CNI&amp;VAR:INDEX=0"}</definedName>
    <definedName name="_184__FDSAUDITLINK__" hidden="1">{"fdsup://directions/FAT Viewer?action=UPDATE&amp;creator=factset&amp;DYN_ARGS=TRUE&amp;DOC_NAME=FAT:FQL_AUDITING_CLIENT_TEMPLATE.FAT&amp;display_string=Audit&amp;VAR:KEY=IRCPENSLOD&amp;VAR:QUERY=RkZfSU5WRU5fVFVSTihDQUwsMjAwOCwsLFJGKQ==&amp;WINDOW=FIRST_POPUP&amp;HEIGHT=450&amp;WIDTH=450&amp;STAR","T_MAXIMIZED=FALSE&amp;VAR:CALENDAR=US&amp;VAR:SYMBOL=556352&amp;VAR:INDEX=0"}</definedName>
    <definedName name="_185__FDSAUDITLINK__" localSheetId="6" hidden="1">{"fdsup://directions/FAT Viewer?action=UPDATE&amp;creator=factset&amp;DYN_ARGS=TRUE&amp;DOC_NAME=FAT:FQL_AUDITING_CLIENT_TEMPLATE.FAT&amp;display_string=Audit&amp;VAR:KEY=NQPIJATGHS&amp;VAR:QUERY=RkZfTkVUX0lOQyhBTk4sMjAxMCk=&amp;WINDOW=FIRST_POPUP&amp;HEIGHT=450&amp;WIDTH=450&amp;START_MAXIMIZED=","FALSE&amp;VAR:CALENDAR=US&amp;VAR:SYMBOL=UNP&amp;VAR:INDEX=0"}</definedName>
    <definedName name="_185__FDSAUDITLINK__" hidden="1">{"fdsup://directions/FAT Viewer?action=UPDATE&amp;creator=factset&amp;DYN_ARGS=TRUE&amp;DOC_NAME=FAT:FQL_AUDITING_CLIENT_TEMPLATE.FAT&amp;display_string=Audit&amp;VAR:KEY=KJKJMDIRGB&amp;VAR:QUERY=RkZfSU5WRU5fVFVSTihDQUwsMjAwOSwsLFJGKQ==&amp;WINDOW=FIRST_POPUP&amp;HEIGHT=450&amp;WIDTH=450&amp;STAR","T_MAXIMIZED=FALSE&amp;VAR:CALENDAR=US&amp;VAR:SYMBOL=556352&amp;VAR:INDEX=0"}</definedName>
    <definedName name="_186__FDSAUDITLINK__" localSheetId="6" hidden="1">{"fdsup://directions/FAT Viewer?action=UPDATE&amp;creator=factset&amp;DYN_ARGS=TRUE&amp;DOC_NAME=FAT:FQL_AUDITING_CLIENT_TEMPLATE.FAT&amp;display_string=Audit&amp;VAR:KEY=TALGXWRMTO&amp;VAR:QUERY=RkZfTkVUX0lOQyhBTk4sMjAxMCk=&amp;WINDOW=FIRST_POPUP&amp;HEIGHT=450&amp;WIDTH=450&amp;START_MAXIMIZED=","FALSE&amp;VAR:CALENDAR=US&amp;VAR:SYMBOL=RA&amp;VAR:INDEX=0"}</definedName>
    <definedName name="_186__FDSAUDITLINK__" hidden="1">{"fdsup://directions/FAT Viewer?action=UPDATE&amp;creator=factset&amp;DYN_ARGS=TRUE&amp;DOC_NAME=FAT:FQL_AUDITING_CLIENT_TEMPLATE.FAT&amp;display_string=Audit&amp;VAR:KEY=ALEDQDKJQZ&amp;VAR:QUERY=RkZfSU5WRU5fVFVSTihDQUwsMjAwMSwsLFJGKQ==&amp;WINDOW=FIRST_POPUP&amp;HEIGHT=450&amp;WIDTH=450&amp;STAR","T_MAXIMIZED=FALSE&amp;VAR:CALENDAR=US&amp;VAR:SYMBOL=556352&amp;VAR:INDEX=0"}</definedName>
    <definedName name="_187__FDSAUDITLINK__" localSheetId="6" hidden="1">{"fdsup://directions/FAT Viewer?action=UPDATE&amp;creator=factset&amp;DYN_ARGS=TRUE&amp;DOC_NAME=FAT:FQL_AUDITING_CLIENT_TEMPLATE.FAT&amp;display_string=Audit&amp;VAR:KEY=HMBQPKXIDA&amp;VAR:QUERY=RkZfTkVUX0lOQyhBTk4sMjAxMCk=&amp;WINDOW=FIRST_POPUP&amp;HEIGHT=450&amp;WIDTH=450&amp;START_MAXIMIZED=","FALSE&amp;VAR:CALENDAR=US&amp;VAR:SYMBOL=NSC&amp;VAR:INDEX=0"}</definedName>
    <definedName name="_187__FDSAUDITLINK__" hidden="1">{"fdsup://directions/FAT Viewer?action=UPDATE&amp;creator=factset&amp;DYN_ARGS=TRUE&amp;DOC_NAME=FAT:FQL_AUDITING_CLIENT_TEMPLATE.FAT&amp;display_string=Audit&amp;VAR:KEY=EZADMRYPAD&amp;VAR:QUERY=RkZfSU5WRU5fVFVSTihDQUwsMjAwMiwsLFJGKQ==&amp;WINDOW=FIRST_POPUP&amp;HEIGHT=450&amp;WIDTH=450&amp;STAR","T_MAXIMIZED=FALSE&amp;VAR:CALENDAR=US&amp;VAR:SYMBOL=556352&amp;VAR:INDEX=0"}</definedName>
    <definedName name="_188__FDSAUDITLINK__" localSheetId="6" hidden="1">{"fdsup://directions/FAT Viewer?action=UPDATE&amp;creator=factset&amp;DYN_ARGS=TRUE&amp;DOC_NAME=FAT:FQL_AUDITING_CLIENT_TEMPLATE.FAT&amp;display_string=Audit&amp;VAR:KEY=NWRKRUFQBQ&amp;VAR:QUERY=RkZfTkVUX0lOQyhBTk4sMjAxMCk=&amp;WINDOW=FIRST_POPUP&amp;HEIGHT=450&amp;WIDTH=450&amp;START_MAXIMIZED=","FALSE&amp;VAR:CALENDAR=US&amp;VAR:SYMBOL=KSU&amp;VAR:INDEX=0"}</definedName>
    <definedName name="_188__FDSAUDITLINK__" hidden="1">{"fdsup://directions/FAT Viewer?action=UPDATE&amp;creator=factset&amp;DYN_ARGS=TRUE&amp;DOC_NAME=FAT:FQL_AUDITING_CLIENT_TEMPLATE.FAT&amp;display_string=Audit&amp;VAR:KEY=MFGBYLQTCL&amp;VAR:QUERY=RkZfSU5WRU5fVFVSTihDQUwsMjAwMywsLFJGKQ==&amp;WINDOW=FIRST_POPUP&amp;HEIGHT=450&amp;WIDTH=450&amp;STAR","T_MAXIMIZED=FALSE&amp;VAR:CALENDAR=US&amp;VAR:SYMBOL=556352&amp;VAR:INDEX=0"}</definedName>
    <definedName name="_189__FDSAUDITLINK__" localSheetId="6" hidden="1">{"fdsup://directions/FAT Viewer?action=UPDATE&amp;creator=factset&amp;DYN_ARGS=TRUE&amp;DOC_NAME=FAT:FQL_AUDITING_CLIENT_TEMPLATE.FAT&amp;display_string=Audit&amp;VAR:KEY=PSHITCFIVG&amp;VAR:QUERY=RkZfTkVUX0lOQyhBTk4sMjAxMCk=&amp;WINDOW=FIRST_POPUP&amp;HEIGHT=450&amp;WIDTH=450&amp;START_MAXIMIZED=","FALSE&amp;VAR:CALENDAR=US&amp;VAR:SYMBOL=GWR&amp;VAR:INDEX=0"}</definedName>
    <definedName name="_189__FDSAUDITLINK__" hidden="1">{"fdsup://directions/FAT Viewer?action=UPDATE&amp;creator=factset&amp;DYN_ARGS=TRUE&amp;DOC_NAME=FAT:FQL_AUDITING_CLIENT_TEMPLATE.FAT&amp;display_string=Audit&amp;VAR:KEY=MFCLEDOJUP&amp;VAR:QUERY=RkZfSU5WRU5fVFVSTihDQUwsMjAwNCwsLFJGKQ==&amp;WINDOW=FIRST_POPUP&amp;HEIGHT=450&amp;WIDTH=450&amp;STAR","T_MAXIMIZED=FALSE&amp;VAR:CALENDAR=US&amp;VAR:SYMBOL=556352&amp;VAR:INDEX=0"}</definedName>
    <definedName name="_19__FDSAUDITLINK__" localSheetId="6" hidden="1">{"fdsup://directions/FAT Viewer?action=UPDATE&amp;creator=factset&amp;DYN_ARGS=TRUE&amp;DOC_NAME=FAT:FQL_AUDITING_CLIENT_TEMPLATE.FAT&amp;display_string=Audit&amp;VAR:KEY=EZCLCRSDAP&amp;VAR:QUERY=RkZfRUJJVERBKEFOTiwyMDEwKQ==&amp;WINDOW=FIRST_POPUP&amp;HEIGHT=450&amp;WIDTH=450&amp;START_MAXIMIZED=","FALSE&amp;VAR:CALENDAR=US&amp;VAR:SYMBOL=NSC&amp;VAR:INDEX=0"}</definedName>
    <definedName name="_19__FDSAUDITLINK__" hidden="1">{"fdsup://directions/FAT Viewer?action=UPDATE&amp;creator=factset&amp;DYN_ARGS=TRUE&amp;DOC_NAME=FAT:FQL_AUDITING_CLIENT_TEMPLATE.FAT&amp;display_string=Audit&amp;VAR:KEY=BSJCZYVKZC&amp;VAR:QUERY=RkZfRUJJVERBKEFOTiwyMDA5KQ==&amp;WINDOW=FIRST_POPUP&amp;HEIGHT=450&amp;WIDTH=450&amp;START_MAXIMIZED=","FALSE&amp;VAR:CALENDAR=US&amp;VAR:SYMBOL=NSC&amp;VAR:INDEX=0"}</definedName>
    <definedName name="_190__FDSAUDITLINK__" localSheetId="6" hidden="1">{"fdsup://directions/FAT Viewer?action=UPDATE&amp;creator=factset&amp;DYN_ARGS=TRUE&amp;DOC_NAME=FAT:FQL_AUDITING_CLIENT_TEMPLATE.FAT&amp;display_string=Audit&amp;VAR:KEY=TEJSHGRUZU&amp;VAR:QUERY=RkZfTkVUX0lOQyhBTk4sMjAxMCk=&amp;WINDOW=FIRST_POPUP&amp;HEIGHT=450&amp;WIDTH=450&amp;START_MAXIMIZED=","FALSE&amp;VAR:CALENDAR=US&amp;VAR:SYMBOL=CSX&amp;VAR:INDEX=0"}</definedName>
    <definedName name="_190__FDSAUDITLINK__" hidden="1">{"fdsup://directions/FAT Viewer?action=UPDATE&amp;creator=factset&amp;DYN_ARGS=TRUE&amp;DOC_NAME=FAT:FQL_AUDITING_CLIENT_TEMPLATE.FAT&amp;display_string=Audit&amp;VAR:KEY=QTSJQFYZCB&amp;VAR:QUERY=RkZfSU5WRU5fVFVSTihDQUwsMjAwNSwsLFJGKQ==&amp;WINDOW=FIRST_POPUP&amp;HEIGHT=450&amp;WIDTH=450&amp;STAR","T_MAXIMIZED=FALSE&amp;VAR:CALENDAR=US&amp;VAR:SYMBOL=556352&amp;VAR:INDEX=0"}</definedName>
    <definedName name="_191__FDSAUDITLINK__" localSheetId="6" hidden="1">{"fdsup://directions/FAT Viewer?action=UPDATE&amp;creator=factset&amp;DYN_ARGS=TRUE&amp;DOC_NAME=FAT:FQL_AUDITING_CLIENT_TEMPLATE.FAT&amp;display_string=Audit&amp;VAR:KEY=PUVSNUNGVG&amp;VAR:QUERY=RkZfTkVUX0lOQyhBTk4sMjAxMCk=&amp;WINDOW=FIRST_POPUP&amp;HEIGHT=450&amp;WIDTH=450&amp;START_MAXIMIZED=","FALSE&amp;VAR:CALENDAR=US&amp;VAR:SYMBOL=CP&amp;VAR:INDEX=0"}</definedName>
    <definedName name="_191__FDSAUDITLINK__" hidden="1">{"fdsup://directions/FAT Viewer?action=UPDATE&amp;creator=factset&amp;DYN_ARGS=TRUE&amp;DOC_NAME=FAT:FQL_AUDITING_CLIENT_TEMPLATE.FAT&amp;display_string=Audit&amp;VAR:KEY=ETCJKLGNCT&amp;VAR:QUERY=RkZfSU5WRU5fVFVSTihDQUwsMjAwNiwsLFJGKQ==&amp;WINDOW=FIRST_POPUP&amp;HEIGHT=450&amp;WIDTH=450&amp;STAR","T_MAXIMIZED=FALSE&amp;VAR:CALENDAR=US&amp;VAR:SYMBOL=556352&amp;VAR:INDEX=0"}</definedName>
    <definedName name="_192__FDSAUDITLINK__" localSheetId="6" hidden="1">{"fdsup://directions/FAT Viewer?action=UPDATE&amp;creator=factset&amp;DYN_ARGS=TRUE&amp;DOC_NAME=FAT:FQL_AUDITING_CLIENT_TEMPLATE.FAT&amp;display_string=Audit&amp;VAR:KEY=PIRGRKDAXG&amp;VAR:QUERY=RkZfTkVUX0lOQyhBTk4sMjAxMCk=&amp;WINDOW=FIRST_POPUP&amp;HEIGHT=450&amp;WIDTH=450&amp;START_MAXIMIZED=","FALSE&amp;VAR:CALENDAR=US&amp;VAR:SYMBOL=CNI&amp;VAR:INDEX=0"}</definedName>
    <definedName name="_192__FDSAUDITLINK__" hidden="1">{"fdsup://directions/FAT Viewer?action=UPDATE&amp;creator=factset&amp;DYN_ARGS=TRUE&amp;DOC_NAME=FAT:FQL_AUDITING_CLIENT_TEMPLATE.FAT&amp;display_string=Audit&amp;VAR:KEY=IRCPENSLOD&amp;VAR:QUERY=RkZfSU5WRU5fVFVSTihDQUwsMjAwOCwsLFJGKQ==&amp;WINDOW=FIRST_POPUP&amp;HEIGHT=450&amp;WIDTH=450&amp;STAR","T_MAXIMIZED=FALSE&amp;VAR:CALENDAR=US&amp;VAR:SYMBOL=556352&amp;VAR:INDEX=0"}</definedName>
    <definedName name="_193__FDSAUDITLINK__" localSheetId="6" hidden="1">{"fdsup://directions/FAT Viewer?action=UPDATE&amp;creator=factset&amp;DYN_ARGS=TRUE&amp;DOC_NAME=FAT:FQL_AUDITING_CLIENT_TEMPLATE.FAT&amp;display_string=Audit&amp;VAR:KEY=NQXCBEJGFG&amp;VAR:QUERY=RkZfRUJJVChBTk4sMjAxMCk=&amp;WINDOW=FIRST_POPUP&amp;HEIGHT=450&amp;WIDTH=450&amp;START_MAXIMIZED=FALS","E&amp;VAR:CALENDAR=US&amp;VAR:SYMBOL=UNP&amp;VAR:INDEX=0"}</definedName>
    <definedName name="_193__FDSAUDITLINK__" hidden="1">{"fdsup://directions/FAT Viewer?action=UPDATE&amp;creator=factset&amp;DYN_ARGS=TRUE&amp;DOC_NAME=FAT:FQL_AUDITING_CLIENT_TEMPLATE.FAT&amp;display_string=Audit&amp;VAR:KEY=KJKJMDIRGB&amp;VAR:QUERY=RkZfSU5WRU5fVFVSTihDQUwsMjAwOSwsLFJGKQ==&amp;WINDOW=FIRST_POPUP&amp;HEIGHT=450&amp;WIDTH=450&amp;STAR","T_MAXIMIZED=FALSE&amp;VAR:CALENDAR=US&amp;VAR:SYMBOL=556352&amp;VAR:INDEX=0"}</definedName>
    <definedName name="_194__FDSAUDITLINK__" localSheetId="6" hidden="1">{"fdsup://directions/FAT Viewer?action=UPDATE&amp;creator=factset&amp;DYN_ARGS=TRUE&amp;DOC_NAME=FAT:FQL_AUDITING_CLIENT_TEMPLATE.FAT&amp;display_string=Audit&amp;VAR:KEY=LCROTGTGRW&amp;VAR:QUERY=RkZfRUJJVChBTk4sMjAxMCk=&amp;WINDOW=FIRST_POPUP&amp;HEIGHT=450&amp;WIDTH=450&amp;START_MAXIMIZED=FALS","E&amp;VAR:CALENDAR=US&amp;VAR:SYMBOL=RA&amp;VAR:INDEX=0"}</definedName>
    <definedName name="_194__FDSAUDITLINK__" hidden="1">{"fdsup://directions/FAT Viewer?action=UPDATE&amp;creator=factset&amp;DYN_ARGS=TRUE&amp;DOC_NAME=FAT:FQL_AUDITING_CLIENT_TEMPLATE.FAT&amp;display_string=Audit&amp;VAR:KEY=ALEDQDKJQZ&amp;VAR:QUERY=RkZfSU5WRU5fVFVSTihDQUwsMjAwMSwsLFJGKQ==&amp;WINDOW=FIRST_POPUP&amp;HEIGHT=450&amp;WIDTH=450&amp;STAR","T_MAXIMIZED=FALSE&amp;VAR:CALENDAR=US&amp;VAR:SYMBOL=556352&amp;VAR:INDEX=0"}</definedName>
    <definedName name="_195__FDSAUDITLINK__" localSheetId="6" hidden="1">{"fdsup://directions/FAT Viewer?action=UPDATE&amp;creator=factset&amp;DYN_ARGS=TRUE&amp;DOC_NAME=FAT:FQL_AUDITING_CLIENT_TEMPLATE.FAT&amp;display_string=Audit&amp;VAR:KEY=TSLEZADAFC&amp;VAR:QUERY=RkZfRUJJVChBTk4sMjAxMCk=&amp;WINDOW=FIRST_POPUP&amp;HEIGHT=450&amp;WIDTH=450&amp;START_MAXIMIZED=FALS","E&amp;VAR:CALENDAR=US&amp;VAR:SYMBOL=NSC&amp;VAR:INDEX=0"}</definedName>
    <definedName name="_195__FDSAUDITLINK__" hidden="1">{"fdsup://directions/FAT Viewer?action=UPDATE&amp;creator=factset&amp;DYN_ARGS=TRUE&amp;DOC_NAME=FAT:FQL_AUDITING_CLIENT_TEMPLATE.FAT&amp;display_string=Audit&amp;VAR:KEY=EZADMRYPAD&amp;VAR:QUERY=RkZfSU5WRU5fVFVSTihDQUwsMjAwMiwsLFJGKQ==&amp;WINDOW=FIRST_POPUP&amp;HEIGHT=450&amp;WIDTH=450&amp;STAR","T_MAXIMIZED=FALSE&amp;VAR:CALENDAR=US&amp;VAR:SYMBOL=556352&amp;VAR:INDEX=0"}</definedName>
    <definedName name="_196__FDSAUDITLINK__" localSheetId="6" hidden="1">{"fdsup://directions/FAT Viewer?action=UPDATE&amp;creator=factset&amp;DYN_ARGS=TRUE&amp;DOC_NAME=FAT:FQL_AUDITING_CLIENT_TEMPLATE.FAT&amp;display_string=Audit&amp;VAR:KEY=DKZARCNIFO&amp;VAR:QUERY=RkZfRUJJVChBTk4sMjAxMCk=&amp;WINDOW=FIRST_POPUP&amp;HEIGHT=450&amp;WIDTH=450&amp;START_MAXIMIZED=FALS","E&amp;VAR:CALENDAR=US&amp;VAR:SYMBOL=KSU&amp;VAR:INDEX=0"}</definedName>
    <definedName name="_196__FDSAUDITLINK__" hidden="1">{"fdsup://directions/FAT Viewer?action=UPDATE&amp;creator=factset&amp;DYN_ARGS=TRUE&amp;DOC_NAME=FAT:FQL_AUDITING_CLIENT_TEMPLATE.FAT&amp;display_string=Audit&amp;VAR:KEY=MFGBYLQTCL&amp;VAR:QUERY=RkZfSU5WRU5fVFVSTihDQUwsMjAwMywsLFJGKQ==&amp;WINDOW=FIRST_POPUP&amp;HEIGHT=450&amp;WIDTH=450&amp;STAR","T_MAXIMIZED=FALSE&amp;VAR:CALENDAR=US&amp;VAR:SYMBOL=556352&amp;VAR:INDEX=0"}</definedName>
    <definedName name="_197__FDSAUDITLINK__" localSheetId="6" hidden="1">{"fdsup://directions/FAT Viewer?action=UPDATE&amp;creator=factset&amp;DYN_ARGS=TRUE&amp;DOC_NAME=FAT:FQL_AUDITING_CLIENT_TEMPLATE.FAT&amp;display_string=Audit&amp;VAR:KEY=JGFQXYRAHG&amp;VAR:QUERY=RkZfRUJJVChBTk4sMjAxMCk=&amp;WINDOW=FIRST_POPUP&amp;HEIGHT=450&amp;WIDTH=450&amp;START_MAXIMIZED=FALS","E&amp;VAR:CALENDAR=US&amp;VAR:SYMBOL=GWR&amp;VAR:INDEX=0"}</definedName>
    <definedName name="_197__FDSAUDITLINK__" hidden="1">{"fdsup://directions/FAT Viewer?action=UPDATE&amp;creator=factset&amp;DYN_ARGS=TRUE&amp;DOC_NAME=FAT:FQL_AUDITING_CLIENT_TEMPLATE.FAT&amp;display_string=Audit&amp;VAR:KEY=MFCLEDOJUP&amp;VAR:QUERY=RkZfSU5WRU5fVFVSTihDQUwsMjAwNCwsLFJGKQ==&amp;WINDOW=FIRST_POPUP&amp;HEIGHT=450&amp;WIDTH=450&amp;STAR","T_MAXIMIZED=FALSE&amp;VAR:CALENDAR=US&amp;VAR:SYMBOL=556352&amp;VAR:INDEX=0"}</definedName>
    <definedName name="_198__FDSAUDITLINK__" localSheetId="6" hidden="1">{"fdsup://directions/FAT Viewer?action=UPDATE&amp;creator=factset&amp;DYN_ARGS=TRUE&amp;DOC_NAME=FAT:FQL_AUDITING_CLIENT_TEMPLATE.FAT&amp;display_string=Audit&amp;VAR:KEY=TEBGJOLEZO&amp;VAR:QUERY=RkZfRUJJVChBTk4sMjAxMCk=&amp;WINDOW=FIRST_POPUP&amp;HEIGHT=450&amp;WIDTH=450&amp;START_MAXIMIZED=FALS","E&amp;VAR:CALENDAR=US&amp;VAR:SYMBOL=CSX&amp;VAR:INDEX=0"}</definedName>
    <definedName name="_198__FDSAUDITLINK__" hidden="1">{"fdsup://directions/FAT Viewer?action=UPDATE&amp;creator=factset&amp;DYN_ARGS=TRUE&amp;DOC_NAME=FAT:FQL_AUDITING_CLIENT_TEMPLATE.FAT&amp;display_string=Audit&amp;VAR:KEY=QTSJQFYZCB&amp;VAR:QUERY=RkZfSU5WRU5fVFVSTihDQUwsMjAwNSwsLFJGKQ==&amp;WINDOW=FIRST_POPUP&amp;HEIGHT=450&amp;WIDTH=450&amp;STAR","T_MAXIMIZED=FALSE&amp;VAR:CALENDAR=US&amp;VAR:SYMBOL=556352&amp;VAR:INDEX=0"}</definedName>
    <definedName name="_199__FDSAUDITLINK__" localSheetId="6" hidden="1">{"fdsup://directions/FAT Viewer?action=UPDATE&amp;creator=factset&amp;DYN_ARGS=TRUE&amp;DOC_NAME=FAT:FQL_AUDITING_CLIENT_TEMPLATE.FAT&amp;display_string=Audit&amp;VAR:KEY=HMVUPGRQDM&amp;VAR:QUERY=RkZfRUJJVChBTk4sMjAxMCk=&amp;WINDOW=FIRST_POPUP&amp;HEIGHT=450&amp;WIDTH=450&amp;START_MAXIMIZED=FALS","E&amp;VAR:CALENDAR=US&amp;VAR:SYMBOL=CP&amp;VAR:INDEX=0"}</definedName>
    <definedName name="_199__FDSAUDITLINK__" hidden="1">{"fdsup://directions/FAT Viewer?action=UPDATE&amp;creator=factset&amp;DYN_ARGS=TRUE&amp;DOC_NAME=FAT:FQL_AUDITING_CLIENT_TEMPLATE.FAT&amp;display_string=Audit&amp;VAR:KEY=ETCJKLGNCT&amp;VAR:QUERY=RkZfSU5WRU5fVFVSTihDQUwsMjAwNiwsLFJGKQ==&amp;WINDOW=FIRST_POPUP&amp;HEIGHT=450&amp;WIDTH=450&amp;STAR","T_MAXIMIZED=FALSE&amp;VAR:CALENDAR=US&amp;VAR:SYMBOL=556352&amp;VAR:INDEX=0"}</definedName>
    <definedName name="_2__FDSAUDITLINK__" localSheetId="5" hidden="1">{"fdsup://directions/FAT Viewer?action=UPDATE&amp;creator=factset&amp;DYN_ARGS=TRUE&amp;DOC_NAME=FAT:FQL_AUDITING_CLIENT_TEMPLATE.FAT&amp;display_string=Audit&amp;VAR:KEY=HKNIZORYTW&amp;VAR:QUERY=RkZfTkVUX0lOQyhBTk4sMjAxMCk=&amp;WINDOW=FIRST_POPUP&amp;HEIGHT=450&amp;WIDTH=450&amp;START_MAXIMIZED=","FALSE&amp;VAR:CALENDAR=US&amp;VAR:SYMBOL=RA&amp;VAR:INDEX=0"}</definedName>
    <definedName name="_2__FDSAUDITLINK__" localSheetId="6" hidden="1">{"fdsup://Directions/FactSet Auditing Viewer?action=AUDIT_VALUE&amp;DB=129&amp;ID1=03783310&amp;VALUEID=02001&amp;SDATE=2009&amp;PERIODTYPE=ANN_STD&amp;window=popup_no_bar&amp;width=385&amp;height=120&amp;START_MAXIMIZED=FALSE&amp;creator=factset&amp;display_string=Audit"}</definedName>
    <definedName name="_2__FDSAUDITLINK__" localSheetId="7" hidden="1">{"fdsup://directions/FAT Viewer?action=UPDATE&amp;creator=factset&amp;DYN_ARGS=TRUE&amp;DOC_NAME=FAT:FQL_AUDITING_CLIENT_TEMPLATE.FAT&amp;display_string=Audit&amp;VAR:KEY=HKNIZORYTW&amp;VAR:QUERY=RkZfTkVUX0lOQyhBTk4sMjAxMCk=&amp;WINDOW=FIRST_POPUP&amp;HEIGHT=450&amp;WIDTH=450&amp;START_MAXIMIZED=","FALSE&amp;VAR:CALENDAR=US&amp;VAR:SYMBOL=RA&amp;VAR:INDEX=0"}</definedName>
    <definedName name="_2__FDSAUDITLINK__" hidden="1">{"fdsup://directions/FAT Viewer?action=UPDATE&amp;creator=factset&amp;DYN_ARGS=TRUE&amp;DOC_NAME=FAT:FQL_AUDITING_CLIENT_TEMPLATE.FAT&amp;display_string=Audit&amp;VAR:KEY=VIHIBYBOPU&amp;VAR:QUERY=RkZfTkVUX0lOQyhBTk4sMjAwOSk=&amp;WINDOW=FIRST_POPUP&amp;HEIGHT=450&amp;WIDTH=450&amp;START_MAXIMIZED=","FALSE&amp;VAR:CALENDAR=US&amp;VAR:SYMBOL=RA&amp;VAR:INDEX=0"}</definedName>
    <definedName name="_20__FDSAUDITLINK__" localSheetId="6" hidden="1">{"fdsup://directions/FAT Viewer?action=UPDATE&amp;creator=factset&amp;DYN_ARGS=TRUE&amp;DOC_NAME=FAT:FQL_AUDITING_CLIENT_TEMPLATE.FAT&amp;display_string=Audit&amp;VAR:KEY=CBYLCVWFIZ&amp;VAR:QUERY=RkZfRUJJVERBKEFOTiwyMDEwKQ==&amp;WINDOW=FIRST_POPUP&amp;HEIGHT=450&amp;WIDTH=450&amp;START_MAXIMIZED=","FALSE&amp;VAR:CALENDAR=US&amp;VAR:SYMBOL=KSU&amp;VAR:INDEX=0"}</definedName>
    <definedName name="_20__FDSAUDITLINK__" hidden="1">{"fdsup://directions/FAT Viewer?action=UPDATE&amp;creator=factset&amp;DYN_ARGS=TRUE&amp;DOC_NAME=FAT:FQL_AUDITING_CLIENT_TEMPLATE.FAT&amp;display_string=Audit&amp;VAR:KEY=XKXCRUTYVA&amp;VAR:QUERY=RkZfRUJJVERBKEFOTiwyMDA5KQ==&amp;WINDOW=FIRST_POPUP&amp;HEIGHT=450&amp;WIDTH=450&amp;START_MAXIMIZED=","FALSE&amp;VAR:CALENDAR=US&amp;VAR:SYMBOL=KSU&amp;VAR:INDEX=0"}</definedName>
    <definedName name="_200__FDSAUDITLINK__" localSheetId="6" hidden="1">{"fdsup://directions/FAT Viewer?action=UPDATE&amp;creator=factset&amp;DYN_ARGS=TRUE&amp;DOC_NAME=FAT:FQL_AUDITING_CLIENT_TEMPLATE.FAT&amp;display_string=Audit&amp;VAR:KEY=XCLQPOHIPY&amp;VAR:QUERY=RkZfRUJJVChBTk4sMjAxMCk=&amp;WINDOW=FIRST_POPUP&amp;HEIGHT=450&amp;WIDTH=450&amp;START_MAXIMIZED=FALS","E&amp;VAR:CALENDAR=US&amp;VAR:SYMBOL=CNI&amp;VAR:INDEX=0"}</definedName>
    <definedName name="_200__FDSAUDITLINK__" hidden="1">{"fdsup://directions/FAT Viewer?action=UPDATE&amp;creator=factset&amp;DYN_ARGS=TRUE&amp;DOC_NAME=FAT:FQL_AUDITING_CLIENT_TEMPLATE.FAT&amp;display_string=Audit&amp;VAR:KEY=IRCPENSLOD&amp;VAR:QUERY=RkZfSU5WRU5fVFVSTihDQUwsMjAwOCwsLFJGKQ==&amp;WINDOW=FIRST_POPUP&amp;HEIGHT=450&amp;WIDTH=450&amp;STAR","T_MAXIMIZED=FALSE&amp;VAR:CALENDAR=US&amp;VAR:SYMBOL=556352&amp;VAR:INDEX=0"}</definedName>
    <definedName name="_201__FDSAUDITLINK__" localSheetId="6" hidden="1">{"fdsup://directions/FAT Viewer?action=UPDATE&amp;creator=factset&amp;DYN_ARGS=TRUE&amp;DOC_NAME=FAT:FQL_AUDITING_CLIENT_TEMPLATE.FAT&amp;display_string=Audit&amp;VAR:KEY=NYPUZSLQVA&amp;VAR:QUERY=RkZfRUJJVERBKEFOTiwyMDEwKQ==&amp;WINDOW=FIRST_POPUP&amp;HEIGHT=450&amp;WIDTH=450&amp;START_MAXIMIZED=","FALSE&amp;VAR:CALENDAR=US&amp;VAR:SYMBOL=UNP&amp;VAR:INDEX=0"}</definedName>
    <definedName name="_201__FDSAUDITLINK__" hidden="1">{"fdsup://directions/FAT Viewer?action=UPDATE&amp;creator=factset&amp;DYN_ARGS=TRUE&amp;DOC_NAME=FAT:FQL_AUDITING_CLIENT_TEMPLATE.FAT&amp;display_string=Audit&amp;VAR:KEY=KJKJMDIRGB&amp;VAR:QUERY=RkZfSU5WRU5fVFVSTihDQUwsMjAwOSwsLFJGKQ==&amp;WINDOW=FIRST_POPUP&amp;HEIGHT=450&amp;WIDTH=450&amp;STAR","T_MAXIMIZED=FALSE&amp;VAR:CALENDAR=US&amp;VAR:SYMBOL=556352&amp;VAR:INDEX=0"}</definedName>
    <definedName name="_202__FDSAUDITLINK__" localSheetId="6" hidden="1">{"fdsup://directions/FAT Viewer?action=UPDATE&amp;creator=factset&amp;DYN_ARGS=TRUE&amp;DOC_NAME=FAT:FQL_AUDITING_CLIENT_TEMPLATE.FAT&amp;display_string=Audit&amp;VAR:KEY=HWRYLYPIFY&amp;VAR:QUERY=RkZfRUJJVERBKEFOTiwyMDEwKQ==&amp;WINDOW=FIRST_POPUP&amp;HEIGHT=450&amp;WIDTH=450&amp;START_MAXIMIZED=","FALSE&amp;VAR:CALENDAR=US&amp;VAR:SYMBOL=RA&amp;VAR:INDEX=0"}</definedName>
    <definedName name="_202__FDSAUDITLINK__" hidden="1">{"fdsup://directions/FAT Viewer?action=UPDATE&amp;creator=factset&amp;DYN_ARGS=TRUE&amp;DOC_NAME=FAT:FQL_AUDITING_CLIENT_TEMPLATE.FAT&amp;display_string=Audit&amp;VAR:KEY=ALEDQDKJQZ&amp;VAR:QUERY=RkZfSU5WRU5fVFVSTihDQUwsMjAwMSwsLFJGKQ==&amp;WINDOW=FIRST_POPUP&amp;HEIGHT=450&amp;WIDTH=450&amp;STAR","T_MAXIMIZED=FALSE&amp;VAR:CALENDAR=US&amp;VAR:SYMBOL=556352&amp;VAR:INDEX=0"}</definedName>
    <definedName name="_203__FDSAUDITLINK__" localSheetId="6" hidden="1">{"fdsup://directions/FAT Viewer?action=UPDATE&amp;creator=factset&amp;DYN_ARGS=TRUE&amp;DOC_NAME=FAT:FQL_AUDITING_CLIENT_TEMPLATE.FAT&amp;display_string=Audit&amp;VAR:KEY=RWNWNAXCJK&amp;VAR:QUERY=RkZfRUJJVERBKEFOTiwyMDEwKQ==&amp;WINDOW=FIRST_POPUP&amp;HEIGHT=450&amp;WIDTH=450&amp;START_MAXIMIZED=","FALSE&amp;VAR:CALENDAR=US&amp;VAR:SYMBOL=NSC&amp;VAR:INDEX=0"}</definedName>
    <definedName name="_203__FDSAUDITLINK__" hidden="1">{"fdsup://directions/FAT Viewer?action=UPDATE&amp;creator=factset&amp;DYN_ARGS=TRUE&amp;DOC_NAME=FAT:FQL_AUDITING_CLIENT_TEMPLATE.FAT&amp;display_string=Audit&amp;VAR:KEY=EZADMRYPAD&amp;VAR:QUERY=RkZfSU5WRU5fVFVSTihDQUwsMjAwMiwsLFJGKQ==&amp;WINDOW=FIRST_POPUP&amp;HEIGHT=450&amp;WIDTH=450&amp;STAR","T_MAXIMIZED=FALSE&amp;VAR:CALENDAR=US&amp;VAR:SYMBOL=556352&amp;VAR:INDEX=0"}</definedName>
    <definedName name="_204__FDSAUDITLINK__" localSheetId="6" hidden="1">{"fdsup://directions/FAT Viewer?action=UPDATE&amp;creator=factset&amp;DYN_ARGS=TRUE&amp;DOC_NAME=FAT:FQL_AUDITING_CLIENT_TEMPLATE.FAT&amp;display_string=Audit&amp;VAR:KEY=ZSPGZCHCLI&amp;VAR:QUERY=RkZfRUJJVERBKEFOTiwyMDEwKQ==&amp;WINDOW=FIRST_POPUP&amp;HEIGHT=450&amp;WIDTH=450&amp;START_MAXIMIZED=","FALSE&amp;VAR:CALENDAR=US&amp;VAR:SYMBOL=KSU&amp;VAR:INDEX=0"}</definedName>
    <definedName name="_204__FDSAUDITLINK__" hidden="1">{"fdsup://directions/FAT Viewer?action=UPDATE&amp;creator=factset&amp;DYN_ARGS=TRUE&amp;DOC_NAME=FAT:FQL_AUDITING_CLIENT_TEMPLATE.FAT&amp;display_string=Audit&amp;VAR:KEY=MFGBYLQTCL&amp;VAR:QUERY=RkZfSU5WRU5fVFVSTihDQUwsMjAwMywsLFJGKQ==&amp;WINDOW=FIRST_POPUP&amp;HEIGHT=450&amp;WIDTH=450&amp;STAR","T_MAXIMIZED=FALSE&amp;VAR:CALENDAR=US&amp;VAR:SYMBOL=556352&amp;VAR:INDEX=0"}</definedName>
    <definedName name="_205__FDSAUDITLINK__" localSheetId="6" hidden="1">{"fdsup://directions/FAT Viewer?action=UPDATE&amp;creator=factset&amp;DYN_ARGS=TRUE&amp;DOC_NAME=FAT:FQL_AUDITING_CLIENT_TEMPLATE.FAT&amp;display_string=Audit&amp;VAR:KEY=ZOHQTSZKPK&amp;VAR:QUERY=RkZfRUJJVERBKEFOTiwyMDEwKQ==&amp;WINDOW=FIRST_POPUP&amp;HEIGHT=450&amp;WIDTH=450&amp;START_MAXIMIZED=","FALSE&amp;VAR:CALENDAR=US&amp;VAR:SYMBOL=GWR&amp;VAR:INDEX=0"}</definedName>
    <definedName name="_205__FDSAUDITLINK__" hidden="1">{"fdsup://directions/FAT Viewer?action=UPDATE&amp;creator=factset&amp;DYN_ARGS=TRUE&amp;DOC_NAME=FAT:FQL_AUDITING_CLIENT_TEMPLATE.FAT&amp;display_string=Audit&amp;VAR:KEY=MFCLEDOJUP&amp;VAR:QUERY=RkZfSU5WRU5fVFVSTihDQUwsMjAwNCwsLFJGKQ==&amp;WINDOW=FIRST_POPUP&amp;HEIGHT=450&amp;WIDTH=450&amp;STAR","T_MAXIMIZED=FALSE&amp;VAR:CALENDAR=US&amp;VAR:SYMBOL=556352&amp;VAR:INDEX=0"}</definedName>
    <definedName name="_206__FDSAUDITLINK__" localSheetId="6" hidden="1">{"fdsup://directions/FAT Viewer?action=UPDATE&amp;creator=factset&amp;DYN_ARGS=TRUE&amp;DOC_NAME=FAT:FQL_AUDITING_CLIENT_TEMPLATE.FAT&amp;display_string=Audit&amp;VAR:KEY=PQLMHUNSDY&amp;VAR:QUERY=RkZfRUJJVERBKEFOTiwyMDEwKQ==&amp;WINDOW=FIRST_POPUP&amp;HEIGHT=450&amp;WIDTH=450&amp;START_MAXIMIZED=","FALSE&amp;VAR:CALENDAR=US&amp;VAR:SYMBOL=CSX&amp;VAR:INDEX=0"}</definedName>
    <definedName name="_206__FDSAUDITLINK__" hidden="1">{"fdsup://directions/FAT Viewer?action=UPDATE&amp;creator=factset&amp;DYN_ARGS=TRUE&amp;DOC_NAME=FAT:FQL_AUDITING_CLIENT_TEMPLATE.FAT&amp;display_string=Audit&amp;VAR:KEY=QTSJQFYZCB&amp;VAR:QUERY=RkZfSU5WRU5fVFVSTihDQUwsMjAwNSwsLFJGKQ==&amp;WINDOW=FIRST_POPUP&amp;HEIGHT=450&amp;WIDTH=450&amp;STAR","T_MAXIMIZED=FALSE&amp;VAR:CALENDAR=US&amp;VAR:SYMBOL=556352&amp;VAR:INDEX=0"}</definedName>
    <definedName name="_207__FDSAUDITLINK__" localSheetId="6" hidden="1">{"fdsup://directions/FAT Viewer?action=UPDATE&amp;creator=factset&amp;DYN_ARGS=TRUE&amp;DOC_NAME=FAT:FQL_AUDITING_CLIENT_TEMPLATE.FAT&amp;display_string=Audit&amp;VAR:KEY=TOBWXQLKPG&amp;VAR:QUERY=RkZfRUJJVERBKEFOTiwyMDEwKQ==&amp;WINDOW=FIRST_POPUP&amp;HEIGHT=450&amp;WIDTH=450&amp;START_MAXIMIZED=","FALSE&amp;VAR:CALENDAR=US&amp;VAR:SYMBOL=CP&amp;VAR:INDEX=0"}</definedName>
    <definedName name="_207__FDSAUDITLINK__" hidden="1">{"fdsup://directions/FAT Viewer?action=UPDATE&amp;creator=factset&amp;DYN_ARGS=TRUE&amp;DOC_NAME=FAT:FQL_AUDITING_CLIENT_TEMPLATE.FAT&amp;display_string=Audit&amp;VAR:KEY=ETCJKLGNCT&amp;VAR:QUERY=RkZfSU5WRU5fVFVSTihDQUwsMjAwNiwsLFJGKQ==&amp;WINDOW=FIRST_POPUP&amp;HEIGHT=450&amp;WIDTH=450&amp;STAR","T_MAXIMIZED=FALSE&amp;VAR:CALENDAR=US&amp;VAR:SYMBOL=556352&amp;VAR:INDEX=0"}</definedName>
    <definedName name="_208__FDSAUDITLINK__" localSheetId="6" hidden="1">{"fdsup://directions/FAT Viewer?action=UPDATE&amp;creator=factset&amp;DYN_ARGS=TRUE&amp;DOC_NAME=FAT:FQL_AUDITING_CLIENT_TEMPLATE.FAT&amp;display_string=Audit&amp;VAR:KEY=FILMJGJSXK&amp;VAR:QUERY=RkZfRUJJVERBKEFOTiwyMDEwKQ==&amp;WINDOW=FIRST_POPUP&amp;HEIGHT=450&amp;WIDTH=450&amp;START_MAXIMIZED=","FALSE&amp;VAR:CALENDAR=US&amp;VAR:SYMBOL=CNI&amp;VAR:INDEX=0"}</definedName>
    <definedName name="_208__FDSAUDITLINK__" hidden="1">{"fdsup://directions/FAT Viewer?action=UPDATE&amp;creator=factset&amp;DYN_ARGS=TRUE&amp;DOC_NAME=FAT:FQL_AUDITING_CLIENT_TEMPLATE.FAT&amp;display_string=Audit&amp;VAR:KEY=IRCPENSLOD&amp;VAR:QUERY=RkZfSU5WRU5fVFVSTihDQUwsMjAwOCwsLFJGKQ==&amp;WINDOW=FIRST_POPUP&amp;HEIGHT=450&amp;WIDTH=450&amp;STAR","T_MAXIMIZED=FALSE&amp;VAR:CALENDAR=US&amp;VAR:SYMBOL=556352&amp;VAR:INDEX=0"}</definedName>
    <definedName name="_209__FDSAUDITLINK__" localSheetId="6" hidden="1">{"fdsup://directions/FAT Viewer?action=UPDATE&amp;creator=factset&amp;DYN_ARGS=TRUE&amp;DOC_NAME=FAT:FQL_AUDITING_CLIENT_TEMPLATE.FAT&amp;display_string=Audit&amp;VAR:KEY=NQPIJATGHS&amp;VAR:QUERY=RkZfTkVUX0lOQyhBTk4sMjAxMCk=&amp;WINDOW=FIRST_POPUP&amp;HEIGHT=450&amp;WIDTH=450&amp;START_MAXIMIZED=","FALSE&amp;VAR:CALENDAR=US&amp;VAR:SYMBOL=UNP&amp;VAR:INDEX=0"}</definedName>
    <definedName name="_209__FDSAUDITLINK__" hidden="1">{"fdsup://directions/FAT Viewer?action=UPDATE&amp;creator=factset&amp;DYN_ARGS=TRUE&amp;DOC_NAME=FAT:FQL_AUDITING_CLIENT_TEMPLATE.FAT&amp;display_string=Audit&amp;VAR:KEY=KJKJMDIRGB&amp;VAR:QUERY=RkZfSU5WRU5fVFVSTihDQUwsMjAwOSwsLFJGKQ==&amp;WINDOW=FIRST_POPUP&amp;HEIGHT=450&amp;WIDTH=450&amp;STAR","T_MAXIMIZED=FALSE&amp;VAR:CALENDAR=US&amp;VAR:SYMBOL=556352&amp;VAR:INDEX=0"}</definedName>
    <definedName name="_21__FDSAUDITLINK__" localSheetId="6" hidden="1">{"fdsup://directions/FAT Viewer?action=UPDATE&amp;creator=factset&amp;DYN_ARGS=TRUE&amp;DOC_NAME=FAT:FQL_AUDITING_CLIENT_TEMPLATE.FAT&amp;display_string=Audit&amp;VAR:KEY=MZIRGRQDQT&amp;VAR:QUERY=RkZfRUJJVERBKEFOTiwyMDEwKQ==&amp;WINDOW=FIRST_POPUP&amp;HEIGHT=450&amp;WIDTH=450&amp;START_MAXIMIZED=","FALSE&amp;VAR:CALENDAR=US&amp;VAR:SYMBOL=GWR&amp;VAR:INDEX=0"}</definedName>
    <definedName name="_21__FDSAUDITLINK__" hidden="1">{"fdsup://directions/FAT Viewer?action=UPDATE&amp;creator=factset&amp;DYN_ARGS=TRUE&amp;DOC_NAME=FAT:FQL_AUDITING_CLIENT_TEMPLATE.FAT&amp;display_string=Audit&amp;VAR:KEY=ZWBUHQBQBE&amp;VAR:QUERY=RkZfRUJJVERBKEFOTiwyMDA5KQ==&amp;WINDOW=FIRST_POPUP&amp;HEIGHT=450&amp;WIDTH=450&amp;START_MAXIMIZED=","FALSE&amp;VAR:CALENDAR=US&amp;VAR:SYMBOL=GWR&amp;VAR:INDEX=0"}</definedName>
    <definedName name="_210__FDSAUDITLINK__" localSheetId="6" hidden="1">{"fdsup://directions/FAT Viewer?action=UPDATE&amp;creator=factset&amp;DYN_ARGS=TRUE&amp;DOC_NAME=FAT:FQL_AUDITING_CLIENT_TEMPLATE.FAT&amp;display_string=Audit&amp;VAR:KEY=TALGXWRMTO&amp;VAR:QUERY=RkZfTkVUX0lOQyhBTk4sMjAxMCk=&amp;WINDOW=FIRST_POPUP&amp;HEIGHT=450&amp;WIDTH=450&amp;START_MAXIMIZED=","FALSE&amp;VAR:CALENDAR=US&amp;VAR:SYMBOL=RA&amp;VAR:INDEX=0"}</definedName>
    <definedName name="_210__FDSAUDITLINK__" hidden="1">{"fdsup://directions/FAT Viewer?action=UPDATE&amp;creator=factset&amp;DYN_ARGS=TRUE&amp;DOC_NAME=FAT:FQL_AUDITING_CLIENT_TEMPLATE.FAT&amp;display_string=Audit&amp;VAR:KEY=ALEDQDKJQZ&amp;VAR:QUERY=RkZfSU5WRU5fVFVSTihDQUwsMjAwMSwsLFJGKQ==&amp;WINDOW=FIRST_POPUP&amp;HEIGHT=450&amp;WIDTH=450&amp;STAR","T_MAXIMIZED=FALSE&amp;VAR:CALENDAR=US&amp;VAR:SYMBOL=556352&amp;VAR:INDEX=0"}</definedName>
    <definedName name="_211__FDSAUDITLINK__" localSheetId="6" hidden="1">{"fdsup://directions/FAT Viewer?action=UPDATE&amp;creator=factset&amp;DYN_ARGS=TRUE&amp;DOC_NAME=FAT:FQL_AUDITING_CLIENT_TEMPLATE.FAT&amp;display_string=Audit&amp;VAR:KEY=HMBQPKXIDA&amp;VAR:QUERY=RkZfTkVUX0lOQyhBTk4sMjAxMCk=&amp;WINDOW=FIRST_POPUP&amp;HEIGHT=450&amp;WIDTH=450&amp;START_MAXIMIZED=","FALSE&amp;VAR:CALENDAR=US&amp;VAR:SYMBOL=NSC&amp;VAR:INDEX=0"}</definedName>
    <definedName name="_211__FDSAUDITLINK__" hidden="1">{"fdsup://directions/FAT Viewer?action=UPDATE&amp;creator=factset&amp;DYN_ARGS=TRUE&amp;DOC_NAME=FAT:FQL_AUDITING_CLIENT_TEMPLATE.FAT&amp;display_string=Audit&amp;VAR:KEY=EZADMRYPAD&amp;VAR:QUERY=RkZfSU5WRU5fVFVSTihDQUwsMjAwMiwsLFJGKQ==&amp;WINDOW=FIRST_POPUP&amp;HEIGHT=450&amp;WIDTH=450&amp;STAR","T_MAXIMIZED=FALSE&amp;VAR:CALENDAR=US&amp;VAR:SYMBOL=556352&amp;VAR:INDEX=0"}</definedName>
    <definedName name="_212__FDSAUDITLINK__" localSheetId="6" hidden="1">{"fdsup://directions/FAT Viewer?action=UPDATE&amp;creator=factset&amp;DYN_ARGS=TRUE&amp;DOC_NAME=FAT:FQL_AUDITING_CLIENT_TEMPLATE.FAT&amp;display_string=Audit&amp;VAR:KEY=NWRKRUFQBQ&amp;VAR:QUERY=RkZfTkVUX0lOQyhBTk4sMjAxMCk=&amp;WINDOW=FIRST_POPUP&amp;HEIGHT=450&amp;WIDTH=450&amp;START_MAXIMIZED=","FALSE&amp;VAR:CALENDAR=US&amp;VAR:SYMBOL=KSU&amp;VAR:INDEX=0"}</definedName>
    <definedName name="_212__FDSAUDITLINK__" hidden="1">{"fdsup://directions/FAT Viewer?action=UPDATE&amp;creator=factset&amp;DYN_ARGS=TRUE&amp;DOC_NAME=FAT:FQL_AUDITING_CLIENT_TEMPLATE.FAT&amp;display_string=Audit&amp;VAR:KEY=MFGBYLQTCL&amp;VAR:QUERY=RkZfSU5WRU5fVFVSTihDQUwsMjAwMywsLFJGKQ==&amp;WINDOW=FIRST_POPUP&amp;HEIGHT=450&amp;WIDTH=450&amp;STAR","T_MAXIMIZED=FALSE&amp;VAR:CALENDAR=US&amp;VAR:SYMBOL=556352&amp;VAR:INDEX=0"}</definedName>
    <definedName name="_213__FDSAUDITLINK__" localSheetId="6" hidden="1">{"fdsup://directions/FAT Viewer?action=UPDATE&amp;creator=factset&amp;DYN_ARGS=TRUE&amp;DOC_NAME=FAT:FQL_AUDITING_CLIENT_TEMPLATE.FAT&amp;display_string=Audit&amp;VAR:KEY=PSHITCFIVG&amp;VAR:QUERY=RkZfTkVUX0lOQyhBTk4sMjAxMCk=&amp;WINDOW=FIRST_POPUP&amp;HEIGHT=450&amp;WIDTH=450&amp;START_MAXIMIZED=","FALSE&amp;VAR:CALENDAR=US&amp;VAR:SYMBOL=GWR&amp;VAR:INDEX=0"}</definedName>
    <definedName name="_213__FDSAUDITLINK__" hidden="1">{"fdsup://directions/FAT Viewer?action=UPDATE&amp;creator=factset&amp;DYN_ARGS=TRUE&amp;DOC_NAME=FAT:FQL_AUDITING_CLIENT_TEMPLATE.FAT&amp;display_string=Audit&amp;VAR:KEY=MFCLEDOJUP&amp;VAR:QUERY=RkZfSU5WRU5fVFVSTihDQUwsMjAwNCwsLFJGKQ==&amp;WINDOW=FIRST_POPUP&amp;HEIGHT=450&amp;WIDTH=450&amp;STAR","T_MAXIMIZED=FALSE&amp;VAR:CALENDAR=US&amp;VAR:SYMBOL=556352&amp;VAR:INDEX=0"}</definedName>
    <definedName name="_214__FDSAUDITLINK__" localSheetId="6" hidden="1">{"fdsup://directions/FAT Viewer?action=UPDATE&amp;creator=factset&amp;DYN_ARGS=TRUE&amp;DOC_NAME=FAT:FQL_AUDITING_CLIENT_TEMPLATE.FAT&amp;display_string=Audit&amp;VAR:KEY=TEJSHGRUZU&amp;VAR:QUERY=RkZfTkVUX0lOQyhBTk4sMjAxMCk=&amp;WINDOW=FIRST_POPUP&amp;HEIGHT=450&amp;WIDTH=450&amp;START_MAXIMIZED=","FALSE&amp;VAR:CALENDAR=US&amp;VAR:SYMBOL=CSX&amp;VAR:INDEX=0"}</definedName>
    <definedName name="_214__FDSAUDITLINK__" hidden="1">{"fdsup://directions/FAT Viewer?action=UPDATE&amp;creator=factset&amp;DYN_ARGS=TRUE&amp;DOC_NAME=FAT:FQL_AUDITING_CLIENT_TEMPLATE.FAT&amp;display_string=Audit&amp;VAR:KEY=QTSJQFYZCB&amp;VAR:QUERY=RkZfSU5WRU5fVFVSTihDQUwsMjAwNSwsLFJGKQ==&amp;WINDOW=FIRST_POPUP&amp;HEIGHT=450&amp;WIDTH=450&amp;STAR","T_MAXIMIZED=FALSE&amp;VAR:CALENDAR=US&amp;VAR:SYMBOL=556352&amp;VAR:INDEX=0"}</definedName>
    <definedName name="_215__FDSAUDITLINK__" localSheetId="6" hidden="1">{"fdsup://directions/FAT Viewer?action=UPDATE&amp;creator=factset&amp;DYN_ARGS=TRUE&amp;DOC_NAME=FAT:FQL_AUDITING_CLIENT_TEMPLATE.FAT&amp;display_string=Audit&amp;VAR:KEY=PUVSNUNGVG&amp;VAR:QUERY=RkZfTkVUX0lOQyhBTk4sMjAxMCk=&amp;WINDOW=FIRST_POPUP&amp;HEIGHT=450&amp;WIDTH=450&amp;START_MAXIMIZED=","FALSE&amp;VAR:CALENDAR=US&amp;VAR:SYMBOL=CP&amp;VAR:INDEX=0"}</definedName>
    <definedName name="_215__FDSAUDITLINK__" hidden="1">{"fdsup://directions/FAT Viewer?action=UPDATE&amp;creator=factset&amp;DYN_ARGS=TRUE&amp;DOC_NAME=FAT:FQL_AUDITING_CLIENT_TEMPLATE.FAT&amp;display_string=Audit&amp;VAR:KEY=ETCJKLGNCT&amp;VAR:QUERY=RkZfSU5WRU5fVFVSTihDQUwsMjAwNiwsLFJGKQ==&amp;WINDOW=FIRST_POPUP&amp;HEIGHT=450&amp;WIDTH=450&amp;STAR","T_MAXIMIZED=FALSE&amp;VAR:CALENDAR=US&amp;VAR:SYMBOL=556352&amp;VAR:INDEX=0"}</definedName>
    <definedName name="_216__FDSAUDITLINK__" localSheetId="6" hidden="1">{"fdsup://directions/FAT Viewer?action=UPDATE&amp;creator=factset&amp;DYN_ARGS=TRUE&amp;DOC_NAME=FAT:FQL_AUDITING_CLIENT_TEMPLATE.FAT&amp;display_string=Audit&amp;VAR:KEY=PIRGRKDAXG&amp;VAR:QUERY=RkZfTkVUX0lOQyhBTk4sMjAxMCk=&amp;WINDOW=FIRST_POPUP&amp;HEIGHT=450&amp;WIDTH=450&amp;START_MAXIMIZED=","FALSE&amp;VAR:CALENDAR=US&amp;VAR:SYMBOL=CNI&amp;VAR:INDEX=0"}</definedName>
    <definedName name="_216__FDSAUDITLINK__" hidden="1">{"fdsup://directions/FAT Viewer?action=UPDATE&amp;creator=factset&amp;DYN_ARGS=TRUE&amp;DOC_NAME=FAT:FQL_AUDITING_CLIENT_TEMPLATE.FAT&amp;display_string=Audit&amp;VAR:KEY=IRCPENSLOD&amp;VAR:QUERY=RkZfSU5WRU5fVFVSTihDQUwsMjAwOCwsLFJGKQ==&amp;WINDOW=FIRST_POPUP&amp;HEIGHT=450&amp;WIDTH=450&amp;STAR","T_MAXIMIZED=FALSE&amp;VAR:CALENDAR=US&amp;VAR:SYMBOL=556352&amp;VAR:INDEX=0"}</definedName>
    <definedName name="_217__FDSAUDITLINK__" localSheetId="6" hidden="1">{"fdsup://directions/FAT Viewer?action=UPDATE&amp;creator=factset&amp;DYN_ARGS=TRUE&amp;DOC_NAME=FAT:FQL_AUDITING_CLIENT_TEMPLATE.FAT&amp;display_string=Audit&amp;VAR:KEY=NQPIJATGHS&amp;VAR:QUERY=RkZfTkVUX0lOQyhBTk4sMjAxMCk=&amp;WINDOW=FIRST_POPUP&amp;HEIGHT=450&amp;WIDTH=450&amp;START_MAXIMIZED=","FALSE&amp;VAR:CALENDAR=US&amp;VAR:SYMBOL=UNP&amp;VAR:INDEX=0"}</definedName>
    <definedName name="_217__FDSAUDITLINK__" hidden="1">{"fdsup://directions/FAT Viewer?action=UPDATE&amp;creator=factset&amp;DYN_ARGS=TRUE&amp;DOC_NAME=FAT:FQL_AUDITING_CLIENT_TEMPLATE.FAT&amp;display_string=Audit&amp;VAR:KEY=KJKJMDIRGB&amp;VAR:QUERY=RkZfSU5WRU5fVFVSTihDQUwsMjAwOSwsLFJGKQ==&amp;WINDOW=FIRST_POPUP&amp;HEIGHT=450&amp;WIDTH=450&amp;STAR","T_MAXIMIZED=FALSE&amp;VAR:CALENDAR=US&amp;VAR:SYMBOL=556352&amp;VAR:INDEX=0"}</definedName>
    <definedName name="_218__FDSAUDITLINK__" localSheetId="6" hidden="1">{"fdsup://directions/FAT Viewer?action=UPDATE&amp;creator=factset&amp;DYN_ARGS=TRUE&amp;DOC_NAME=FAT:FQL_AUDITING_CLIENT_TEMPLATE.FAT&amp;display_string=Audit&amp;VAR:KEY=TALGXWRMTO&amp;VAR:QUERY=RkZfTkVUX0lOQyhBTk4sMjAxMCk=&amp;WINDOW=FIRST_POPUP&amp;HEIGHT=450&amp;WIDTH=450&amp;START_MAXIMIZED=","FALSE&amp;VAR:CALENDAR=US&amp;VAR:SYMBOL=RA&amp;VAR:INDEX=0"}</definedName>
    <definedName name="_218__FDSAUDITLINK__" hidden="1">{"fdsup://directions/FAT Viewer?action=UPDATE&amp;creator=factset&amp;DYN_ARGS=TRUE&amp;DOC_NAME=FAT:FQL_AUDITING_CLIENT_TEMPLATE.FAT&amp;display_string=Audit&amp;VAR:KEY=ALEDQDKJQZ&amp;VAR:QUERY=RkZfSU5WRU5fVFVSTihDQUwsMjAwMSwsLFJGKQ==&amp;WINDOW=FIRST_POPUP&amp;HEIGHT=450&amp;WIDTH=450&amp;STAR","T_MAXIMIZED=FALSE&amp;VAR:CALENDAR=US&amp;VAR:SYMBOL=556352&amp;VAR:INDEX=0"}</definedName>
    <definedName name="_219__FDSAUDITLINK__" localSheetId="6" hidden="1">{"fdsup://directions/FAT Viewer?action=UPDATE&amp;creator=factset&amp;DYN_ARGS=TRUE&amp;DOC_NAME=FAT:FQL_AUDITING_CLIENT_TEMPLATE.FAT&amp;display_string=Audit&amp;VAR:KEY=HMBQPKXIDA&amp;VAR:QUERY=RkZfTkVUX0lOQyhBTk4sMjAxMCk=&amp;WINDOW=FIRST_POPUP&amp;HEIGHT=450&amp;WIDTH=450&amp;START_MAXIMIZED=","FALSE&amp;VAR:CALENDAR=US&amp;VAR:SYMBOL=NSC&amp;VAR:INDEX=0"}</definedName>
    <definedName name="_219__FDSAUDITLINK__" hidden="1">{"fdsup://directions/FAT Viewer?action=UPDATE&amp;creator=factset&amp;DYN_ARGS=TRUE&amp;DOC_NAME=FAT:FQL_AUDITING_CLIENT_TEMPLATE.FAT&amp;display_string=Audit&amp;VAR:KEY=EZADMRYPAD&amp;VAR:QUERY=RkZfSU5WRU5fVFVSTihDQUwsMjAwMiwsLFJGKQ==&amp;WINDOW=FIRST_POPUP&amp;HEIGHT=450&amp;WIDTH=450&amp;STAR","T_MAXIMIZED=FALSE&amp;VAR:CALENDAR=US&amp;VAR:SYMBOL=556352&amp;VAR:INDEX=0"}</definedName>
    <definedName name="_22__FDSAUDITLINK__" localSheetId="6" hidden="1">{"fdsup://directions/FAT Viewer?action=UPDATE&amp;creator=factset&amp;DYN_ARGS=TRUE&amp;DOC_NAME=FAT:FQL_AUDITING_CLIENT_TEMPLATE.FAT&amp;display_string=Audit&amp;VAR:KEY=WNEPKPEBAB&amp;VAR:QUERY=RkZfRUJJVERBKEFOTiwyMDEwKQ==&amp;WINDOW=FIRST_POPUP&amp;HEIGHT=450&amp;WIDTH=450&amp;START_MAXIMIZED=","FALSE&amp;VAR:CALENDAR=US&amp;VAR:SYMBOL=CSX&amp;VAR:INDEX=0"}</definedName>
    <definedName name="_22__FDSAUDITLINK__" hidden="1">{"fdsup://directions/FAT Viewer?action=UPDATE&amp;creator=factset&amp;DYN_ARGS=TRUE&amp;DOC_NAME=FAT:FQL_AUDITING_CLIENT_TEMPLATE.FAT&amp;display_string=Audit&amp;VAR:KEY=BIVUXIBITK&amp;VAR:QUERY=RkZfRUJJVERBKEFOTiwyMDA5KQ==&amp;WINDOW=FIRST_POPUP&amp;HEIGHT=450&amp;WIDTH=450&amp;START_MAXIMIZED=","FALSE&amp;VAR:CALENDAR=US&amp;VAR:SYMBOL=CSX&amp;VAR:INDEX=0"}</definedName>
    <definedName name="_220__FDSAUDITLINK__" localSheetId="6" hidden="1">{"fdsup://directions/FAT Viewer?action=UPDATE&amp;creator=factset&amp;DYN_ARGS=TRUE&amp;DOC_NAME=FAT:FQL_AUDITING_CLIENT_TEMPLATE.FAT&amp;display_string=Audit&amp;VAR:KEY=NWRKRUFQBQ&amp;VAR:QUERY=RkZfTkVUX0lOQyhBTk4sMjAxMCk=&amp;WINDOW=FIRST_POPUP&amp;HEIGHT=450&amp;WIDTH=450&amp;START_MAXIMIZED=","FALSE&amp;VAR:CALENDAR=US&amp;VAR:SYMBOL=KSU&amp;VAR:INDEX=0"}</definedName>
    <definedName name="_220__FDSAUDITLINK__" hidden="1">{"fdsup://directions/FAT Viewer?action=UPDATE&amp;creator=factset&amp;DYN_ARGS=TRUE&amp;DOC_NAME=FAT:FQL_AUDITING_CLIENT_TEMPLATE.FAT&amp;display_string=Audit&amp;VAR:KEY=MFGBYLQTCL&amp;VAR:QUERY=RkZfSU5WRU5fVFVSTihDQUwsMjAwMywsLFJGKQ==&amp;WINDOW=FIRST_POPUP&amp;HEIGHT=450&amp;WIDTH=450&amp;STAR","T_MAXIMIZED=FALSE&amp;VAR:CALENDAR=US&amp;VAR:SYMBOL=556352&amp;VAR:INDEX=0"}</definedName>
    <definedName name="_221__FDSAUDITLINK__" localSheetId="6" hidden="1">{"fdsup://directions/FAT Viewer?action=UPDATE&amp;creator=factset&amp;DYN_ARGS=TRUE&amp;DOC_NAME=FAT:FQL_AUDITING_CLIENT_TEMPLATE.FAT&amp;display_string=Audit&amp;VAR:KEY=PSHITCFIVG&amp;VAR:QUERY=RkZfTkVUX0lOQyhBTk4sMjAxMCk=&amp;WINDOW=FIRST_POPUP&amp;HEIGHT=450&amp;WIDTH=450&amp;START_MAXIMIZED=","FALSE&amp;VAR:CALENDAR=US&amp;VAR:SYMBOL=GWR&amp;VAR:INDEX=0"}</definedName>
    <definedName name="_221__FDSAUDITLINK__" hidden="1">{"fdsup://directions/FAT Viewer?action=UPDATE&amp;creator=factset&amp;DYN_ARGS=TRUE&amp;DOC_NAME=FAT:FQL_AUDITING_CLIENT_TEMPLATE.FAT&amp;display_string=Audit&amp;VAR:KEY=MFCLEDOJUP&amp;VAR:QUERY=RkZfSU5WRU5fVFVSTihDQUwsMjAwNCwsLFJGKQ==&amp;WINDOW=FIRST_POPUP&amp;HEIGHT=450&amp;WIDTH=450&amp;STAR","T_MAXIMIZED=FALSE&amp;VAR:CALENDAR=US&amp;VAR:SYMBOL=556352&amp;VAR:INDEX=0"}</definedName>
    <definedName name="_222__FDSAUDITLINK__" localSheetId="6" hidden="1">{"fdsup://directions/FAT Viewer?action=UPDATE&amp;creator=factset&amp;DYN_ARGS=TRUE&amp;DOC_NAME=FAT:FQL_AUDITING_CLIENT_TEMPLATE.FAT&amp;display_string=Audit&amp;VAR:KEY=TEJSHGRUZU&amp;VAR:QUERY=RkZfTkVUX0lOQyhBTk4sMjAxMCk=&amp;WINDOW=FIRST_POPUP&amp;HEIGHT=450&amp;WIDTH=450&amp;START_MAXIMIZED=","FALSE&amp;VAR:CALENDAR=US&amp;VAR:SYMBOL=CSX&amp;VAR:INDEX=0"}</definedName>
    <definedName name="_222__FDSAUDITLINK__" hidden="1">{"fdsup://directions/FAT Viewer?action=UPDATE&amp;creator=factset&amp;DYN_ARGS=TRUE&amp;DOC_NAME=FAT:FQL_AUDITING_CLIENT_TEMPLATE.FAT&amp;display_string=Audit&amp;VAR:KEY=QTSJQFYZCB&amp;VAR:QUERY=RkZfSU5WRU5fVFVSTihDQUwsMjAwNSwsLFJGKQ==&amp;WINDOW=FIRST_POPUP&amp;HEIGHT=450&amp;WIDTH=450&amp;STAR","T_MAXIMIZED=FALSE&amp;VAR:CALENDAR=US&amp;VAR:SYMBOL=556352&amp;VAR:INDEX=0"}</definedName>
    <definedName name="_223__FDSAUDITLINK__" localSheetId="6" hidden="1">{"fdsup://directions/FAT Viewer?action=UPDATE&amp;creator=factset&amp;DYN_ARGS=TRUE&amp;DOC_NAME=FAT:FQL_AUDITING_CLIENT_TEMPLATE.FAT&amp;display_string=Audit&amp;VAR:KEY=PUVSNUNGVG&amp;VAR:QUERY=RkZfTkVUX0lOQyhBTk4sMjAxMCk=&amp;WINDOW=FIRST_POPUP&amp;HEIGHT=450&amp;WIDTH=450&amp;START_MAXIMIZED=","FALSE&amp;VAR:CALENDAR=US&amp;VAR:SYMBOL=CP&amp;VAR:INDEX=0"}</definedName>
    <definedName name="_223__FDSAUDITLINK__" hidden="1">{"fdsup://directions/FAT Viewer?action=UPDATE&amp;creator=factset&amp;DYN_ARGS=TRUE&amp;DOC_NAME=FAT:FQL_AUDITING_CLIENT_TEMPLATE.FAT&amp;display_string=Audit&amp;VAR:KEY=ETCJKLGNCT&amp;VAR:QUERY=RkZfSU5WRU5fVFVSTihDQUwsMjAwNiwsLFJGKQ==&amp;WINDOW=FIRST_POPUP&amp;HEIGHT=450&amp;WIDTH=450&amp;STAR","T_MAXIMIZED=FALSE&amp;VAR:CALENDAR=US&amp;VAR:SYMBOL=556352&amp;VAR:INDEX=0"}</definedName>
    <definedName name="_224__FDSAUDITLINK__" localSheetId="6" hidden="1">{"fdsup://directions/FAT Viewer?action=UPDATE&amp;creator=factset&amp;DYN_ARGS=TRUE&amp;DOC_NAME=FAT:FQL_AUDITING_CLIENT_TEMPLATE.FAT&amp;display_string=Audit&amp;VAR:KEY=PIRGRKDAXG&amp;VAR:QUERY=RkZfTkVUX0lOQyhBTk4sMjAxMCk=&amp;WINDOW=FIRST_POPUP&amp;HEIGHT=450&amp;WIDTH=450&amp;START_MAXIMIZED=","FALSE&amp;VAR:CALENDAR=US&amp;VAR:SYMBOL=CNI&amp;VAR:INDEX=0"}</definedName>
    <definedName name="_224__FDSAUDITLINK__" hidden="1">{"fdsup://directions/FAT Viewer?action=UPDATE&amp;creator=factset&amp;DYN_ARGS=TRUE&amp;DOC_NAME=FAT:FQL_AUDITING_CLIENT_TEMPLATE.FAT&amp;display_string=Audit&amp;VAR:KEY=IRCPENSLOD&amp;VAR:QUERY=RkZfSU5WRU5fVFVSTihDQUwsMjAwOCwsLFJGKQ==&amp;WINDOW=FIRST_POPUP&amp;HEIGHT=450&amp;WIDTH=450&amp;STAR","T_MAXIMIZED=FALSE&amp;VAR:CALENDAR=US&amp;VAR:SYMBOL=556352&amp;VAR:INDEX=0"}</definedName>
    <definedName name="_225__FDSAUDITLINK__" localSheetId="6" hidden="1">{"fdsup://directions/FAT Viewer?action=UPDATE&amp;creator=factset&amp;DYN_ARGS=TRUE&amp;DOC_NAME=FAT:FQL_AUDITING_CLIENT_TEMPLATE.FAT&amp;display_string=Audit&amp;VAR:KEY=TEFEBCHYLA&amp;VAR:QUERY=RkZfTkVUX0lOQyhBTk4sMjAxMCk=&amp;WINDOW=FIRST_POPUP&amp;HEIGHT=450&amp;WIDTH=450&amp;START_MAXIMIZED=","FALSE&amp;VAR:CALENDAR=US&amp;VAR:SYMBOL=WERN&amp;VAR:INDEX=0"}</definedName>
    <definedName name="_225__FDSAUDITLINK__" hidden="1">{"fdsup://directions/FAT Viewer?action=UPDATE&amp;creator=factset&amp;DYN_ARGS=TRUE&amp;DOC_NAME=FAT:FQL_AUDITING_CLIENT_TEMPLATE.FAT&amp;display_string=Audit&amp;VAR:KEY=KJKJMDIRGB&amp;VAR:QUERY=RkZfSU5WRU5fVFVSTihDQUwsMjAwOSwsLFJGKQ==&amp;WINDOW=FIRST_POPUP&amp;HEIGHT=450&amp;WIDTH=450&amp;STAR","T_MAXIMIZED=FALSE&amp;VAR:CALENDAR=US&amp;VAR:SYMBOL=556352&amp;VAR:INDEX=0"}</definedName>
    <definedName name="_226__FDSAUDITLINK__" localSheetId="6" hidden="1">{"fdsup://directions/FAT Viewer?action=UPDATE&amp;creator=factset&amp;DYN_ARGS=TRUE&amp;DOC_NAME=FAT:FQL_AUDITING_CLIENT_TEMPLATE.FAT&amp;display_string=Audit&amp;VAR:KEY=DKZMTQXOBY&amp;VAR:QUERY=RkZfTkVUX0lOQyhBTk4sMjAxMCk=&amp;WINDOW=FIRST_POPUP&amp;HEIGHT=450&amp;WIDTH=450&amp;START_MAXIMIZED=","FALSE&amp;VAR:CALENDAR=US&amp;VAR:SYMBOL=UTIW&amp;VAR:INDEX=0"}</definedName>
    <definedName name="_226__FDSAUDITLINK__" hidden="1">{"fdsup://directions/FAT Viewer?action=UPDATE&amp;creator=factset&amp;DYN_ARGS=TRUE&amp;DOC_NAME=FAT:FQL_AUDITING_CLIENT_TEMPLATE.FAT&amp;display_string=Audit&amp;VAR:KEY=ALEDQDKJQZ&amp;VAR:QUERY=RkZfSU5WRU5fVFVSTihDQUwsMjAwMSwsLFJGKQ==&amp;WINDOW=FIRST_POPUP&amp;HEIGHT=450&amp;WIDTH=450&amp;STAR","T_MAXIMIZED=FALSE&amp;VAR:CALENDAR=US&amp;VAR:SYMBOL=556352&amp;VAR:INDEX=0"}</definedName>
    <definedName name="_227__FDSAUDITLINK__" localSheetId="6" hidden="1">{"fdsup://directions/FAT Viewer?action=UPDATE&amp;creator=factset&amp;DYN_ARGS=TRUE&amp;DOC_NAME=FAT:FQL_AUDITING_CLIENT_TEMPLATE.FAT&amp;display_string=Audit&amp;VAR:KEY=ZMPSHSFQPC&amp;VAR:QUERY=RkZfTkVUX0lOQyhBTk4sMjAxMCk=&amp;WINDOW=FIRST_POPUP&amp;HEIGHT=450&amp;WIDTH=450&amp;START_MAXIMIZED=","FALSE&amp;VAR:CALENDAR=US&amp;VAR:SYMBOL=UPS&amp;VAR:INDEX=0"}</definedName>
    <definedName name="_227__FDSAUDITLINK__" hidden="1">{"fdsup://directions/FAT Viewer?action=UPDATE&amp;creator=factset&amp;DYN_ARGS=TRUE&amp;DOC_NAME=FAT:FQL_AUDITING_CLIENT_TEMPLATE.FAT&amp;display_string=Audit&amp;VAR:KEY=EZADMRYPAD&amp;VAR:QUERY=RkZfSU5WRU5fVFVSTihDQUwsMjAwMiwsLFJGKQ==&amp;WINDOW=FIRST_POPUP&amp;HEIGHT=450&amp;WIDTH=450&amp;STAR","T_MAXIMIZED=FALSE&amp;VAR:CALENDAR=US&amp;VAR:SYMBOL=556352&amp;VAR:INDEX=0"}</definedName>
    <definedName name="_228__FDSAUDITLINK__" localSheetId="6" hidden="1">{"fdsup://directions/FAT Viewer?action=UPDATE&amp;creator=factset&amp;DYN_ARGS=TRUE&amp;DOC_NAME=FAT:FQL_AUDITING_CLIENT_TEMPLATE.FAT&amp;display_string=Audit&amp;VAR:KEY=ZERKTWLUZM&amp;VAR:QUERY=RkZfTkVUX0lOQyhBTk4sMjAxMCk=&amp;WINDOW=FIRST_POPUP&amp;HEIGHT=450&amp;WIDTH=450&amp;START_MAXIMIZED=","FALSE&amp;VAR:CALENDAR=US&amp;VAR:SYMBOL=UNP&amp;VAR:INDEX=0"}</definedName>
    <definedName name="_228__FDSAUDITLINK__" hidden="1">{"fdsup://directions/FAT Viewer?action=UPDATE&amp;creator=factset&amp;DYN_ARGS=TRUE&amp;DOC_NAME=FAT:FQL_AUDITING_CLIENT_TEMPLATE.FAT&amp;display_string=Audit&amp;VAR:KEY=MFGBYLQTCL&amp;VAR:QUERY=RkZfSU5WRU5fVFVSTihDQUwsMjAwMywsLFJGKQ==&amp;WINDOW=FIRST_POPUP&amp;HEIGHT=450&amp;WIDTH=450&amp;STAR","T_MAXIMIZED=FALSE&amp;VAR:CALENDAR=US&amp;VAR:SYMBOL=556352&amp;VAR:INDEX=0"}</definedName>
    <definedName name="_229__FDSAUDITLINK__" localSheetId="6" hidden="1">{"fdsup://directions/FAT Viewer?action=UPDATE&amp;creator=factset&amp;DYN_ARGS=TRUE&amp;DOC_NAME=FAT:FQL_AUDITING_CLIENT_TEMPLATE.FAT&amp;display_string=Audit&amp;VAR:KEY=XSHQBOPYBO&amp;VAR:QUERY=RkZfTkVUX0lOQyhBTk4sMjAxMCk=&amp;WINDOW=FIRST_POPUP&amp;HEIGHT=450&amp;WIDTH=450&amp;START_MAXIMIZED=","FALSE&amp;VAR:CALENDAR=US&amp;VAR:SYMBOL=SWFT&amp;VAR:INDEX=0"}</definedName>
    <definedName name="_229__FDSAUDITLINK__" hidden="1">{"fdsup://directions/FAT Viewer?action=UPDATE&amp;creator=factset&amp;DYN_ARGS=TRUE&amp;DOC_NAME=FAT:FQL_AUDITING_CLIENT_TEMPLATE.FAT&amp;display_string=Audit&amp;VAR:KEY=MFCLEDOJUP&amp;VAR:QUERY=RkZfSU5WRU5fVFVSTihDQUwsMjAwNCwsLFJGKQ==&amp;WINDOW=FIRST_POPUP&amp;HEIGHT=450&amp;WIDTH=450&amp;STAR","T_MAXIMIZED=FALSE&amp;VAR:CALENDAR=US&amp;VAR:SYMBOL=556352&amp;VAR:INDEX=0"}</definedName>
    <definedName name="_23__FDSAUDITLINK__" localSheetId="6" hidden="1">{"fdsup://directions/FAT Viewer?action=UPDATE&amp;creator=factset&amp;DYN_ARGS=TRUE&amp;DOC_NAME=FAT:FQL_AUDITING_CLIENT_TEMPLATE.FAT&amp;display_string=Audit&amp;VAR:KEY=KDCPCRGJOX&amp;VAR:QUERY=RkZfRUJJVERBKEFOTiwyMDEwKQ==&amp;WINDOW=FIRST_POPUP&amp;HEIGHT=450&amp;WIDTH=450&amp;START_MAXIMIZED=","FALSE&amp;VAR:CALENDAR=US&amp;VAR:SYMBOL=CP&amp;VAR:INDEX=0"}</definedName>
    <definedName name="_23__FDSAUDITLINK__" hidden="1">{"fdsup://directions/FAT Viewer?action=UPDATE&amp;creator=factset&amp;DYN_ARGS=TRUE&amp;DOC_NAME=FAT:FQL_AUDITING_CLIENT_TEMPLATE.FAT&amp;display_string=Audit&amp;VAR:KEY=DWHGPKXKXY&amp;VAR:QUERY=RkZfRUJJVERBKEFOTiwyMDA5KQ==&amp;WINDOW=FIRST_POPUP&amp;HEIGHT=450&amp;WIDTH=450&amp;START_MAXIMIZED=","FALSE&amp;VAR:CALENDAR=US&amp;VAR:SYMBOL=CP&amp;VAR:INDEX=0"}</definedName>
    <definedName name="_230__FDSAUDITLINK__" localSheetId="6" hidden="1">{"fdsup://directions/FAT Viewer?action=UPDATE&amp;creator=factset&amp;DYN_ARGS=TRUE&amp;DOC_NAME=FAT:FQL_AUDITING_CLIENT_TEMPLATE.FAT&amp;display_string=Audit&amp;VAR:KEY=VMJEPWPIXO&amp;VAR:QUERY=RkZfTkVUX0lOQyhBTk4sMjAxMCk=&amp;WINDOW=FIRST_POPUP&amp;HEIGHT=450&amp;WIDTH=450&amp;START_MAXIMIZED=","FALSE&amp;VAR:CALENDAR=US&amp;VAR:SYMBOL=RA&amp;VAR:INDEX=0"}</definedName>
    <definedName name="_230__FDSAUDITLINK__" hidden="1">{"fdsup://directions/FAT Viewer?action=UPDATE&amp;creator=factset&amp;DYN_ARGS=TRUE&amp;DOC_NAME=FAT:FQL_AUDITING_CLIENT_TEMPLATE.FAT&amp;display_string=Audit&amp;VAR:KEY=QTSJQFYZCB&amp;VAR:QUERY=RkZfSU5WRU5fVFVSTihDQUwsMjAwNSwsLFJGKQ==&amp;WINDOW=FIRST_POPUP&amp;HEIGHT=450&amp;WIDTH=450&amp;STAR","T_MAXIMIZED=FALSE&amp;VAR:CALENDAR=US&amp;VAR:SYMBOL=556352&amp;VAR:INDEX=0"}</definedName>
    <definedName name="_231__FDSAUDITLINK__" localSheetId="6" hidden="1">{"fdsup://directions/FAT Viewer?action=UPDATE&amp;creator=factset&amp;DYN_ARGS=TRUE&amp;DOC_NAME=FAT:FQL_AUDITING_CLIENT_TEMPLATE.FAT&amp;display_string=Audit&amp;VAR:KEY=NKHQVIBYPU&amp;VAR:QUERY=RkZfTkVUX0lOQyhBTk4sMjAxMCk=&amp;WINDOW=FIRST_POPUP&amp;HEIGHT=450&amp;WIDTH=450&amp;START_MAXIMIZED=","FALSE&amp;VAR:CALENDAR=US&amp;VAR:SYMBOL=NSC&amp;VAR:INDEX=0"}</definedName>
    <definedName name="_231__FDSAUDITLINK__" hidden="1">{"fdsup://directions/FAT Viewer?action=UPDATE&amp;creator=factset&amp;DYN_ARGS=TRUE&amp;DOC_NAME=FAT:FQL_AUDITING_CLIENT_TEMPLATE.FAT&amp;display_string=Audit&amp;VAR:KEY=ETCJKLGNCT&amp;VAR:QUERY=RkZfSU5WRU5fVFVSTihDQUwsMjAwNiwsLFJGKQ==&amp;WINDOW=FIRST_POPUP&amp;HEIGHT=450&amp;WIDTH=450&amp;STAR","T_MAXIMIZED=FALSE&amp;VAR:CALENDAR=US&amp;VAR:SYMBOL=556352&amp;VAR:INDEX=0"}</definedName>
    <definedName name="_232__FDSAUDITLINK__" localSheetId="6" hidden="1">{"fdsup://directions/FAT Viewer?action=UPDATE&amp;creator=factset&amp;DYN_ARGS=TRUE&amp;DOC_NAME=FAT:FQL_AUDITING_CLIENT_TEMPLATE.FAT&amp;display_string=Audit&amp;VAR:KEY=NUZSXGPYTE&amp;VAR:QUERY=RkZfTkVUX0lOQyhBTk4sMjAxMCk=&amp;WINDOW=FIRST_POPUP&amp;HEIGHT=450&amp;WIDTH=450&amp;START_MAXIMIZED=","FALSE&amp;VAR:CALENDAR=US&amp;VAR:SYMBOL=KSU&amp;VAR:INDEX=0"}</definedName>
    <definedName name="_232__FDSAUDITLINK__" hidden="1">{"fdsup://directions/FAT Viewer?action=UPDATE&amp;creator=factset&amp;DYN_ARGS=TRUE&amp;DOC_NAME=FAT:FQL_AUDITING_CLIENT_TEMPLATE.FAT&amp;display_string=Audit&amp;VAR:KEY=IRCPENSLOD&amp;VAR:QUERY=RkZfSU5WRU5fVFVSTihDQUwsMjAwOCwsLFJGKQ==&amp;WINDOW=FIRST_POPUP&amp;HEIGHT=450&amp;WIDTH=450&amp;STAR","T_MAXIMIZED=FALSE&amp;VAR:CALENDAR=US&amp;VAR:SYMBOL=556352&amp;VAR:INDEX=0"}</definedName>
    <definedName name="_233__FDSAUDITLINK__" localSheetId="6" hidden="1">{"fdsup://directions/FAT Viewer?action=UPDATE&amp;creator=factset&amp;DYN_ARGS=TRUE&amp;DOC_NAME=FAT:FQL_AUDITING_CLIENT_TEMPLATE.FAT&amp;display_string=Audit&amp;VAR:KEY=VIXYFCHCJW&amp;VAR:QUERY=RkZfTkVUX0lOQyhBTk4sMjAxMCk=&amp;WINDOW=FIRST_POPUP&amp;HEIGHT=450&amp;WIDTH=450&amp;START_MAXIMIZED=","FALSE&amp;VAR:CALENDAR=US&amp;VAR:SYMBOL=KNX&amp;VAR:INDEX=0"}</definedName>
    <definedName name="_233__FDSAUDITLINK__" hidden="1">{"fdsup://directions/FAT Viewer?action=UPDATE&amp;creator=factset&amp;DYN_ARGS=TRUE&amp;DOC_NAME=FAT:FQL_AUDITING_CLIENT_TEMPLATE.FAT&amp;display_string=Audit&amp;VAR:KEY=KJKJMDIRGB&amp;VAR:QUERY=RkZfSU5WRU5fVFVSTihDQUwsMjAwOSwsLFJGKQ==&amp;WINDOW=FIRST_POPUP&amp;HEIGHT=450&amp;WIDTH=450&amp;STAR","T_MAXIMIZED=FALSE&amp;VAR:CALENDAR=US&amp;VAR:SYMBOL=556352&amp;VAR:INDEX=0"}</definedName>
    <definedName name="_234__FDSAUDITLINK__" localSheetId="6" hidden="1">{"fdsup://directions/FAT Viewer?action=UPDATE&amp;creator=factset&amp;DYN_ARGS=TRUE&amp;DOC_NAME=FAT:FQL_AUDITING_CLIENT_TEMPLATE.FAT&amp;display_string=Audit&amp;VAR:KEY=VWBAHYTEZO&amp;VAR:QUERY=RkZfTkVUX0lOQyhBTk4sMjAxMCk=&amp;WINDOW=FIRST_POPUP&amp;HEIGHT=450&amp;WIDTH=450&amp;START_MAXIMIZED=","FALSE&amp;VAR:CALENDAR=US&amp;VAR:SYMBOL=JBHT&amp;VAR:INDEX=0"}</definedName>
    <definedName name="_234__FDSAUDITLINK__" hidden="1">{"fdsup://directions/FAT Viewer?action=UPDATE&amp;creator=factset&amp;DYN_ARGS=TRUE&amp;DOC_NAME=FAT:FQL_AUDITING_CLIENT_TEMPLATE.FAT&amp;display_string=Audit&amp;VAR:KEY=ALEDQDKJQZ&amp;VAR:QUERY=RkZfSU5WRU5fVFVSTihDQUwsMjAwMSwsLFJGKQ==&amp;WINDOW=FIRST_POPUP&amp;HEIGHT=450&amp;WIDTH=450&amp;STAR","T_MAXIMIZED=FALSE&amp;VAR:CALENDAR=US&amp;VAR:SYMBOL=556352&amp;VAR:INDEX=0"}</definedName>
    <definedName name="_235__FDSAUDITLINK__" localSheetId="6" hidden="1">{"fdsup://directions/FAT Viewer?action=UPDATE&amp;creator=factset&amp;DYN_ARGS=TRUE&amp;DOC_NAME=FAT:FQL_AUDITING_CLIENT_TEMPLATE.FAT&amp;display_string=Audit&amp;VAR:KEY=ZUDYNERMNW&amp;VAR:QUERY=RkZfTkVUX0lOQyhBTk4sMjAxMCk=&amp;WINDOW=FIRST_POPUP&amp;HEIGHT=450&amp;WIDTH=450&amp;START_MAXIMIZED=","FALSE&amp;VAR:CALENDAR=US&amp;VAR:SYMBOL=HTLD&amp;VAR:INDEX=0"}</definedName>
    <definedName name="_235__FDSAUDITLINK__" hidden="1">{"fdsup://directions/FAT Viewer?action=UPDATE&amp;creator=factset&amp;DYN_ARGS=TRUE&amp;DOC_NAME=FAT:FQL_AUDITING_CLIENT_TEMPLATE.FAT&amp;display_string=Audit&amp;VAR:KEY=EZADMRYPAD&amp;VAR:QUERY=RkZfSU5WRU5fVFVSTihDQUwsMjAwMiwsLFJGKQ==&amp;WINDOW=FIRST_POPUP&amp;HEIGHT=450&amp;WIDTH=450&amp;STAR","T_MAXIMIZED=FALSE&amp;VAR:CALENDAR=US&amp;VAR:SYMBOL=556352&amp;VAR:INDEX=0"}</definedName>
    <definedName name="_236__FDSAUDITLINK__" localSheetId="6" hidden="1">{"fdsup://directions/FAT Viewer?action=UPDATE&amp;creator=factset&amp;DYN_ARGS=TRUE&amp;DOC_NAME=FAT:FQL_AUDITING_CLIENT_TEMPLATE.FAT&amp;display_string=Audit&amp;VAR:KEY=DWLKJADUPM&amp;VAR:QUERY=RkZfTkVUX0lOQyhBTk4sMjAxMCk=&amp;WINDOW=FIRST_POPUP&amp;HEIGHT=450&amp;WIDTH=450&amp;START_MAXIMIZED=","FALSE&amp;VAR:CALENDAR=US&amp;VAR:SYMBOL=GWR&amp;VAR:INDEX=0"}</definedName>
    <definedName name="_236__FDSAUDITLINK__" hidden="1">{"fdsup://directions/FAT Viewer?action=UPDATE&amp;creator=factset&amp;DYN_ARGS=TRUE&amp;DOC_NAME=FAT:FQL_AUDITING_CLIENT_TEMPLATE.FAT&amp;display_string=Audit&amp;VAR:KEY=MFGBYLQTCL&amp;VAR:QUERY=RkZfSU5WRU5fVFVSTihDQUwsMjAwMywsLFJGKQ==&amp;WINDOW=FIRST_POPUP&amp;HEIGHT=450&amp;WIDTH=450&amp;STAR","T_MAXIMIZED=FALSE&amp;VAR:CALENDAR=US&amp;VAR:SYMBOL=556352&amp;VAR:INDEX=0"}</definedName>
    <definedName name="_237__FDSAUDITLINK__" localSheetId="6" hidden="1">{"fdsup://directions/FAT Viewer?action=UPDATE&amp;creator=factset&amp;DYN_ARGS=TRUE&amp;DOC_NAME=FAT:FQL_AUDITING_CLIENT_TEMPLATE.FAT&amp;display_string=Audit&amp;VAR:KEY=NCHITCFSDK&amp;VAR:QUERY=RkZfTkVUX0lOQyhBTk4sMjAxMCk=&amp;WINDOW=FIRST_POPUP&amp;HEIGHT=450&amp;WIDTH=450&amp;START_MAXIMIZED=","FALSE&amp;VAR:CALENDAR=US&amp;VAR:SYMBOL=FDX&amp;VAR:INDEX=0"}</definedName>
    <definedName name="_237__FDSAUDITLINK__" hidden="1">{"fdsup://directions/FAT Viewer?action=UPDATE&amp;creator=factset&amp;DYN_ARGS=TRUE&amp;DOC_NAME=FAT:FQL_AUDITING_CLIENT_TEMPLATE.FAT&amp;display_string=Audit&amp;VAR:KEY=MFCLEDOJUP&amp;VAR:QUERY=RkZfSU5WRU5fVFVSTihDQUwsMjAwNCwsLFJGKQ==&amp;WINDOW=FIRST_POPUP&amp;HEIGHT=450&amp;WIDTH=450&amp;STAR","T_MAXIMIZED=FALSE&amp;VAR:CALENDAR=US&amp;VAR:SYMBOL=556352&amp;VAR:INDEX=0"}</definedName>
    <definedName name="_238__FDSAUDITLINK__" localSheetId="6" hidden="1">{"fdsup://directions/FAT Viewer?action=UPDATE&amp;creator=factset&amp;DYN_ARGS=TRUE&amp;DOC_NAME=FAT:FQL_AUDITING_CLIENT_TEMPLATE.FAT&amp;display_string=Audit&amp;VAR:KEY=DYDADKPAZI&amp;VAR:QUERY=RkZfTkVUX0lOQyhBTk4sMjAxMCk=&amp;WINDOW=FIRST_POPUP&amp;HEIGHT=450&amp;WIDTH=450&amp;START_MAXIMIZED=","FALSE&amp;VAR:CALENDAR=US&amp;VAR:SYMBOL=EXPD&amp;VAR:INDEX=0"}</definedName>
    <definedName name="_238__FDSAUDITLINK__" hidden="1">{"fdsup://directions/FAT Viewer?action=UPDATE&amp;creator=factset&amp;DYN_ARGS=TRUE&amp;DOC_NAME=FAT:FQL_AUDITING_CLIENT_TEMPLATE.FAT&amp;display_string=Audit&amp;VAR:KEY=QTSJQFYZCB&amp;VAR:QUERY=RkZfSU5WRU5fVFVSTihDQUwsMjAwNSwsLFJGKQ==&amp;WINDOW=FIRST_POPUP&amp;HEIGHT=450&amp;WIDTH=450&amp;STAR","T_MAXIMIZED=FALSE&amp;VAR:CALENDAR=US&amp;VAR:SYMBOL=556352&amp;VAR:INDEX=0"}</definedName>
    <definedName name="_239__FDSAUDITLINK__" localSheetId="6" hidden="1">{"fdsup://directions/FAT Viewer?action=UPDATE&amp;creator=factset&amp;DYN_ARGS=TRUE&amp;DOC_NAME=FAT:FQL_AUDITING_CLIENT_TEMPLATE.FAT&amp;display_string=Audit&amp;VAR:KEY=BCNGDMHELQ&amp;VAR:QUERY=RkZfTkVUX0lOQyhBTk4sMjAxMCk=&amp;WINDOW=FIRST_POPUP&amp;HEIGHT=450&amp;WIDTH=450&amp;START_MAXIMIZED=","FALSE&amp;VAR:CALENDAR=US&amp;VAR:SYMBOL=ECHO&amp;VAR:INDEX=0"}</definedName>
    <definedName name="_239__FDSAUDITLINK__" hidden="1">{"fdsup://directions/FAT Viewer?action=UPDATE&amp;creator=factset&amp;DYN_ARGS=TRUE&amp;DOC_NAME=FAT:FQL_AUDITING_CLIENT_TEMPLATE.FAT&amp;display_string=Audit&amp;VAR:KEY=ETCJKLGNCT&amp;VAR:QUERY=RkZfSU5WRU5fVFVSTihDQUwsMjAwNiwsLFJGKQ==&amp;WINDOW=FIRST_POPUP&amp;HEIGHT=450&amp;WIDTH=450&amp;STAR","T_MAXIMIZED=FALSE&amp;VAR:CALENDAR=US&amp;VAR:SYMBOL=556352&amp;VAR:INDEX=0"}</definedName>
    <definedName name="_24__FDSAUDITLINK__" localSheetId="6" hidden="1">{"fdsup://directions/FAT Viewer?action=UPDATE&amp;creator=factset&amp;DYN_ARGS=TRUE&amp;DOC_NAME=FAT:FQL_AUDITING_CLIENT_TEMPLATE.FAT&amp;display_string=Audit&amp;VAR:KEY=AZYZAZOHSN&amp;VAR:QUERY=RkZfRUJJVERBKEFOTiwyMDEwKQ==&amp;WINDOW=FIRST_POPUP&amp;HEIGHT=450&amp;WIDTH=450&amp;START_MAXIMIZED=","FALSE&amp;VAR:CALENDAR=US&amp;VAR:SYMBOL=CNI&amp;VAR:INDEX=0"}</definedName>
    <definedName name="_24__FDSAUDITLINK__" hidden="1">{"fdsup://directions/FAT Viewer?action=UPDATE&amp;creator=factset&amp;DYN_ARGS=TRUE&amp;DOC_NAME=FAT:FQL_AUDITING_CLIENT_TEMPLATE.FAT&amp;display_string=Audit&amp;VAR:KEY=JCDUDYVCBO&amp;VAR:QUERY=RkZfRUJJVERBKEFOTiwyMDA5KQ==&amp;WINDOW=FIRST_POPUP&amp;HEIGHT=450&amp;WIDTH=450&amp;START_MAXIMIZED=","FALSE&amp;VAR:CALENDAR=US&amp;VAR:SYMBOL=CNI&amp;VAR:INDEX=0"}</definedName>
    <definedName name="_240__FDSAUDITLINK__" localSheetId="6" hidden="1">{"fdsup://directions/FAT Viewer?action=UPDATE&amp;creator=factset&amp;DYN_ARGS=TRUE&amp;DOC_NAME=FAT:FQL_AUDITING_CLIENT_TEMPLATE.FAT&amp;display_string=Audit&amp;VAR:KEY=ZAXCRELUXM&amp;VAR:QUERY=RkZfTkVUX0lOQyhBTk4sMjAxMCk=&amp;WINDOW=FIRST_POPUP&amp;HEIGHT=450&amp;WIDTH=450&amp;START_MAXIMIZED=","FALSE&amp;VAR:CALENDAR=US&amp;VAR:SYMBOL=CSX&amp;VAR:INDEX=0"}</definedName>
    <definedName name="_240__FDSAUDITLINK__" hidden="1">{"fdsup://directions/FAT Viewer?action=UPDATE&amp;creator=factset&amp;DYN_ARGS=TRUE&amp;DOC_NAME=FAT:FQL_AUDITING_CLIENT_TEMPLATE.FAT&amp;display_string=Audit&amp;VAR:KEY=IRCPENSLOD&amp;VAR:QUERY=RkZfSU5WRU5fVFVSTihDQUwsMjAwOCwsLFJGKQ==&amp;WINDOW=FIRST_POPUP&amp;HEIGHT=450&amp;WIDTH=450&amp;STAR","T_MAXIMIZED=FALSE&amp;VAR:CALENDAR=US&amp;VAR:SYMBOL=556352&amp;VAR:INDEX=0"}</definedName>
    <definedName name="_241__FDSAUDITLINK__" localSheetId="6" hidden="1">{"fdsup://directions/FAT Viewer?action=UPDATE&amp;creator=factset&amp;DYN_ARGS=TRUE&amp;DOC_NAME=FAT:FQL_AUDITING_CLIENT_TEMPLATE.FAT&amp;display_string=Audit&amp;VAR:KEY=TOPEJIDUDE&amp;VAR:QUERY=RkZfTkVUX0lOQyhBTk4sMjAxMCk=&amp;WINDOW=FIRST_POPUP&amp;HEIGHT=450&amp;WIDTH=450&amp;START_MAXIMIZED=","FALSE&amp;VAR:CALENDAR=US&amp;VAR:SYMBOL=CP&amp;VAR:INDEX=0"}</definedName>
    <definedName name="_241__FDSAUDITLINK__" hidden="1">{"fdsup://directions/FAT Viewer?action=UPDATE&amp;creator=factset&amp;DYN_ARGS=TRUE&amp;DOC_NAME=FAT:FQL_AUDITING_CLIENT_TEMPLATE.FAT&amp;display_string=Audit&amp;VAR:KEY=KJKJMDIRGB&amp;VAR:QUERY=RkZfSU5WRU5fVFVSTihDQUwsMjAwOSwsLFJGKQ==&amp;WINDOW=FIRST_POPUP&amp;HEIGHT=450&amp;WIDTH=450&amp;STAR","T_MAXIMIZED=FALSE&amp;VAR:CALENDAR=US&amp;VAR:SYMBOL=556352&amp;VAR:INDEX=0"}</definedName>
    <definedName name="_242__FDSAUDITLINK__" localSheetId="6" hidden="1">{"fdsup://directions/FAT Viewer?action=UPDATE&amp;creator=factset&amp;DYN_ARGS=TRUE&amp;DOC_NAME=FAT:FQL_AUDITING_CLIENT_TEMPLATE.FAT&amp;display_string=Audit&amp;VAR:KEY=TSDAZCBUZS&amp;VAR:QUERY=RkZfTkVUX0lOQyhBTk4sMjAxMCk=&amp;WINDOW=FIRST_POPUP&amp;HEIGHT=450&amp;WIDTH=450&amp;START_MAXIMIZED=","FALSE&amp;VAR:CALENDAR=US&amp;VAR:SYMBOL=CNI&amp;VAR:INDEX=0"}</definedName>
    <definedName name="_242__FDSAUDITLINK__" hidden="1">{"fdsup://directions/FAT Viewer?action=UPDATE&amp;creator=factset&amp;DYN_ARGS=TRUE&amp;DOC_NAME=FAT:FQL_AUDITING_CLIENT_TEMPLATE.FAT&amp;display_string=Audit&amp;VAR:KEY=ALEDQDKJQZ&amp;VAR:QUERY=RkZfSU5WRU5fVFVSTihDQUwsMjAwMSwsLFJGKQ==&amp;WINDOW=FIRST_POPUP&amp;HEIGHT=450&amp;WIDTH=450&amp;STAR","T_MAXIMIZED=FALSE&amp;VAR:CALENDAR=US&amp;VAR:SYMBOL=556352&amp;VAR:INDEX=0"}</definedName>
    <definedName name="_243__FDSAUDITLINK__" localSheetId="6" hidden="1">{"fdsup://directions/FAT Viewer?action=UPDATE&amp;creator=factset&amp;DYN_ARGS=TRUE&amp;DOC_NAME=FAT:FQL_AUDITING_CLIENT_TEMPLATE.FAT&amp;display_string=Audit&amp;VAR:KEY=VGFEBKRWDE&amp;VAR:QUERY=RkZfTkVUX0lOQyhBTk4sMjAxMCk=&amp;WINDOW=FIRST_POPUP&amp;HEIGHT=450&amp;WIDTH=450&amp;START_MAXIMIZED=","FALSE&amp;VAR:CALENDAR=US&amp;VAR:SYMBOL=CHRW&amp;VAR:INDEX=0"}</definedName>
    <definedName name="_243__FDSAUDITLINK__" hidden="1">{"fdsup://directions/FAT Viewer?action=UPDATE&amp;creator=factset&amp;DYN_ARGS=TRUE&amp;DOC_NAME=FAT:FQL_AUDITING_CLIENT_TEMPLATE.FAT&amp;display_string=Audit&amp;VAR:KEY=EZADMRYPAD&amp;VAR:QUERY=RkZfSU5WRU5fVFVSTihDQUwsMjAwMiwsLFJGKQ==&amp;WINDOW=FIRST_POPUP&amp;HEIGHT=450&amp;WIDTH=450&amp;STAR","T_MAXIMIZED=FALSE&amp;VAR:CALENDAR=US&amp;VAR:SYMBOL=556352&amp;VAR:INDEX=0"}</definedName>
    <definedName name="_244__FDSAUDITLINK__" localSheetId="6" hidden="1">{"fdsup://Directions/FactSet Auditing Viewer?action=AUDIT_VALUE&amp;DB=129&amp;ID1=90781810&amp;VALUEID=01401&amp;SDATE=2010&amp;PERIODTYPE=ANN_STD&amp;SCFT=3&amp;window=popup_no_bar&amp;width=385&amp;height=120&amp;START_MAXIMIZED=FALSE&amp;creator=factset&amp;display_string=Audit"}</definedName>
    <definedName name="_244__FDSAUDITLINK__" hidden="1">{"fdsup://directions/FAT Viewer?action=UPDATE&amp;creator=factset&amp;DYN_ARGS=TRUE&amp;DOC_NAME=FAT:FQL_AUDITING_CLIENT_TEMPLATE.FAT&amp;display_string=Audit&amp;VAR:KEY=MFGBYLQTCL&amp;VAR:QUERY=RkZfSU5WRU5fVFVSTihDQUwsMjAwMywsLFJGKQ==&amp;WINDOW=FIRST_POPUP&amp;HEIGHT=450&amp;WIDTH=450&amp;STAR","T_MAXIMIZED=FALSE&amp;VAR:CALENDAR=US&amp;VAR:SYMBOL=556352&amp;VAR:INDEX=0"}</definedName>
    <definedName name="_245__FDSAUDITLINK__" localSheetId="6" hidden="1">{"fdsup://Directions/FactSet Auditing Viewer?action=AUDIT_VALUE&amp;DB=129&amp;ID1=75075340&amp;VALUEID=01401&amp;SDATE=2010&amp;PERIODTYPE=ANN_STD&amp;SCFT=3&amp;window=popup_no_bar&amp;width=385&amp;height=120&amp;START_MAXIMIZED=FALSE&amp;creator=factset&amp;display_string=Audit"}</definedName>
    <definedName name="_245__FDSAUDITLINK__" hidden="1">{"fdsup://directions/FAT Viewer?action=UPDATE&amp;creator=factset&amp;DYN_ARGS=TRUE&amp;DOC_NAME=FAT:FQL_AUDITING_CLIENT_TEMPLATE.FAT&amp;display_string=Audit&amp;VAR:KEY=MFCLEDOJUP&amp;VAR:QUERY=RkZfSU5WRU5fVFVSTihDQUwsMjAwNCwsLFJGKQ==&amp;WINDOW=FIRST_POPUP&amp;HEIGHT=450&amp;WIDTH=450&amp;STAR","T_MAXIMIZED=FALSE&amp;VAR:CALENDAR=US&amp;VAR:SYMBOL=556352&amp;VAR:INDEX=0"}</definedName>
    <definedName name="_246__FDSAUDITLINK__" localSheetId="6" hidden="1">{"fdsup://Directions/FactSet Auditing Viewer?action=AUDIT_VALUE&amp;DB=129&amp;ID1=65584410&amp;VALUEID=01401&amp;SDATE=2010&amp;PERIODTYPE=ANN_STD&amp;SCFT=3&amp;window=popup_no_bar&amp;width=385&amp;height=120&amp;START_MAXIMIZED=FALSE&amp;creator=factset&amp;display_string=Audit"}</definedName>
    <definedName name="_246__FDSAUDITLINK__" hidden="1">{"fdsup://directions/FAT Viewer?action=UPDATE&amp;creator=factset&amp;DYN_ARGS=TRUE&amp;DOC_NAME=FAT:FQL_AUDITING_CLIENT_TEMPLATE.FAT&amp;display_string=Audit&amp;VAR:KEY=QTSJQFYZCB&amp;VAR:QUERY=RkZfSU5WRU5fVFVSTihDQUwsMjAwNSwsLFJGKQ==&amp;WINDOW=FIRST_POPUP&amp;HEIGHT=450&amp;WIDTH=450&amp;STAR","T_MAXIMIZED=FALSE&amp;VAR:CALENDAR=US&amp;VAR:SYMBOL=556352&amp;VAR:INDEX=0"}</definedName>
    <definedName name="_247__FDSAUDITLINK__" localSheetId="6" hidden="1">{"fdsup://Directions/FactSet Auditing Viewer?action=AUDIT_VALUE&amp;DB=129&amp;ID1=48517030&amp;VALUEID=01401&amp;SDATE=2010&amp;PERIODTYPE=ANN_STD&amp;SCFT=3&amp;window=popup_no_bar&amp;width=385&amp;height=120&amp;START_MAXIMIZED=FALSE&amp;creator=factset&amp;display_string=Audit"}</definedName>
    <definedName name="_247__FDSAUDITLINK__" hidden="1">{"fdsup://directions/FAT Viewer?action=UPDATE&amp;creator=factset&amp;DYN_ARGS=TRUE&amp;DOC_NAME=FAT:FQL_AUDITING_CLIENT_TEMPLATE.FAT&amp;display_string=Audit&amp;VAR:KEY=ETCJKLGNCT&amp;VAR:QUERY=RkZfSU5WRU5fVFVSTihDQUwsMjAwNiwsLFJGKQ==&amp;WINDOW=FIRST_POPUP&amp;HEIGHT=450&amp;WIDTH=450&amp;STAR","T_MAXIMIZED=FALSE&amp;VAR:CALENDAR=US&amp;VAR:SYMBOL=556352&amp;VAR:INDEX=0"}</definedName>
    <definedName name="_248__FDSAUDITLINK__" localSheetId="6" hidden="1">{"fdsup://Directions/FactSet Auditing Viewer?action=AUDIT_VALUE&amp;DB=129&amp;ID1=37155910&amp;VALUEID=01401&amp;SDATE=2010&amp;PERIODTYPE=ANN_STD&amp;SCFT=3&amp;window=popup_no_bar&amp;width=385&amp;height=120&amp;START_MAXIMIZED=FALSE&amp;creator=factset&amp;display_string=Audit"}</definedName>
    <definedName name="_248__FDSAUDITLINK__" hidden="1">{"fdsup://directions/FAT Viewer?action=UPDATE&amp;creator=factset&amp;DYN_ARGS=TRUE&amp;DOC_NAME=FAT:FQL_AUDITING_CLIENT_TEMPLATE.FAT&amp;display_string=Audit&amp;VAR:KEY=IRCPENSLOD&amp;VAR:QUERY=RkZfSU5WRU5fVFVSTihDQUwsMjAwOCwsLFJGKQ==&amp;WINDOW=FIRST_POPUP&amp;HEIGHT=450&amp;WIDTH=450&amp;STAR","T_MAXIMIZED=FALSE&amp;VAR:CALENDAR=US&amp;VAR:SYMBOL=556352&amp;VAR:INDEX=0"}</definedName>
    <definedName name="_249__FDSAUDITLINK__" localSheetId="6" hidden="1">{"fdsup://Directions/FactSet Auditing Viewer?action=AUDIT_VALUE&amp;DB=129&amp;ID1=12640810&amp;VALUEID=01401&amp;SDATE=2010&amp;PERIODTYPE=ANN_STD&amp;SCFT=3&amp;window=popup_no_bar&amp;width=385&amp;height=120&amp;START_MAXIMIZED=FALSE&amp;creator=factset&amp;display_string=Audit"}</definedName>
    <definedName name="_249__FDSAUDITLINK__" hidden="1">{"fdsup://directions/FAT Viewer?action=UPDATE&amp;creator=factset&amp;DYN_ARGS=TRUE&amp;DOC_NAME=FAT:FQL_AUDITING_CLIENT_TEMPLATE.FAT&amp;display_string=Audit&amp;VAR:KEY=KJKJMDIRGB&amp;VAR:QUERY=RkZfSU5WRU5fVFVSTihDQUwsMjAwOSwsLFJGKQ==&amp;WINDOW=FIRST_POPUP&amp;HEIGHT=450&amp;WIDTH=450&amp;STAR","T_MAXIMIZED=FALSE&amp;VAR:CALENDAR=US&amp;VAR:SYMBOL=556352&amp;VAR:INDEX=0"}</definedName>
    <definedName name="_25__FDSAUDITLINK__" localSheetId="6" hidden="1">{"fdsup://Directions/FactSet Auditing Viewer?action=AUDIT_VALUE&amp;DB=129&amp;ID1=90781810&amp;VALUEID=01250&amp;SDATE=2010&amp;PERIODTYPE=ANN_STD&amp;window=popup_no_bar&amp;width=385&amp;height=120&amp;START_MAXIMIZED=FALSE&amp;creator=factset&amp;display_string=Audit"}</definedName>
    <definedName name="_25__FDSAUDITLINK__" hidden="1">{"fdsup://directions/FAT Viewer?action=UPDATE&amp;creator=factset&amp;DYN_ARGS=TRUE&amp;DOC_NAME=FAT:FQL_AUDITING_CLIENT_TEMPLATE.FAT&amp;display_string=Audit&amp;VAR:KEY=TYJGTERWZO&amp;VAR:QUERY=RkZfTkVUX0lOQyhBTk4sMjAwOSk=&amp;WINDOW=FIRST_POPUP&amp;HEIGHT=450&amp;WIDTH=450&amp;START_MAXIMIZED=","FALSE&amp;VAR:CALENDAR=US&amp;VAR:SYMBOL=NSC&amp;VAR:INDEX=0"}</definedName>
    <definedName name="_250__FDSAUDITLINK__" localSheetId="6" hidden="1">{"fdsup://directions/FAT Viewer?action=UPDATE&amp;creator=factset&amp;DYN_ARGS=TRUE&amp;DOC_NAME=FAT:FQL_AUDITING_CLIENT_TEMPLATE.FAT&amp;display_string=Audit&amp;VAR:KEY=LUJWPUNIHI&amp;VAR:QUERY=RkZfRUJJVChBTk4sMjAxMCk=&amp;WINDOW=FIRST_POPUP&amp;HEIGHT=450&amp;WIDTH=450&amp;START_MAXIMIZED=FALS","E&amp;VAR:CALENDAR=US&amp;VAR:SYMBOL=WERN&amp;VAR:INDEX=0"}</definedName>
    <definedName name="_250__FDSAUDITLINK__" hidden="1">{"fdsup://directions/FAT Viewer?action=UPDATE&amp;creator=factset&amp;DYN_ARGS=TRUE&amp;DOC_NAME=FAT:FQL_AUDITING_CLIENT_TEMPLATE.FAT&amp;display_string=Audit&amp;VAR:KEY=ALEDQDKJQZ&amp;VAR:QUERY=RkZfSU5WRU5fVFVSTihDQUwsMjAwMSwsLFJGKQ==&amp;WINDOW=FIRST_POPUP&amp;HEIGHT=450&amp;WIDTH=450&amp;STAR","T_MAXIMIZED=FALSE&amp;VAR:CALENDAR=US&amp;VAR:SYMBOL=556352&amp;VAR:INDEX=0"}</definedName>
    <definedName name="_251__FDSAUDITLINK__" localSheetId="6" hidden="1">{"fdsup://directions/FAT Viewer?action=UPDATE&amp;creator=factset&amp;DYN_ARGS=TRUE&amp;DOC_NAME=FAT:FQL_AUDITING_CLIENT_TEMPLATE.FAT&amp;display_string=Audit&amp;VAR:KEY=LYPKXEFQVW&amp;VAR:QUERY=RkZfRUJJVChBTk4sMjAxMCk=&amp;WINDOW=FIRST_POPUP&amp;HEIGHT=450&amp;WIDTH=450&amp;START_MAXIMIZED=FALS","E&amp;VAR:CALENDAR=US&amp;VAR:SYMBOL=UTIW&amp;VAR:INDEX=0"}</definedName>
    <definedName name="_251__FDSAUDITLINK__" hidden="1">{"fdsup://directions/FAT Viewer?action=UPDATE&amp;creator=factset&amp;DYN_ARGS=TRUE&amp;DOC_NAME=FAT:FQL_AUDITING_CLIENT_TEMPLATE.FAT&amp;display_string=Audit&amp;VAR:KEY=EZADMRYPAD&amp;VAR:QUERY=RkZfSU5WRU5fVFVSTihDQUwsMjAwMiwsLFJGKQ==&amp;WINDOW=FIRST_POPUP&amp;HEIGHT=450&amp;WIDTH=450&amp;STAR","T_MAXIMIZED=FALSE&amp;VAR:CALENDAR=US&amp;VAR:SYMBOL=556352&amp;VAR:INDEX=0"}</definedName>
    <definedName name="_252__FDSAUDITLINK__" localSheetId="6" hidden="1">{"fdsup://directions/FAT Viewer?action=UPDATE&amp;creator=factset&amp;DYN_ARGS=TRUE&amp;DOC_NAME=FAT:FQL_AUDITING_CLIENT_TEMPLATE.FAT&amp;display_string=Audit&amp;VAR:KEY=XKNOLEJSVM&amp;VAR:QUERY=RkZfRUJJVChBTk4sMjAxMCk=&amp;WINDOW=FIRST_POPUP&amp;HEIGHT=450&amp;WIDTH=450&amp;START_MAXIMIZED=FALS","E&amp;VAR:CALENDAR=US&amp;VAR:SYMBOL=UPS&amp;VAR:INDEX=0"}</definedName>
    <definedName name="_252__FDSAUDITLINK__" hidden="1">{"fdsup://directions/FAT Viewer?action=UPDATE&amp;creator=factset&amp;DYN_ARGS=TRUE&amp;DOC_NAME=FAT:FQL_AUDITING_CLIENT_TEMPLATE.FAT&amp;display_string=Audit&amp;VAR:KEY=MFGBYLQTCL&amp;VAR:QUERY=RkZfSU5WRU5fVFVSTihDQUwsMjAwMywsLFJGKQ==&amp;WINDOW=FIRST_POPUP&amp;HEIGHT=450&amp;WIDTH=450&amp;STAR","T_MAXIMIZED=FALSE&amp;VAR:CALENDAR=US&amp;VAR:SYMBOL=556352&amp;VAR:INDEX=0"}</definedName>
    <definedName name="_253__FDSAUDITLINK__" localSheetId="6" hidden="1">{"fdsup://directions/FAT Viewer?action=UPDATE&amp;creator=factset&amp;DYN_ARGS=TRUE&amp;DOC_NAME=FAT:FQL_AUDITING_CLIENT_TEMPLATE.FAT&amp;display_string=Audit&amp;VAR:KEY=XSTYHIJETW&amp;VAR:QUERY=RkZfRUJJVChBTk4sMjAxMCk=&amp;WINDOW=FIRST_POPUP&amp;HEIGHT=450&amp;WIDTH=450&amp;START_MAXIMIZED=FALS","E&amp;VAR:CALENDAR=US&amp;VAR:SYMBOL=UNP&amp;VAR:INDEX=0"}</definedName>
    <definedName name="_253__FDSAUDITLINK__" hidden="1">{"fdsup://directions/FAT Viewer?action=UPDATE&amp;creator=factset&amp;DYN_ARGS=TRUE&amp;DOC_NAME=FAT:FQL_AUDITING_CLIENT_TEMPLATE.FAT&amp;display_string=Audit&amp;VAR:KEY=MFCLEDOJUP&amp;VAR:QUERY=RkZfSU5WRU5fVFVSTihDQUwsMjAwNCwsLFJGKQ==&amp;WINDOW=FIRST_POPUP&amp;HEIGHT=450&amp;WIDTH=450&amp;STAR","T_MAXIMIZED=FALSE&amp;VAR:CALENDAR=US&amp;VAR:SYMBOL=556352&amp;VAR:INDEX=0"}</definedName>
    <definedName name="_254__FDSAUDITLINK__" localSheetId="6" hidden="1">{"fdsup://directions/FAT Viewer?action=UPDATE&amp;creator=factset&amp;DYN_ARGS=TRUE&amp;DOC_NAME=FAT:FQL_AUDITING_CLIENT_TEMPLATE.FAT&amp;display_string=Audit&amp;VAR:KEY=TYTONQVMDS&amp;VAR:QUERY=RkZfRUJJVChBTk4sMjAxMCk=&amp;WINDOW=FIRST_POPUP&amp;HEIGHT=450&amp;WIDTH=450&amp;START_MAXIMIZED=FALS","E&amp;VAR:CALENDAR=US&amp;VAR:SYMBOL=SWFT&amp;VAR:INDEX=0"}</definedName>
    <definedName name="_254__FDSAUDITLINK__" hidden="1">{"fdsup://directions/FAT Viewer?action=UPDATE&amp;creator=factset&amp;DYN_ARGS=TRUE&amp;DOC_NAME=FAT:FQL_AUDITING_CLIENT_TEMPLATE.FAT&amp;display_string=Audit&amp;VAR:KEY=QTSJQFYZCB&amp;VAR:QUERY=RkZfSU5WRU5fVFVSTihDQUwsMjAwNSwsLFJGKQ==&amp;WINDOW=FIRST_POPUP&amp;HEIGHT=450&amp;WIDTH=450&amp;STAR","T_MAXIMIZED=FALSE&amp;VAR:CALENDAR=US&amp;VAR:SYMBOL=556352&amp;VAR:INDEX=0"}</definedName>
    <definedName name="_255__FDSAUDITLINK__" localSheetId="6" hidden="1">{"fdsup://directions/FAT Viewer?action=UPDATE&amp;creator=factset&amp;DYN_ARGS=TRUE&amp;DOC_NAME=FAT:FQL_AUDITING_CLIENT_TEMPLATE.FAT&amp;display_string=Audit&amp;VAR:KEY=NEXMNMLKZO&amp;VAR:QUERY=RkZfRUJJVChBTk4sMjAxMCk=&amp;WINDOW=FIRST_POPUP&amp;HEIGHT=450&amp;WIDTH=450&amp;START_MAXIMIZED=FALS","E&amp;VAR:CALENDAR=US&amp;VAR:SYMBOL=RA&amp;VAR:INDEX=0"}</definedName>
    <definedName name="_255__FDSAUDITLINK__" hidden="1">{"fdsup://directions/FAT Viewer?action=UPDATE&amp;creator=factset&amp;DYN_ARGS=TRUE&amp;DOC_NAME=FAT:FQL_AUDITING_CLIENT_TEMPLATE.FAT&amp;display_string=Audit&amp;VAR:KEY=ETCJKLGNCT&amp;VAR:QUERY=RkZfSU5WRU5fVFVSTihDQUwsMjAwNiwsLFJGKQ==&amp;WINDOW=FIRST_POPUP&amp;HEIGHT=450&amp;WIDTH=450&amp;STAR","T_MAXIMIZED=FALSE&amp;VAR:CALENDAR=US&amp;VAR:SYMBOL=556352&amp;VAR:INDEX=0"}</definedName>
    <definedName name="_256__FDSAUDITLINK__" localSheetId="6" hidden="1">{"fdsup://directions/FAT Viewer?action=UPDATE&amp;creator=factset&amp;DYN_ARGS=TRUE&amp;DOC_NAME=FAT:FQL_AUDITING_CLIENT_TEMPLATE.FAT&amp;display_string=Audit&amp;VAR:KEY=HQZYJQNCTG&amp;VAR:QUERY=RkZfRUJJVChBTk4sMjAxMCk=&amp;WINDOW=FIRST_POPUP&amp;HEIGHT=450&amp;WIDTH=450&amp;START_MAXIMIZED=FALS","E&amp;VAR:CALENDAR=US&amp;VAR:SYMBOL=NSC&amp;VAR:INDEX=0"}</definedName>
    <definedName name="_256__FDSAUDITLINK__" hidden="1">{"fdsup://directions/FAT Viewer?action=UPDATE&amp;creator=factset&amp;DYN_ARGS=TRUE&amp;DOC_NAME=FAT:FQL_AUDITING_CLIENT_TEMPLATE.FAT&amp;display_string=Audit&amp;VAR:KEY=IRCPENSLOD&amp;VAR:QUERY=RkZfSU5WRU5fVFVSTihDQUwsMjAwOCwsLFJGKQ==&amp;WINDOW=FIRST_POPUP&amp;HEIGHT=450&amp;WIDTH=450&amp;STAR","T_MAXIMIZED=FALSE&amp;VAR:CALENDAR=US&amp;VAR:SYMBOL=556352&amp;VAR:INDEX=0"}</definedName>
    <definedName name="_257__FDSAUDITLINK__" localSheetId="6" hidden="1">{"fdsup://directions/FAT Viewer?action=UPDATE&amp;creator=factset&amp;DYN_ARGS=TRUE&amp;DOC_NAME=FAT:FQL_AUDITING_CLIENT_TEMPLATE.FAT&amp;display_string=Audit&amp;VAR:KEY=JIXYNQRSDQ&amp;VAR:QUERY=RkZfRUJJVChBTk4sMjAxMCk=&amp;WINDOW=FIRST_POPUP&amp;HEIGHT=450&amp;WIDTH=450&amp;START_MAXIMIZED=FALS","E&amp;VAR:CALENDAR=US&amp;VAR:SYMBOL=KSU&amp;VAR:INDEX=0"}</definedName>
    <definedName name="_257__FDSAUDITLINK__" hidden="1">{"fdsup://directions/FAT Viewer?action=UPDATE&amp;creator=factset&amp;DYN_ARGS=TRUE&amp;DOC_NAME=FAT:FQL_AUDITING_CLIENT_TEMPLATE.FAT&amp;display_string=Audit&amp;VAR:KEY=KJKJMDIRGB&amp;VAR:QUERY=RkZfSU5WRU5fVFVSTihDQUwsMjAwOSwsLFJGKQ==&amp;WINDOW=FIRST_POPUP&amp;HEIGHT=450&amp;WIDTH=450&amp;STAR","T_MAXIMIZED=FALSE&amp;VAR:CALENDAR=US&amp;VAR:SYMBOL=556352&amp;VAR:INDEX=0"}</definedName>
    <definedName name="_258__FDSAUDITLINK__" localSheetId="6" hidden="1">{"fdsup://directions/FAT Viewer?action=UPDATE&amp;creator=factset&amp;DYN_ARGS=TRUE&amp;DOC_NAME=FAT:FQL_AUDITING_CLIENT_TEMPLATE.FAT&amp;display_string=Audit&amp;VAR:KEY=BSPMDEVUVE&amp;VAR:QUERY=RkZfRUJJVChBTk4sMjAxMCk=&amp;WINDOW=FIRST_POPUP&amp;HEIGHT=450&amp;WIDTH=450&amp;START_MAXIMIZED=FALS","E&amp;VAR:CALENDAR=US&amp;VAR:SYMBOL=KNX&amp;VAR:INDEX=0"}</definedName>
    <definedName name="_258__FDSAUDITLINK__" hidden="1">{"fdsup://directions/FAT Viewer?action=UPDATE&amp;creator=factset&amp;DYN_ARGS=TRUE&amp;DOC_NAME=FAT:FQL_AUDITING_CLIENT_TEMPLATE.FAT&amp;display_string=Audit&amp;VAR:KEY=ALEDQDKJQZ&amp;VAR:QUERY=RkZfSU5WRU5fVFVSTihDQUwsMjAwMSwsLFJGKQ==&amp;WINDOW=FIRST_POPUP&amp;HEIGHT=450&amp;WIDTH=450&amp;STAR","T_MAXIMIZED=FALSE&amp;VAR:CALENDAR=US&amp;VAR:SYMBOL=556352&amp;VAR:INDEX=0"}</definedName>
    <definedName name="_259__FDSAUDITLINK__" localSheetId="6" hidden="1">{"fdsup://directions/FAT Viewer?action=UPDATE&amp;creator=factset&amp;DYN_ARGS=TRUE&amp;DOC_NAME=FAT:FQL_AUDITING_CLIENT_TEMPLATE.FAT&amp;display_string=Audit&amp;VAR:KEY=RQRWHMPUTW&amp;VAR:QUERY=RkZfRUJJVChBTk4sMjAxMCk=&amp;WINDOW=FIRST_POPUP&amp;HEIGHT=450&amp;WIDTH=450&amp;START_MAXIMIZED=FALS","E&amp;VAR:CALENDAR=US&amp;VAR:SYMBOL=JBHT&amp;VAR:INDEX=0"}</definedName>
    <definedName name="_259__FDSAUDITLINK__" hidden="1">{"fdsup://directions/FAT Viewer?action=UPDATE&amp;creator=factset&amp;DYN_ARGS=TRUE&amp;DOC_NAME=FAT:FQL_AUDITING_CLIENT_TEMPLATE.FAT&amp;display_string=Audit&amp;VAR:KEY=EZADMRYPAD&amp;VAR:QUERY=RkZfSU5WRU5fVFVSTihDQUwsMjAwMiwsLFJGKQ==&amp;WINDOW=FIRST_POPUP&amp;HEIGHT=450&amp;WIDTH=450&amp;STAR","T_MAXIMIZED=FALSE&amp;VAR:CALENDAR=US&amp;VAR:SYMBOL=556352&amp;VAR:INDEX=0"}</definedName>
    <definedName name="_26__FDSAUDITLINK__" localSheetId="6" hidden="1">{"fdsup://Directions/FactSet Auditing Viewer?action=AUDIT_VALUE&amp;DB=129&amp;ID1=75075340&amp;VALUEID=01250&amp;SDATE=2010&amp;PERIODTYPE=ANN_STD&amp;window=popup_no_bar&amp;width=385&amp;height=120&amp;START_MAXIMIZED=FALSE&amp;creator=factset&amp;display_string=Audit"}</definedName>
    <definedName name="_26__FDSAUDITLINK__" hidden="1">{"fdsup://directions/FAT Viewer?action=UPDATE&amp;creator=factset&amp;DYN_ARGS=TRUE&amp;DOC_NAME=FAT:FQL_AUDITING_CLIENT_TEMPLATE.FAT&amp;display_string=Audit&amp;VAR:KEY=DWHWRCVQHK&amp;VAR:QUERY=RkZfTkVUX0lOQyhBTk4sMjAwOSk=&amp;WINDOW=FIRST_POPUP&amp;HEIGHT=450&amp;WIDTH=450&amp;START_MAXIMIZED=","FALSE&amp;VAR:CALENDAR=US&amp;VAR:SYMBOL=KSU&amp;VAR:INDEX=0"}</definedName>
    <definedName name="_260__FDSAUDITLINK__" localSheetId="6" hidden="1">{"fdsup://directions/FAT Viewer?action=UPDATE&amp;creator=factset&amp;DYN_ARGS=TRUE&amp;DOC_NAME=FAT:FQL_AUDITING_CLIENT_TEMPLATE.FAT&amp;display_string=Audit&amp;VAR:KEY=ZIREZSRYNC&amp;VAR:QUERY=RkZfRUJJVChBTk4sMjAxMCk=&amp;WINDOW=FIRST_POPUP&amp;HEIGHT=450&amp;WIDTH=450&amp;START_MAXIMIZED=FALS","E&amp;VAR:CALENDAR=US&amp;VAR:SYMBOL=HTLD&amp;VAR:INDEX=0"}</definedName>
    <definedName name="_260__FDSAUDITLINK__" hidden="1">{"fdsup://directions/FAT Viewer?action=UPDATE&amp;creator=factset&amp;DYN_ARGS=TRUE&amp;DOC_NAME=FAT:FQL_AUDITING_CLIENT_TEMPLATE.FAT&amp;display_string=Audit&amp;VAR:KEY=MFGBYLQTCL&amp;VAR:QUERY=RkZfSU5WRU5fVFVSTihDQUwsMjAwMywsLFJGKQ==&amp;WINDOW=FIRST_POPUP&amp;HEIGHT=450&amp;WIDTH=450&amp;STAR","T_MAXIMIZED=FALSE&amp;VAR:CALENDAR=US&amp;VAR:SYMBOL=556352&amp;VAR:INDEX=0"}</definedName>
    <definedName name="_261__FDSAUDITLINK__" localSheetId="6" hidden="1">{"fdsup://directions/FAT Viewer?action=UPDATE&amp;creator=factset&amp;DYN_ARGS=TRUE&amp;DOC_NAME=FAT:FQL_AUDITING_CLIENT_TEMPLATE.FAT&amp;display_string=Audit&amp;VAR:KEY=DUPETWPSLE&amp;VAR:QUERY=RkZfRUJJVChBTk4sMjAxMCk=&amp;WINDOW=FIRST_POPUP&amp;HEIGHT=450&amp;WIDTH=450&amp;START_MAXIMIZED=FALS","E&amp;VAR:CALENDAR=US&amp;VAR:SYMBOL=GWR&amp;VAR:INDEX=0"}</definedName>
    <definedName name="_261__FDSAUDITLINK__" hidden="1">{"fdsup://directions/FAT Viewer?action=UPDATE&amp;creator=factset&amp;DYN_ARGS=TRUE&amp;DOC_NAME=FAT:FQL_AUDITING_CLIENT_TEMPLATE.FAT&amp;display_string=Audit&amp;VAR:KEY=MFCLEDOJUP&amp;VAR:QUERY=RkZfSU5WRU5fVFVSTihDQUwsMjAwNCwsLFJGKQ==&amp;WINDOW=FIRST_POPUP&amp;HEIGHT=450&amp;WIDTH=450&amp;STAR","T_MAXIMIZED=FALSE&amp;VAR:CALENDAR=US&amp;VAR:SYMBOL=556352&amp;VAR:INDEX=0"}</definedName>
    <definedName name="_262__FDSAUDITLINK__" localSheetId="6" hidden="1">{"fdsup://directions/FAT Viewer?action=UPDATE&amp;creator=factset&amp;DYN_ARGS=TRUE&amp;DOC_NAME=FAT:FQL_AUDITING_CLIENT_TEMPLATE.FAT&amp;display_string=Audit&amp;VAR:KEY=ZMBMTCRKXU&amp;VAR:QUERY=RkZfRUJJVChBTk4sMjAxMCk=&amp;WINDOW=FIRST_POPUP&amp;HEIGHT=450&amp;WIDTH=450&amp;START_MAXIMIZED=FALS","E&amp;VAR:CALENDAR=US&amp;VAR:SYMBOL=FDX&amp;VAR:INDEX=0"}</definedName>
    <definedName name="_262__FDSAUDITLINK__" hidden="1">{"fdsup://directions/FAT Viewer?action=UPDATE&amp;creator=factset&amp;DYN_ARGS=TRUE&amp;DOC_NAME=FAT:FQL_AUDITING_CLIENT_TEMPLATE.FAT&amp;display_string=Audit&amp;VAR:KEY=QTSJQFYZCB&amp;VAR:QUERY=RkZfSU5WRU5fVFVSTihDQUwsMjAwNSwsLFJGKQ==&amp;WINDOW=FIRST_POPUP&amp;HEIGHT=450&amp;WIDTH=450&amp;STAR","T_MAXIMIZED=FALSE&amp;VAR:CALENDAR=US&amp;VAR:SYMBOL=556352&amp;VAR:INDEX=0"}</definedName>
    <definedName name="_263__FDSAUDITLINK__" localSheetId="6" hidden="1">{"fdsup://directions/FAT Viewer?action=UPDATE&amp;creator=factset&amp;DYN_ARGS=TRUE&amp;DOC_NAME=FAT:FQL_AUDITING_CLIENT_TEMPLATE.FAT&amp;display_string=Audit&amp;VAR:KEY=HKRGXMPARI&amp;VAR:QUERY=RkZfRUJJVChBTk4sMjAxMCk=&amp;WINDOW=FIRST_POPUP&amp;HEIGHT=450&amp;WIDTH=450&amp;START_MAXIMIZED=FALS","E&amp;VAR:CALENDAR=US&amp;VAR:SYMBOL=EXPD&amp;VAR:INDEX=0"}</definedName>
    <definedName name="_263__FDSAUDITLINK__" hidden="1">{"fdsup://directions/FAT Viewer?action=UPDATE&amp;creator=factset&amp;DYN_ARGS=TRUE&amp;DOC_NAME=FAT:FQL_AUDITING_CLIENT_TEMPLATE.FAT&amp;display_string=Audit&amp;VAR:KEY=ETCJKLGNCT&amp;VAR:QUERY=RkZfSU5WRU5fVFVSTihDQUwsMjAwNiwsLFJGKQ==&amp;WINDOW=FIRST_POPUP&amp;HEIGHT=450&amp;WIDTH=450&amp;STAR","T_MAXIMIZED=FALSE&amp;VAR:CALENDAR=US&amp;VAR:SYMBOL=556352&amp;VAR:INDEX=0"}</definedName>
    <definedName name="_264__FDSAUDITLINK__" localSheetId="6" hidden="1">{"fdsup://directions/FAT Viewer?action=UPDATE&amp;creator=factset&amp;DYN_ARGS=TRUE&amp;DOC_NAME=FAT:FQL_AUDITING_CLIENT_TEMPLATE.FAT&amp;display_string=Audit&amp;VAR:KEY=FQNQZGRYHQ&amp;VAR:QUERY=RkZfRUJJVChBTk4sMjAxMCk=&amp;WINDOW=FIRST_POPUP&amp;HEIGHT=450&amp;WIDTH=450&amp;START_MAXIMIZED=FALS","E&amp;VAR:CALENDAR=US&amp;VAR:SYMBOL=ECHO&amp;VAR:INDEX=0"}</definedName>
    <definedName name="_264__FDSAUDITLINK__" hidden="1">{"fdsup://directions/FAT Viewer?action=UPDATE&amp;creator=factset&amp;DYN_ARGS=TRUE&amp;DOC_NAME=FAT:FQL_AUDITING_CLIENT_TEMPLATE.FAT&amp;display_string=Audit&amp;VAR:KEY=IRCPENSLOD&amp;VAR:QUERY=RkZfSU5WRU5fVFVSTihDQUwsMjAwOCwsLFJGKQ==&amp;WINDOW=FIRST_POPUP&amp;HEIGHT=450&amp;WIDTH=450&amp;STAR","T_MAXIMIZED=FALSE&amp;VAR:CALENDAR=US&amp;VAR:SYMBOL=556352&amp;VAR:INDEX=0"}</definedName>
    <definedName name="_265__FDSAUDITLINK__" localSheetId="6" hidden="1">{"fdsup://directions/FAT Viewer?action=UPDATE&amp;creator=factset&amp;DYN_ARGS=TRUE&amp;DOC_NAME=FAT:FQL_AUDITING_CLIENT_TEMPLATE.FAT&amp;display_string=Audit&amp;VAR:KEY=ZKLURURKRG&amp;VAR:QUERY=RkZfRUJJVChBTk4sMjAxMCk=&amp;WINDOW=FIRST_POPUP&amp;HEIGHT=450&amp;WIDTH=450&amp;START_MAXIMIZED=FALS","E&amp;VAR:CALENDAR=US&amp;VAR:SYMBOL=CSX&amp;VAR:INDEX=0"}</definedName>
    <definedName name="_265__FDSAUDITLINK__" hidden="1">{"fdsup://directions/FAT Viewer?action=UPDATE&amp;creator=factset&amp;DYN_ARGS=TRUE&amp;DOC_NAME=FAT:FQL_AUDITING_CLIENT_TEMPLATE.FAT&amp;display_string=Audit&amp;VAR:KEY=KJKJMDIRGB&amp;VAR:QUERY=RkZfSU5WRU5fVFVSTihDQUwsMjAwOSwsLFJGKQ==&amp;WINDOW=FIRST_POPUP&amp;HEIGHT=450&amp;WIDTH=450&amp;STAR","T_MAXIMIZED=FALSE&amp;VAR:CALENDAR=US&amp;VAR:SYMBOL=556352&amp;VAR:INDEX=0"}</definedName>
    <definedName name="_266__FDSAUDITLINK__" localSheetId="6" hidden="1">{"fdsup://directions/FAT Viewer?action=UPDATE&amp;creator=factset&amp;DYN_ARGS=TRUE&amp;DOC_NAME=FAT:FQL_AUDITING_CLIENT_TEMPLATE.FAT&amp;display_string=Audit&amp;VAR:KEY=JURMPMRGTA&amp;VAR:QUERY=RkZfRUJJVChBTk4sMjAxMCk=&amp;WINDOW=FIRST_POPUP&amp;HEIGHT=450&amp;WIDTH=450&amp;START_MAXIMIZED=FALS","E&amp;VAR:CALENDAR=US&amp;VAR:SYMBOL=CP&amp;VAR:INDEX=0"}</definedName>
    <definedName name="_266__FDSAUDITLINK__" hidden="1">{"fdsup://directions/FAT Viewer?action=UPDATE&amp;creator=factset&amp;DYN_ARGS=TRUE&amp;DOC_NAME=FAT:FQL_AUDITING_CLIENT_TEMPLATE.FAT&amp;display_string=Audit&amp;VAR:KEY=ALEDQDKJQZ&amp;VAR:QUERY=RkZfSU5WRU5fVFVSTihDQUwsMjAwMSwsLFJGKQ==&amp;WINDOW=FIRST_POPUP&amp;HEIGHT=450&amp;WIDTH=450&amp;STAR","T_MAXIMIZED=FALSE&amp;VAR:CALENDAR=US&amp;VAR:SYMBOL=556352&amp;VAR:INDEX=0"}</definedName>
    <definedName name="_267__FDSAUDITLINK__" localSheetId="6" hidden="1">{"fdsup://directions/FAT Viewer?action=UPDATE&amp;creator=factset&amp;DYN_ARGS=TRUE&amp;DOC_NAME=FAT:FQL_AUDITING_CLIENT_TEMPLATE.FAT&amp;display_string=Audit&amp;VAR:KEY=DMBCVSDMXE&amp;VAR:QUERY=RkZfRUJJVChBTk4sMjAxMCk=&amp;WINDOW=FIRST_POPUP&amp;HEIGHT=450&amp;WIDTH=450&amp;START_MAXIMIZED=FALS","E&amp;VAR:CALENDAR=US&amp;VAR:SYMBOL=CNI&amp;VAR:INDEX=0"}</definedName>
    <definedName name="_267__FDSAUDITLINK__" hidden="1">{"fdsup://directions/FAT Viewer?action=UPDATE&amp;creator=factset&amp;DYN_ARGS=TRUE&amp;DOC_NAME=FAT:FQL_AUDITING_CLIENT_TEMPLATE.FAT&amp;display_string=Audit&amp;VAR:KEY=EZADMRYPAD&amp;VAR:QUERY=RkZfSU5WRU5fVFVSTihDQUwsMjAwMiwsLFJGKQ==&amp;WINDOW=FIRST_POPUP&amp;HEIGHT=450&amp;WIDTH=450&amp;STAR","T_MAXIMIZED=FALSE&amp;VAR:CALENDAR=US&amp;VAR:SYMBOL=556352&amp;VAR:INDEX=0"}</definedName>
    <definedName name="_268__FDSAUDITLINK__" localSheetId="6" hidden="1">{"fdsup://directions/FAT Viewer?action=UPDATE&amp;creator=factset&amp;DYN_ARGS=TRUE&amp;DOC_NAME=FAT:FQL_AUDITING_CLIENT_TEMPLATE.FAT&amp;display_string=Audit&amp;VAR:KEY=JSXSLYXYTQ&amp;VAR:QUERY=RkZfRUJJVChBTk4sMjAxMCk=&amp;WINDOW=FIRST_POPUP&amp;HEIGHT=450&amp;WIDTH=450&amp;START_MAXIMIZED=FALS","E&amp;VAR:CALENDAR=US&amp;VAR:SYMBOL=CHRW&amp;VAR:INDEX=0"}</definedName>
    <definedName name="_268__FDSAUDITLINK__" hidden="1">{"fdsup://directions/FAT Viewer?action=UPDATE&amp;creator=factset&amp;DYN_ARGS=TRUE&amp;DOC_NAME=FAT:FQL_AUDITING_CLIENT_TEMPLATE.FAT&amp;display_string=Audit&amp;VAR:KEY=MFGBYLQTCL&amp;VAR:QUERY=RkZfSU5WRU5fVFVSTihDQUwsMjAwMywsLFJGKQ==&amp;WINDOW=FIRST_POPUP&amp;HEIGHT=450&amp;WIDTH=450&amp;STAR","T_MAXIMIZED=FALSE&amp;VAR:CALENDAR=US&amp;VAR:SYMBOL=556352&amp;VAR:INDEX=0"}</definedName>
    <definedName name="_269__FDSAUDITLINK__" localSheetId="6" hidden="1">{"fdsup://directions/FAT Viewer?action=UPDATE&amp;creator=factset&amp;DYN_ARGS=TRUE&amp;DOC_NAME=FAT:FQL_AUDITING_CLIENT_TEMPLATE.FAT&amp;display_string=Audit&amp;VAR:KEY=XSDCRQJUFS&amp;VAR:QUERY=RkZfRUJJVERBKEFOTiwyMDEwKQ==&amp;WINDOW=FIRST_POPUP&amp;HEIGHT=450&amp;WIDTH=450&amp;START_MAXIMIZED=","FALSE&amp;VAR:CALENDAR=US&amp;VAR:SYMBOL=WERN&amp;VAR:INDEX=0"}</definedName>
    <definedName name="_269__FDSAUDITLINK__" hidden="1">{"fdsup://directions/FAT Viewer?action=UPDATE&amp;creator=factset&amp;DYN_ARGS=TRUE&amp;DOC_NAME=FAT:FQL_AUDITING_CLIENT_TEMPLATE.FAT&amp;display_string=Audit&amp;VAR:KEY=MFCLEDOJUP&amp;VAR:QUERY=RkZfSU5WRU5fVFVSTihDQUwsMjAwNCwsLFJGKQ==&amp;WINDOW=FIRST_POPUP&amp;HEIGHT=450&amp;WIDTH=450&amp;STAR","T_MAXIMIZED=FALSE&amp;VAR:CALENDAR=US&amp;VAR:SYMBOL=556352&amp;VAR:INDEX=0"}</definedName>
    <definedName name="_27__FDSAUDITLINK__" localSheetId="6" hidden="1">{"fdsup://Directions/FactSet Auditing Viewer?action=AUDIT_VALUE&amp;DB=129&amp;ID1=65584410&amp;VALUEID=01250&amp;SDATE=2010&amp;PERIODTYPE=ANN_STD&amp;window=popup_no_bar&amp;width=385&amp;height=120&amp;START_MAXIMIZED=FALSE&amp;creator=factset&amp;display_string=Audit"}</definedName>
    <definedName name="_27__FDSAUDITLINK__" hidden="1">{"fdsup://directions/FAT Viewer?action=UPDATE&amp;creator=factset&amp;DYN_ARGS=TRUE&amp;DOC_NAME=FAT:FQL_AUDITING_CLIENT_TEMPLATE.FAT&amp;display_string=Audit&amp;VAR:KEY=VOBYRCLIDS&amp;VAR:QUERY=RkZfTkVUX0lOQyhBTk4sMjAwOSk=&amp;WINDOW=FIRST_POPUP&amp;HEIGHT=450&amp;WIDTH=450&amp;START_MAXIMIZED=","FALSE&amp;VAR:CALENDAR=US&amp;VAR:SYMBOL=GWR&amp;VAR:INDEX=0"}</definedName>
    <definedName name="_270__FDSAUDITLINK__" localSheetId="6" hidden="1">{"fdsup://directions/FAT Viewer?action=UPDATE&amp;creator=factset&amp;DYN_ARGS=TRUE&amp;DOC_NAME=FAT:FQL_AUDITING_CLIENT_TEMPLATE.FAT&amp;display_string=Audit&amp;VAR:KEY=NIHAVGVAVY&amp;VAR:QUERY=RkZfRUJJVERBKEFOTiwyMDEwKQ==&amp;WINDOW=FIRST_POPUP&amp;HEIGHT=450&amp;WIDTH=450&amp;START_MAXIMIZED=","FALSE&amp;VAR:CALENDAR=US&amp;VAR:SYMBOL=UTIW&amp;VAR:INDEX=0"}</definedName>
    <definedName name="_270__FDSAUDITLINK__" hidden="1">{"fdsup://directions/FAT Viewer?action=UPDATE&amp;creator=factset&amp;DYN_ARGS=TRUE&amp;DOC_NAME=FAT:FQL_AUDITING_CLIENT_TEMPLATE.FAT&amp;display_string=Audit&amp;VAR:KEY=QTSJQFYZCB&amp;VAR:QUERY=RkZfSU5WRU5fVFVSTihDQUwsMjAwNSwsLFJGKQ==&amp;WINDOW=FIRST_POPUP&amp;HEIGHT=450&amp;WIDTH=450&amp;STAR","T_MAXIMIZED=FALSE&amp;VAR:CALENDAR=US&amp;VAR:SYMBOL=556352&amp;VAR:INDEX=0"}</definedName>
    <definedName name="_271__FDSAUDITLINK__" localSheetId="6" hidden="1">{"fdsup://directions/FAT Viewer?action=UPDATE&amp;creator=factset&amp;DYN_ARGS=TRUE&amp;DOC_NAME=FAT:FQL_AUDITING_CLIENT_TEMPLATE.FAT&amp;display_string=Audit&amp;VAR:KEY=HQXKDKZEDS&amp;VAR:QUERY=RkZfRUJJVERBKEFOTiwyMDEwKQ==&amp;WINDOW=FIRST_POPUP&amp;HEIGHT=450&amp;WIDTH=450&amp;START_MAXIMIZED=","FALSE&amp;VAR:CALENDAR=US&amp;VAR:SYMBOL=UPS&amp;VAR:INDEX=0"}</definedName>
    <definedName name="_271__FDSAUDITLINK__" hidden="1">{"fdsup://directions/FAT Viewer?action=UPDATE&amp;creator=factset&amp;DYN_ARGS=TRUE&amp;DOC_NAME=FAT:FQL_AUDITING_CLIENT_TEMPLATE.FAT&amp;display_string=Audit&amp;VAR:KEY=ETCJKLGNCT&amp;VAR:QUERY=RkZfSU5WRU5fVFVSTihDQUwsMjAwNiwsLFJGKQ==&amp;WINDOW=FIRST_POPUP&amp;HEIGHT=450&amp;WIDTH=450&amp;STAR","T_MAXIMIZED=FALSE&amp;VAR:CALENDAR=US&amp;VAR:SYMBOL=556352&amp;VAR:INDEX=0"}</definedName>
    <definedName name="_272__FDSAUDITLINK__" localSheetId="6" hidden="1">{"fdsup://directions/FAT Viewer?action=UPDATE&amp;creator=factset&amp;DYN_ARGS=TRUE&amp;DOC_NAME=FAT:FQL_AUDITING_CLIENT_TEMPLATE.FAT&amp;display_string=Audit&amp;VAR:KEY=NKTGTKNIHM&amp;VAR:QUERY=RkZfRUJJVERBKEFOTiwyMDEwKQ==&amp;WINDOW=FIRST_POPUP&amp;HEIGHT=450&amp;WIDTH=450&amp;START_MAXIMIZED=","FALSE&amp;VAR:CALENDAR=US&amp;VAR:SYMBOL=UNP&amp;VAR:INDEX=0"}</definedName>
    <definedName name="_272__FDSAUDITLINK__" hidden="1">{"fdsup://directions/FAT Viewer?action=UPDATE&amp;creator=factset&amp;DYN_ARGS=TRUE&amp;DOC_NAME=FAT:FQL_AUDITING_CLIENT_TEMPLATE.FAT&amp;display_string=Audit&amp;VAR:KEY=IRCPENSLOD&amp;VAR:QUERY=RkZfSU5WRU5fVFVSTihDQUwsMjAwOCwsLFJGKQ==&amp;WINDOW=FIRST_POPUP&amp;HEIGHT=450&amp;WIDTH=450&amp;STAR","T_MAXIMIZED=FALSE&amp;VAR:CALENDAR=US&amp;VAR:SYMBOL=556352&amp;VAR:INDEX=0"}</definedName>
    <definedName name="_273__FDSAUDITLINK__" localSheetId="6" hidden="1">{"fdsup://directions/FAT Viewer?action=UPDATE&amp;creator=factset&amp;DYN_ARGS=TRUE&amp;DOC_NAME=FAT:FQL_AUDITING_CLIENT_TEMPLATE.FAT&amp;display_string=Audit&amp;VAR:KEY=JGTOZATCPY&amp;VAR:QUERY=RkZfRUJJVERBKEFOTiwyMDEwKQ==&amp;WINDOW=FIRST_POPUP&amp;HEIGHT=450&amp;WIDTH=450&amp;START_MAXIMIZED=","FALSE&amp;VAR:CALENDAR=US&amp;VAR:SYMBOL=SWFT&amp;VAR:INDEX=0"}</definedName>
    <definedName name="_273__FDSAUDITLINK__" hidden="1">{"fdsup://directions/FAT Viewer?action=UPDATE&amp;creator=factset&amp;DYN_ARGS=TRUE&amp;DOC_NAME=FAT:FQL_AUDITING_CLIENT_TEMPLATE.FAT&amp;display_string=Audit&amp;VAR:KEY=KJKJMDIRGB&amp;VAR:QUERY=RkZfSU5WRU5fVFVSTihDQUwsMjAwOSwsLFJGKQ==&amp;WINDOW=FIRST_POPUP&amp;HEIGHT=450&amp;WIDTH=450&amp;STAR","T_MAXIMIZED=FALSE&amp;VAR:CALENDAR=US&amp;VAR:SYMBOL=556352&amp;VAR:INDEX=0"}</definedName>
    <definedName name="_274__FDSAUDITLINK__" localSheetId="6" hidden="1">{"fdsup://directions/FAT Viewer?action=UPDATE&amp;creator=factset&amp;DYN_ARGS=TRUE&amp;DOC_NAME=FAT:FQL_AUDITING_CLIENT_TEMPLATE.FAT&amp;display_string=Audit&amp;VAR:KEY=RSBUTQRYTM&amp;VAR:QUERY=RkZfRUJJVERBKEFOTiwyMDEwKQ==&amp;WINDOW=FIRST_POPUP&amp;HEIGHT=450&amp;WIDTH=450&amp;START_MAXIMIZED=","FALSE&amp;VAR:CALENDAR=US&amp;VAR:SYMBOL=RA&amp;VAR:INDEX=0"}</definedName>
    <definedName name="_274__FDSAUDITLINK__" hidden="1">{"fdsup://directions/FAT Viewer?action=UPDATE&amp;creator=factset&amp;DYN_ARGS=TRUE&amp;DOC_NAME=FAT:FQL_AUDITING_CLIENT_TEMPLATE.FAT&amp;display_string=Audit&amp;VAR:KEY=ALEDQDKJQZ&amp;VAR:QUERY=RkZfSU5WRU5fVFVSTihDQUwsMjAwMSwsLFJGKQ==&amp;WINDOW=FIRST_POPUP&amp;HEIGHT=450&amp;WIDTH=450&amp;STAR","T_MAXIMIZED=FALSE&amp;VAR:CALENDAR=US&amp;VAR:SYMBOL=556352&amp;VAR:INDEX=0"}</definedName>
    <definedName name="_275__FDSAUDITLINK__" localSheetId="6" hidden="1">{"fdsup://directions/FAT Viewer?action=UPDATE&amp;creator=factset&amp;DYN_ARGS=TRUE&amp;DOC_NAME=FAT:FQL_AUDITING_CLIENT_TEMPLATE.FAT&amp;display_string=Audit&amp;VAR:KEY=POVIHSBSZO&amp;VAR:QUERY=RkZfRUJJVERBKEFOTiwyMDEwKQ==&amp;WINDOW=FIRST_POPUP&amp;HEIGHT=450&amp;WIDTH=450&amp;START_MAXIMIZED=","FALSE&amp;VAR:CALENDAR=US&amp;VAR:SYMBOL=NSC&amp;VAR:INDEX=0"}</definedName>
    <definedName name="_275__FDSAUDITLINK__" hidden="1">{"fdsup://directions/FAT Viewer?action=UPDATE&amp;creator=factset&amp;DYN_ARGS=TRUE&amp;DOC_NAME=FAT:FQL_AUDITING_CLIENT_TEMPLATE.FAT&amp;display_string=Audit&amp;VAR:KEY=EZADMRYPAD&amp;VAR:QUERY=RkZfSU5WRU5fVFVSTihDQUwsMjAwMiwsLFJGKQ==&amp;WINDOW=FIRST_POPUP&amp;HEIGHT=450&amp;WIDTH=450&amp;STAR","T_MAXIMIZED=FALSE&amp;VAR:CALENDAR=US&amp;VAR:SYMBOL=556352&amp;VAR:INDEX=0"}</definedName>
    <definedName name="_276__FDSAUDITLINK__" localSheetId="6" hidden="1">{"fdsup://directions/FAT Viewer?action=UPDATE&amp;creator=factset&amp;DYN_ARGS=TRUE&amp;DOC_NAME=FAT:FQL_AUDITING_CLIENT_TEMPLATE.FAT&amp;display_string=Audit&amp;VAR:KEY=XSZEDAJIXO&amp;VAR:QUERY=RkZfRUJJVERBKEFOTiwyMDEwKQ==&amp;WINDOW=FIRST_POPUP&amp;HEIGHT=450&amp;WIDTH=450&amp;START_MAXIMIZED=","FALSE&amp;VAR:CALENDAR=US&amp;VAR:SYMBOL=KSU&amp;VAR:INDEX=0"}</definedName>
    <definedName name="_276__FDSAUDITLINK__" hidden="1">{"fdsup://directions/FAT Viewer?action=UPDATE&amp;creator=factset&amp;DYN_ARGS=TRUE&amp;DOC_NAME=FAT:FQL_AUDITING_CLIENT_TEMPLATE.FAT&amp;display_string=Audit&amp;VAR:KEY=MFGBYLQTCL&amp;VAR:QUERY=RkZfSU5WRU5fVFVSTihDQUwsMjAwMywsLFJGKQ==&amp;WINDOW=FIRST_POPUP&amp;HEIGHT=450&amp;WIDTH=450&amp;STAR","T_MAXIMIZED=FALSE&amp;VAR:CALENDAR=US&amp;VAR:SYMBOL=556352&amp;VAR:INDEX=0"}</definedName>
    <definedName name="_277__FDSAUDITLINK__" localSheetId="6" hidden="1">{"fdsup://directions/FAT Viewer?action=UPDATE&amp;creator=factset&amp;DYN_ARGS=TRUE&amp;DOC_NAME=FAT:FQL_AUDITING_CLIENT_TEMPLATE.FAT&amp;display_string=Audit&amp;VAR:KEY=JKDEPOXGHG&amp;VAR:QUERY=RkZfRUJJVERBKEFOTiwyMDEwKQ==&amp;WINDOW=FIRST_POPUP&amp;HEIGHT=450&amp;WIDTH=450&amp;START_MAXIMIZED=","FALSE&amp;VAR:CALENDAR=US&amp;VAR:SYMBOL=KNX&amp;VAR:INDEX=0"}</definedName>
    <definedName name="_277__FDSAUDITLINK__" hidden="1">{"fdsup://directions/FAT Viewer?action=UPDATE&amp;creator=factset&amp;DYN_ARGS=TRUE&amp;DOC_NAME=FAT:FQL_AUDITING_CLIENT_TEMPLATE.FAT&amp;display_string=Audit&amp;VAR:KEY=MFCLEDOJUP&amp;VAR:QUERY=RkZfSU5WRU5fVFVSTihDQUwsMjAwNCwsLFJGKQ==&amp;WINDOW=FIRST_POPUP&amp;HEIGHT=450&amp;WIDTH=450&amp;STAR","T_MAXIMIZED=FALSE&amp;VAR:CALENDAR=US&amp;VAR:SYMBOL=556352&amp;VAR:INDEX=0"}</definedName>
    <definedName name="_278__FDSAUDITLINK__" localSheetId="6" hidden="1">{"fdsup://directions/FAT Viewer?action=UPDATE&amp;creator=factset&amp;DYN_ARGS=TRUE&amp;DOC_NAME=FAT:FQL_AUDITING_CLIENT_TEMPLATE.FAT&amp;display_string=Audit&amp;VAR:KEY=HAPYLWXMPU&amp;VAR:QUERY=RkZfRUJJVERBKEFOTiwyMDEwKQ==&amp;WINDOW=FIRST_POPUP&amp;HEIGHT=450&amp;WIDTH=450&amp;START_MAXIMIZED=","FALSE&amp;VAR:CALENDAR=US&amp;VAR:SYMBOL=JBHT&amp;VAR:INDEX=0"}</definedName>
    <definedName name="_278__FDSAUDITLINK__" hidden="1">{"fdsup://directions/FAT Viewer?action=UPDATE&amp;creator=factset&amp;DYN_ARGS=TRUE&amp;DOC_NAME=FAT:FQL_AUDITING_CLIENT_TEMPLATE.FAT&amp;display_string=Audit&amp;VAR:KEY=QTSJQFYZCB&amp;VAR:QUERY=RkZfSU5WRU5fVFVSTihDQUwsMjAwNSwsLFJGKQ==&amp;WINDOW=FIRST_POPUP&amp;HEIGHT=450&amp;WIDTH=450&amp;STAR","T_MAXIMIZED=FALSE&amp;VAR:CALENDAR=US&amp;VAR:SYMBOL=556352&amp;VAR:INDEX=0"}</definedName>
    <definedName name="_279__FDSAUDITLINK__" localSheetId="6" hidden="1">{"fdsup://directions/FAT Viewer?action=UPDATE&amp;creator=factset&amp;DYN_ARGS=TRUE&amp;DOC_NAME=FAT:FQL_AUDITING_CLIENT_TEMPLATE.FAT&amp;display_string=Audit&amp;VAR:KEY=ZSFITIRYXU&amp;VAR:QUERY=RkZfRUJJVERBKEFOTiwyMDEwKQ==&amp;WINDOW=FIRST_POPUP&amp;HEIGHT=450&amp;WIDTH=450&amp;START_MAXIMIZED=","FALSE&amp;VAR:CALENDAR=US&amp;VAR:SYMBOL=HTLD&amp;VAR:INDEX=0"}</definedName>
    <definedName name="_279__FDSAUDITLINK__" hidden="1">{"fdsup://directions/FAT Viewer?action=UPDATE&amp;creator=factset&amp;DYN_ARGS=TRUE&amp;DOC_NAME=FAT:FQL_AUDITING_CLIENT_TEMPLATE.FAT&amp;display_string=Audit&amp;VAR:KEY=ETCJKLGNCT&amp;VAR:QUERY=RkZfSU5WRU5fVFVSTihDQUwsMjAwNiwsLFJGKQ==&amp;WINDOW=FIRST_POPUP&amp;HEIGHT=450&amp;WIDTH=450&amp;STAR","T_MAXIMIZED=FALSE&amp;VAR:CALENDAR=US&amp;VAR:SYMBOL=556352&amp;VAR:INDEX=0"}</definedName>
    <definedName name="_28__FDSAUDITLINK__" localSheetId="6" hidden="1">{"fdsup://Directions/FactSet Auditing Viewer?action=AUDIT_VALUE&amp;DB=129&amp;ID1=48517030&amp;VALUEID=01250&amp;SDATE=2010&amp;PERIODTYPE=ANN_STD&amp;window=popup_no_bar&amp;width=385&amp;height=120&amp;START_MAXIMIZED=FALSE&amp;creator=factset&amp;display_string=Audit"}</definedName>
    <definedName name="_28__FDSAUDITLINK__" hidden="1">{"fdsup://directions/FAT Viewer?action=UPDATE&amp;creator=factset&amp;DYN_ARGS=TRUE&amp;DOC_NAME=FAT:FQL_AUDITING_CLIENT_TEMPLATE.FAT&amp;display_string=Audit&amp;VAR:KEY=XCTUNKTUDO&amp;VAR:QUERY=RkZfTkVUX0lOQyhBTk4sMjAwOSk=&amp;WINDOW=FIRST_POPUP&amp;HEIGHT=450&amp;WIDTH=450&amp;START_MAXIMIZED=","FALSE&amp;VAR:CALENDAR=US&amp;VAR:SYMBOL=CSX&amp;VAR:INDEX=0"}</definedName>
    <definedName name="_280__FDSAUDITLINK__" localSheetId="6" hidden="1">{"fdsup://directions/FAT Viewer?action=UPDATE&amp;creator=factset&amp;DYN_ARGS=TRUE&amp;DOC_NAME=FAT:FQL_AUDITING_CLIENT_TEMPLATE.FAT&amp;display_string=Audit&amp;VAR:KEY=LGPKJARGRQ&amp;VAR:QUERY=RkZfRUJJVERBKEFOTiwyMDEwKQ==&amp;WINDOW=FIRST_POPUP&amp;HEIGHT=450&amp;WIDTH=450&amp;START_MAXIMIZED=","FALSE&amp;VAR:CALENDAR=US&amp;VAR:SYMBOL=GWR&amp;VAR:INDEX=0"}</definedName>
    <definedName name="_280__FDSAUDITLINK__" hidden="1">{"fdsup://directions/FAT Viewer?action=UPDATE&amp;creator=factset&amp;DYN_ARGS=TRUE&amp;DOC_NAME=FAT:FQL_AUDITING_CLIENT_TEMPLATE.FAT&amp;display_string=Audit&amp;VAR:KEY=IRCPENSLOD&amp;VAR:QUERY=RkZfSU5WRU5fVFVSTihDQUwsMjAwOCwsLFJGKQ==&amp;WINDOW=FIRST_POPUP&amp;HEIGHT=450&amp;WIDTH=450&amp;STAR","T_MAXIMIZED=FALSE&amp;VAR:CALENDAR=US&amp;VAR:SYMBOL=556352&amp;VAR:INDEX=0"}</definedName>
    <definedName name="_281__FDSAUDITLINK__" localSheetId="6" hidden="1">{"fdsup://directions/FAT Viewer?action=UPDATE&amp;creator=factset&amp;DYN_ARGS=TRUE&amp;DOC_NAME=FAT:FQL_AUDITING_CLIENT_TEMPLATE.FAT&amp;display_string=Audit&amp;VAR:KEY=FITUXWFEVY&amp;VAR:QUERY=RkZfRUJJVERBKEFOTiwyMDEwKQ==&amp;WINDOW=FIRST_POPUP&amp;HEIGHT=450&amp;WIDTH=450&amp;START_MAXIMIZED=","FALSE&amp;VAR:CALENDAR=US&amp;VAR:SYMBOL=FDX&amp;VAR:INDEX=0"}</definedName>
    <definedName name="_281__FDSAUDITLINK__" hidden="1">{"fdsup://directions/FAT Viewer?action=UPDATE&amp;creator=factset&amp;DYN_ARGS=TRUE&amp;DOC_NAME=FAT:FQL_AUDITING_CLIENT_TEMPLATE.FAT&amp;display_string=Audit&amp;VAR:KEY=KJKJMDIRGB&amp;VAR:QUERY=RkZfSU5WRU5fVFVSTihDQUwsMjAwOSwsLFJGKQ==&amp;WINDOW=FIRST_POPUP&amp;HEIGHT=450&amp;WIDTH=450&amp;STAR","T_MAXIMIZED=FALSE&amp;VAR:CALENDAR=US&amp;VAR:SYMBOL=556352&amp;VAR:INDEX=0"}</definedName>
    <definedName name="_282__FDSAUDITLINK__" hidden="1">{"fdsup://directions/FAT Viewer?action=UPDATE&amp;creator=factset&amp;DYN_ARGS=TRUE&amp;DOC_NAME=FAT:FQL_AUDITING_CLIENT_TEMPLATE.FAT&amp;display_string=Audit&amp;VAR:KEY=RCJYXEVKTC&amp;VAR:QUERY=RkZfRUJJVERBKEFOTiwyMDEwKQ==&amp;WINDOW=FIRST_POPUP&amp;HEIGHT=450&amp;WIDTH=450&amp;START_MAXIMIZED=","FALSE&amp;VAR:CALENDAR=US&amp;VAR:SYMBOL=EXPD&amp;VAR:INDEX=0"}</definedName>
    <definedName name="_283__FDSAUDITLINK__" hidden="1">{"fdsup://directions/FAT Viewer?action=UPDATE&amp;creator=factset&amp;DYN_ARGS=TRUE&amp;DOC_NAME=FAT:FQL_AUDITING_CLIENT_TEMPLATE.FAT&amp;display_string=Audit&amp;VAR:KEY=PWVUHIHSXI&amp;VAR:QUERY=RkZfRUJJVERBKEFOTiwyMDEwKQ==&amp;WINDOW=FIRST_POPUP&amp;HEIGHT=450&amp;WIDTH=450&amp;START_MAXIMIZED=","FALSE&amp;VAR:CALENDAR=US&amp;VAR:SYMBOL=ECHO&amp;VAR:INDEX=0"}</definedName>
    <definedName name="_284__FDSAUDITLINK__" hidden="1">{"fdsup://directions/FAT Viewer?action=UPDATE&amp;creator=factset&amp;DYN_ARGS=TRUE&amp;DOC_NAME=FAT:FQL_AUDITING_CLIENT_TEMPLATE.FAT&amp;display_string=Audit&amp;VAR:KEY=PQLAFCXOTY&amp;VAR:QUERY=RkZfRUJJVERBKEFOTiwyMDEwKQ==&amp;WINDOW=FIRST_POPUP&amp;HEIGHT=450&amp;WIDTH=450&amp;START_MAXIMIZED=","FALSE&amp;VAR:CALENDAR=US&amp;VAR:SYMBOL=CSX&amp;VAR:INDEX=0"}</definedName>
    <definedName name="_285__FDSAUDITLINK__" hidden="1">{"fdsup://directions/FAT Viewer?action=UPDATE&amp;creator=factset&amp;DYN_ARGS=TRUE&amp;DOC_NAME=FAT:FQL_AUDITING_CLIENT_TEMPLATE.FAT&amp;display_string=Audit&amp;VAR:KEY=RIRKPQFWPA&amp;VAR:QUERY=RkZfRUJJVERBKEFOTiwyMDEwKQ==&amp;WINDOW=FIRST_POPUP&amp;HEIGHT=450&amp;WIDTH=450&amp;START_MAXIMIZED=","FALSE&amp;VAR:CALENDAR=US&amp;VAR:SYMBOL=CP&amp;VAR:INDEX=0"}</definedName>
    <definedName name="_286__FDSAUDITLINK__" hidden="1">{"fdsup://directions/FAT Viewer?action=UPDATE&amp;creator=factset&amp;DYN_ARGS=TRUE&amp;DOC_NAME=FAT:FQL_AUDITING_CLIENT_TEMPLATE.FAT&amp;display_string=Audit&amp;VAR:KEY=PSZGDAPQRQ&amp;VAR:QUERY=RkZfRUJJVERBKEFOTiwyMDEwKQ==&amp;WINDOW=FIRST_POPUP&amp;HEIGHT=450&amp;WIDTH=450&amp;START_MAXIMIZED=","FALSE&amp;VAR:CALENDAR=US&amp;VAR:SYMBOL=CNI&amp;VAR:INDEX=0"}</definedName>
    <definedName name="_287__FDSAUDITLINK__" hidden="1">{"fdsup://directions/FAT Viewer?action=UPDATE&amp;creator=factset&amp;DYN_ARGS=TRUE&amp;DOC_NAME=FAT:FQL_AUDITING_CLIENT_TEMPLATE.FAT&amp;display_string=Audit&amp;VAR:KEY=NMJUNILOFE&amp;VAR:QUERY=RkZfRUJJVERBKEFOTiwyMDEwKQ==&amp;WINDOW=FIRST_POPUP&amp;HEIGHT=450&amp;WIDTH=450&amp;START_MAXIMIZED=","FALSE&amp;VAR:CALENDAR=US&amp;VAR:SYMBOL=CHRW&amp;VAR:INDEX=0"}</definedName>
    <definedName name="_288__FDSAUDITLINK__" hidden="1">{"fdsup://directions/FAT Viewer?action=UPDATE&amp;creator=factset&amp;DYN_ARGS=TRUE&amp;DOC_NAME=FAT:FQL_AUDITING_CLIENT_TEMPLATE.FAT&amp;display_string=Audit&amp;VAR:KEY=TEFEBCHYLA&amp;VAR:QUERY=RkZfTkVUX0lOQyhBTk4sMjAxMCk=&amp;WINDOW=FIRST_POPUP&amp;HEIGHT=450&amp;WIDTH=450&amp;START_MAXIMIZED=","FALSE&amp;VAR:CALENDAR=US&amp;VAR:SYMBOL=WERN&amp;VAR:INDEX=0"}</definedName>
    <definedName name="_289__FDSAUDITLINK__" hidden="1">{"fdsup://directions/FAT Viewer?action=UPDATE&amp;creator=factset&amp;DYN_ARGS=TRUE&amp;DOC_NAME=FAT:FQL_AUDITING_CLIENT_TEMPLATE.FAT&amp;display_string=Audit&amp;VAR:KEY=DKZMTQXOBY&amp;VAR:QUERY=RkZfTkVUX0lOQyhBTk4sMjAxMCk=&amp;WINDOW=FIRST_POPUP&amp;HEIGHT=450&amp;WIDTH=450&amp;START_MAXIMIZED=","FALSE&amp;VAR:CALENDAR=US&amp;VAR:SYMBOL=UTIW&amp;VAR:INDEX=0"}</definedName>
    <definedName name="_29__FDSAUDITLINK__" localSheetId="6" hidden="1">{"fdsup://Directions/FactSet Auditing Viewer?action=AUDIT_VALUE&amp;DB=129&amp;ID1=37155910&amp;VALUEID=01250&amp;SDATE=2010&amp;PERIODTYPE=ANN_STD&amp;window=popup_no_bar&amp;width=385&amp;height=120&amp;START_MAXIMIZED=FALSE&amp;creator=factset&amp;display_string=Audit"}</definedName>
    <definedName name="_29__FDSAUDITLINK__" hidden="1">{"fdsup://directions/FAT Viewer?action=UPDATE&amp;creator=factset&amp;DYN_ARGS=TRUE&amp;DOC_NAME=FAT:FQL_AUDITING_CLIENT_TEMPLATE.FAT&amp;display_string=Audit&amp;VAR:KEY=ZIJWZYDWHC&amp;VAR:QUERY=RkZfTkVUX0lOQyhBTk4sMjAwOSk=&amp;WINDOW=FIRST_POPUP&amp;HEIGHT=450&amp;WIDTH=450&amp;START_MAXIMIZED=","FALSE&amp;VAR:CALENDAR=US&amp;VAR:SYMBOL=CP&amp;VAR:INDEX=0"}</definedName>
    <definedName name="_290__FDSAUDITLINK__" hidden="1">{"fdsup://directions/FAT Viewer?action=UPDATE&amp;creator=factset&amp;DYN_ARGS=TRUE&amp;DOC_NAME=FAT:FQL_AUDITING_CLIENT_TEMPLATE.FAT&amp;display_string=Audit&amp;VAR:KEY=ZMPSHSFQPC&amp;VAR:QUERY=RkZfTkVUX0lOQyhBTk4sMjAxMCk=&amp;WINDOW=FIRST_POPUP&amp;HEIGHT=450&amp;WIDTH=450&amp;START_MAXIMIZED=","FALSE&amp;VAR:CALENDAR=US&amp;VAR:SYMBOL=UPS&amp;VAR:INDEX=0"}</definedName>
    <definedName name="_291__FDSAUDITLINK__" hidden="1">{"fdsup://directions/FAT Viewer?action=UPDATE&amp;creator=factset&amp;DYN_ARGS=TRUE&amp;DOC_NAME=FAT:FQL_AUDITING_CLIENT_TEMPLATE.FAT&amp;display_string=Audit&amp;VAR:KEY=ZERKTWLUZM&amp;VAR:QUERY=RkZfTkVUX0lOQyhBTk4sMjAxMCk=&amp;WINDOW=FIRST_POPUP&amp;HEIGHT=450&amp;WIDTH=450&amp;START_MAXIMIZED=","FALSE&amp;VAR:CALENDAR=US&amp;VAR:SYMBOL=UNP&amp;VAR:INDEX=0"}</definedName>
    <definedName name="_292__FDSAUDITLINK__" hidden="1">{"fdsup://directions/FAT Viewer?action=UPDATE&amp;creator=factset&amp;DYN_ARGS=TRUE&amp;DOC_NAME=FAT:FQL_AUDITING_CLIENT_TEMPLATE.FAT&amp;display_string=Audit&amp;VAR:KEY=XSHQBOPYBO&amp;VAR:QUERY=RkZfTkVUX0lOQyhBTk4sMjAxMCk=&amp;WINDOW=FIRST_POPUP&amp;HEIGHT=450&amp;WIDTH=450&amp;START_MAXIMIZED=","FALSE&amp;VAR:CALENDAR=US&amp;VAR:SYMBOL=SWFT&amp;VAR:INDEX=0"}</definedName>
    <definedName name="_293__FDSAUDITLINK__" hidden="1">{"fdsup://directions/FAT Viewer?action=UPDATE&amp;creator=factset&amp;DYN_ARGS=TRUE&amp;DOC_NAME=FAT:FQL_AUDITING_CLIENT_TEMPLATE.FAT&amp;display_string=Audit&amp;VAR:KEY=VMJEPWPIXO&amp;VAR:QUERY=RkZfTkVUX0lOQyhBTk4sMjAxMCk=&amp;WINDOW=FIRST_POPUP&amp;HEIGHT=450&amp;WIDTH=450&amp;START_MAXIMIZED=","FALSE&amp;VAR:CALENDAR=US&amp;VAR:SYMBOL=RA&amp;VAR:INDEX=0"}</definedName>
    <definedName name="_294__FDSAUDITLINK__" hidden="1">{"fdsup://directions/FAT Viewer?action=UPDATE&amp;creator=factset&amp;DYN_ARGS=TRUE&amp;DOC_NAME=FAT:FQL_AUDITING_CLIENT_TEMPLATE.FAT&amp;display_string=Audit&amp;VAR:KEY=NKHQVIBYPU&amp;VAR:QUERY=RkZfTkVUX0lOQyhBTk4sMjAxMCk=&amp;WINDOW=FIRST_POPUP&amp;HEIGHT=450&amp;WIDTH=450&amp;START_MAXIMIZED=","FALSE&amp;VAR:CALENDAR=US&amp;VAR:SYMBOL=NSC&amp;VAR:INDEX=0"}</definedName>
    <definedName name="_295__FDSAUDITLINK__" hidden="1">{"fdsup://directions/FAT Viewer?action=UPDATE&amp;creator=factset&amp;DYN_ARGS=TRUE&amp;DOC_NAME=FAT:FQL_AUDITING_CLIENT_TEMPLATE.FAT&amp;display_string=Audit&amp;VAR:KEY=NUZSXGPYTE&amp;VAR:QUERY=RkZfTkVUX0lOQyhBTk4sMjAxMCk=&amp;WINDOW=FIRST_POPUP&amp;HEIGHT=450&amp;WIDTH=450&amp;START_MAXIMIZED=","FALSE&amp;VAR:CALENDAR=US&amp;VAR:SYMBOL=KSU&amp;VAR:INDEX=0"}</definedName>
    <definedName name="_296__FDSAUDITLINK__" hidden="1">{"fdsup://directions/FAT Viewer?action=UPDATE&amp;creator=factset&amp;DYN_ARGS=TRUE&amp;DOC_NAME=FAT:FQL_AUDITING_CLIENT_TEMPLATE.FAT&amp;display_string=Audit&amp;VAR:KEY=VIXYFCHCJW&amp;VAR:QUERY=RkZfTkVUX0lOQyhBTk4sMjAxMCk=&amp;WINDOW=FIRST_POPUP&amp;HEIGHT=450&amp;WIDTH=450&amp;START_MAXIMIZED=","FALSE&amp;VAR:CALENDAR=US&amp;VAR:SYMBOL=KNX&amp;VAR:INDEX=0"}</definedName>
    <definedName name="_297__FDSAUDITLINK__" hidden="1">{"fdsup://directions/FAT Viewer?action=UPDATE&amp;creator=factset&amp;DYN_ARGS=TRUE&amp;DOC_NAME=FAT:FQL_AUDITING_CLIENT_TEMPLATE.FAT&amp;display_string=Audit&amp;VAR:KEY=VWBAHYTEZO&amp;VAR:QUERY=RkZfTkVUX0lOQyhBTk4sMjAxMCk=&amp;WINDOW=FIRST_POPUP&amp;HEIGHT=450&amp;WIDTH=450&amp;START_MAXIMIZED=","FALSE&amp;VAR:CALENDAR=US&amp;VAR:SYMBOL=JBHT&amp;VAR:INDEX=0"}</definedName>
    <definedName name="_298__FDSAUDITLINK__" hidden="1">{"fdsup://directions/FAT Viewer?action=UPDATE&amp;creator=factset&amp;DYN_ARGS=TRUE&amp;DOC_NAME=FAT:FQL_AUDITING_CLIENT_TEMPLATE.FAT&amp;display_string=Audit&amp;VAR:KEY=ZUDYNERMNW&amp;VAR:QUERY=RkZfTkVUX0lOQyhBTk4sMjAxMCk=&amp;WINDOW=FIRST_POPUP&amp;HEIGHT=450&amp;WIDTH=450&amp;START_MAXIMIZED=","FALSE&amp;VAR:CALENDAR=US&amp;VAR:SYMBOL=HTLD&amp;VAR:INDEX=0"}</definedName>
    <definedName name="_299__FDSAUDITLINK__" hidden="1">{"fdsup://directions/FAT Viewer?action=UPDATE&amp;creator=factset&amp;DYN_ARGS=TRUE&amp;DOC_NAME=FAT:FQL_AUDITING_CLIENT_TEMPLATE.FAT&amp;display_string=Audit&amp;VAR:KEY=DWLKJADUPM&amp;VAR:QUERY=RkZfTkVUX0lOQyhBTk4sMjAxMCk=&amp;WINDOW=FIRST_POPUP&amp;HEIGHT=450&amp;WIDTH=450&amp;START_MAXIMIZED=","FALSE&amp;VAR:CALENDAR=US&amp;VAR:SYMBOL=GWR&amp;VAR:INDEX=0"}</definedName>
    <definedName name="_3__FDSAUDITLINK__" localSheetId="5" hidden="1">{"fdsup://directions/FAT Viewer?action=UPDATE&amp;creator=factset&amp;DYN_ARGS=TRUE&amp;DOC_NAME=FAT:FQL_AUDITING_CLIENT_TEMPLATE.FAT&amp;display_string=Audit&amp;VAR:KEY=DUBSNOHOHG&amp;VAR:QUERY=RkZfTkVUX0lOQyhBTk4sMjAxMCk=&amp;WINDOW=FIRST_POPUP&amp;HEIGHT=450&amp;WIDTH=450&amp;START_MAXIMIZED=","FALSE&amp;VAR:CALENDAR=US&amp;VAR:SYMBOL=NSC&amp;VAR:INDEX=0"}</definedName>
    <definedName name="_3__FDSAUDITLINK__" localSheetId="6" hidden="1">{"fdsup://directions/FAT Viewer?action=UPDATE&amp;creator=factset&amp;DYN_ARGS=TRUE&amp;DOC_NAME=FAT:FQL_AUDITING_CLIENT_TEMPLATE.FAT&amp;display_string=Audit&amp;VAR:KEY=DQPUXQXQFE&amp;VAR:QUERY=RkZfQVNTRVRTX09USCgnUVRSJywwKQ==&amp;WINDOW=FIRST_POPUP&amp;HEIGHT=450&amp;WIDTH=450&amp;START_MAXIMI","ZED=FALSE&amp;VAR:CALENDAR=FIVEDAY&amp;VAR:SYMBOL=AAPL&amp;VAR:INDEX=0"}</definedName>
    <definedName name="_3__FDSAUDITLINK__" localSheetId="7" hidden="1">{"fdsup://directions/FAT Viewer?action=UPDATE&amp;creator=factset&amp;DYN_ARGS=TRUE&amp;DOC_NAME=FAT:FQL_AUDITING_CLIENT_TEMPLATE.FAT&amp;display_string=Audit&amp;VAR:KEY=DUBSNOHOHG&amp;VAR:QUERY=RkZfTkVUX0lOQyhBTk4sMjAxMCk=&amp;WINDOW=FIRST_POPUP&amp;HEIGHT=450&amp;WIDTH=450&amp;START_MAXIMIZED=","FALSE&amp;VAR:CALENDAR=US&amp;VAR:SYMBOL=NSC&amp;VAR:INDEX=0"}</definedName>
    <definedName name="_3__FDSAUDITLINK__" hidden="1">{"fdsup://directions/FAT Viewer?action=UPDATE&amp;creator=factset&amp;DYN_ARGS=TRUE&amp;DOC_NAME=FAT:FQL_AUDITING_CLIENT_TEMPLATE.FAT&amp;display_string=Audit&amp;VAR:KEY=TYJGTERWZO&amp;VAR:QUERY=RkZfTkVUX0lOQyhBTk4sMjAwOSk=&amp;WINDOW=FIRST_POPUP&amp;HEIGHT=450&amp;WIDTH=450&amp;START_MAXIMIZED=","FALSE&amp;VAR:CALENDAR=US&amp;VAR:SYMBOL=NSC&amp;VAR:INDEX=0"}</definedName>
    <definedName name="_30__FDSAUDITLINK__" localSheetId="6" hidden="1">{"fdsup://Directions/FactSet Auditing Viewer?action=AUDIT_VALUE&amp;DB=129&amp;ID1=12640810&amp;VALUEID=01250&amp;SDATE=2010&amp;PERIODTYPE=ANN_STD&amp;window=popup_no_bar&amp;width=385&amp;height=120&amp;START_MAXIMIZED=FALSE&amp;creator=factset&amp;display_string=Audit"}</definedName>
    <definedName name="_30__FDSAUDITLINK__" hidden="1">{"fdsup://directions/FAT Viewer?action=UPDATE&amp;creator=factset&amp;DYN_ARGS=TRUE&amp;DOC_NAME=FAT:FQL_AUDITING_CLIENT_TEMPLATE.FAT&amp;display_string=Audit&amp;VAR:KEY=ZIVKNCFMTU&amp;VAR:QUERY=RkZfTkVUX0lOQyhBTk4sMjAwOSk=&amp;WINDOW=FIRST_POPUP&amp;HEIGHT=450&amp;WIDTH=450&amp;START_MAXIMIZED=","FALSE&amp;VAR:CALENDAR=US&amp;VAR:SYMBOL=CNI&amp;VAR:INDEX=0"}</definedName>
    <definedName name="_300__FDSAUDITLINK__" hidden="1">{"fdsup://directions/FAT Viewer?action=UPDATE&amp;creator=factset&amp;DYN_ARGS=TRUE&amp;DOC_NAME=FAT:FQL_AUDITING_CLIENT_TEMPLATE.FAT&amp;display_string=Audit&amp;VAR:KEY=NCHITCFSDK&amp;VAR:QUERY=RkZfTkVUX0lOQyhBTk4sMjAxMCk=&amp;WINDOW=FIRST_POPUP&amp;HEIGHT=450&amp;WIDTH=450&amp;START_MAXIMIZED=","FALSE&amp;VAR:CALENDAR=US&amp;VAR:SYMBOL=FDX&amp;VAR:INDEX=0"}</definedName>
    <definedName name="_301__FDSAUDITLINK__" hidden="1">{"fdsup://directions/FAT Viewer?action=UPDATE&amp;creator=factset&amp;DYN_ARGS=TRUE&amp;DOC_NAME=FAT:FQL_AUDITING_CLIENT_TEMPLATE.FAT&amp;display_string=Audit&amp;VAR:KEY=DYDADKPAZI&amp;VAR:QUERY=RkZfTkVUX0lOQyhBTk4sMjAxMCk=&amp;WINDOW=FIRST_POPUP&amp;HEIGHT=450&amp;WIDTH=450&amp;START_MAXIMIZED=","FALSE&amp;VAR:CALENDAR=US&amp;VAR:SYMBOL=EXPD&amp;VAR:INDEX=0"}</definedName>
    <definedName name="_302__FDSAUDITLINK__" hidden="1">{"fdsup://directions/FAT Viewer?action=UPDATE&amp;creator=factset&amp;DYN_ARGS=TRUE&amp;DOC_NAME=FAT:FQL_AUDITING_CLIENT_TEMPLATE.FAT&amp;display_string=Audit&amp;VAR:KEY=BCNGDMHELQ&amp;VAR:QUERY=RkZfTkVUX0lOQyhBTk4sMjAxMCk=&amp;WINDOW=FIRST_POPUP&amp;HEIGHT=450&amp;WIDTH=450&amp;START_MAXIMIZED=","FALSE&amp;VAR:CALENDAR=US&amp;VAR:SYMBOL=ECHO&amp;VAR:INDEX=0"}</definedName>
    <definedName name="_303__FDSAUDITLINK__" hidden="1">{"fdsup://directions/FAT Viewer?action=UPDATE&amp;creator=factset&amp;DYN_ARGS=TRUE&amp;DOC_NAME=FAT:FQL_AUDITING_CLIENT_TEMPLATE.FAT&amp;display_string=Audit&amp;VAR:KEY=ZAXCRELUXM&amp;VAR:QUERY=RkZfTkVUX0lOQyhBTk4sMjAxMCk=&amp;WINDOW=FIRST_POPUP&amp;HEIGHT=450&amp;WIDTH=450&amp;START_MAXIMIZED=","FALSE&amp;VAR:CALENDAR=US&amp;VAR:SYMBOL=CSX&amp;VAR:INDEX=0"}</definedName>
    <definedName name="_304__FDSAUDITLINK__" hidden="1">{"fdsup://directions/FAT Viewer?action=UPDATE&amp;creator=factset&amp;DYN_ARGS=TRUE&amp;DOC_NAME=FAT:FQL_AUDITING_CLIENT_TEMPLATE.FAT&amp;display_string=Audit&amp;VAR:KEY=TOPEJIDUDE&amp;VAR:QUERY=RkZfTkVUX0lOQyhBTk4sMjAxMCk=&amp;WINDOW=FIRST_POPUP&amp;HEIGHT=450&amp;WIDTH=450&amp;START_MAXIMIZED=","FALSE&amp;VAR:CALENDAR=US&amp;VAR:SYMBOL=CP&amp;VAR:INDEX=0"}</definedName>
    <definedName name="_305__FDSAUDITLINK__" hidden="1">{"fdsup://directions/FAT Viewer?action=UPDATE&amp;creator=factset&amp;DYN_ARGS=TRUE&amp;DOC_NAME=FAT:FQL_AUDITING_CLIENT_TEMPLATE.FAT&amp;display_string=Audit&amp;VAR:KEY=TSDAZCBUZS&amp;VAR:QUERY=RkZfTkVUX0lOQyhBTk4sMjAxMCk=&amp;WINDOW=FIRST_POPUP&amp;HEIGHT=450&amp;WIDTH=450&amp;START_MAXIMIZED=","FALSE&amp;VAR:CALENDAR=US&amp;VAR:SYMBOL=CNI&amp;VAR:INDEX=0"}</definedName>
    <definedName name="_306__FDSAUDITLINK__" hidden="1">{"fdsup://directions/FAT Viewer?action=UPDATE&amp;creator=factset&amp;DYN_ARGS=TRUE&amp;DOC_NAME=FAT:FQL_AUDITING_CLIENT_TEMPLATE.FAT&amp;display_string=Audit&amp;VAR:KEY=VGFEBKRWDE&amp;VAR:QUERY=RkZfTkVUX0lOQyhBTk4sMjAxMCk=&amp;WINDOW=FIRST_POPUP&amp;HEIGHT=450&amp;WIDTH=450&amp;START_MAXIMIZED=","FALSE&amp;VAR:CALENDAR=US&amp;VAR:SYMBOL=CHRW&amp;VAR:INDEX=0"}</definedName>
    <definedName name="_307__FDSAUDITLINK__" hidden="1">{"fdsup://Directions/FactSet Auditing Viewer?action=AUDIT_VALUE&amp;DB=129&amp;ID1=90781810&amp;VALUEID=01401&amp;SDATE=2010&amp;PERIODTYPE=ANN_STD&amp;SCFT=3&amp;window=popup_no_bar&amp;width=385&amp;height=120&amp;START_MAXIMIZED=FALSE&amp;creator=factset&amp;display_string=Audit"}</definedName>
    <definedName name="_308__FDSAUDITLINK__" hidden="1">{"fdsup://Directions/FactSet Auditing Viewer?action=AUDIT_VALUE&amp;DB=129&amp;ID1=75075340&amp;VALUEID=01401&amp;SDATE=2010&amp;PERIODTYPE=ANN_STD&amp;SCFT=3&amp;window=popup_no_bar&amp;width=385&amp;height=120&amp;START_MAXIMIZED=FALSE&amp;creator=factset&amp;display_string=Audit"}</definedName>
    <definedName name="_309__FDSAUDITLINK__" hidden="1">{"fdsup://Directions/FactSet Auditing Viewer?action=AUDIT_VALUE&amp;DB=129&amp;ID1=65584410&amp;VALUEID=01401&amp;SDATE=2010&amp;PERIODTYPE=ANN_STD&amp;SCFT=3&amp;window=popup_no_bar&amp;width=385&amp;height=120&amp;START_MAXIMIZED=FALSE&amp;creator=factset&amp;display_string=Audit"}</definedName>
    <definedName name="_31__FDSAUDITLINK__" localSheetId="6" hidden="1">{"fdsup://Directions/FactSet Auditing Viewer?action=AUDIT_VALUE&amp;DB=129&amp;ID1=90781810&amp;VALUEID=01001&amp;SDATE=2010&amp;PERIODTYPE=ANN_STD&amp;window=popup_no_bar&amp;width=385&amp;height=120&amp;START_MAXIMIZED=FALSE&amp;creator=factset&amp;display_string=Audit"}</definedName>
    <definedName name="_31__FDSAUDITLINK__" hidden="1">{"fdsup://directions/FAT Viewer?action=UPDATE&amp;creator=factset&amp;DYN_ARGS=TRUE&amp;DOC_NAME=FAT:FQL_AUDITING_CLIENT_TEMPLATE.FAT&amp;display_string=Audit&amp;VAR:KEY=JSNEFUFKBO&amp;VAR:QUERY=RkZfRUJJVChBTk4sMjAwOSk=&amp;WINDOW=FIRST_POPUP&amp;HEIGHT=450&amp;WIDTH=450&amp;START_MAXIMIZED=FALS","E&amp;VAR:CALENDAR=US&amp;VAR:SYMBOL=NSC&amp;VAR:INDEX=0"}</definedName>
    <definedName name="_310__FDSAUDITLINK__" hidden="1">{"fdsup://Directions/FactSet Auditing Viewer?action=AUDIT_VALUE&amp;DB=129&amp;ID1=48517030&amp;VALUEID=01401&amp;SDATE=2010&amp;PERIODTYPE=ANN_STD&amp;SCFT=3&amp;window=popup_no_bar&amp;width=385&amp;height=120&amp;START_MAXIMIZED=FALSE&amp;creator=factset&amp;display_string=Audit"}</definedName>
    <definedName name="_311__FDSAUDITLINK__" hidden="1">{"fdsup://Directions/FactSet Auditing Viewer?action=AUDIT_VALUE&amp;DB=129&amp;ID1=37155910&amp;VALUEID=01401&amp;SDATE=2010&amp;PERIODTYPE=ANN_STD&amp;SCFT=3&amp;window=popup_no_bar&amp;width=385&amp;height=120&amp;START_MAXIMIZED=FALSE&amp;creator=factset&amp;display_string=Audit"}</definedName>
    <definedName name="_312__FDSAUDITLINK__" hidden="1">{"fdsup://Directions/FactSet Auditing Viewer?action=AUDIT_VALUE&amp;DB=129&amp;ID1=12640810&amp;VALUEID=01401&amp;SDATE=2010&amp;PERIODTYPE=ANN_STD&amp;SCFT=3&amp;window=popup_no_bar&amp;width=385&amp;height=120&amp;START_MAXIMIZED=FALSE&amp;creator=factset&amp;display_string=Audit"}</definedName>
    <definedName name="_313__FDSAUDITLINK__" hidden="1">{"fdsup://directions/FAT Viewer?action=UPDATE&amp;creator=factset&amp;DYN_ARGS=TRUE&amp;DOC_NAME=FAT:FQL_AUDITING_CLIENT_TEMPLATE.FAT&amp;display_string=Audit&amp;VAR:KEY=LUJWPUNIHI&amp;VAR:QUERY=RkZfRUJJVChBTk4sMjAxMCk=&amp;WINDOW=FIRST_POPUP&amp;HEIGHT=450&amp;WIDTH=450&amp;START_MAXIMIZED=FALS","E&amp;VAR:CALENDAR=US&amp;VAR:SYMBOL=WERN&amp;VAR:INDEX=0"}</definedName>
    <definedName name="_314__FDSAUDITLINK__" hidden="1">{"fdsup://directions/FAT Viewer?action=UPDATE&amp;creator=factset&amp;DYN_ARGS=TRUE&amp;DOC_NAME=FAT:FQL_AUDITING_CLIENT_TEMPLATE.FAT&amp;display_string=Audit&amp;VAR:KEY=LYPKXEFQVW&amp;VAR:QUERY=RkZfRUJJVChBTk4sMjAxMCk=&amp;WINDOW=FIRST_POPUP&amp;HEIGHT=450&amp;WIDTH=450&amp;START_MAXIMIZED=FALS","E&amp;VAR:CALENDAR=US&amp;VAR:SYMBOL=UTIW&amp;VAR:INDEX=0"}</definedName>
    <definedName name="_315__FDSAUDITLINK__" hidden="1">{"fdsup://directions/FAT Viewer?action=UPDATE&amp;creator=factset&amp;DYN_ARGS=TRUE&amp;DOC_NAME=FAT:FQL_AUDITING_CLIENT_TEMPLATE.FAT&amp;display_string=Audit&amp;VAR:KEY=XKNOLEJSVM&amp;VAR:QUERY=RkZfRUJJVChBTk4sMjAxMCk=&amp;WINDOW=FIRST_POPUP&amp;HEIGHT=450&amp;WIDTH=450&amp;START_MAXIMIZED=FALS","E&amp;VAR:CALENDAR=US&amp;VAR:SYMBOL=UPS&amp;VAR:INDEX=0"}</definedName>
    <definedName name="_316__FDSAUDITLINK__" hidden="1">{"fdsup://directions/FAT Viewer?action=UPDATE&amp;creator=factset&amp;DYN_ARGS=TRUE&amp;DOC_NAME=FAT:FQL_AUDITING_CLIENT_TEMPLATE.FAT&amp;display_string=Audit&amp;VAR:KEY=XSTYHIJETW&amp;VAR:QUERY=RkZfRUJJVChBTk4sMjAxMCk=&amp;WINDOW=FIRST_POPUP&amp;HEIGHT=450&amp;WIDTH=450&amp;START_MAXIMIZED=FALS","E&amp;VAR:CALENDAR=US&amp;VAR:SYMBOL=UNP&amp;VAR:INDEX=0"}</definedName>
    <definedName name="_317__FDSAUDITLINK__" hidden="1">{"fdsup://directions/FAT Viewer?action=UPDATE&amp;creator=factset&amp;DYN_ARGS=TRUE&amp;DOC_NAME=FAT:FQL_AUDITING_CLIENT_TEMPLATE.FAT&amp;display_string=Audit&amp;VAR:KEY=TYTONQVMDS&amp;VAR:QUERY=RkZfRUJJVChBTk4sMjAxMCk=&amp;WINDOW=FIRST_POPUP&amp;HEIGHT=450&amp;WIDTH=450&amp;START_MAXIMIZED=FALS","E&amp;VAR:CALENDAR=US&amp;VAR:SYMBOL=SWFT&amp;VAR:INDEX=0"}</definedName>
    <definedName name="_318__FDSAUDITLINK__" hidden="1">{"fdsup://directions/FAT Viewer?action=UPDATE&amp;creator=factset&amp;DYN_ARGS=TRUE&amp;DOC_NAME=FAT:FQL_AUDITING_CLIENT_TEMPLATE.FAT&amp;display_string=Audit&amp;VAR:KEY=NEXMNMLKZO&amp;VAR:QUERY=RkZfRUJJVChBTk4sMjAxMCk=&amp;WINDOW=FIRST_POPUP&amp;HEIGHT=450&amp;WIDTH=450&amp;START_MAXIMIZED=FALS","E&amp;VAR:CALENDAR=US&amp;VAR:SYMBOL=RA&amp;VAR:INDEX=0"}</definedName>
    <definedName name="_319__FDSAUDITLINK__" hidden="1">{"fdsup://directions/FAT Viewer?action=UPDATE&amp;creator=factset&amp;DYN_ARGS=TRUE&amp;DOC_NAME=FAT:FQL_AUDITING_CLIENT_TEMPLATE.FAT&amp;display_string=Audit&amp;VAR:KEY=HQZYJQNCTG&amp;VAR:QUERY=RkZfRUJJVChBTk4sMjAxMCk=&amp;WINDOW=FIRST_POPUP&amp;HEIGHT=450&amp;WIDTH=450&amp;START_MAXIMIZED=FALS","E&amp;VAR:CALENDAR=US&amp;VAR:SYMBOL=NSC&amp;VAR:INDEX=0"}</definedName>
    <definedName name="_32__FDSAUDITLINK__" localSheetId="6" hidden="1">{"fdsup://Directions/FactSet Auditing Viewer?action=AUDIT_VALUE&amp;DB=129&amp;ID1=75075340&amp;VALUEID=01001&amp;SDATE=2010&amp;PERIODTYPE=ANN_STD&amp;window=popup_no_bar&amp;width=385&amp;height=120&amp;START_MAXIMIZED=FALSE&amp;creator=factset&amp;display_string=Audit"}</definedName>
    <definedName name="_32__FDSAUDITLINK__" hidden="1">{"fdsup://directions/FAT Viewer?action=UPDATE&amp;creator=factset&amp;DYN_ARGS=TRUE&amp;DOC_NAME=FAT:FQL_AUDITING_CLIENT_TEMPLATE.FAT&amp;display_string=Audit&amp;VAR:KEY=FWBSRAVMTC&amp;VAR:QUERY=RkZfRUJJVChBTk4sMjAwOSk=&amp;WINDOW=FIRST_POPUP&amp;HEIGHT=450&amp;WIDTH=450&amp;START_MAXIMIZED=FALS","E&amp;VAR:CALENDAR=US&amp;VAR:SYMBOL=KSU&amp;VAR:INDEX=0"}</definedName>
    <definedName name="_320__FDSAUDITLINK__" hidden="1">{"fdsup://directions/FAT Viewer?action=UPDATE&amp;creator=factset&amp;DYN_ARGS=TRUE&amp;DOC_NAME=FAT:FQL_AUDITING_CLIENT_TEMPLATE.FAT&amp;display_string=Audit&amp;VAR:KEY=JIXYNQRSDQ&amp;VAR:QUERY=RkZfRUJJVChBTk4sMjAxMCk=&amp;WINDOW=FIRST_POPUP&amp;HEIGHT=450&amp;WIDTH=450&amp;START_MAXIMIZED=FALS","E&amp;VAR:CALENDAR=US&amp;VAR:SYMBOL=KSU&amp;VAR:INDEX=0"}</definedName>
    <definedName name="_321__FDSAUDITLINK__" hidden="1">{"fdsup://directions/FAT Viewer?action=UPDATE&amp;creator=factset&amp;DYN_ARGS=TRUE&amp;DOC_NAME=FAT:FQL_AUDITING_CLIENT_TEMPLATE.FAT&amp;display_string=Audit&amp;VAR:KEY=BSPMDEVUVE&amp;VAR:QUERY=RkZfRUJJVChBTk4sMjAxMCk=&amp;WINDOW=FIRST_POPUP&amp;HEIGHT=450&amp;WIDTH=450&amp;START_MAXIMIZED=FALS","E&amp;VAR:CALENDAR=US&amp;VAR:SYMBOL=KNX&amp;VAR:INDEX=0"}</definedName>
    <definedName name="_322__FDSAUDITLINK__" hidden="1">{"fdsup://directions/FAT Viewer?action=UPDATE&amp;creator=factset&amp;DYN_ARGS=TRUE&amp;DOC_NAME=FAT:FQL_AUDITING_CLIENT_TEMPLATE.FAT&amp;display_string=Audit&amp;VAR:KEY=RQRWHMPUTW&amp;VAR:QUERY=RkZfRUJJVChBTk4sMjAxMCk=&amp;WINDOW=FIRST_POPUP&amp;HEIGHT=450&amp;WIDTH=450&amp;START_MAXIMIZED=FALS","E&amp;VAR:CALENDAR=US&amp;VAR:SYMBOL=JBHT&amp;VAR:INDEX=0"}</definedName>
    <definedName name="_323__FDSAUDITLINK__" hidden="1">{"fdsup://directions/FAT Viewer?action=UPDATE&amp;creator=factset&amp;DYN_ARGS=TRUE&amp;DOC_NAME=FAT:FQL_AUDITING_CLIENT_TEMPLATE.FAT&amp;display_string=Audit&amp;VAR:KEY=ZIREZSRYNC&amp;VAR:QUERY=RkZfRUJJVChBTk4sMjAxMCk=&amp;WINDOW=FIRST_POPUP&amp;HEIGHT=450&amp;WIDTH=450&amp;START_MAXIMIZED=FALS","E&amp;VAR:CALENDAR=US&amp;VAR:SYMBOL=HTLD&amp;VAR:INDEX=0"}</definedName>
    <definedName name="_324__FDSAUDITLINK__" hidden="1">{"fdsup://directions/FAT Viewer?action=UPDATE&amp;creator=factset&amp;DYN_ARGS=TRUE&amp;DOC_NAME=FAT:FQL_AUDITING_CLIENT_TEMPLATE.FAT&amp;display_string=Audit&amp;VAR:KEY=DUPETWPSLE&amp;VAR:QUERY=RkZfRUJJVChBTk4sMjAxMCk=&amp;WINDOW=FIRST_POPUP&amp;HEIGHT=450&amp;WIDTH=450&amp;START_MAXIMIZED=FALS","E&amp;VAR:CALENDAR=US&amp;VAR:SYMBOL=GWR&amp;VAR:INDEX=0"}</definedName>
    <definedName name="_325__FDSAUDITLINK__" hidden="1">{"fdsup://directions/FAT Viewer?action=UPDATE&amp;creator=factset&amp;DYN_ARGS=TRUE&amp;DOC_NAME=FAT:FQL_AUDITING_CLIENT_TEMPLATE.FAT&amp;display_string=Audit&amp;VAR:KEY=ZMBMTCRKXU&amp;VAR:QUERY=RkZfRUJJVChBTk4sMjAxMCk=&amp;WINDOW=FIRST_POPUP&amp;HEIGHT=450&amp;WIDTH=450&amp;START_MAXIMIZED=FALS","E&amp;VAR:CALENDAR=US&amp;VAR:SYMBOL=FDX&amp;VAR:INDEX=0"}</definedName>
    <definedName name="_326__FDSAUDITLINK__" hidden="1">{"fdsup://directions/FAT Viewer?action=UPDATE&amp;creator=factset&amp;DYN_ARGS=TRUE&amp;DOC_NAME=FAT:FQL_AUDITING_CLIENT_TEMPLATE.FAT&amp;display_string=Audit&amp;VAR:KEY=HKRGXMPARI&amp;VAR:QUERY=RkZfRUJJVChBTk4sMjAxMCk=&amp;WINDOW=FIRST_POPUP&amp;HEIGHT=450&amp;WIDTH=450&amp;START_MAXIMIZED=FALS","E&amp;VAR:CALENDAR=US&amp;VAR:SYMBOL=EXPD&amp;VAR:INDEX=0"}</definedName>
    <definedName name="_327__FDSAUDITLINK__" hidden="1">{"fdsup://directions/FAT Viewer?action=UPDATE&amp;creator=factset&amp;DYN_ARGS=TRUE&amp;DOC_NAME=FAT:FQL_AUDITING_CLIENT_TEMPLATE.FAT&amp;display_string=Audit&amp;VAR:KEY=FQNQZGRYHQ&amp;VAR:QUERY=RkZfRUJJVChBTk4sMjAxMCk=&amp;WINDOW=FIRST_POPUP&amp;HEIGHT=450&amp;WIDTH=450&amp;START_MAXIMIZED=FALS","E&amp;VAR:CALENDAR=US&amp;VAR:SYMBOL=ECHO&amp;VAR:INDEX=0"}</definedName>
    <definedName name="_328__FDSAUDITLINK__" hidden="1">{"fdsup://directions/FAT Viewer?action=UPDATE&amp;creator=factset&amp;DYN_ARGS=TRUE&amp;DOC_NAME=FAT:FQL_AUDITING_CLIENT_TEMPLATE.FAT&amp;display_string=Audit&amp;VAR:KEY=ZKLURURKRG&amp;VAR:QUERY=RkZfRUJJVChBTk4sMjAxMCk=&amp;WINDOW=FIRST_POPUP&amp;HEIGHT=450&amp;WIDTH=450&amp;START_MAXIMIZED=FALS","E&amp;VAR:CALENDAR=US&amp;VAR:SYMBOL=CSX&amp;VAR:INDEX=0"}</definedName>
    <definedName name="_329__FDSAUDITLINK__" hidden="1">{"fdsup://directions/FAT Viewer?action=UPDATE&amp;creator=factset&amp;DYN_ARGS=TRUE&amp;DOC_NAME=FAT:FQL_AUDITING_CLIENT_TEMPLATE.FAT&amp;display_string=Audit&amp;VAR:KEY=JURMPMRGTA&amp;VAR:QUERY=RkZfRUJJVChBTk4sMjAxMCk=&amp;WINDOW=FIRST_POPUP&amp;HEIGHT=450&amp;WIDTH=450&amp;START_MAXIMIZED=FALS","E&amp;VAR:CALENDAR=US&amp;VAR:SYMBOL=CP&amp;VAR:INDEX=0"}</definedName>
    <definedName name="_33__FDSAUDITLINK__" localSheetId="6" hidden="1">{"fdsup://Directions/FactSet Auditing Viewer?action=AUDIT_VALUE&amp;DB=129&amp;ID1=65584410&amp;VALUEID=01001&amp;SDATE=2010&amp;PERIODTYPE=ANN_STD&amp;window=popup_no_bar&amp;width=385&amp;height=120&amp;START_MAXIMIZED=FALSE&amp;creator=factset&amp;display_string=Audit"}</definedName>
    <definedName name="_33__FDSAUDITLINK__" hidden="1">{"fdsup://directions/FAT Viewer?action=UPDATE&amp;creator=factset&amp;DYN_ARGS=TRUE&amp;DOC_NAME=FAT:FQL_AUDITING_CLIENT_TEMPLATE.FAT&amp;display_string=Audit&amp;VAR:KEY=JEFYFGBSLG&amp;VAR:QUERY=RkZfRUJJVChBTk4sMjAwOSk=&amp;WINDOW=FIRST_POPUP&amp;HEIGHT=450&amp;WIDTH=450&amp;START_MAXIMIZED=FALS","E&amp;VAR:CALENDAR=US&amp;VAR:SYMBOL=GWR&amp;VAR:INDEX=0"}</definedName>
    <definedName name="_330__FDSAUDITLINK__" hidden="1">{"fdsup://directions/FAT Viewer?action=UPDATE&amp;creator=factset&amp;DYN_ARGS=TRUE&amp;DOC_NAME=FAT:FQL_AUDITING_CLIENT_TEMPLATE.FAT&amp;display_string=Audit&amp;VAR:KEY=DMBCVSDMXE&amp;VAR:QUERY=RkZfRUJJVChBTk4sMjAxMCk=&amp;WINDOW=FIRST_POPUP&amp;HEIGHT=450&amp;WIDTH=450&amp;START_MAXIMIZED=FALS","E&amp;VAR:CALENDAR=US&amp;VAR:SYMBOL=CNI&amp;VAR:INDEX=0"}</definedName>
    <definedName name="_331__FDSAUDITLINK__" hidden="1">{"fdsup://directions/FAT Viewer?action=UPDATE&amp;creator=factset&amp;DYN_ARGS=TRUE&amp;DOC_NAME=FAT:FQL_AUDITING_CLIENT_TEMPLATE.FAT&amp;display_string=Audit&amp;VAR:KEY=JSXSLYXYTQ&amp;VAR:QUERY=RkZfRUJJVChBTk4sMjAxMCk=&amp;WINDOW=FIRST_POPUP&amp;HEIGHT=450&amp;WIDTH=450&amp;START_MAXIMIZED=FALS","E&amp;VAR:CALENDAR=US&amp;VAR:SYMBOL=CHRW&amp;VAR:INDEX=0"}</definedName>
    <definedName name="_332__FDSAUDITLINK__" hidden="1">{"fdsup://directions/FAT Viewer?action=UPDATE&amp;creator=factset&amp;DYN_ARGS=TRUE&amp;DOC_NAME=FAT:FQL_AUDITING_CLIENT_TEMPLATE.FAT&amp;display_string=Audit&amp;VAR:KEY=XSDCRQJUFS&amp;VAR:QUERY=RkZfRUJJVERBKEFOTiwyMDEwKQ==&amp;WINDOW=FIRST_POPUP&amp;HEIGHT=450&amp;WIDTH=450&amp;START_MAXIMIZED=","FALSE&amp;VAR:CALENDAR=US&amp;VAR:SYMBOL=WERN&amp;VAR:INDEX=0"}</definedName>
    <definedName name="_333__FDSAUDITLINK__" hidden="1">{"fdsup://directions/FAT Viewer?action=UPDATE&amp;creator=factset&amp;DYN_ARGS=TRUE&amp;DOC_NAME=FAT:FQL_AUDITING_CLIENT_TEMPLATE.FAT&amp;display_string=Audit&amp;VAR:KEY=NIHAVGVAVY&amp;VAR:QUERY=RkZfRUJJVERBKEFOTiwyMDEwKQ==&amp;WINDOW=FIRST_POPUP&amp;HEIGHT=450&amp;WIDTH=450&amp;START_MAXIMIZED=","FALSE&amp;VAR:CALENDAR=US&amp;VAR:SYMBOL=UTIW&amp;VAR:INDEX=0"}</definedName>
    <definedName name="_334__FDSAUDITLINK__" hidden="1">{"fdsup://directions/FAT Viewer?action=UPDATE&amp;creator=factset&amp;DYN_ARGS=TRUE&amp;DOC_NAME=FAT:FQL_AUDITING_CLIENT_TEMPLATE.FAT&amp;display_string=Audit&amp;VAR:KEY=HQXKDKZEDS&amp;VAR:QUERY=RkZfRUJJVERBKEFOTiwyMDEwKQ==&amp;WINDOW=FIRST_POPUP&amp;HEIGHT=450&amp;WIDTH=450&amp;START_MAXIMIZED=","FALSE&amp;VAR:CALENDAR=US&amp;VAR:SYMBOL=UPS&amp;VAR:INDEX=0"}</definedName>
    <definedName name="_335__FDSAUDITLINK__" hidden="1">{"fdsup://directions/FAT Viewer?action=UPDATE&amp;creator=factset&amp;DYN_ARGS=TRUE&amp;DOC_NAME=FAT:FQL_AUDITING_CLIENT_TEMPLATE.FAT&amp;display_string=Audit&amp;VAR:KEY=NKTGTKNIHM&amp;VAR:QUERY=RkZfRUJJVERBKEFOTiwyMDEwKQ==&amp;WINDOW=FIRST_POPUP&amp;HEIGHT=450&amp;WIDTH=450&amp;START_MAXIMIZED=","FALSE&amp;VAR:CALENDAR=US&amp;VAR:SYMBOL=UNP&amp;VAR:INDEX=0"}</definedName>
    <definedName name="_336__FDSAUDITLINK__" hidden="1">{"fdsup://directions/FAT Viewer?action=UPDATE&amp;creator=factset&amp;DYN_ARGS=TRUE&amp;DOC_NAME=FAT:FQL_AUDITING_CLIENT_TEMPLATE.FAT&amp;display_string=Audit&amp;VAR:KEY=JGTOZATCPY&amp;VAR:QUERY=RkZfRUJJVERBKEFOTiwyMDEwKQ==&amp;WINDOW=FIRST_POPUP&amp;HEIGHT=450&amp;WIDTH=450&amp;START_MAXIMIZED=","FALSE&amp;VAR:CALENDAR=US&amp;VAR:SYMBOL=SWFT&amp;VAR:INDEX=0"}</definedName>
    <definedName name="_337__FDSAUDITLINK__" hidden="1">{"fdsup://directions/FAT Viewer?action=UPDATE&amp;creator=factset&amp;DYN_ARGS=TRUE&amp;DOC_NAME=FAT:FQL_AUDITING_CLIENT_TEMPLATE.FAT&amp;display_string=Audit&amp;VAR:KEY=RSBUTQRYTM&amp;VAR:QUERY=RkZfRUJJVERBKEFOTiwyMDEwKQ==&amp;WINDOW=FIRST_POPUP&amp;HEIGHT=450&amp;WIDTH=450&amp;START_MAXIMIZED=","FALSE&amp;VAR:CALENDAR=US&amp;VAR:SYMBOL=RA&amp;VAR:INDEX=0"}</definedName>
    <definedName name="_338__FDSAUDITLINK__" hidden="1">{"fdsup://directions/FAT Viewer?action=UPDATE&amp;creator=factset&amp;DYN_ARGS=TRUE&amp;DOC_NAME=FAT:FQL_AUDITING_CLIENT_TEMPLATE.FAT&amp;display_string=Audit&amp;VAR:KEY=POVIHSBSZO&amp;VAR:QUERY=RkZfRUJJVERBKEFOTiwyMDEwKQ==&amp;WINDOW=FIRST_POPUP&amp;HEIGHT=450&amp;WIDTH=450&amp;START_MAXIMIZED=","FALSE&amp;VAR:CALENDAR=US&amp;VAR:SYMBOL=NSC&amp;VAR:INDEX=0"}</definedName>
    <definedName name="_339__FDSAUDITLINK__" hidden="1">{"fdsup://directions/FAT Viewer?action=UPDATE&amp;creator=factset&amp;DYN_ARGS=TRUE&amp;DOC_NAME=FAT:FQL_AUDITING_CLIENT_TEMPLATE.FAT&amp;display_string=Audit&amp;VAR:KEY=XSZEDAJIXO&amp;VAR:QUERY=RkZfRUJJVERBKEFOTiwyMDEwKQ==&amp;WINDOW=FIRST_POPUP&amp;HEIGHT=450&amp;WIDTH=450&amp;START_MAXIMIZED=","FALSE&amp;VAR:CALENDAR=US&amp;VAR:SYMBOL=KSU&amp;VAR:INDEX=0"}</definedName>
    <definedName name="_34__FDSAUDITLINK__" localSheetId="6" hidden="1">{"fdsup://Directions/FactSet Auditing Viewer?action=AUDIT_VALUE&amp;DB=129&amp;ID1=48517030&amp;VALUEID=01001&amp;SDATE=2010&amp;PERIODTYPE=ANN_STD&amp;window=popup_no_bar&amp;width=385&amp;height=120&amp;START_MAXIMIZED=FALSE&amp;creator=factset&amp;display_string=Audit"}</definedName>
    <definedName name="_34__FDSAUDITLINK__" hidden="1">{"fdsup://directions/FAT Viewer?action=UPDATE&amp;creator=factset&amp;DYN_ARGS=TRUE&amp;DOC_NAME=FAT:FQL_AUDITING_CLIENT_TEMPLATE.FAT&amp;display_string=Audit&amp;VAR:KEY=LOVABURQPM&amp;VAR:QUERY=RkZfRUJJVChBTk4sMjAwOSk=&amp;WINDOW=FIRST_POPUP&amp;HEIGHT=450&amp;WIDTH=450&amp;START_MAXIMIZED=FALS","E&amp;VAR:CALENDAR=US&amp;VAR:SYMBOL=CSX&amp;VAR:INDEX=0"}</definedName>
    <definedName name="_340__FDSAUDITLINK__" hidden="1">{"fdsup://directions/FAT Viewer?action=UPDATE&amp;creator=factset&amp;DYN_ARGS=TRUE&amp;DOC_NAME=FAT:FQL_AUDITING_CLIENT_TEMPLATE.FAT&amp;display_string=Audit&amp;VAR:KEY=JKDEPOXGHG&amp;VAR:QUERY=RkZfRUJJVERBKEFOTiwyMDEwKQ==&amp;WINDOW=FIRST_POPUP&amp;HEIGHT=450&amp;WIDTH=450&amp;START_MAXIMIZED=","FALSE&amp;VAR:CALENDAR=US&amp;VAR:SYMBOL=KNX&amp;VAR:INDEX=0"}</definedName>
    <definedName name="_341__FDSAUDITLINK__" hidden="1">{"fdsup://directions/FAT Viewer?action=UPDATE&amp;creator=factset&amp;DYN_ARGS=TRUE&amp;DOC_NAME=FAT:FQL_AUDITING_CLIENT_TEMPLATE.FAT&amp;display_string=Audit&amp;VAR:KEY=HAPYLWXMPU&amp;VAR:QUERY=RkZfRUJJVERBKEFOTiwyMDEwKQ==&amp;WINDOW=FIRST_POPUP&amp;HEIGHT=450&amp;WIDTH=450&amp;START_MAXIMIZED=","FALSE&amp;VAR:CALENDAR=US&amp;VAR:SYMBOL=JBHT&amp;VAR:INDEX=0"}</definedName>
    <definedName name="_342__FDSAUDITLINK__" hidden="1">{"fdsup://directions/FAT Viewer?action=UPDATE&amp;creator=factset&amp;DYN_ARGS=TRUE&amp;DOC_NAME=FAT:FQL_AUDITING_CLIENT_TEMPLATE.FAT&amp;display_string=Audit&amp;VAR:KEY=ZSFITIRYXU&amp;VAR:QUERY=RkZfRUJJVERBKEFOTiwyMDEwKQ==&amp;WINDOW=FIRST_POPUP&amp;HEIGHT=450&amp;WIDTH=450&amp;START_MAXIMIZED=","FALSE&amp;VAR:CALENDAR=US&amp;VAR:SYMBOL=HTLD&amp;VAR:INDEX=0"}</definedName>
    <definedName name="_343__FDSAUDITLINK__" hidden="1">{"fdsup://directions/FAT Viewer?action=UPDATE&amp;creator=factset&amp;DYN_ARGS=TRUE&amp;DOC_NAME=FAT:FQL_AUDITING_CLIENT_TEMPLATE.FAT&amp;display_string=Audit&amp;VAR:KEY=LGPKJARGRQ&amp;VAR:QUERY=RkZfRUJJVERBKEFOTiwyMDEwKQ==&amp;WINDOW=FIRST_POPUP&amp;HEIGHT=450&amp;WIDTH=450&amp;START_MAXIMIZED=","FALSE&amp;VAR:CALENDAR=US&amp;VAR:SYMBOL=GWR&amp;VAR:INDEX=0"}</definedName>
    <definedName name="_344__FDSAUDITLINK__" hidden="1">{"fdsup://directions/FAT Viewer?action=UPDATE&amp;creator=factset&amp;DYN_ARGS=TRUE&amp;DOC_NAME=FAT:FQL_AUDITING_CLIENT_TEMPLATE.FAT&amp;display_string=Audit&amp;VAR:KEY=FITUXWFEVY&amp;VAR:QUERY=RkZfRUJJVERBKEFOTiwyMDEwKQ==&amp;WINDOW=FIRST_POPUP&amp;HEIGHT=450&amp;WIDTH=450&amp;START_MAXIMIZED=","FALSE&amp;VAR:CALENDAR=US&amp;VAR:SYMBOL=FDX&amp;VAR:INDEX=0"}</definedName>
    <definedName name="_345__FDSAUDITLINK__" hidden="1">{"fdsup://directions/FAT Viewer?action=UPDATE&amp;creator=factset&amp;DYN_ARGS=TRUE&amp;DOC_NAME=FAT:FQL_AUDITING_CLIENT_TEMPLATE.FAT&amp;display_string=Audit&amp;VAR:KEY=RCJYXEVKTC&amp;VAR:QUERY=RkZfRUJJVERBKEFOTiwyMDEwKQ==&amp;WINDOW=FIRST_POPUP&amp;HEIGHT=450&amp;WIDTH=450&amp;START_MAXIMIZED=","FALSE&amp;VAR:CALENDAR=US&amp;VAR:SYMBOL=EXPD&amp;VAR:INDEX=0"}</definedName>
    <definedName name="_346__FDSAUDITLINK__" hidden="1">{"fdsup://directions/FAT Viewer?action=UPDATE&amp;creator=factset&amp;DYN_ARGS=TRUE&amp;DOC_NAME=FAT:FQL_AUDITING_CLIENT_TEMPLATE.FAT&amp;display_string=Audit&amp;VAR:KEY=PWVUHIHSXI&amp;VAR:QUERY=RkZfRUJJVERBKEFOTiwyMDEwKQ==&amp;WINDOW=FIRST_POPUP&amp;HEIGHT=450&amp;WIDTH=450&amp;START_MAXIMIZED=","FALSE&amp;VAR:CALENDAR=US&amp;VAR:SYMBOL=ECHO&amp;VAR:INDEX=0"}</definedName>
    <definedName name="_347__FDSAUDITLINK__" hidden="1">{"fdsup://directions/FAT Viewer?action=UPDATE&amp;creator=factset&amp;DYN_ARGS=TRUE&amp;DOC_NAME=FAT:FQL_AUDITING_CLIENT_TEMPLATE.FAT&amp;display_string=Audit&amp;VAR:KEY=PQLAFCXOTY&amp;VAR:QUERY=RkZfRUJJVERBKEFOTiwyMDEwKQ==&amp;WINDOW=FIRST_POPUP&amp;HEIGHT=450&amp;WIDTH=450&amp;START_MAXIMIZED=","FALSE&amp;VAR:CALENDAR=US&amp;VAR:SYMBOL=CSX&amp;VAR:INDEX=0"}</definedName>
    <definedName name="_348__FDSAUDITLINK__" hidden="1">{"fdsup://directions/FAT Viewer?action=UPDATE&amp;creator=factset&amp;DYN_ARGS=TRUE&amp;DOC_NAME=FAT:FQL_AUDITING_CLIENT_TEMPLATE.FAT&amp;display_string=Audit&amp;VAR:KEY=RIRKPQFWPA&amp;VAR:QUERY=RkZfRUJJVERBKEFOTiwyMDEwKQ==&amp;WINDOW=FIRST_POPUP&amp;HEIGHT=450&amp;WIDTH=450&amp;START_MAXIMIZED=","FALSE&amp;VAR:CALENDAR=US&amp;VAR:SYMBOL=CP&amp;VAR:INDEX=0"}</definedName>
    <definedName name="_349__FDSAUDITLINK__" hidden="1">{"fdsup://directions/FAT Viewer?action=UPDATE&amp;creator=factset&amp;DYN_ARGS=TRUE&amp;DOC_NAME=FAT:FQL_AUDITING_CLIENT_TEMPLATE.FAT&amp;display_string=Audit&amp;VAR:KEY=PSZGDAPQRQ&amp;VAR:QUERY=RkZfRUJJVERBKEFOTiwyMDEwKQ==&amp;WINDOW=FIRST_POPUP&amp;HEIGHT=450&amp;WIDTH=450&amp;START_MAXIMIZED=","FALSE&amp;VAR:CALENDAR=US&amp;VAR:SYMBOL=CNI&amp;VAR:INDEX=0"}</definedName>
    <definedName name="_35__FDSAUDITLINK__" localSheetId="6" hidden="1">{"fdsup://Directions/FactSet Auditing Viewer?action=AUDIT_VALUE&amp;DB=129&amp;ID1=37155910&amp;VALUEID=01001&amp;SDATE=2010&amp;PERIODTYPE=ANN_STD&amp;window=popup_no_bar&amp;width=385&amp;height=120&amp;START_MAXIMIZED=FALSE&amp;creator=factset&amp;display_string=Audit"}</definedName>
    <definedName name="_35__FDSAUDITLINK__" hidden="1">{"fdsup://directions/FAT Viewer?action=UPDATE&amp;creator=factset&amp;DYN_ARGS=TRUE&amp;DOC_NAME=FAT:FQL_AUDITING_CLIENT_TEMPLATE.FAT&amp;display_string=Audit&amp;VAR:KEY=BUBMLSREXC&amp;VAR:QUERY=RkZfRUJJVChBTk4sMjAwOSk=&amp;WINDOW=FIRST_POPUP&amp;HEIGHT=450&amp;WIDTH=450&amp;START_MAXIMIZED=FALS","E&amp;VAR:CALENDAR=US&amp;VAR:SYMBOL=CP&amp;VAR:INDEX=0"}</definedName>
    <definedName name="_350__FDSAUDITLINK__" hidden="1">{"fdsup://directions/FAT Viewer?action=UPDATE&amp;creator=factset&amp;DYN_ARGS=TRUE&amp;DOC_NAME=FAT:FQL_AUDITING_CLIENT_TEMPLATE.FAT&amp;display_string=Audit&amp;VAR:KEY=NMJUNILOFE&amp;VAR:QUERY=RkZfRUJJVERBKEFOTiwyMDEwKQ==&amp;WINDOW=FIRST_POPUP&amp;HEIGHT=450&amp;WIDTH=450&amp;START_MAXIMIZED=","FALSE&amp;VAR:CALENDAR=US&amp;VAR:SYMBOL=CHRW&amp;VAR:INDEX=0"}</definedName>
    <definedName name="_351__FDSAUDITLINK__" hidden="1">{"fdsup://directions/FAT Viewer?action=UPDATE&amp;creator=factset&amp;DYN_ARGS=TRUE&amp;DOC_NAME=FAT:FQL_AUDITING_CLIENT_TEMPLATE.FAT&amp;display_string=Audit&amp;VAR:KEY=TEFEBCHYLA&amp;VAR:QUERY=RkZfTkVUX0lOQyhBTk4sMjAxMCk=&amp;WINDOW=FIRST_POPUP&amp;HEIGHT=450&amp;WIDTH=450&amp;START_MAXIMIZED=","FALSE&amp;VAR:CALENDAR=US&amp;VAR:SYMBOL=WERN&amp;VAR:INDEX=0"}</definedName>
    <definedName name="_352__FDSAUDITLINK__" hidden="1">{"fdsup://directions/FAT Viewer?action=UPDATE&amp;creator=factset&amp;DYN_ARGS=TRUE&amp;DOC_NAME=FAT:FQL_AUDITING_CLIENT_TEMPLATE.FAT&amp;display_string=Audit&amp;VAR:KEY=DKZMTQXOBY&amp;VAR:QUERY=RkZfTkVUX0lOQyhBTk4sMjAxMCk=&amp;WINDOW=FIRST_POPUP&amp;HEIGHT=450&amp;WIDTH=450&amp;START_MAXIMIZED=","FALSE&amp;VAR:CALENDAR=US&amp;VAR:SYMBOL=UTIW&amp;VAR:INDEX=0"}</definedName>
    <definedName name="_353__FDSAUDITLINK__" hidden="1">{"fdsup://directions/FAT Viewer?action=UPDATE&amp;creator=factset&amp;DYN_ARGS=TRUE&amp;DOC_NAME=FAT:FQL_AUDITING_CLIENT_TEMPLATE.FAT&amp;display_string=Audit&amp;VAR:KEY=ZMPSHSFQPC&amp;VAR:QUERY=RkZfTkVUX0lOQyhBTk4sMjAxMCk=&amp;WINDOW=FIRST_POPUP&amp;HEIGHT=450&amp;WIDTH=450&amp;START_MAXIMIZED=","FALSE&amp;VAR:CALENDAR=US&amp;VAR:SYMBOL=UPS&amp;VAR:INDEX=0"}</definedName>
    <definedName name="_354__FDSAUDITLINK__" hidden="1">{"fdsup://directions/FAT Viewer?action=UPDATE&amp;creator=factset&amp;DYN_ARGS=TRUE&amp;DOC_NAME=FAT:FQL_AUDITING_CLIENT_TEMPLATE.FAT&amp;display_string=Audit&amp;VAR:KEY=ZERKTWLUZM&amp;VAR:QUERY=RkZfTkVUX0lOQyhBTk4sMjAxMCk=&amp;WINDOW=FIRST_POPUP&amp;HEIGHT=450&amp;WIDTH=450&amp;START_MAXIMIZED=","FALSE&amp;VAR:CALENDAR=US&amp;VAR:SYMBOL=UNP&amp;VAR:INDEX=0"}</definedName>
    <definedName name="_355__FDSAUDITLINK__" hidden="1">{"fdsup://directions/FAT Viewer?action=UPDATE&amp;creator=factset&amp;DYN_ARGS=TRUE&amp;DOC_NAME=FAT:FQL_AUDITING_CLIENT_TEMPLATE.FAT&amp;display_string=Audit&amp;VAR:KEY=XSHQBOPYBO&amp;VAR:QUERY=RkZfTkVUX0lOQyhBTk4sMjAxMCk=&amp;WINDOW=FIRST_POPUP&amp;HEIGHT=450&amp;WIDTH=450&amp;START_MAXIMIZED=","FALSE&amp;VAR:CALENDAR=US&amp;VAR:SYMBOL=SWFT&amp;VAR:INDEX=0"}</definedName>
    <definedName name="_356__FDSAUDITLINK__" hidden="1">{"fdsup://directions/FAT Viewer?action=UPDATE&amp;creator=factset&amp;DYN_ARGS=TRUE&amp;DOC_NAME=FAT:FQL_AUDITING_CLIENT_TEMPLATE.FAT&amp;display_string=Audit&amp;VAR:KEY=VMJEPWPIXO&amp;VAR:QUERY=RkZfTkVUX0lOQyhBTk4sMjAxMCk=&amp;WINDOW=FIRST_POPUP&amp;HEIGHT=450&amp;WIDTH=450&amp;START_MAXIMIZED=","FALSE&amp;VAR:CALENDAR=US&amp;VAR:SYMBOL=RA&amp;VAR:INDEX=0"}</definedName>
    <definedName name="_357__FDSAUDITLINK__" hidden="1">{"fdsup://directions/FAT Viewer?action=UPDATE&amp;creator=factset&amp;DYN_ARGS=TRUE&amp;DOC_NAME=FAT:FQL_AUDITING_CLIENT_TEMPLATE.FAT&amp;display_string=Audit&amp;VAR:KEY=NKHQVIBYPU&amp;VAR:QUERY=RkZfTkVUX0lOQyhBTk4sMjAxMCk=&amp;WINDOW=FIRST_POPUP&amp;HEIGHT=450&amp;WIDTH=450&amp;START_MAXIMIZED=","FALSE&amp;VAR:CALENDAR=US&amp;VAR:SYMBOL=NSC&amp;VAR:INDEX=0"}</definedName>
    <definedName name="_358__FDSAUDITLINK__" hidden="1">{"fdsup://directions/FAT Viewer?action=UPDATE&amp;creator=factset&amp;DYN_ARGS=TRUE&amp;DOC_NAME=FAT:FQL_AUDITING_CLIENT_TEMPLATE.FAT&amp;display_string=Audit&amp;VAR:KEY=NUZSXGPYTE&amp;VAR:QUERY=RkZfTkVUX0lOQyhBTk4sMjAxMCk=&amp;WINDOW=FIRST_POPUP&amp;HEIGHT=450&amp;WIDTH=450&amp;START_MAXIMIZED=","FALSE&amp;VAR:CALENDAR=US&amp;VAR:SYMBOL=KSU&amp;VAR:INDEX=0"}</definedName>
    <definedName name="_359__FDSAUDITLINK__" hidden="1">{"fdsup://directions/FAT Viewer?action=UPDATE&amp;creator=factset&amp;DYN_ARGS=TRUE&amp;DOC_NAME=FAT:FQL_AUDITING_CLIENT_TEMPLATE.FAT&amp;display_string=Audit&amp;VAR:KEY=VIXYFCHCJW&amp;VAR:QUERY=RkZfTkVUX0lOQyhBTk4sMjAxMCk=&amp;WINDOW=FIRST_POPUP&amp;HEIGHT=450&amp;WIDTH=450&amp;START_MAXIMIZED=","FALSE&amp;VAR:CALENDAR=US&amp;VAR:SYMBOL=KNX&amp;VAR:INDEX=0"}</definedName>
    <definedName name="_36__FDSAUDITLINK__" localSheetId="6" hidden="1">{"fdsup://Directions/FactSet Auditing Viewer?action=AUDIT_VALUE&amp;DB=129&amp;ID1=12640810&amp;VALUEID=01001&amp;SDATE=2010&amp;PERIODTYPE=ANN_STD&amp;window=popup_no_bar&amp;width=385&amp;height=120&amp;START_MAXIMIZED=FALSE&amp;creator=factset&amp;display_string=Audit"}</definedName>
    <definedName name="_36__FDSAUDITLINK__" hidden="1">{"fdsup://directions/FAT Viewer?action=UPDATE&amp;creator=factset&amp;DYN_ARGS=TRUE&amp;DOC_NAME=FAT:FQL_AUDITING_CLIENT_TEMPLATE.FAT&amp;display_string=Audit&amp;VAR:KEY=VMNIVYHKNS&amp;VAR:QUERY=RkZfRUJJVChBTk4sMjAwOSk=&amp;WINDOW=FIRST_POPUP&amp;HEIGHT=450&amp;WIDTH=450&amp;START_MAXIMIZED=FALS","E&amp;VAR:CALENDAR=US&amp;VAR:SYMBOL=CNI&amp;VAR:INDEX=0"}</definedName>
    <definedName name="_360__FDSAUDITLINK__" hidden="1">{"fdsup://directions/FAT Viewer?action=UPDATE&amp;creator=factset&amp;DYN_ARGS=TRUE&amp;DOC_NAME=FAT:FQL_AUDITING_CLIENT_TEMPLATE.FAT&amp;display_string=Audit&amp;VAR:KEY=VWBAHYTEZO&amp;VAR:QUERY=RkZfTkVUX0lOQyhBTk4sMjAxMCk=&amp;WINDOW=FIRST_POPUP&amp;HEIGHT=450&amp;WIDTH=450&amp;START_MAXIMIZED=","FALSE&amp;VAR:CALENDAR=US&amp;VAR:SYMBOL=JBHT&amp;VAR:INDEX=0"}</definedName>
    <definedName name="_361__FDSAUDITLINK__" hidden="1">{"fdsup://directions/FAT Viewer?action=UPDATE&amp;creator=factset&amp;DYN_ARGS=TRUE&amp;DOC_NAME=FAT:FQL_AUDITING_CLIENT_TEMPLATE.FAT&amp;display_string=Audit&amp;VAR:KEY=ZUDYNERMNW&amp;VAR:QUERY=RkZfTkVUX0lOQyhBTk4sMjAxMCk=&amp;WINDOW=FIRST_POPUP&amp;HEIGHT=450&amp;WIDTH=450&amp;START_MAXIMIZED=","FALSE&amp;VAR:CALENDAR=US&amp;VAR:SYMBOL=HTLD&amp;VAR:INDEX=0"}</definedName>
    <definedName name="_362__FDSAUDITLINK__" hidden="1">{"fdsup://directions/FAT Viewer?action=UPDATE&amp;creator=factset&amp;DYN_ARGS=TRUE&amp;DOC_NAME=FAT:FQL_AUDITING_CLIENT_TEMPLATE.FAT&amp;display_string=Audit&amp;VAR:KEY=DWLKJADUPM&amp;VAR:QUERY=RkZfTkVUX0lOQyhBTk4sMjAxMCk=&amp;WINDOW=FIRST_POPUP&amp;HEIGHT=450&amp;WIDTH=450&amp;START_MAXIMIZED=","FALSE&amp;VAR:CALENDAR=US&amp;VAR:SYMBOL=GWR&amp;VAR:INDEX=0"}</definedName>
    <definedName name="_363__FDSAUDITLINK__" hidden="1">{"fdsup://directions/FAT Viewer?action=UPDATE&amp;creator=factset&amp;DYN_ARGS=TRUE&amp;DOC_NAME=FAT:FQL_AUDITING_CLIENT_TEMPLATE.FAT&amp;display_string=Audit&amp;VAR:KEY=NCHITCFSDK&amp;VAR:QUERY=RkZfTkVUX0lOQyhBTk4sMjAxMCk=&amp;WINDOW=FIRST_POPUP&amp;HEIGHT=450&amp;WIDTH=450&amp;START_MAXIMIZED=","FALSE&amp;VAR:CALENDAR=US&amp;VAR:SYMBOL=FDX&amp;VAR:INDEX=0"}</definedName>
    <definedName name="_364__FDSAUDITLINK__" hidden="1">{"fdsup://directions/FAT Viewer?action=UPDATE&amp;creator=factset&amp;DYN_ARGS=TRUE&amp;DOC_NAME=FAT:FQL_AUDITING_CLIENT_TEMPLATE.FAT&amp;display_string=Audit&amp;VAR:KEY=DYDADKPAZI&amp;VAR:QUERY=RkZfTkVUX0lOQyhBTk4sMjAxMCk=&amp;WINDOW=FIRST_POPUP&amp;HEIGHT=450&amp;WIDTH=450&amp;START_MAXIMIZED=","FALSE&amp;VAR:CALENDAR=US&amp;VAR:SYMBOL=EXPD&amp;VAR:INDEX=0"}</definedName>
    <definedName name="_365__FDSAUDITLINK__" hidden="1">{"fdsup://directions/FAT Viewer?action=UPDATE&amp;creator=factset&amp;DYN_ARGS=TRUE&amp;DOC_NAME=FAT:FQL_AUDITING_CLIENT_TEMPLATE.FAT&amp;display_string=Audit&amp;VAR:KEY=BCNGDMHELQ&amp;VAR:QUERY=RkZfTkVUX0lOQyhBTk4sMjAxMCk=&amp;WINDOW=FIRST_POPUP&amp;HEIGHT=450&amp;WIDTH=450&amp;START_MAXIMIZED=","FALSE&amp;VAR:CALENDAR=US&amp;VAR:SYMBOL=ECHO&amp;VAR:INDEX=0"}</definedName>
    <definedName name="_366__FDSAUDITLINK__" hidden="1">{"fdsup://directions/FAT Viewer?action=UPDATE&amp;creator=factset&amp;DYN_ARGS=TRUE&amp;DOC_NAME=FAT:FQL_AUDITING_CLIENT_TEMPLATE.FAT&amp;display_string=Audit&amp;VAR:KEY=ZAXCRELUXM&amp;VAR:QUERY=RkZfTkVUX0lOQyhBTk4sMjAxMCk=&amp;WINDOW=FIRST_POPUP&amp;HEIGHT=450&amp;WIDTH=450&amp;START_MAXIMIZED=","FALSE&amp;VAR:CALENDAR=US&amp;VAR:SYMBOL=CSX&amp;VAR:INDEX=0"}</definedName>
    <definedName name="_367__FDSAUDITLINK__" hidden="1">{"fdsup://directions/FAT Viewer?action=UPDATE&amp;creator=factset&amp;DYN_ARGS=TRUE&amp;DOC_NAME=FAT:FQL_AUDITING_CLIENT_TEMPLATE.FAT&amp;display_string=Audit&amp;VAR:KEY=TOPEJIDUDE&amp;VAR:QUERY=RkZfTkVUX0lOQyhBTk4sMjAxMCk=&amp;WINDOW=FIRST_POPUP&amp;HEIGHT=450&amp;WIDTH=450&amp;START_MAXIMIZED=","FALSE&amp;VAR:CALENDAR=US&amp;VAR:SYMBOL=CP&amp;VAR:INDEX=0"}</definedName>
    <definedName name="_368__FDSAUDITLINK__" hidden="1">{"fdsup://directions/FAT Viewer?action=UPDATE&amp;creator=factset&amp;DYN_ARGS=TRUE&amp;DOC_NAME=FAT:FQL_AUDITING_CLIENT_TEMPLATE.FAT&amp;display_string=Audit&amp;VAR:KEY=TSDAZCBUZS&amp;VAR:QUERY=RkZfTkVUX0lOQyhBTk4sMjAxMCk=&amp;WINDOW=FIRST_POPUP&amp;HEIGHT=450&amp;WIDTH=450&amp;START_MAXIMIZED=","FALSE&amp;VAR:CALENDAR=US&amp;VAR:SYMBOL=CNI&amp;VAR:INDEX=0"}</definedName>
    <definedName name="_369__FDSAUDITLINK__" hidden="1">{"fdsup://directions/FAT Viewer?action=UPDATE&amp;creator=factset&amp;DYN_ARGS=TRUE&amp;DOC_NAME=FAT:FQL_AUDITING_CLIENT_TEMPLATE.FAT&amp;display_string=Audit&amp;VAR:KEY=VGFEBKRWDE&amp;VAR:QUERY=RkZfTkVUX0lOQyhBTk4sMjAxMCk=&amp;WINDOW=FIRST_POPUP&amp;HEIGHT=450&amp;WIDTH=450&amp;START_MAXIMIZED=","FALSE&amp;VAR:CALENDAR=US&amp;VAR:SYMBOL=CHRW&amp;VAR:INDEX=0"}</definedName>
    <definedName name="_37__FDSAUDITLINK__" localSheetId="6" hidden="1">{"fdsup://directions/FAT Viewer?action=UPDATE&amp;creator=factset&amp;DYN_ARGS=TRUE&amp;DOC_NAME=FAT:FQL_AUDITING_CLIENT_TEMPLATE.FAT&amp;display_string=Audit&amp;VAR:KEY=GFSNGJUZGB&amp;VAR:QUERY=RkZfTkVUX0lOQyhBTk4sMjAxMCk=&amp;WINDOW=FIRST_POPUP&amp;HEIGHT=450&amp;WIDTH=450&amp;START_MAXIMIZED=","FALSE&amp;VAR:CALENDAR=US&amp;VAR:SYMBOL=UNP&amp;VAR:INDEX=0"}</definedName>
    <definedName name="_37__FDSAUDITLINK__" hidden="1">{"fdsup://directions/FAT Viewer?action=UPDATE&amp;creator=factset&amp;DYN_ARGS=TRUE&amp;DOC_NAME=FAT:FQL_AUDITING_CLIENT_TEMPLATE.FAT&amp;display_string=Audit&amp;VAR:KEY=BSJCZYVKZC&amp;VAR:QUERY=RkZfRUJJVERBKEFOTiwyMDA5KQ==&amp;WINDOW=FIRST_POPUP&amp;HEIGHT=450&amp;WIDTH=450&amp;START_MAXIMIZED=","FALSE&amp;VAR:CALENDAR=US&amp;VAR:SYMBOL=NSC&amp;VAR:INDEX=0"}</definedName>
    <definedName name="_370__FDSAUDITLINK__" hidden="1">{"fdsup://Directions/FactSet Auditing Viewer?action=AUDIT_VALUE&amp;DB=129&amp;ID1=90781810&amp;VALUEID=01401&amp;SDATE=2010&amp;PERIODTYPE=ANN_STD&amp;SCFT=3&amp;window=popup_no_bar&amp;width=385&amp;height=120&amp;START_MAXIMIZED=FALSE&amp;creator=factset&amp;display_string=Audit"}</definedName>
    <definedName name="_371__FDSAUDITLINK__" hidden="1">{"fdsup://Directions/FactSet Auditing Viewer?action=AUDIT_VALUE&amp;DB=129&amp;ID1=75075340&amp;VALUEID=01401&amp;SDATE=2010&amp;PERIODTYPE=ANN_STD&amp;SCFT=3&amp;window=popup_no_bar&amp;width=385&amp;height=120&amp;START_MAXIMIZED=FALSE&amp;creator=factset&amp;display_string=Audit"}</definedName>
    <definedName name="_372__FDSAUDITLINK__" hidden="1">{"fdsup://Directions/FactSet Auditing Viewer?action=AUDIT_VALUE&amp;DB=129&amp;ID1=65584410&amp;VALUEID=01401&amp;SDATE=2010&amp;PERIODTYPE=ANN_STD&amp;SCFT=3&amp;window=popup_no_bar&amp;width=385&amp;height=120&amp;START_MAXIMIZED=FALSE&amp;creator=factset&amp;display_string=Audit"}</definedName>
    <definedName name="_373__FDSAUDITLINK__" hidden="1">{"fdsup://Directions/FactSet Auditing Viewer?action=AUDIT_VALUE&amp;DB=129&amp;ID1=48517030&amp;VALUEID=01401&amp;SDATE=2010&amp;PERIODTYPE=ANN_STD&amp;SCFT=3&amp;window=popup_no_bar&amp;width=385&amp;height=120&amp;START_MAXIMIZED=FALSE&amp;creator=factset&amp;display_string=Audit"}</definedName>
    <definedName name="_374__FDSAUDITLINK__" hidden="1">{"fdsup://Directions/FactSet Auditing Viewer?action=AUDIT_VALUE&amp;DB=129&amp;ID1=37155910&amp;VALUEID=01401&amp;SDATE=2010&amp;PERIODTYPE=ANN_STD&amp;SCFT=3&amp;window=popup_no_bar&amp;width=385&amp;height=120&amp;START_MAXIMIZED=FALSE&amp;creator=factset&amp;display_string=Audit"}</definedName>
    <definedName name="_375__FDSAUDITLINK__" hidden="1">{"fdsup://Directions/FactSet Auditing Viewer?action=AUDIT_VALUE&amp;DB=129&amp;ID1=12640810&amp;VALUEID=01401&amp;SDATE=2010&amp;PERIODTYPE=ANN_STD&amp;SCFT=3&amp;window=popup_no_bar&amp;width=385&amp;height=120&amp;START_MAXIMIZED=FALSE&amp;creator=factset&amp;display_string=Audit"}</definedName>
    <definedName name="_376__FDSAUDITLINK__" hidden="1">{"fdsup://directions/FAT Viewer?action=UPDATE&amp;creator=factset&amp;DYN_ARGS=TRUE&amp;DOC_NAME=FAT:FQL_AUDITING_CLIENT_TEMPLATE.FAT&amp;display_string=Audit&amp;VAR:KEY=LUJWPUNIHI&amp;VAR:QUERY=RkZfRUJJVChBTk4sMjAxMCk=&amp;WINDOW=FIRST_POPUP&amp;HEIGHT=450&amp;WIDTH=450&amp;START_MAXIMIZED=FALS","E&amp;VAR:CALENDAR=US&amp;VAR:SYMBOL=WERN&amp;VAR:INDEX=0"}</definedName>
    <definedName name="_377__FDSAUDITLINK__" hidden="1">{"fdsup://directions/FAT Viewer?action=UPDATE&amp;creator=factset&amp;DYN_ARGS=TRUE&amp;DOC_NAME=FAT:FQL_AUDITING_CLIENT_TEMPLATE.FAT&amp;display_string=Audit&amp;VAR:KEY=LYPKXEFQVW&amp;VAR:QUERY=RkZfRUJJVChBTk4sMjAxMCk=&amp;WINDOW=FIRST_POPUP&amp;HEIGHT=450&amp;WIDTH=450&amp;START_MAXIMIZED=FALS","E&amp;VAR:CALENDAR=US&amp;VAR:SYMBOL=UTIW&amp;VAR:INDEX=0"}</definedName>
    <definedName name="_378__FDSAUDITLINK__" hidden="1">{"fdsup://directions/FAT Viewer?action=UPDATE&amp;creator=factset&amp;DYN_ARGS=TRUE&amp;DOC_NAME=FAT:FQL_AUDITING_CLIENT_TEMPLATE.FAT&amp;display_string=Audit&amp;VAR:KEY=XKNOLEJSVM&amp;VAR:QUERY=RkZfRUJJVChBTk4sMjAxMCk=&amp;WINDOW=FIRST_POPUP&amp;HEIGHT=450&amp;WIDTH=450&amp;START_MAXIMIZED=FALS","E&amp;VAR:CALENDAR=US&amp;VAR:SYMBOL=UPS&amp;VAR:INDEX=0"}</definedName>
    <definedName name="_379__FDSAUDITLINK__" hidden="1">{"fdsup://directions/FAT Viewer?action=UPDATE&amp;creator=factset&amp;DYN_ARGS=TRUE&amp;DOC_NAME=FAT:FQL_AUDITING_CLIENT_TEMPLATE.FAT&amp;display_string=Audit&amp;VAR:KEY=XSTYHIJETW&amp;VAR:QUERY=RkZfRUJJVChBTk4sMjAxMCk=&amp;WINDOW=FIRST_POPUP&amp;HEIGHT=450&amp;WIDTH=450&amp;START_MAXIMIZED=FALS","E&amp;VAR:CALENDAR=US&amp;VAR:SYMBOL=UNP&amp;VAR:INDEX=0"}</definedName>
    <definedName name="_38__FDSAUDITLINK__" localSheetId="6" hidden="1">{"fdsup://directions/FAT Viewer?action=UPDATE&amp;creator=factset&amp;DYN_ARGS=TRUE&amp;DOC_NAME=FAT:FQL_AUDITING_CLIENT_TEMPLATE.FAT&amp;display_string=Audit&amp;VAR:KEY=CBUFQRWTMN&amp;VAR:QUERY=RkZfTkVUX0lOQyhBTk4sMjAxMCk=&amp;WINDOW=FIRST_POPUP&amp;HEIGHT=450&amp;WIDTH=450&amp;START_MAXIMIZED=","FALSE&amp;VAR:CALENDAR=US&amp;VAR:SYMBOL=RA&amp;VAR:INDEX=0"}</definedName>
    <definedName name="_38__FDSAUDITLINK__" hidden="1">{"fdsup://directions/FAT Viewer?action=UPDATE&amp;creator=factset&amp;DYN_ARGS=TRUE&amp;DOC_NAME=FAT:FQL_AUDITING_CLIENT_TEMPLATE.FAT&amp;display_string=Audit&amp;VAR:KEY=XKXCRUTYVA&amp;VAR:QUERY=RkZfRUJJVERBKEFOTiwyMDA5KQ==&amp;WINDOW=FIRST_POPUP&amp;HEIGHT=450&amp;WIDTH=450&amp;START_MAXIMIZED=","FALSE&amp;VAR:CALENDAR=US&amp;VAR:SYMBOL=KSU&amp;VAR:INDEX=0"}</definedName>
    <definedName name="_380__FDSAUDITLINK__" hidden="1">{"fdsup://directions/FAT Viewer?action=UPDATE&amp;creator=factset&amp;DYN_ARGS=TRUE&amp;DOC_NAME=FAT:FQL_AUDITING_CLIENT_TEMPLATE.FAT&amp;display_string=Audit&amp;VAR:KEY=TYTONQVMDS&amp;VAR:QUERY=RkZfRUJJVChBTk4sMjAxMCk=&amp;WINDOW=FIRST_POPUP&amp;HEIGHT=450&amp;WIDTH=450&amp;START_MAXIMIZED=FALS","E&amp;VAR:CALENDAR=US&amp;VAR:SYMBOL=SWFT&amp;VAR:INDEX=0"}</definedName>
    <definedName name="_381__FDSAUDITLINK__" hidden="1">{"fdsup://directions/FAT Viewer?action=UPDATE&amp;creator=factset&amp;DYN_ARGS=TRUE&amp;DOC_NAME=FAT:FQL_AUDITING_CLIENT_TEMPLATE.FAT&amp;display_string=Audit&amp;VAR:KEY=NEXMNMLKZO&amp;VAR:QUERY=RkZfRUJJVChBTk4sMjAxMCk=&amp;WINDOW=FIRST_POPUP&amp;HEIGHT=450&amp;WIDTH=450&amp;START_MAXIMIZED=FALS","E&amp;VAR:CALENDAR=US&amp;VAR:SYMBOL=RA&amp;VAR:INDEX=0"}</definedName>
    <definedName name="_382__FDSAUDITLINK__" hidden="1">{"fdsup://directions/FAT Viewer?action=UPDATE&amp;creator=factset&amp;DYN_ARGS=TRUE&amp;DOC_NAME=FAT:FQL_AUDITING_CLIENT_TEMPLATE.FAT&amp;display_string=Audit&amp;VAR:KEY=HQZYJQNCTG&amp;VAR:QUERY=RkZfRUJJVChBTk4sMjAxMCk=&amp;WINDOW=FIRST_POPUP&amp;HEIGHT=450&amp;WIDTH=450&amp;START_MAXIMIZED=FALS","E&amp;VAR:CALENDAR=US&amp;VAR:SYMBOL=NSC&amp;VAR:INDEX=0"}</definedName>
    <definedName name="_383__FDSAUDITLINK__" hidden="1">{"fdsup://directions/FAT Viewer?action=UPDATE&amp;creator=factset&amp;DYN_ARGS=TRUE&amp;DOC_NAME=FAT:FQL_AUDITING_CLIENT_TEMPLATE.FAT&amp;display_string=Audit&amp;VAR:KEY=JIXYNQRSDQ&amp;VAR:QUERY=RkZfRUJJVChBTk4sMjAxMCk=&amp;WINDOW=FIRST_POPUP&amp;HEIGHT=450&amp;WIDTH=450&amp;START_MAXIMIZED=FALS","E&amp;VAR:CALENDAR=US&amp;VAR:SYMBOL=KSU&amp;VAR:INDEX=0"}</definedName>
    <definedName name="_384__FDSAUDITLINK__" hidden="1">{"fdsup://directions/FAT Viewer?action=UPDATE&amp;creator=factset&amp;DYN_ARGS=TRUE&amp;DOC_NAME=FAT:FQL_AUDITING_CLIENT_TEMPLATE.FAT&amp;display_string=Audit&amp;VAR:KEY=BSPMDEVUVE&amp;VAR:QUERY=RkZfRUJJVChBTk4sMjAxMCk=&amp;WINDOW=FIRST_POPUP&amp;HEIGHT=450&amp;WIDTH=450&amp;START_MAXIMIZED=FALS","E&amp;VAR:CALENDAR=US&amp;VAR:SYMBOL=KNX&amp;VAR:INDEX=0"}</definedName>
    <definedName name="_385__FDSAUDITLINK__" hidden="1">{"fdsup://directions/FAT Viewer?action=UPDATE&amp;creator=factset&amp;DYN_ARGS=TRUE&amp;DOC_NAME=FAT:FQL_AUDITING_CLIENT_TEMPLATE.FAT&amp;display_string=Audit&amp;VAR:KEY=RQRWHMPUTW&amp;VAR:QUERY=RkZfRUJJVChBTk4sMjAxMCk=&amp;WINDOW=FIRST_POPUP&amp;HEIGHT=450&amp;WIDTH=450&amp;START_MAXIMIZED=FALS","E&amp;VAR:CALENDAR=US&amp;VAR:SYMBOL=JBHT&amp;VAR:INDEX=0"}</definedName>
    <definedName name="_386__FDSAUDITLINK__" hidden="1">{"fdsup://directions/FAT Viewer?action=UPDATE&amp;creator=factset&amp;DYN_ARGS=TRUE&amp;DOC_NAME=FAT:FQL_AUDITING_CLIENT_TEMPLATE.FAT&amp;display_string=Audit&amp;VAR:KEY=ZIREZSRYNC&amp;VAR:QUERY=RkZfRUJJVChBTk4sMjAxMCk=&amp;WINDOW=FIRST_POPUP&amp;HEIGHT=450&amp;WIDTH=450&amp;START_MAXIMIZED=FALS","E&amp;VAR:CALENDAR=US&amp;VAR:SYMBOL=HTLD&amp;VAR:INDEX=0"}</definedName>
    <definedName name="_387__FDSAUDITLINK__" hidden="1">{"fdsup://directions/FAT Viewer?action=UPDATE&amp;creator=factset&amp;DYN_ARGS=TRUE&amp;DOC_NAME=FAT:FQL_AUDITING_CLIENT_TEMPLATE.FAT&amp;display_string=Audit&amp;VAR:KEY=DUPETWPSLE&amp;VAR:QUERY=RkZfRUJJVChBTk4sMjAxMCk=&amp;WINDOW=FIRST_POPUP&amp;HEIGHT=450&amp;WIDTH=450&amp;START_MAXIMIZED=FALS","E&amp;VAR:CALENDAR=US&amp;VAR:SYMBOL=GWR&amp;VAR:INDEX=0"}</definedName>
    <definedName name="_388__FDSAUDITLINK__" hidden="1">{"fdsup://directions/FAT Viewer?action=UPDATE&amp;creator=factset&amp;DYN_ARGS=TRUE&amp;DOC_NAME=FAT:FQL_AUDITING_CLIENT_TEMPLATE.FAT&amp;display_string=Audit&amp;VAR:KEY=ZMBMTCRKXU&amp;VAR:QUERY=RkZfRUJJVChBTk4sMjAxMCk=&amp;WINDOW=FIRST_POPUP&amp;HEIGHT=450&amp;WIDTH=450&amp;START_MAXIMIZED=FALS","E&amp;VAR:CALENDAR=US&amp;VAR:SYMBOL=FDX&amp;VAR:INDEX=0"}</definedName>
    <definedName name="_389__FDSAUDITLINK__" hidden="1">{"fdsup://directions/FAT Viewer?action=UPDATE&amp;creator=factset&amp;DYN_ARGS=TRUE&amp;DOC_NAME=FAT:FQL_AUDITING_CLIENT_TEMPLATE.FAT&amp;display_string=Audit&amp;VAR:KEY=HKRGXMPARI&amp;VAR:QUERY=RkZfRUJJVChBTk4sMjAxMCk=&amp;WINDOW=FIRST_POPUP&amp;HEIGHT=450&amp;WIDTH=450&amp;START_MAXIMIZED=FALS","E&amp;VAR:CALENDAR=US&amp;VAR:SYMBOL=EXPD&amp;VAR:INDEX=0"}</definedName>
    <definedName name="_39__FDSAUDITLINK__" localSheetId="6" hidden="1">{"fdsup://directions/FAT Viewer?action=UPDATE&amp;creator=factset&amp;DYN_ARGS=TRUE&amp;DOC_NAME=FAT:FQL_AUDITING_CLIENT_TEMPLATE.FAT&amp;display_string=Audit&amp;VAR:KEY=CFMTMNEHCF&amp;VAR:QUERY=RkZfTkVUX0lOQyhBTk4sMjAxMCk=&amp;WINDOW=FIRST_POPUP&amp;HEIGHT=450&amp;WIDTH=450&amp;START_MAXIMIZED=","FALSE&amp;VAR:CALENDAR=US&amp;VAR:SYMBOL=NSC&amp;VAR:INDEX=0"}</definedName>
    <definedName name="_39__FDSAUDITLINK__" hidden="1">{"fdsup://directions/FAT Viewer?action=UPDATE&amp;creator=factset&amp;DYN_ARGS=TRUE&amp;DOC_NAME=FAT:FQL_AUDITING_CLIENT_TEMPLATE.FAT&amp;display_string=Audit&amp;VAR:KEY=ZWBUHQBQBE&amp;VAR:QUERY=RkZfRUJJVERBKEFOTiwyMDA5KQ==&amp;WINDOW=FIRST_POPUP&amp;HEIGHT=450&amp;WIDTH=450&amp;START_MAXIMIZED=","FALSE&amp;VAR:CALENDAR=US&amp;VAR:SYMBOL=GWR&amp;VAR:INDEX=0"}</definedName>
    <definedName name="_390__FDSAUDITLINK__" hidden="1">{"fdsup://directions/FAT Viewer?action=UPDATE&amp;creator=factset&amp;DYN_ARGS=TRUE&amp;DOC_NAME=FAT:FQL_AUDITING_CLIENT_TEMPLATE.FAT&amp;display_string=Audit&amp;VAR:KEY=FQNQZGRYHQ&amp;VAR:QUERY=RkZfRUJJVChBTk4sMjAxMCk=&amp;WINDOW=FIRST_POPUP&amp;HEIGHT=450&amp;WIDTH=450&amp;START_MAXIMIZED=FALS","E&amp;VAR:CALENDAR=US&amp;VAR:SYMBOL=ECHO&amp;VAR:INDEX=0"}</definedName>
    <definedName name="_391__FDSAUDITLINK__" hidden="1">{"fdsup://directions/FAT Viewer?action=UPDATE&amp;creator=factset&amp;DYN_ARGS=TRUE&amp;DOC_NAME=FAT:FQL_AUDITING_CLIENT_TEMPLATE.FAT&amp;display_string=Audit&amp;VAR:KEY=ZKLURURKRG&amp;VAR:QUERY=RkZfRUJJVChBTk4sMjAxMCk=&amp;WINDOW=FIRST_POPUP&amp;HEIGHT=450&amp;WIDTH=450&amp;START_MAXIMIZED=FALS","E&amp;VAR:CALENDAR=US&amp;VAR:SYMBOL=CSX&amp;VAR:INDEX=0"}</definedName>
    <definedName name="_392__FDSAUDITLINK__" hidden="1">{"fdsup://directions/FAT Viewer?action=UPDATE&amp;creator=factset&amp;DYN_ARGS=TRUE&amp;DOC_NAME=FAT:FQL_AUDITING_CLIENT_TEMPLATE.FAT&amp;display_string=Audit&amp;VAR:KEY=JURMPMRGTA&amp;VAR:QUERY=RkZfRUJJVChBTk4sMjAxMCk=&amp;WINDOW=FIRST_POPUP&amp;HEIGHT=450&amp;WIDTH=450&amp;START_MAXIMIZED=FALS","E&amp;VAR:CALENDAR=US&amp;VAR:SYMBOL=CP&amp;VAR:INDEX=0"}</definedName>
    <definedName name="_393__FDSAUDITLINK__" hidden="1">{"fdsup://directions/FAT Viewer?action=UPDATE&amp;creator=factset&amp;DYN_ARGS=TRUE&amp;DOC_NAME=FAT:FQL_AUDITING_CLIENT_TEMPLATE.FAT&amp;display_string=Audit&amp;VAR:KEY=DMBCVSDMXE&amp;VAR:QUERY=RkZfRUJJVChBTk4sMjAxMCk=&amp;WINDOW=FIRST_POPUP&amp;HEIGHT=450&amp;WIDTH=450&amp;START_MAXIMIZED=FALS","E&amp;VAR:CALENDAR=US&amp;VAR:SYMBOL=CNI&amp;VAR:INDEX=0"}</definedName>
    <definedName name="_394__FDSAUDITLINK__" hidden="1">{"fdsup://directions/FAT Viewer?action=UPDATE&amp;creator=factset&amp;DYN_ARGS=TRUE&amp;DOC_NAME=FAT:FQL_AUDITING_CLIENT_TEMPLATE.FAT&amp;display_string=Audit&amp;VAR:KEY=JSXSLYXYTQ&amp;VAR:QUERY=RkZfRUJJVChBTk4sMjAxMCk=&amp;WINDOW=FIRST_POPUP&amp;HEIGHT=450&amp;WIDTH=450&amp;START_MAXIMIZED=FALS","E&amp;VAR:CALENDAR=US&amp;VAR:SYMBOL=CHRW&amp;VAR:INDEX=0"}</definedName>
    <definedName name="_395__FDSAUDITLINK__" hidden="1">{"fdsup://directions/FAT Viewer?action=UPDATE&amp;creator=factset&amp;DYN_ARGS=TRUE&amp;DOC_NAME=FAT:FQL_AUDITING_CLIENT_TEMPLATE.FAT&amp;display_string=Audit&amp;VAR:KEY=XSDCRQJUFS&amp;VAR:QUERY=RkZfRUJJVERBKEFOTiwyMDEwKQ==&amp;WINDOW=FIRST_POPUP&amp;HEIGHT=450&amp;WIDTH=450&amp;START_MAXIMIZED=","FALSE&amp;VAR:CALENDAR=US&amp;VAR:SYMBOL=WERN&amp;VAR:INDEX=0"}</definedName>
    <definedName name="_396__FDSAUDITLINK__" hidden="1">{"fdsup://directions/FAT Viewer?action=UPDATE&amp;creator=factset&amp;DYN_ARGS=TRUE&amp;DOC_NAME=FAT:FQL_AUDITING_CLIENT_TEMPLATE.FAT&amp;display_string=Audit&amp;VAR:KEY=NIHAVGVAVY&amp;VAR:QUERY=RkZfRUJJVERBKEFOTiwyMDEwKQ==&amp;WINDOW=FIRST_POPUP&amp;HEIGHT=450&amp;WIDTH=450&amp;START_MAXIMIZED=","FALSE&amp;VAR:CALENDAR=US&amp;VAR:SYMBOL=UTIW&amp;VAR:INDEX=0"}</definedName>
    <definedName name="_397__FDSAUDITLINK__" hidden="1">{"fdsup://directions/FAT Viewer?action=UPDATE&amp;creator=factset&amp;DYN_ARGS=TRUE&amp;DOC_NAME=FAT:FQL_AUDITING_CLIENT_TEMPLATE.FAT&amp;display_string=Audit&amp;VAR:KEY=HQXKDKZEDS&amp;VAR:QUERY=RkZfRUJJVERBKEFOTiwyMDEwKQ==&amp;WINDOW=FIRST_POPUP&amp;HEIGHT=450&amp;WIDTH=450&amp;START_MAXIMIZED=","FALSE&amp;VAR:CALENDAR=US&amp;VAR:SYMBOL=UPS&amp;VAR:INDEX=0"}</definedName>
    <definedName name="_398__FDSAUDITLINK__" hidden="1">{"fdsup://directions/FAT Viewer?action=UPDATE&amp;creator=factset&amp;DYN_ARGS=TRUE&amp;DOC_NAME=FAT:FQL_AUDITING_CLIENT_TEMPLATE.FAT&amp;display_string=Audit&amp;VAR:KEY=NKTGTKNIHM&amp;VAR:QUERY=RkZfRUJJVERBKEFOTiwyMDEwKQ==&amp;WINDOW=FIRST_POPUP&amp;HEIGHT=450&amp;WIDTH=450&amp;START_MAXIMIZED=","FALSE&amp;VAR:CALENDAR=US&amp;VAR:SYMBOL=UNP&amp;VAR:INDEX=0"}</definedName>
    <definedName name="_399__FDSAUDITLINK__" hidden="1">{"fdsup://directions/FAT Viewer?action=UPDATE&amp;creator=factset&amp;DYN_ARGS=TRUE&amp;DOC_NAME=FAT:FQL_AUDITING_CLIENT_TEMPLATE.FAT&amp;display_string=Audit&amp;VAR:KEY=JGTOZATCPY&amp;VAR:QUERY=RkZfRUJJVERBKEFOTiwyMDEwKQ==&amp;WINDOW=FIRST_POPUP&amp;HEIGHT=450&amp;WIDTH=450&amp;START_MAXIMIZED=","FALSE&amp;VAR:CALENDAR=US&amp;VAR:SYMBOL=SWFT&amp;VAR:INDEX=0"}</definedName>
    <definedName name="_4__FDSAUDITLINK__" localSheetId="5" hidden="1">{"fdsup://directions/FAT Viewer?action=UPDATE&amp;creator=factset&amp;DYN_ARGS=TRUE&amp;DOC_NAME=FAT:FQL_AUDITING_CLIENT_TEMPLATE.FAT&amp;display_string=Audit&amp;VAR:KEY=LCZSLYTIZM&amp;VAR:QUERY=RkZfRUJJVChBTk4sMjAxMCk=&amp;WINDOW=FIRST_POPUP&amp;HEIGHT=450&amp;WIDTH=450&amp;START_MAXIMIZED=FALS","E&amp;VAR:CALENDAR=US&amp;VAR:SYMBOL=UNP&amp;VAR:INDEX=0"}</definedName>
    <definedName name="_4__FDSAUDITLINK__" localSheetId="6" hidden="1">{"fdsup://directions/FAT Viewer?action=UPDATE&amp;creator=factset&amp;DYN_ARGS=TRUE&amp;DOC_NAME=FAT:FQL_AUDITING_CLIENT_TEMPLATE.FAT&amp;display_string=Audit&amp;VAR:KEY=EPWDAVAVWL&amp;VAR:QUERY=RkZfTkVUX0lOQyhBTk4sMjAxMCk=&amp;WINDOW=FIRST_POPUP&amp;HEIGHT=450&amp;WIDTH=450&amp;START_MAXIMIZED=","FALSE&amp;VAR:CALENDAR=US&amp;VAR:SYMBOL=KSU&amp;VAR:INDEX=0"}</definedName>
    <definedName name="_4__FDSAUDITLINK__" localSheetId="7" hidden="1">{"fdsup://directions/FAT Viewer?action=UPDATE&amp;creator=factset&amp;DYN_ARGS=TRUE&amp;DOC_NAME=FAT:FQL_AUDITING_CLIENT_TEMPLATE.FAT&amp;display_string=Audit&amp;VAR:KEY=LCZSLYTIZM&amp;VAR:QUERY=RkZfRUJJVChBTk4sMjAxMCk=&amp;WINDOW=FIRST_POPUP&amp;HEIGHT=450&amp;WIDTH=450&amp;START_MAXIMIZED=FALS","E&amp;VAR:CALENDAR=US&amp;VAR:SYMBOL=UNP&amp;VAR:INDEX=0"}</definedName>
    <definedName name="_4__FDSAUDITLINK__" hidden="1">{"fdsup://directions/FAT Viewer?action=UPDATE&amp;creator=factset&amp;DYN_ARGS=TRUE&amp;DOC_NAME=FAT:FQL_AUDITING_CLIENT_TEMPLATE.FAT&amp;display_string=Audit&amp;VAR:KEY=DWHWRCVQHK&amp;VAR:QUERY=RkZfTkVUX0lOQyhBTk4sMjAwOSk=&amp;WINDOW=FIRST_POPUP&amp;HEIGHT=450&amp;WIDTH=450&amp;START_MAXIMIZED=","FALSE&amp;VAR:CALENDAR=US&amp;VAR:SYMBOL=KSU&amp;VAR:INDEX=0"}</definedName>
    <definedName name="_40__FDSAUDITLINK__" localSheetId="6" hidden="1">{"fdsup://directions/FAT Viewer?action=UPDATE&amp;creator=factset&amp;DYN_ARGS=TRUE&amp;DOC_NAME=FAT:FQL_AUDITING_CLIENT_TEMPLATE.FAT&amp;display_string=Audit&amp;VAR:KEY=EPWDAVAVWL&amp;VAR:QUERY=RkZfTkVUX0lOQyhBTk4sMjAxMCk=&amp;WINDOW=FIRST_POPUP&amp;HEIGHT=450&amp;WIDTH=450&amp;START_MAXIMIZED=","FALSE&amp;VAR:CALENDAR=US&amp;VAR:SYMBOL=KSU&amp;VAR:INDEX=0"}</definedName>
    <definedName name="_40__FDSAUDITLINK__" hidden="1">{"fdsup://directions/FAT Viewer?action=UPDATE&amp;creator=factset&amp;DYN_ARGS=TRUE&amp;DOC_NAME=FAT:FQL_AUDITING_CLIENT_TEMPLATE.FAT&amp;display_string=Audit&amp;VAR:KEY=BIVUXIBITK&amp;VAR:QUERY=RkZfRUJJVERBKEFOTiwyMDA5KQ==&amp;WINDOW=FIRST_POPUP&amp;HEIGHT=450&amp;WIDTH=450&amp;START_MAXIMIZED=","FALSE&amp;VAR:CALENDAR=US&amp;VAR:SYMBOL=CSX&amp;VAR:INDEX=0"}</definedName>
    <definedName name="_400__FDSAUDITLINK__" hidden="1">{"fdsup://directions/FAT Viewer?action=UPDATE&amp;creator=factset&amp;DYN_ARGS=TRUE&amp;DOC_NAME=FAT:FQL_AUDITING_CLIENT_TEMPLATE.FAT&amp;display_string=Audit&amp;VAR:KEY=RSBUTQRYTM&amp;VAR:QUERY=RkZfRUJJVERBKEFOTiwyMDEwKQ==&amp;WINDOW=FIRST_POPUP&amp;HEIGHT=450&amp;WIDTH=450&amp;START_MAXIMIZED=","FALSE&amp;VAR:CALENDAR=US&amp;VAR:SYMBOL=RA&amp;VAR:INDEX=0"}</definedName>
    <definedName name="_401__FDSAUDITLINK__" hidden="1">{"fdsup://directions/FAT Viewer?action=UPDATE&amp;creator=factset&amp;DYN_ARGS=TRUE&amp;DOC_NAME=FAT:FQL_AUDITING_CLIENT_TEMPLATE.FAT&amp;display_string=Audit&amp;VAR:KEY=POVIHSBSZO&amp;VAR:QUERY=RkZfRUJJVERBKEFOTiwyMDEwKQ==&amp;WINDOW=FIRST_POPUP&amp;HEIGHT=450&amp;WIDTH=450&amp;START_MAXIMIZED=","FALSE&amp;VAR:CALENDAR=US&amp;VAR:SYMBOL=NSC&amp;VAR:INDEX=0"}</definedName>
    <definedName name="_402__FDSAUDITLINK__" hidden="1">{"fdsup://directions/FAT Viewer?action=UPDATE&amp;creator=factset&amp;DYN_ARGS=TRUE&amp;DOC_NAME=FAT:FQL_AUDITING_CLIENT_TEMPLATE.FAT&amp;display_string=Audit&amp;VAR:KEY=XSZEDAJIXO&amp;VAR:QUERY=RkZfRUJJVERBKEFOTiwyMDEwKQ==&amp;WINDOW=FIRST_POPUP&amp;HEIGHT=450&amp;WIDTH=450&amp;START_MAXIMIZED=","FALSE&amp;VAR:CALENDAR=US&amp;VAR:SYMBOL=KSU&amp;VAR:INDEX=0"}</definedName>
    <definedName name="_403__FDSAUDITLINK__" hidden="1">{"fdsup://directions/FAT Viewer?action=UPDATE&amp;creator=factset&amp;DYN_ARGS=TRUE&amp;DOC_NAME=FAT:FQL_AUDITING_CLIENT_TEMPLATE.FAT&amp;display_string=Audit&amp;VAR:KEY=JKDEPOXGHG&amp;VAR:QUERY=RkZfRUJJVERBKEFOTiwyMDEwKQ==&amp;WINDOW=FIRST_POPUP&amp;HEIGHT=450&amp;WIDTH=450&amp;START_MAXIMIZED=","FALSE&amp;VAR:CALENDAR=US&amp;VAR:SYMBOL=KNX&amp;VAR:INDEX=0"}</definedName>
    <definedName name="_404__FDSAUDITLINK__" hidden="1">{"fdsup://directions/FAT Viewer?action=UPDATE&amp;creator=factset&amp;DYN_ARGS=TRUE&amp;DOC_NAME=FAT:FQL_AUDITING_CLIENT_TEMPLATE.FAT&amp;display_string=Audit&amp;VAR:KEY=HAPYLWXMPU&amp;VAR:QUERY=RkZfRUJJVERBKEFOTiwyMDEwKQ==&amp;WINDOW=FIRST_POPUP&amp;HEIGHT=450&amp;WIDTH=450&amp;START_MAXIMIZED=","FALSE&amp;VAR:CALENDAR=US&amp;VAR:SYMBOL=JBHT&amp;VAR:INDEX=0"}</definedName>
    <definedName name="_405__FDSAUDITLINK__" hidden="1">{"fdsup://directions/FAT Viewer?action=UPDATE&amp;creator=factset&amp;DYN_ARGS=TRUE&amp;DOC_NAME=FAT:FQL_AUDITING_CLIENT_TEMPLATE.FAT&amp;display_string=Audit&amp;VAR:KEY=ZSFITIRYXU&amp;VAR:QUERY=RkZfRUJJVERBKEFOTiwyMDEwKQ==&amp;WINDOW=FIRST_POPUP&amp;HEIGHT=450&amp;WIDTH=450&amp;START_MAXIMIZED=","FALSE&amp;VAR:CALENDAR=US&amp;VAR:SYMBOL=HTLD&amp;VAR:INDEX=0"}</definedName>
    <definedName name="_406__FDSAUDITLINK__" hidden="1">{"fdsup://directions/FAT Viewer?action=UPDATE&amp;creator=factset&amp;DYN_ARGS=TRUE&amp;DOC_NAME=FAT:FQL_AUDITING_CLIENT_TEMPLATE.FAT&amp;display_string=Audit&amp;VAR:KEY=LGPKJARGRQ&amp;VAR:QUERY=RkZfRUJJVERBKEFOTiwyMDEwKQ==&amp;WINDOW=FIRST_POPUP&amp;HEIGHT=450&amp;WIDTH=450&amp;START_MAXIMIZED=","FALSE&amp;VAR:CALENDAR=US&amp;VAR:SYMBOL=GWR&amp;VAR:INDEX=0"}</definedName>
    <definedName name="_407__FDSAUDITLINK__" hidden="1">{"fdsup://directions/FAT Viewer?action=UPDATE&amp;creator=factset&amp;DYN_ARGS=TRUE&amp;DOC_NAME=FAT:FQL_AUDITING_CLIENT_TEMPLATE.FAT&amp;display_string=Audit&amp;VAR:KEY=FITUXWFEVY&amp;VAR:QUERY=RkZfRUJJVERBKEFOTiwyMDEwKQ==&amp;WINDOW=FIRST_POPUP&amp;HEIGHT=450&amp;WIDTH=450&amp;START_MAXIMIZED=","FALSE&amp;VAR:CALENDAR=US&amp;VAR:SYMBOL=FDX&amp;VAR:INDEX=0"}</definedName>
    <definedName name="_408__FDSAUDITLINK__" hidden="1">{"fdsup://directions/FAT Viewer?action=UPDATE&amp;creator=factset&amp;DYN_ARGS=TRUE&amp;DOC_NAME=FAT:FQL_AUDITING_CLIENT_TEMPLATE.FAT&amp;display_string=Audit&amp;VAR:KEY=RCJYXEVKTC&amp;VAR:QUERY=RkZfRUJJVERBKEFOTiwyMDEwKQ==&amp;WINDOW=FIRST_POPUP&amp;HEIGHT=450&amp;WIDTH=450&amp;START_MAXIMIZED=","FALSE&amp;VAR:CALENDAR=US&amp;VAR:SYMBOL=EXPD&amp;VAR:INDEX=0"}</definedName>
    <definedName name="_409__FDSAUDITLINK__" hidden="1">{"fdsup://directions/FAT Viewer?action=UPDATE&amp;creator=factset&amp;DYN_ARGS=TRUE&amp;DOC_NAME=FAT:FQL_AUDITING_CLIENT_TEMPLATE.FAT&amp;display_string=Audit&amp;VAR:KEY=PWVUHIHSXI&amp;VAR:QUERY=RkZfRUJJVERBKEFOTiwyMDEwKQ==&amp;WINDOW=FIRST_POPUP&amp;HEIGHT=450&amp;WIDTH=450&amp;START_MAXIMIZED=","FALSE&amp;VAR:CALENDAR=US&amp;VAR:SYMBOL=ECHO&amp;VAR:INDEX=0"}</definedName>
    <definedName name="_41__FDSAUDITLINK__" localSheetId="6" hidden="1">{"fdsup://directions/FAT Viewer?action=UPDATE&amp;creator=factset&amp;DYN_ARGS=TRUE&amp;DOC_NAME=FAT:FQL_AUDITING_CLIENT_TEMPLATE.FAT&amp;display_string=Audit&amp;VAR:KEY=ENALIHQZUJ&amp;VAR:QUERY=RkZfTkVUX0lOQyhBTk4sMjAxMCk=&amp;WINDOW=FIRST_POPUP&amp;HEIGHT=450&amp;WIDTH=450&amp;START_MAXIMIZED=","FALSE&amp;VAR:CALENDAR=US&amp;VAR:SYMBOL=GWR&amp;VAR:INDEX=0"}</definedName>
    <definedName name="_41__FDSAUDITLINK__" hidden="1">{"fdsup://directions/FAT Viewer?action=UPDATE&amp;creator=factset&amp;DYN_ARGS=TRUE&amp;DOC_NAME=FAT:FQL_AUDITING_CLIENT_TEMPLATE.FAT&amp;display_string=Audit&amp;VAR:KEY=DWHGPKXKXY&amp;VAR:QUERY=RkZfRUJJVERBKEFOTiwyMDA5KQ==&amp;WINDOW=FIRST_POPUP&amp;HEIGHT=450&amp;WIDTH=450&amp;START_MAXIMIZED=","FALSE&amp;VAR:CALENDAR=US&amp;VAR:SYMBOL=CP&amp;VAR:INDEX=0"}</definedName>
    <definedName name="_410__FDSAUDITLINK__" hidden="1">{"fdsup://directions/FAT Viewer?action=UPDATE&amp;creator=factset&amp;DYN_ARGS=TRUE&amp;DOC_NAME=FAT:FQL_AUDITING_CLIENT_TEMPLATE.FAT&amp;display_string=Audit&amp;VAR:KEY=PQLAFCXOTY&amp;VAR:QUERY=RkZfRUJJVERBKEFOTiwyMDEwKQ==&amp;WINDOW=FIRST_POPUP&amp;HEIGHT=450&amp;WIDTH=450&amp;START_MAXIMIZED=","FALSE&amp;VAR:CALENDAR=US&amp;VAR:SYMBOL=CSX&amp;VAR:INDEX=0"}</definedName>
    <definedName name="_411__FDSAUDITLINK__" hidden="1">{"fdsup://directions/FAT Viewer?action=UPDATE&amp;creator=factset&amp;DYN_ARGS=TRUE&amp;DOC_NAME=FAT:FQL_AUDITING_CLIENT_TEMPLATE.FAT&amp;display_string=Audit&amp;VAR:KEY=RIRKPQFWPA&amp;VAR:QUERY=RkZfRUJJVERBKEFOTiwyMDEwKQ==&amp;WINDOW=FIRST_POPUP&amp;HEIGHT=450&amp;WIDTH=450&amp;START_MAXIMIZED=","FALSE&amp;VAR:CALENDAR=US&amp;VAR:SYMBOL=CP&amp;VAR:INDEX=0"}</definedName>
    <definedName name="_412__FDSAUDITLINK__" hidden="1">{"fdsup://directions/FAT Viewer?action=UPDATE&amp;creator=factset&amp;DYN_ARGS=TRUE&amp;DOC_NAME=FAT:FQL_AUDITING_CLIENT_TEMPLATE.FAT&amp;display_string=Audit&amp;VAR:KEY=PSZGDAPQRQ&amp;VAR:QUERY=RkZfRUJJVERBKEFOTiwyMDEwKQ==&amp;WINDOW=FIRST_POPUP&amp;HEIGHT=450&amp;WIDTH=450&amp;START_MAXIMIZED=","FALSE&amp;VAR:CALENDAR=US&amp;VAR:SYMBOL=CNI&amp;VAR:INDEX=0"}</definedName>
    <definedName name="_413__FDSAUDITLINK__" hidden="1">{"fdsup://directions/FAT Viewer?action=UPDATE&amp;creator=factset&amp;DYN_ARGS=TRUE&amp;DOC_NAME=FAT:FQL_AUDITING_CLIENT_TEMPLATE.FAT&amp;display_string=Audit&amp;VAR:KEY=NMJUNILOFE&amp;VAR:QUERY=RkZfRUJJVERBKEFOTiwyMDEwKQ==&amp;WINDOW=FIRST_POPUP&amp;HEIGHT=450&amp;WIDTH=450&amp;START_MAXIMIZED=","FALSE&amp;VAR:CALENDAR=US&amp;VAR:SYMBOL=CHRW&amp;VAR:INDEX=0"}</definedName>
    <definedName name="_414__FDSAUDITLINK__" hidden="1">{"fdsup://Directions/FactSet Auditing Viewer?action=AUDIT_VALUE&amp;DB=129&amp;ID1=90781810&amp;VALUEID=01401&amp;SDATE=2010&amp;PERIODTYPE=ANN_STD&amp;SCFT=3&amp;window=popup_no_bar&amp;width=385&amp;height=120&amp;START_MAXIMIZED=FALSE&amp;creator=factset&amp;display_string=Audit"}</definedName>
    <definedName name="_415__FDSAUDITLINK__" hidden="1">{"fdsup://Directions/FactSet Auditing Viewer?action=AUDIT_VALUE&amp;DB=129&amp;ID1=75075340&amp;VALUEID=01401&amp;SDATE=2010&amp;PERIODTYPE=ANN_STD&amp;SCFT=3&amp;window=popup_no_bar&amp;width=385&amp;height=120&amp;START_MAXIMIZED=FALSE&amp;creator=factset&amp;display_string=Audit"}</definedName>
    <definedName name="_416__FDSAUDITLINK__" hidden="1">{"fdsup://Directions/FactSet Auditing Viewer?action=AUDIT_VALUE&amp;DB=129&amp;ID1=65584410&amp;VALUEID=01401&amp;SDATE=2010&amp;PERIODTYPE=ANN_STD&amp;SCFT=3&amp;window=popup_no_bar&amp;width=385&amp;height=120&amp;START_MAXIMIZED=FALSE&amp;creator=factset&amp;display_string=Audit"}</definedName>
    <definedName name="_417__FDSAUDITLINK__" hidden="1">{"fdsup://Directions/FactSet Auditing Viewer?action=AUDIT_VALUE&amp;DB=129&amp;ID1=48517030&amp;VALUEID=01401&amp;SDATE=2010&amp;PERIODTYPE=ANN_STD&amp;SCFT=3&amp;window=popup_no_bar&amp;width=385&amp;height=120&amp;START_MAXIMIZED=FALSE&amp;creator=factset&amp;display_string=Audit"}</definedName>
    <definedName name="_418__FDSAUDITLINK__" hidden="1">{"fdsup://Directions/FactSet Auditing Viewer?action=AUDIT_VALUE&amp;DB=129&amp;ID1=37155910&amp;VALUEID=01401&amp;SDATE=2010&amp;PERIODTYPE=ANN_STD&amp;SCFT=3&amp;window=popup_no_bar&amp;width=385&amp;height=120&amp;START_MAXIMIZED=FALSE&amp;creator=factset&amp;display_string=Audit"}</definedName>
    <definedName name="_419__FDSAUDITLINK__" hidden="1">{"fdsup://Directions/FactSet Auditing Viewer?action=AUDIT_VALUE&amp;DB=129&amp;ID1=12640810&amp;VALUEID=01401&amp;SDATE=2010&amp;PERIODTYPE=ANN_STD&amp;SCFT=3&amp;window=popup_no_bar&amp;width=385&amp;height=120&amp;START_MAXIMIZED=FALSE&amp;creator=factset&amp;display_string=Audit"}</definedName>
    <definedName name="_42__FDSAUDITLINK__" localSheetId="6" hidden="1">{"fdsup://directions/FAT Viewer?action=UPDATE&amp;creator=factset&amp;DYN_ARGS=TRUE&amp;DOC_NAME=FAT:FQL_AUDITING_CLIENT_TEMPLATE.FAT&amp;display_string=Audit&amp;VAR:KEY=EFKFOZQBKX&amp;VAR:QUERY=RkZfTkVUX0lOQyhBTk4sMjAxMCk=&amp;WINDOW=FIRST_POPUP&amp;HEIGHT=450&amp;WIDTH=450&amp;START_MAXIMIZED=","FALSE&amp;VAR:CALENDAR=US&amp;VAR:SYMBOL=CSX&amp;VAR:INDEX=0"}</definedName>
    <definedName name="_42__FDSAUDITLINK__" hidden="1">{"fdsup://directions/FAT Viewer?action=UPDATE&amp;creator=factset&amp;DYN_ARGS=TRUE&amp;DOC_NAME=FAT:FQL_AUDITING_CLIENT_TEMPLATE.FAT&amp;display_string=Audit&amp;VAR:KEY=JCDUDYVCBO&amp;VAR:QUERY=RkZfRUJJVERBKEFOTiwyMDA5KQ==&amp;WINDOW=FIRST_POPUP&amp;HEIGHT=450&amp;WIDTH=450&amp;START_MAXIMIZED=","FALSE&amp;VAR:CALENDAR=US&amp;VAR:SYMBOL=CNI&amp;VAR:INDEX=0"}</definedName>
    <definedName name="_420__FDSAUDITLINK__" hidden="1">{"fdsup://directions/FAT Viewer?action=UPDATE&amp;creator=factset&amp;DYN_ARGS=TRUE&amp;DOC_NAME=FAT:FQL_AUDITING_CLIENT_TEMPLATE.FAT&amp;display_string=Audit&amp;VAR:KEY=TEFEBCHYLA&amp;VAR:QUERY=RkZfTkVUX0lOQyhBTk4sMjAxMCk=&amp;WINDOW=FIRST_POPUP&amp;HEIGHT=450&amp;WIDTH=450&amp;START_MAXIMIZED=","FALSE&amp;VAR:CALENDAR=US&amp;VAR:SYMBOL=WERN&amp;VAR:INDEX=0"}</definedName>
    <definedName name="_421__FDSAUDITLINK__" hidden="1">{"fdsup://directions/FAT Viewer?action=UPDATE&amp;creator=factset&amp;DYN_ARGS=TRUE&amp;DOC_NAME=FAT:FQL_AUDITING_CLIENT_TEMPLATE.FAT&amp;display_string=Audit&amp;VAR:KEY=DKZMTQXOBY&amp;VAR:QUERY=RkZfTkVUX0lOQyhBTk4sMjAxMCk=&amp;WINDOW=FIRST_POPUP&amp;HEIGHT=450&amp;WIDTH=450&amp;START_MAXIMIZED=","FALSE&amp;VAR:CALENDAR=US&amp;VAR:SYMBOL=UTIW&amp;VAR:INDEX=0"}</definedName>
    <definedName name="_422__FDSAUDITLINK__" hidden="1">{"fdsup://directions/FAT Viewer?action=UPDATE&amp;creator=factset&amp;DYN_ARGS=TRUE&amp;DOC_NAME=FAT:FQL_AUDITING_CLIENT_TEMPLATE.FAT&amp;display_string=Audit&amp;VAR:KEY=ZMPSHSFQPC&amp;VAR:QUERY=RkZfTkVUX0lOQyhBTk4sMjAxMCk=&amp;WINDOW=FIRST_POPUP&amp;HEIGHT=450&amp;WIDTH=450&amp;START_MAXIMIZED=","FALSE&amp;VAR:CALENDAR=US&amp;VAR:SYMBOL=UPS&amp;VAR:INDEX=0"}</definedName>
    <definedName name="_423__FDSAUDITLINK__" hidden="1">{"fdsup://directions/FAT Viewer?action=UPDATE&amp;creator=factset&amp;DYN_ARGS=TRUE&amp;DOC_NAME=FAT:FQL_AUDITING_CLIENT_TEMPLATE.FAT&amp;display_string=Audit&amp;VAR:KEY=ZERKTWLUZM&amp;VAR:QUERY=RkZfTkVUX0lOQyhBTk4sMjAxMCk=&amp;WINDOW=FIRST_POPUP&amp;HEIGHT=450&amp;WIDTH=450&amp;START_MAXIMIZED=","FALSE&amp;VAR:CALENDAR=US&amp;VAR:SYMBOL=UNP&amp;VAR:INDEX=0"}</definedName>
    <definedName name="_424__FDSAUDITLINK__" hidden="1">{"fdsup://directions/FAT Viewer?action=UPDATE&amp;creator=factset&amp;DYN_ARGS=TRUE&amp;DOC_NAME=FAT:FQL_AUDITING_CLIENT_TEMPLATE.FAT&amp;display_string=Audit&amp;VAR:KEY=XSHQBOPYBO&amp;VAR:QUERY=RkZfTkVUX0lOQyhBTk4sMjAxMCk=&amp;WINDOW=FIRST_POPUP&amp;HEIGHT=450&amp;WIDTH=450&amp;START_MAXIMIZED=","FALSE&amp;VAR:CALENDAR=US&amp;VAR:SYMBOL=SWFT&amp;VAR:INDEX=0"}</definedName>
    <definedName name="_425__FDSAUDITLINK__" hidden="1">{"fdsup://directions/FAT Viewer?action=UPDATE&amp;creator=factset&amp;DYN_ARGS=TRUE&amp;DOC_NAME=FAT:FQL_AUDITING_CLIENT_TEMPLATE.FAT&amp;display_string=Audit&amp;VAR:KEY=VMJEPWPIXO&amp;VAR:QUERY=RkZfTkVUX0lOQyhBTk4sMjAxMCk=&amp;WINDOW=FIRST_POPUP&amp;HEIGHT=450&amp;WIDTH=450&amp;START_MAXIMIZED=","FALSE&amp;VAR:CALENDAR=US&amp;VAR:SYMBOL=RA&amp;VAR:INDEX=0"}</definedName>
    <definedName name="_426__FDSAUDITLINK__" hidden="1">{"fdsup://directions/FAT Viewer?action=UPDATE&amp;creator=factset&amp;DYN_ARGS=TRUE&amp;DOC_NAME=FAT:FQL_AUDITING_CLIENT_TEMPLATE.FAT&amp;display_string=Audit&amp;VAR:KEY=NKHQVIBYPU&amp;VAR:QUERY=RkZfTkVUX0lOQyhBTk4sMjAxMCk=&amp;WINDOW=FIRST_POPUP&amp;HEIGHT=450&amp;WIDTH=450&amp;START_MAXIMIZED=","FALSE&amp;VAR:CALENDAR=US&amp;VAR:SYMBOL=NSC&amp;VAR:INDEX=0"}</definedName>
    <definedName name="_427__FDSAUDITLINK__" hidden="1">{"fdsup://directions/FAT Viewer?action=UPDATE&amp;creator=factset&amp;DYN_ARGS=TRUE&amp;DOC_NAME=FAT:FQL_AUDITING_CLIENT_TEMPLATE.FAT&amp;display_string=Audit&amp;VAR:KEY=NUZSXGPYTE&amp;VAR:QUERY=RkZfTkVUX0lOQyhBTk4sMjAxMCk=&amp;WINDOW=FIRST_POPUP&amp;HEIGHT=450&amp;WIDTH=450&amp;START_MAXIMIZED=","FALSE&amp;VAR:CALENDAR=US&amp;VAR:SYMBOL=KSU&amp;VAR:INDEX=0"}</definedName>
    <definedName name="_428__FDSAUDITLINK__" hidden="1">{"fdsup://directions/FAT Viewer?action=UPDATE&amp;creator=factset&amp;DYN_ARGS=TRUE&amp;DOC_NAME=FAT:FQL_AUDITING_CLIENT_TEMPLATE.FAT&amp;display_string=Audit&amp;VAR:KEY=VIXYFCHCJW&amp;VAR:QUERY=RkZfTkVUX0lOQyhBTk4sMjAxMCk=&amp;WINDOW=FIRST_POPUP&amp;HEIGHT=450&amp;WIDTH=450&amp;START_MAXIMIZED=","FALSE&amp;VAR:CALENDAR=US&amp;VAR:SYMBOL=KNX&amp;VAR:INDEX=0"}</definedName>
    <definedName name="_429__FDSAUDITLINK__" hidden="1">{"fdsup://directions/FAT Viewer?action=UPDATE&amp;creator=factset&amp;DYN_ARGS=TRUE&amp;DOC_NAME=FAT:FQL_AUDITING_CLIENT_TEMPLATE.FAT&amp;display_string=Audit&amp;VAR:KEY=VWBAHYTEZO&amp;VAR:QUERY=RkZfTkVUX0lOQyhBTk4sMjAxMCk=&amp;WINDOW=FIRST_POPUP&amp;HEIGHT=450&amp;WIDTH=450&amp;START_MAXIMIZED=","FALSE&amp;VAR:CALENDAR=US&amp;VAR:SYMBOL=JBHT&amp;VAR:INDEX=0"}</definedName>
    <definedName name="_43__FDSAUDITLINK__" localSheetId="6" hidden="1">{"fdsup://directions/FAT Viewer?action=UPDATE&amp;creator=factset&amp;DYN_ARGS=TRUE&amp;DOC_NAME=FAT:FQL_AUDITING_CLIENT_TEMPLATE.FAT&amp;display_string=Audit&amp;VAR:KEY=OZKRUNWHIL&amp;VAR:QUERY=RkZfTkVUX0lOQyhBTk4sMjAxMCk=&amp;WINDOW=FIRST_POPUP&amp;HEIGHT=450&amp;WIDTH=450&amp;START_MAXIMIZED=","FALSE&amp;VAR:CALENDAR=US&amp;VAR:SYMBOL=CP&amp;VAR:INDEX=0"}</definedName>
    <definedName name="_43__FDSAUDITLINK__" hidden="1">{"fdsup://directions/FAT Viewer?action=UPDATE&amp;creator=factset&amp;DYN_ARGS=TRUE&amp;DOC_NAME=FAT:FQL_AUDITING_CLIENT_TEMPLATE.FAT&amp;display_string=Audit&amp;VAR:KEY=TYJGTERWZO&amp;VAR:QUERY=RkZfTkVUX0lOQyhBTk4sMjAwOSk=&amp;WINDOW=FIRST_POPUP&amp;HEIGHT=450&amp;WIDTH=450&amp;START_MAXIMIZED=","FALSE&amp;VAR:CALENDAR=US&amp;VAR:SYMBOL=NSC&amp;VAR:INDEX=0"}</definedName>
    <definedName name="_430__FDSAUDITLINK__" hidden="1">{"fdsup://directions/FAT Viewer?action=UPDATE&amp;creator=factset&amp;DYN_ARGS=TRUE&amp;DOC_NAME=FAT:FQL_AUDITING_CLIENT_TEMPLATE.FAT&amp;display_string=Audit&amp;VAR:KEY=ZUDYNERMNW&amp;VAR:QUERY=RkZfTkVUX0lOQyhBTk4sMjAxMCk=&amp;WINDOW=FIRST_POPUP&amp;HEIGHT=450&amp;WIDTH=450&amp;START_MAXIMIZED=","FALSE&amp;VAR:CALENDAR=US&amp;VAR:SYMBOL=HTLD&amp;VAR:INDEX=0"}</definedName>
    <definedName name="_431__FDSAUDITLINK__" hidden="1">{"fdsup://directions/FAT Viewer?action=UPDATE&amp;creator=factset&amp;DYN_ARGS=TRUE&amp;DOC_NAME=FAT:FQL_AUDITING_CLIENT_TEMPLATE.FAT&amp;display_string=Audit&amp;VAR:KEY=DWLKJADUPM&amp;VAR:QUERY=RkZfTkVUX0lOQyhBTk4sMjAxMCk=&amp;WINDOW=FIRST_POPUP&amp;HEIGHT=450&amp;WIDTH=450&amp;START_MAXIMIZED=","FALSE&amp;VAR:CALENDAR=US&amp;VAR:SYMBOL=GWR&amp;VAR:INDEX=0"}</definedName>
    <definedName name="_432__FDSAUDITLINK__" hidden="1">{"fdsup://directions/FAT Viewer?action=UPDATE&amp;creator=factset&amp;DYN_ARGS=TRUE&amp;DOC_NAME=FAT:FQL_AUDITING_CLIENT_TEMPLATE.FAT&amp;display_string=Audit&amp;VAR:KEY=NCHITCFSDK&amp;VAR:QUERY=RkZfTkVUX0lOQyhBTk4sMjAxMCk=&amp;WINDOW=FIRST_POPUP&amp;HEIGHT=450&amp;WIDTH=450&amp;START_MAXIMIZED=","FALSE&amp;VAR:CALENDAR=US&amp;VAR:SYMBOL=FDX&amp;VAR:INDEX=0"}</definedName>
    <definedName name="_433__FDSAUDITLINK__" hidden="1">{"fdsup://directions/FAT Viewer?action=UPDATE&amp;creator=factset&amp;DYN_ARGS=TRUE&amp;DOC_NAME=FAT:FQL_AUDITING_CLIENT_TEMPLATE.FAT&amp;display_string=Audit&amp;VAR:KEY=DYDADKPAZI&amp;VAR:QUERY=RkZfTkVUX0lOQyhBTk4sMjAxMCk=&amp;WINDOW=FIRST_POPUP&amp;HEIGHT=450&amp;WIDTH=450&amp;START_MAXIMIZED=","FALSE&amp;VAR:CALENDAR=US&amp;VAR:SYMBOL=EXPD&amp;VAR:INDEX=0"}</definedName>
    <definedName name="_434__FDSAUDITLINK__" hidden="1">{"fdsup://directions/FAT Viewer?action=UPDATE&amp;creator=factset&amp;DYN_ARGS=TRUE&amp;DOC_NAME=FAT:FQL_AUDITING_CLIENT_TEMPLATE.FAT&amp;display_string=Audit&amp;VAR:KEY=BCNGDMHELQ&amp;VAR:QUERY=RkZfTkVUX0lOQyhBTk4sMjAxMCk=&amp;WINDOW=FIRST_POPUP&amp;HEIGHT=450&amp;WIDTH=450&amp;START_MAXIMIZED=","FALSE&amp;VAR:CALENDAR=US&amp;VAR:SYMBOL=ECHO&amp;VAR:INDEX=0"}</definedName>
    <definedName name="_435__FDSAUDITLINK__" hidden="1">{"fdsup://directions/FAT Viewer?action=UPDATE&amp;creator=factset&amp;DYN_ARGS=TRUE&amp;DOC_NAME=FAT:FQL_AUDITING_CLIENT_TEMPLATE.FAT&amp;display_string=Audit&amp;VAR:KEY=ZAXCRELUXM&amp;VAR:QUERY=RkZfTkVUX0lOQyhBTk4sMjAxMCk=&amp;WINDOW=FIRST_POPUP&amp;HEIGHT=450&amp;WIDTH=450&amp;START_MAXIMIZED=","FALSE&amp;VAR:CALENDAR=US&amp;VAR:SYMBOL=CSX&amp;VAR:INDEX=0"}</definedName>
    <definedName name="_436__FDSAUDITLINK__" hidden="1">{"fdsup://directions/FAT Viewer?action=UPDATE&amp;creator=factset&amp;DYN_ARGS=TRUE&amp;DOC_NAME=FAT:FQL_AUDITING_CLIENT_TEMPLATE.FAT&amp;display_string=Audit&amp;VAR:KEY=TOPEJIDUDE&amp;VAR:QUERY=RkZfTkVUX0lOQyhBTk4sMjAxMCk=&amp;WINDOW=FIRST_POPUP&amp;HEIGHT=450&amp;WIDTH=450&amp;START_MAXIMIZED=","FALSE&amp;VAR:CALENDAR=US&amp;VAR:SYMBOL=CP&amp;VAR:INDEX=0"}</definedName>
    <definedName name="_437__FDSAUDITLINK__" hidden="1">{"fdsup://directions/FAT Viewer?action=UPDATE&amp;creator=factset&amp;DYN_ARGS=TRUE&amp;DOC_NAME=FAT:FQL_AUDITING_CLIENT_TEMPLATE.FAT&amp;display_string=Audit&amp;VAR:KEY=TSDAZCBUZS&amp;VAR:QUERY=RkZfTkVUX0lOQyhBTk4sMjAxMCk=&amp;WINDOW=FIRST_POPUP&amp;HEIGHT=450&amp;WIDTH=450&amp;START_MAXIMIZED=","FALSE&amp;VAR:CALENDAR=US&amp;VAR:SYMBOL=CNI&amp;VAR:INDEX=0"}</definedName>
    <definedName name="_438__FDSAUDITLINK__" hidden="1">{"fdsup://directions/FAT Viewer?action=UPDATE&amp;creator=factset&amp;DYN_ARGS=TRUE&amp;DOC_NAME=FAT:FQL_AUDITING_CLIENT_TEMPLATE.FAT&amp;display_string=Audit&amp;VAR:KEY=VGFEBKRWDE&amp;VAR:QUERY=RkZfTkVUX0lOQyhBTk4sMjAxMCk=&amp;WINDOW=FIRST_POPUP&amp;HEIGHT=450&amp;WIDTH=450&amp;START_MAXIMIZED=","FALSE&amp;VAR:CALENDAR=US&amp;VAR:SYMBOL=CHRW&amp;VAR:INDEX=0"}</definedName>
    <definedName name="_439__FDSAUDITLINK__" hidden="1">{"fdsup://directions/FAT Viewer?action=UPDATE&amp;creator=factset&amp;DYN_ARGS=TRUE&amp;DOC_NAME=FAT:FQL_AUDITING_CLIENT_TEMPLATE.FAT&amp;display_string=Audit&amp;VAR:KEY=TEFEBCHYLA&amp;VAR:QUERY=RkZfTkVUX0lOQyhBTk4sMjAxMCk=&amp;WINDOW=FIRST_POPUP&amp;HEIGHT=450&amp;WIDTH=450&amp;START_MAXIMIZED=","FALSE&amp;VAR:CALENDAR=US&amp;VAR:SYMBOL=WERN&amp;VAR:INDEX=0"}</definedName>
    <definedName name="_44__FDSAUDITLINK__" localSheetId="6" hidden="1">{"fdsup://directions/FAT Viewer?action=UPDATE&amp;creator=factset&amp;DYN_ARGS=TRUE&amp;DOC_NAME=FAT:FQL_AUDITING_CLIENT_TEMPLATE.FAT&amp;display_string=Audit&amp;VAR:KEY=QPUPARQXUX&amp;VAR:QUERY=RkZfTkVUX0lOQyhBTk4sMjAxMCk=&amp;WINDOW=FIRST_POPUP&amp;HEIGHT=450&amp;WIDTH=450&amp;START_MAXIMIZED=","FALSE&amp;VAR:CALENDAR=US&amp;VAR:SYMBOL=CNI&amp;VAR:INDEX=0"}</definedName>
    <definedName name="_44__FDSAUDITLINK__" hidden="1">{"fdsup://directions/FAT Viewer?action=UPDATE&amp;creator=factset&amp;DYN_ARGS=TRUE&amp;DOC_NAME=FAT:FQL_AUDITING_CLIENT_TEMPLATE.FAT&amp;display_string=Audit&amp;VAR:KEY=DWHWRCVQHK&amp;VAR:QUERY=RkZfTkVUX0lOQyhBTk4sMjAwOSk=&amp;WINDOW=FIRST_POPUP&amp;HEIGHT=450&amp;WIDTH=450&amp;START_MAXIMIZED=","FALSE&amp;VAR:CALENDAR=US&amp;VAR:SYMBOL=KSU&amp;VAR:INDEX=0"}</definedName>
    <definedName name="_440__FDSAUDITLINK__" hidden="1">{"fdsup://directions/FAT Viewer?action=UPDATE&amp;creator=factset&amp;DYN_ARGS=TRUE&amp;DOC_NAME=FAT:FQL_AUDITING_CLIENT_TEMPLATE.FAT&amp;display_string=Audit&amp;VAR:KEY=DKZMTQXOBY&amp;VAR:QUERY=RkZfTkVUX0lOQyhBTk4sMjAxMCk=&amp;WINDOW=FIRST_POPUP&amp;HEIGHT=450&amp;WIDTH=450&amp;START_MAXIMIZED=","FALSE&amp;VAR:CALENDAR=US&amp;VAR:SYMBOL=UTIW&amp;VAR:INDEX=0"}</definedName>
    <definedName name="_441__FDSAUDITLINK__" hidden="1">{"fdsup://directions/FAT Viewer?action=UPDATE&amp;creator=factset&amp;DYN_ARGS=TRUE&amp;DOC_NAME=FAT:FQL_AUDITING_CLIENT_TEMPLATE.FAT&amp;display_string=Audit&amp;VAR:KEY=ZMPSHSFQPC&amp;VAR:QUERY=RkZfTkVUX0lOQyhBTk4sMjAxMCk=&amp;WINDOW=FIRST_POPUP&amp;HEIGHT=450&amp;WIDTH=450&amp;START_MAXIMIZED=","FALSE&amp;VAR:CALENDAR=US&amp;VAR:SYMBOL=UPS&amp;VAR:INDEX=0"}</definedName>
    <definedName name="_442__FDSAUDITLINK__" hidden="1">{"fdsup://directions/FAT Viewer?action=UPDATE&amp;creator=factset&amp;DYN_ARGS=TRUE&amp;DOC_NAME=FAT:FQL_AUDITING_CLIENT_TEMPLATE.FAT&amp;display_string=Audit&amp;VAR:KEY=ZERKTWLUZM&amp;VAR:QUERY=RkZfTkVUX0lOQyhBTk4sMjAxMCk=&amp;WINDOW=FIRST_POPUP&amp;HEIGHT=450&amp;WIDTH=450&amp;START_MAXIMIZED=","FALSE&amp;VAR:CALENDAR=US&amp;VAR:SYMBOL=UNP&amp;VAR:INDEX=0"}</definedName>
    <definedName name="_443__FDSAUDITLINK__" hidden="1">{"fdsup://directions/FAT Viewer?action=UPDATE&amp;creator=factset&amp;DYN_ARGS=TRUE&amp;DOC_NAME=FAT:FQL_AUDITING_CLIENT_TEMPLATE.FAT&amp;display_string=Audit&amp;VAR:KEY=XSHQBOPYBO&amp;VAR:QUERY=RkZfTkVUX0lOQyhBTk4sMjAxMCk=&amp;WINDOW=FIRST_POPUP&amp;HEIGHT=450&amp;WIDTH=450&amp;START_MAXIMIZED=","FALSE&amp;VAR:CALENDAR=US&amp;VAR:SYMBOL=SWFT&amp;VAR:INDEX=0"}</definedName>
    <definedName name="_444__FDSAUDITLINK__" hidden="1">{"fdsup://directions/FAT Viewer?action=UPDATE&amp;creator=factset&amp;DYN_ARGS=TRUE&amp;DOC_NAME=FAT:FQL_AUDITING_CLIENT_TEMPLATE.FAT&amp;display_string=Audit&amp;VAR:KEY=VMJEPWPIXO&amp;VAR:QUERY=RkZfTkVUX0lOQyhBTk4sMjAxMCk=&amp;WINDOW=FIRST_POPUP&amp;HEIGHT=450&amp;WIDTH=450&amp;START_MAXIMIZED=","FALSE&amp;VAR:CALENDAR=US&amp;VAR:SYMBOL=RA&amp;VAR:INDEX=0"}</definedName>
    <definedName name="_445__FDSAUDITLINK__" hidden="1">{"fdsup://directions/FAT Viewer?action=UPDATE&amp;creator=factset&amp;DYN_ARGS=TRUE&amp;DOC_NAME=FAT:FQL_AUDITING_CLIENT_TEMPLATE.FAT&amp;display_string=Audit&amp;VAR:KEY=NKHQVIBYPU&amp;VAR:QUERY=RkZfTkVUX0lOQyhBTk4sMjAxMCk=&amp;WINDOW=FIRST_POPUP&amp;HEIGHT=450&amp;WIDTH=450&amp;START_MAXIMIZED=","FALSE&amp;VAR:CALENDAR=US&amp;VAR:SYMBOL=NSC&amp;VAR:INDEX=0"}</definedName>
    <definedName name="_446__FDSAUDITLINK__" hidden="1">{"fdsup://directions/FAT Viewer?action=UPDATE&amp;creator=factset&amp;DYN_ARGS=TRUE&amp;DOC_NAME=FAT:FQL_AUDITING_CLIENT_TEMPLATE.FAT&amp;display_string=Audit&amp;VAR:KEY=NUZSXGPYTE&amp;VAR:QUERY=RkZfTkVUX0lOQyhBTk4sMjAxMCk=&amp;WINDOW=FIRST_POPUP&amp;HEIGHT=450&amp;WIDTH=450&amp;START_MAXIMIZED=","FALSE&amp;VAR:CALENDAR=US&amp;VAR:SYMBOL=KSU&amp;VAR:INDEX=0"}</definedName>
    <definedName name="_447__FDSAUDITLINK__" hidden="1">{"fdsup://directions/FAT Viewer?action=UPDATE&amp;creator=factset&amp;DYN_ARGS=TRUE&amp;DOC_NAME=FAT:FQL_AUDITING_CLIENT_TEMPLATE.FAT&amp;display_string=Audit&amp;VAR:KEY=VIXYFCHCJW&amp;VAR:QUERY=RkZfTkVUX0lOQyhBTk4sMjAxMCk=&amp;WINDOW=FIRST_POPUP&amp;HEIGHT=450&amp;WIDTH=450&amp;START_MAXIMIZED=","FALSE&amp;VAR:CALENDAR=US&amp;VAR:SYMBOL=KNX&amp;VAR:INDEX=0"}</definedName>
    <definedName name="_448__FDSAUDITLINK__" hidden="1">{"fdsup://directions/FAT Viewer?action=UPDATE&amp;creator=factset&amp;DYN_ARGS=TRUE&amp;DOC_NAME=FAT:FQL_AUDITING_CLIENT_TEMPLATE.FAT&amp;display_string=Audit&amp;VAR:KEY=VWBAHYTEZO&amp;VAR:QUERY=RkZfTkVUX0lOQyhBTk4sMjAxMCk=&amp;WINDOW=FIRST_POPUP&amp;HEIGHT=450&amp;WIDTH=450&amp;START_MAXIMIZED=","FALSE&amp;VAR:CALENDAR=US&amp;VAR:SYMBOL=JBHT&amp;VAR:INDEX=0"}</definedName>
    <definedName name="_449__FDSAUDITLINK__" hidden="1">{"fdsup://directions/FAT Viewer?action=UPDATE&amp;creator=factset&amp;DYN_ARGS=TRUE&amp;DOC_NAME=FAT:FQL_AUDITING_CLIENT_TEMPLATE.FAT&amp;display_string=Audit&amp;VAR:KEY=ZUDYNERMNW&amp;VAR:QUERY=RkZfTkVUX0lOQyhBTk4sMjAxMCk=&amp;WINDOW=FIRST_POPUP&amp;HEIGHT=450&amp;WIDTH=450&amp;START_MAXIMIZED=","FALSE&amp;VAR:CALENDAR=US&amp;VAR:SYMBOL=HTLD&amp;VAR:INDEX=0"}</definedName>
    <definedName name="_45__FDSAUDITLINK__" localSheetId="6" hidden="1">{"fdsup://directions/FAT Viewer?action=UPDATE&amp;creator=factset&amp;DYN_ARGS=TRUE&amp;DOC_NAME=FAT:FQL_AUDITING_CLIENT_TEMPLATE.FAT&amp;display_string=Audit&amp;VAR:KEY=UNOBIVMNGP&amp;VAR:QUERY=RkZfRUJJVChBTk4sMjAxMCk=&amp;WINDOW=FIRST_POPUP&amp;HEIGHT=450&amp;WIDTH=450&amp;START_MAXIMIZED=FALS","E&amp;VAR:CALENDAR=US&amp;VAR:SYMBOL=UNP&amp;VAR:INDEX=0"}</definedName>
    <definedName name="_45__FDSAUDITLINK__" hidden="1">{"fdsup://directions/FAT Viewer?action=UPDATE&amp;creator=factset&amp;DYN_ARGS=TRUE&amp;DOC_NAME=FAT:FQL_AUDITING_CLIENT_TEMPLATE.FAT&amp;display_string=Audit&amp;VAR:KEY=VOBYRCLIDS&amp;VAR:QUERY=RkZfTkVUX0lOQyhBTk4sMjAwOSk=&amp;WINDOW=FIRST_POPUP&amp;HEIGHT=450&amp;WIDTH=450&amp;START_MAXIMIZED=","FALSE&amp;VAR:CALENDAR=US&amp;VAR:SYMBOL=GWR&amp;VAR:INDEX=0"}</definedName>
    <definedName name="_450__FDSAUDITLINK__" hidden="1">{"fdsup://directions/FAT Viewer?action=UPDATE&amp;creator=factset&amp;DYN_ARGS=TRUE&amp;DOC_NAME=FAT:FQL_AUDITING_CLIENT_TEMPLATE.FAT&amp;display_string=Audit&amp;VAR:KEY=DWLKJADUPM&amp;VAR:QUERY=RkZfTkVUX0lOQyhBTk4sMjAxMCk=&amp;WINDOW=FIRST_POPUP&amp;HEIGHT=450&amp;WIDTH=450&amp;START_MAXIMIZED=","FALSE&amp;VAR:CALENDAR=US&amp;VAR:SYMBOL=GWR&amp;VAR:INDEX=0"}</definedName>
    <definedName name="_451__FDSAUDITLINK__" hidden="1">{"fdsup://directions/FAT Viewer?action=UPDATE&amp;creator=factset&amp;DYN_ARGS=TRUE&amp;DOC_NAME=FAT:FQL_AUDITING_CLIENT_TEMPLATE.FAT&amp;display_string=Audit&amp;VAR:KEY=NCHITCFSDK&amp;VAR:QUERY=RkZfTkVUX0lOQyhBTk4sMjAxMCk=&amp;WINDOW=FIRST_POPUP&amp;HEIGHT=450&amp;WIDTH=450&amp;START_MAXIMIZED=","FALSE&amp;VAR:CALENDAR=US&amp;VAR:SYMBOL=FDX&amp;VAR:INDEX=0"}</definedName>
    <definedName name="_452__FDSAUDITLINK__" hidden="1">{"fdsup://directions/FAT Viewer?action=UPDATE&amp;creator=factset&amp;DYN_ARGS=TRUE&amp;DOC_NAME=FAT:FQL_AUDITING_CLIENT_TEMPLATE.FAT&amp;display_string=Audit&amp;VAR:KEY=DYDADKPAZI&amp;VAR:QUERY=RkZfTkVUX0lOQyhBTk4sMjAxMCk=&amp;WINDOW=FIRST_POPUP&amp;HEIGHT=450&amp;WIDTH=450&amp;START_MAXIMIZED=","FALSE&amp;VAR:CALENDAR=US&amp;VAR:SYMBOL=EXPD&amp;VAR:INDEX=0"}</definedName>
    <definedName name="_453__FDSAUDITLINK__" hidden="1">{"fdsup://directions/FAT Viewer?action=UPDATE&amp;creator=factset&amp;DYN_ARGS=TRUE&amp;DOC_NAME=FAT:FQL_AUDITING_CLIENT_TEMPLATE.FAT&amp;display_string=Audit&amp;VAR:KEY=BCNGDMHELQ&amp;VAR:QUERY=RkZfTkVUX0lOQyhBTk4sMjAxMCk=&amp;WINDOW=FIRST_POPUP&amp;HEIGHT=450&amp;WIDTH=450&amp;START_MAXIMIZED=","FALSE&amp;VAR:CALENDAR=US&amp;VAR:SYMBOL=ECHO&amp;VAR:INDEX=0"}</definedName>
    <definedName name="_454__FDSAUDITLINK__" hidden="1">{"fdsup://directions/FAT Viewer?action=UPDATE&amp;creator=factset&amp;DYN_ARGS=TRUE&amp;DOC_NAME=FAT:FQL_AUDITING_CLIENT_TEMPLATE.FAT&amp;display_string=Audit&amp;VAR:KEY=ZAXCRELUXM&amp;VAR:QUERY=RkZfTkVUX0lOQyhBTk4sMjAxMCk=&amp;WINDOW=FIRST_POPUP&amp;HEIGHT=450&amp;WIDTH=450&amp;START_MAXIMIZED=","FALSE&amp;VAR:CALENDAR=US&amp;VAR:SYMBOL=CSX&amp;VAR:INDEX=0"}</definedName>
    <definedName name="_455__FDSAUDITLINK__" hidden="1">{"fdsup://directions/FAT Viewer?action=UPDATE&amp;creator=factset&amp;DYN_ARGS=TRUE&amp;DOC_NAME=FAT:FQL_AUDITING_CLIENT_TEMPLATE.FAT&amp;display_string=Audit&amp;VAR:KEY=TOPEJIDUDE&amp;VAR:QUERY=RkZfTkVUX0lOQyhBTk4sMjAxMCk=&amp;WINDOW=FIRST_POPUP&amp;HEIGHT=450&amp;WIDTH=450&amp;START_MAXIMIZED=","FALSE&amp;VAR:CALENDAR=US&amp;VAR:SYMBOL=CP&amp;VAR:INDEX=0"}</definedName>
    <definedName name="_456__FDSAUDITLINK__" hidden="1">{"fdsup://directions/FAT Viewer?action=UPDATE&amp;creator=factset&amp;DYN_ARGS=TRUE&amp;DOC_NAME=FAT:FQL_AUDITING_CLIENT_TEMPLATE.FAT&amp;display_string=Audit&amp;VAR:KEY=TSDAZCBUZS&amp;VAR:QUERY=RkZfTkVUX0lOQyhBTk4sMjAxMCk=&amp;WINDOW=FIRST_POPUP&amp;HEIGHT=450&amp;WIDTH=450&amp;START_MAXIMIZED=","FALSE&amp;VAR:CALENDAR=US&amp;VAR:SYMBOL=CNI&amp;VAR:INDEX=0"}</definedName>
    <definedName name="_457__FDSAUDITLINK__" hidden="1">{"fdsup://directions/FAT Viewer?action=UPDATE&amp;creator=factset&amp;DYN_ARGS=TRUE&amp;DOC_NAME=FAT:FQL_AUDITING_CLIENT_TEMPLATE.FAT&amp;display_string=Audit&amp;VAR:KEY=VGFEBKRWDE&amp;VAR:QUERY=RkZfTkVUX0lOQyhBTk4sMjAxMCk=&amp;WINDOW=FIRST_POPUP&amp;HEIGHT=450&amp;WIDTH=450&amp;START_MAXIMIZED=","FALSE&amp;VAR:CALENDAR=US&amp;VAR:SYMBOL=CHRW&amp;VAR:INDEX=0"}</definedName>
    <definedName name="_458__FDSAUDITLINK__" hidden="1">{"fdsup://Directions/FactSet Auditing Viewer?action=AUDIT_VALUE&amp;DB=129&amp;ID1=90781810&amp;VALUEID=01401&amp;SDATE=2010&amp;PERIODTYPE=ANN_STD&amp;SCFT=3&amp;window=popup_no_bar&amp;width=385&amp;height=120&amp;START_MAXIMIZED=FALSE&amp;creator=factset&amp;display_string=Audit"}</definedName>
    <definedName name="_459__FDSAUDITLINK__" hidden="1">{"fdsup://Directions/FactSet Auditing Viewer?action=AUDIT_VALUE&amp;DB=129&amp;ID1=75075340&amp;VALUEID=01401&amp;SDATE=2010&amp;PERIODTYPE=ANN_STD&amp;SCFT=3&amp;window=popup_no_bar&amp;width=385&amp;height=120&amp;START_MAXIMIZED=FALSE&amp;creator=factset&amp;display_string=Audit"}</definedName>
    <definedName name="_46__FDSAUDITLINK__" localSheetId="6" hidden="1">{"fdsup://directions/FAT Viewer?action=UPDATE&amp;creator=factset&amp;DYN_ARGS=TRUE&amp;DOC_NAME=FAT:FQL_AUDITING_CLIENT_TEMPLATE.FAT&amp;display_string=Audit&amp;VAR:KEY=CHSVMLSVYH&amp;VAR:QUERY=RkZfRUJJVChBTk4sMjAxMCk=&amp;WINDOW=FIRST_POPUP&amp;HEIGHT=450&amp;WIDTH=450&amp;START_MAXIMIZED=FALS","E&amp;VAR:CALENDAR=US&amp;VAR:SYMBOL=RA&amp;VAR:INDEX=0"}</definedName>
    <definedName name="_46__FDSAUDITLINK__" hidden="1">{"fdsup://directions/FAT Viewer?action=UPDATE&amp;creator=factset&amp;DYN_ARGS=TRUE&amp;DOC_NAME=FAT:FQL_AUDITING_CLIENT_TEMPLATE.FAT&amp;display_string=Audit&amp;VAR:KEY=XCTUNKTUDO&amp;VAR:QUERY=RkZfTkVUX0lOQyhBTk4sMjAwOSk=&amp;WINDOW=FIRST_POPUP&amp;HEIGHT=450&amp;WIDTH=450&amp;START_MAXIMIZED=","FALSE&amp;VAR:CALENDAR=US&amp;VAR:SYMBOL=CSX&amp;VAR:INDEX=0"}</definedName>
    <definedName name="_460__FDSAUDITLINK__" hidden="1">{"fdsup://Directions/FactSet Auditing Viewer?action=AUDIT_VALUE&amp;DB=129&amp;ID1=65584410&amp;VALUEID=01401&amp;SDATE=2010&amp;PERIODTYPE=ANN_STD&amp;SCFT=3&amp;window=popup_no_bar&amp;width=385&amp;height=120&amp;START_MAXIMIZED=FALSE&amp;creator=factset&amp;display_string=Audit"}</definedName>
    <definedName name="_461__FDSAUDITLINK__" hidden="1">{"fdsup://Directions/FactSet Auditing Viewer?action=AUDIT_VALUE&amp;DB=129&amp;ID1=48517030&amp;VALUEID=01401&amp;SDATE=2010&amp;PERIODTYPE=ANN_STD&amp;SCFT=3&amp;window=popup_no_bar&amp;width=385&amp;height=120&amp;START_MAXIMIZED=FALSE&amp;creator=factset&amp;display_string=Audit"}</definedName>
    <definedName name="_462__FDSAUDITLINK__" hidden="1">{"fdsup://Directions/FactSet Auditing Viewer?action=AUDIT_VALUE&amp;DB=129&amp;ID1=37155910&amp;VALUEID=01401&amp;SDATE=2010&amp;PERIODTYPE=ANN_STD&amp;SCFT=3&amp;window=popup_no_bar&amp;width=385&amp;height=120&amp;START_MAXIMIZED=FALSE&amp;creator=factset&amp;display_string=Audit"}</definedName>
    <definedName name="_463__FDSAUDITLINK__" hidden="1">{"fdsup://Directions/FactSet Auditing Viewer?action=AUDIT_VALUE&amp;DB=129&amp;ID1=12640810&amp;VALUEID=01401&amp;SDATE=2010&amp;PERIODTYPE=ANN_STD&amp;SCFT=3&amp;window=popup_no_bar&amp;width=385&amp;height=120&amp;START_MAXIMIZED=FALSE&amp;creator=factset&amp;display_string=Audit"}</definedName>
    <definedName name="_47__FDSAUDITLINK__" localSheetId="6" hidden="1">{"fdsup://directions/FAT Viewer?action=UPDATE&amp;creator=factset&amp;DYN_ARGS=TRUE&amp;DOC_NAME=FAT:FQL_AUDITING_CLIENT_TEMPLATE.FAT&amp;display_string=Audit&amp;VAR:KEY=CBKNWDAHKJ&amp;VAR:QUERY=RkZfRUJJVChBTk4sMjAxMCk=&amp;WINDOW=FIRST_POPUP&amp;HEIGHT=450&amp;WIDTH=450&amp;START_MAXIMIZED=FALS","E&amp;VAR:CALENDAR=US&amp;VAR:SYMBOL=NSC&amp;VAR:INDEX=0"}</definedName>
    <definedName name="_47__FDSAUDITLINK__" hidden="1">{"fdsup://directions/FAT Viewer?action=UPDATE&amp;creator=factset&amp;DYN_ARGS=TRUE&amp;DOC_NAME=FAT:FQL_AUDITING_CLIENT_TEMPLATE.FAT&amp;display_string=Audit&amp;VAR:KEY=ZIJWZYDWHC&amp;VAR:QUERY=RkZfTkVUX0lOQyhBTk4sMjAwOSk=&amp;WINDOW=FIRST_POPUP&amp;HEIGHT=450&amp;WIDTH=450&amp;START_MAXIMIZED=","FALSE&amp;VAR:CALENDAR=US&amp;VAR:SYMBOL=CP&amp;VAR:INDEX=0"}</definedName>
    <definedName name="_48__FDSAUDITLINK__" localSheetId="6" hidden="1">{"fdsup://directions/FAT Viewer?action=UPDATE&amp;creator=factset&amp;DYN_ARGS=TRUE&amp;DOC_NAME=FAT:FQL_AUDITING_CLIENT_TEMPLATE.FAT&amp;display_string=Audit&amp;VAR:KEY=KPODUPWHYR&amp;VAR:QUERY=RkZfRUJJVChBTk4sMjAxMCk=&amp;WINDOW=FIRST_POPUP&amp;HEIGHT=450&amp;WIDTH=450&amp;START_MAXIMIZED=FALS","E&amp;VAR:CALENDAR=US&amp;VAR:SYMBOL=KSU&amp;VAR:INDEX=0"}</definedName>
    <definedName name="_48__FDSAUDITLINK__" hidden="1">{"fdsup://directions/FAT Viewer?action=UPDATE&amp;creator=factset&amp;DYN_ARGS=TRUE&amp;DOC_NAME=FAT:FQL_AUDITING_CLIENT_TEMPLATE.FAT&amp;display_string=Audit&amp;VAR:KEY=ZIVKNCFMTU&amp;VAR:QUERY=RkZfTkVUX0lOQyhBTk4sMjAwOSk=&amp;WINDOW=FIRST_POPUP&amp;HEIGHT=450&amp;WIDTH=450&amp;START_MAXIMIZED=","FALSE&amp;VAR:CALENDAR=US&amp;VAR:SYMBOL=CNI&amp;VAR:INDEX=0"}</definedName>
    <definedName name="_49__FDSAUDITLINK__" localSheetId="6" hidden="1">{"fdsup://directions/FAT Viewer?action=UPDATE&amp;creator=factset&amp;DYN_ARGS=TRUE&amp;DOC_NAME=FAT:FQL_AUDITING_CLIENT_TEMPLATE.FAT&amp;display_string=Audit&amp;VAR:KEY=WHUFCHOVAN&amp;VAR:QUERY=RkZfRUJJVChBTk4sMjAxMCk=&amp;WINDOW=FIRST_POPUP&amp;HEIGHT=450&amp;WIDTH=450&amp;START_MAXIMIZED=FALS","E&amp;VAR:CALENDAR=US&amp;VAR:SYMBOL=GWR&amp;VAR:INDEX=0"}</definedName>
    <definedName name="_49__FDSAUDITLINK__" hidden="1">{"fdsup://directions/FAT Viewer?action=UPDATE&amp;creator=factset&amp;DYN_ARGS=TRUE&amp;DOC_NAME=FAT:FQL_AUDITING_CLIENT_TEMPLATE.FAT&amp;display_string=Audit&amp;VAR:KEY=JSNEFUFKBO&amp;VAR:QUERY=RkZfRUJJVChBTk4sMjAwOSk=&amp;WINDOW=FIRST_POPUP&amp;HEIGHT=450&amp;WIDTH=450&amp;START_MAXIMIZED=FALS","E&amp;VAR:CALENDAR=US&amp;VAR:SYMBOL=NSC&amp;VAR:INDEX=0"}</definedName>
    <definedName name="_5__FDSAUDITLINK__" localSheetId="5" hidden="1">{"fdsup://directions/FAT Viewer?action=UPDATE&amp;creator=factset&amp;DYN_ARGS=TRUE&amp;DOC_NAME=FAT:FQL_AUDITING_CLIENT_TEMPLATE.FAT&amp;display_string=Audit&amp;VAR:KEY=HUBOBMLMBQ&amp;VAR:QUERY=RkZfRUJJVChBTk4sMjAxMCk=&amp;WINDOW=FIRST_POPUP&amp;HEIGHT=450&amp;WIDTH=450&amp;START_MAXIMIZED=FALS","E&amp;VAR:CALENDAR=US&amp;VAR:SYMBOL=RA&amp;VAR:INDEX=0"}</definedName>
    <definedName name="_5__FDSAUDITLINK__" localSheetId="6" hidden="1">{"fdsup://directions/FAT Viewer?action=UPDATE&amp;creator=factset&amp;DYN_ARGS=TRUE&amp;DOC_NAME=FAT:FQL_AUDITING_CLIENT_TEMPLATE.FAT&amp;display_string=Audit&amp;VAR:KEY=ENALIHQZUJ&amp;VAR:QUERY=RkZfTkVUX0lOQyhBTk4sMjAxMCk=&amp;WINDOW=FIRST_POPUP&amp;HEIGHT=450&amp;WIDTH=450&amp;START_MAXIMIZED=","FALSE&amp;VAR:CALENDAR=US&amp;VAR:SYMBOL=GWR&amp;VAR:INDEX=0"}</definedName>
    <definedName name="_5__FDSAUDITLINK__" localSheetId="7" hidden="1">{"fdsup://directions/FAT Viewer?action=UPDATE&amp;creator=factset&amp;DYN_ARGS=TRUE&amp;DOC_NAME=FAT:FQL_AUDITING_CLIENT_TEMPLATE.FAT&amp;display_string=Audit&amp;VAR:KEY=HUBOBMLMBQ&amp;VAR:QUERY=RkZfRUJJVChBTk4sMjAxMCk=&amp;WINDOW=FIRST_POPUP&amp;HEIGHT=450&amp;WIDTH=450&amp;START_MAXIMIZED=FALS","E&amp;VAR:CALENDAR=US&amp;VAR:SYMBOL=RA&amp;VAR:INDEX=0"}</definedName>
    <definedName name="_5__FDSAUDITLINK__" hidden="1">{"fdsup://directions/FAT Viewer?action=UPDATE&amp;creator=factset&amp;DYN_ARGS=TRUE&amp;DOC_NAME=FAT:FQL_AUDITING_CLIENT_TEMPLATE.FAT&amp;display_string=Audit&amp;VAR:KEY=VOBYRCLIDS&amp;VAR:QUERY=RkZfTkVUX0lOQyhBTk4sMjAwOSk=&amp;WINDOW=FIRST_POPUP&amp;HEIGHT=450&amp;WIDTH=450&amp;START_MAXIMIZED=","FALSE&amp;VAR:CALENDAR=US&amp;VAR:SYMBOL=GWR&amp;VAR:INDEX=0"}</definedName>
    <definedName name="_50__FDSAUDITLINK__" localSheetId="6" hidden="1">{"fdsup://directions/FAT Viewer?action=UPDATE&amp;creator=factset&amp;DYN_ARGS=TRUE&amp;DOC_NAME=FAT:FQL_AUDITING_CLIENT_TEMPLATE.FAT&amp;display_string=Audit&amp;VAR:KEY=QDWBINOJIH&amp;VAR:QUERY=RkZfRUJJVChBTk4sMjAxMCk=&amp;WINDOW=FIRST_POPUP&amp;HEIGHT=450&amp;WIDTH=450&amp;START_MAXIMIZED=FALS","E&amp;VAR:CALENDAR=US&amp;VAR:SYMBOL=CSX&amp;VAR:INDEX=0"}</definedName>
    <definedName name="_50__FDSAUDITLINK__" hidden="1">{"fdsup://directions/FAT Viewer?action=UPDATE&amp;creator=factset&amp;DYN_ARGS=TRUE&amp;DOC_NAME=FAT:FQL_AUDITING_CLIENT_TEMPLATE.FAT&amp;display_string=Audit&amp;VAR:KEY=FWBSRAVMTC&amp;VAR:QUERY=RkZfRUJJVChBTk4sMjAwOSk=&amp;WINDOW=FIRST_POPUP&amp;HEIGHT=450&amp;WIDTH=450&amp;START_MAXIMIZED=FALS","E&amp;VAR:CALENDAR=US&amp;VAR:SYMBOL=KSU&amp;VAR:INDEX=0"}</definedName>
    <definedName name="_51__FDSAUDITLINK__" localSheetId="6" hidden="1">{"fdsup://directions/FAT Viewer?action=UPDATE&amp;creator=factset&amp;DYN_ARGS=TRUE&amp;DOC_NAME=FAT:FQL_AUDITING_CLIENT_TEMPLATE.FAT&amp;display_string=Audit&amp;VAR:KEY=UXUVUJWNOH&amp;VAR:QUERY=RkZfRUJJVChBTk4sMjAxMCk=&amp;WINDOW=FIRST_POPUP&amp;HEIGHT=450&amp;WIDTH=450&amp;START_MAXIMIZED=FALS","E&amp;VAR:CALENDAR=US&amp;VAR:SYMBOL=CP&amp;VAR:INDEX=0"}</definedName>
    <definedName name="_51__FDSAUDITLINK__" hidden="1">{"fdsup://directions/FAT Viewer?action=UPDATE&amp;creator=factset&amp;DYN_ARGS=TRUE&amp;DOC_NAME=FAT:FQL_AUDITING_CLIENT_TEMPLATE.FAT&amp;display_string=Audit&amp;VAR:KEY=JEFYFGBSLG&amp;VAR:QUERY=RkZfRUJJVChBTk4sMjAwOSk=&amp;WINDOW=FIRST_POPUP&amp;HEIGHT=450&amp;WIDTH=450&amp;START_MAXIMIZED=FALS","E&amp;VAR:CALENDAR=US&amp;VAR:SYMBOL=GWR&amp;VAR:INDEX=0"}</definedName>
    <definedName name="_52__FDSAUDITLINK__" localSheetId="6" hidden="1">{"fdsup://directions/FAT Viewer?action=UPDATE&amp;creator=factset&amp;DYN_ARGS=TRUE&amp;DOC_NAME=FAT:FQL_AUDITING_CLIENT_TEMPLATE.FAT&amp;display_string=Audit&amp;VAR:KEY=GPYRITKBWH&amp;VAR:QUERY=RkZfRUJJVChBTk4sMjAxMCk=&amp;WINDOW=FIRST_POPUP&amp;HEIGHT=450&amp;WIDTH=450&amp;START_MAXIMIZED=FALS","E&amp;VAR:CALENDAR=US&amp;VAR:SYMBOL=CNI&amp;VAR:INDEX=0"}</definedName>
    <definedName name="_52__FDSAUDITLINK__" hidden="1">{"fdsup://directions/FAT Viewer?action=UPDATE&amp;creator=factset&amp;DYN_ARGS=TRUE&amp;DOC_NAME=FAT:FQL_AUDITING_CLIENT_TEMPLATE.FAT&amp;display_string=Audit&amp;VAR:KEY=LOVABURQPM&amp;VAR:QUERY=RkZfRUJJVChBTk4sMjAwOSk=&amp;WINDOW=FIRST_POPUP&amp;HEIGHT=450&amp;WIDTH=450&amp;START_MAXIMIZED=FALS","E&amp;VAR:CALENDAR=US&amp;VAR:SYMBOL=CSX&amp;VAR:INDEX=0"}</definedName>
    <definedName name="_53__FDSAUDITLINK__" localSheetId="6" hidden="1">{"fdsup://directions/FAT Viewer?action=UPDATE&amp;creator=factset&amp;DYN_ARGS=TRUE&amp;DOC_NAME=FAT:FQL_AUDITING_CLIENT_TEMPLATE.FAT&amp;display_string=Audit&amp;VAR:KEY=ONQHQDUZKF&amp;VAR:QUERY=RkZfRUJJVERBKEFOTiwyMDEwKQ==&amp;WINDOW=FIRST_POPUP&amp;HEIGHT=450&amp;WIDTH=450&amp;START_MAXIMIZED=","FALSE&amp;VAR:CALENDAR=US&amp;VAR:SYMBOL=UNP&amp;VAR:INDEX=0"}</definedName>
    <definedName name="_53__FDSAUDITLINK__" hidden="1">{"fdsup://directions/FAT Viewer?action=UPDATE&amp;creator=factset&amp;DYN_ARGS=TRUE&amp;DOC_NAME=FAT:FQL_AUDITING_CLIENT_TEMPLATE.FAT&amp;display_string=Audit&amp;VAR:KEY=BUBMLSREXC&amp;VAR:QUERY=RkZfRUJJVChBTk4sMjAwOSk=&amp;WINDOW=FIRST_POPUP&amp;HEIGHT=450&amp;WIDTH=450&amp;START_MAXIMIZED=FALS","E&amp;VAR:CALENDAR=US&amp;VAR:SYMBOL=CP&amp;VAR:INDEX=0"}</definedName>
    <definedName name="_54__FDSAUDITLINK__" localSheetId="6" hidden="1">{"fdsup://directions/FAT Viewer?action=UPDATE&amp;creator=factset&amp;DYN_ARGS=TRUE&amp;DOC_NAME=FAT:FQL_AUDITING_CLIENT_TEMPLATE.FAT&amp;display_string=Audit&amp;VAR:KEY=OLOPGHWHAP&amp;VAR:QUERY=RkZfRUJJVERBKEFOTiwyMDEwKQ==&amp;WINDOW=FIRST_POPUP&amp;HEIGHT=450&amp;WIDTH=450&amp;START_MAXIMIZED=","FALSE&amp;VAR:CALENDAR=US&amp;VAR:SYMBOL=RA&amp;VAR:INDEX=0"}</definedName>
    <definedName name="_54__FDSAUDITLINK__" hidden="1">{"fdsup://directions/FAT Viewer?action=UPDATE&amp;creator=factset&amp;DYN_ARGS=TRUE&amp;DOC_NAME=FAT:FQL_AUDITING_CLIENT_TEMPLATE.FAT&amp;display_string=Audit&amp;VAR:KEY=VMNIVYHKNS&amp;VAR:QUERY=RkZfRUJJVChBTk4sMjAwOSk=&amp;WINDOW=FIRST_POPUP&amp;HEIGHT=450&amp;WIDTH=450&amp;START_MAXIMIZED=FALS","E&amp;VAR:CALENDAR=US&amp;VAR:SYMBOL=CNI&amp;VAR:INDEX=0"}</definedName>
    <definedName name="_55__FDSAUDITLINK__" localSheetId="6" hidden="1">{"fdsup://directions/FAT Viewer?action=UPDATE&amp;creator=factset&amp;DYN_ARGS=TRUE&amp;DOC_NAME=FAT:FQL_AUDITING_CLIENT_TEMPLATE.FAT&amp;display_string=Audit&amp;VAR:KEY=EZCLCRSDAP&amp;VAR:QUERY=RkZfRUJJVERBKEFOTiwyMDEwKQ==&amp;WINDOW=FIRST_POPUP&amp;HEIGHT=450&amp;WIDTH=450&amp;START_MAXIMIZED=","FALSE&amp;VAR:CALENDAR=US&amp;VAR:SYMBOL=NSC&amp;VAR:INDEX=0"}</definedName>
    <definedName name="_55__FDSAUDITLINK__" hidden="1">{"fdsup://directions/FAT Viewer?action=UPDATE&amp;creator=factset&amp;DYN_ARGS=TRUE&amp;DOC_NAME=FAT:FQL_AUDITING_CLIENT_TEMPLATE.FAT&amp;display_string=Audit&amp;VAR:KEY=BSJCZYVKZC&amp;VAR:QUERY=RkZfRUJJVERBKEFOTiwyMDA5KQ==&amp;WINDOW=FIRST_POPUP&amp;HEIGHT=450&amp;WIDTH=450&amp;START_MAXIMIZED=","FALSE&amp;VAR:CALENDAR=US&amp;VAR:SYMBOL=NSC&amp;VAR:INDEX=0"}</definedName>
    <definedName name="_56__FDSAUDITLINK__" localSheetId="6" hidden="1">{"fdsup://directions/FAT Viewer?action=UPDATE&amp;creator=factset&amp;DYN_ARGS=TRUE&amp;DOC_NAME=FAT:FQL_AUDITING_CLIENT_TEMPLATE.FAT&amp;display_string=Audit&amp;VAR:KEY=CBYLCVWFIZ&amp;VAR:QUERY=RkZfRUJJVERBKEFOTiwyMDEwKQ==&amp;WINDOW=FIRST_POPUP&amp;HEIGHT=450&amp;WIDTH=450&amp;START_MAXIMIZED=","FALSE&amp;VAR:CALENDAR=US&amp;VAR:SYMBOL=KSU&amp;VAR:INDEX=0"}</definedName>
    <definedName name="_56__FDSAUDITLINK__" hidden="1">{"fdsup://directions/FAT Viewer?action=UPDATE&amp;creator=factset&amp;DYN_ARGS=TRUE&amp;DOC_NAME=FAT:FQL_AUDITING_CLIENT_TEMPLATE.FAT&amp;display_string=Audit&amp;VAR:KEY=XKXCRUTYVA&amp;VAR:QUERY=RkZfRUJJVERBKEFOTiwyMDA5KQ==&amp;WINDOW=FIRST_POPUP&amp;HEIGHT=450&amp;WIDTH=450&amp;START_MAXIMIZED=","FALSE&amp;VAR:CALENDAR=US&amp;VAR:SYMBOL=KSU&amp;VAR:INDEX=0"}</definedName>
    <definedName name="_57__FDSAUDITLINK__" localSheetId="6" hidden="1">{"fdsup://directions/FAT Viewer?action=UPDATE&amp;creator=factset&amp;DYN_ARGS=TRUE&amp;DOC_NAME=FAT:FQL_AUDITING_CLIENT_TEMPLATE.FAT&amp;display_string=Audit&amp;VAR:KEY=MZIRGRQDQT&amp;VAR:QUERY=RkZfRUJJVERBKEFOTiwyMDEwKQ==&amp;WINDOW=FIRST_POPUP&amp;HEIGHT=450&amp;WIDTH=450&amp;START_MAXIMIZED=","FALSE&amp;VAR:CALENDAR=US&amp;VAR:SYMBOL=GWR&amp;VAR:INDEX=0"}</definedName>
    <definedName name="_57__FDSAUDITLINK__" hidden="1">{"fdsup://directions/FAT Viewer?action=UPDATE&amp;creator=factset&amp;DYN_ARGS=TRUE&amp;DOC_NAME=FAT:FQL_AUDITING_CLIENT_TEMPLATE.FAT&amp;display_string=Audit&amp;VAR:KEY=ZWBUHQBQBE&amp;VAR:QUERY=RkZfRUJJVERBKEFOTiwyMDA5KQ==&amp;WINDOW=FIRST_POPUP&amp;HEIGHT=450&amp;WIDTH=450&amp;START_MAXIMIZED=","FALSE&amp;VAR:CALENDAR=US&amp;VAR:SYMBOL=GWR&amp;VAR:INDEX=0"}</definedName>
    <definedName name="_58__FDSAUDITLINK__" localSheetId="6" hidden="1">{"fdsup://directions/FAT Viewer?action=UPDATE&amp;creator=factset&amp;DYN_ARGS=TRUE&amp;DOC_NAME=FAT:FQL_AUDITING_CLIENT_TEMPLATE.FAT&amp;display_string=Audit&amp;VAR:KEY=WNEPKPEBAB&amp;VAR:QUERY=RkZfRUJJVERBKEFOTiwyMDEwKQ==&amp;WINDOW=FIRST_POPUP&amp;HEIGHT=450&amp;WIDTH=450&amp;START_MAXIMIZED=","FALSE&amp;VAR:CALENDAR=US&amp;VAR:SYMBOL=CSX&amp;VAR:INDEX=0"}</definedName>
    <definedName name="_58__FDSAUDITLINK__" hidden="1">{"fdsup://directions/FAT Viewer?action=UPDATE&amp;creator=factset&amp;DYN_ARGS=TRUE&amp;DOC_NAME=FAT:FQL_AUDITING_CLIENT_TEMPLATE.FAT&amp;display_string=Audit&amp;VAR:KEY=BIVUXIBITK&amp;VAR:QUERY=RkZfRUJJVERBKEFOTiwyMDA5KQ==&amp;WINDOW=FIRST_POPUP&amp;HEIGHT=450&amp;WIDTH=450&amp;START_MAXIMIZED=","FALSE&amp;VAR:CALENDAR=US&amp;VAR:SYMBOL=CSX&amp;VAR:INDEX=0"}</definedName>
    <definedName name="_59__FDSAUDITLINK__" localSheetId="6" hidden="1">{"fdsup://directions/FAT Viewer?action=UPDATE&amp;creator=factset&amp;DYN_ARGS=TRUE&amp;DOC_NAME=FAT:FQL_AUDITING_CLIENT_TEMPLATE.FAT&amp;display_string=Audit&amp;VAR:KEY=KDCPCRGJOX&amp;VAR:QUERY=RkZfRUJJVERBKEFOTiwyMDEwKQ==&amp;WINDOW=FIRST_POPUP&amp;HEIGHT=450&amp;WIDTH=450&amp;START_MAXIMIZED=","FALSE&amp;VAR:CALENDAR=US&amp;VAR:SYMBOL=CP&amp;VAR:INDEX=0"}</definedName>
    <definedName name="_59__FDSAUDITLINK__" hidden="1">{"fdsup://directions/FAT Viewer?action=UPDATE&amp;creator=factset&amp;DYN_ARGS=TRUE&amp;DOC_NAME=FAT:FQL_AUDITING_CLIENT_TEMPLATE.FAT&amp;display_string=Audit&amp;VAR:KEY=DWHGPKXKXY&amp;VAR:QUERY=RkZfRUJJVERBKEFOTiwyMDA5KQ==&amp;WINDOW=FIRST_POPUP&amp;HEIGHT=450&amp;WIDTH=450&amp;START_MAXIMIZED=","FALSE&amp;VAR:CALENDAR=US&amp;VAR:SYMBOL=CP&amp;VAR:INDEX=0"}</definedName>
    <definedName name="_6__FDSAUDITLINK__" localSheetId="5" hidden="1">{"fdsup://directions/FAT Viewer?action=UPDATE&amp;creator=factset&amp;DYN_ARGS=TRUE&amp;DOC_NAME=FAT:FQL_AUDITING_CLIENT_TEMPLATE.FAT&amp;display_string=Audit&amp;VAR:KEY=TELSLIPKPW&amp;VAR:QUERY=RkZfRUJJVChBTk4sMjAxMCk=&amp;WINDOW=FIRST_POPUP&amp;HEIGHT=450&amp;WIDTH=450&amp;START_MAXIMIZED=FALS","E&amp;VAR:CALENDAR=US&amp;VAR:SYMBOL=NSC&amp;VAR:INDEX=0"}</definedName>
    <definedName name="_6__FDSAUDITLINK__" localSheetId="6" hidden="1">{"fdsup://Directions/FactSet Auditing Viewer?action=AUDIT_VALUE&amp;DB=129&amp;ID1=11132010&amp;VALUEID=02001&amp;SDATE=200903&amp;PERIODTYPE=QTR_STD&amp;window=popup_no_bar&amp;width=385&amp;height=120&amp;START_MAXIMIZED=FALSE&amp;creator=factset&amp;display_string=Audit"}</definedName>
    <definedName name="_6__FDSAUDITLINK__" localSheetId="7" hidden="1">{"fdsup://directions/FAT Viewer?action=UPDATE&amp;creator=factset&amp;DYN_ARGS=TRUE&amp;DOC_NAME=FAT:FQL_AUDITING_CLIENT_TEMPLATE.FAT&amp;display_string=Audit&amp;VAR:KEY=TELSLIPKPW&amp;VAR:QUERY=RkZfRUJJVChBTk4sMjAxMCk=&amp;WINDOW=FIRST_POPUP&amp;HEIGHT=450&amp;WIDTH=450&amp;START_MAXIMIZED=FALS","E&amp;VAR:CALENDAR=US&amp;VAR:SYMBOL=NSC&amp;VAR:INDEX=0"}</definedName>
    <definedName name="_6__FDSAUDITLINK__" hidden="1">{"fdsup://directions/FAT Viewer?action=UPDATE&amp;creator=factset&amp;DYN_ARGS=TRUE&amp;DOC_NAME=FAT:FQL_AUDITING_CLIENT_TEMPLATE.FAT&amp;display_string=Audit&amp;VAR:KEY=XCTUNKTUDO&amp;VAR:QUERY=RkZfTkVUX0lOQyhBTk4sMjAwOSk=&amp;WINDOW=FIRST_POPUP&amp;HEIGHT=450&amp;WIDTH=450&amp;START_MAXIMIZED=","FALSE&amp;VAR:CALENDAR=US&amp;VAR:SYMBOL=CSX&amp;VAR:INDEX=0"}</definedName>
    <definedName name="_60__FDSAUDITLINK__" localSheetId="6" hidden="1">{"fdsup://directions/FAT Viewer?action=UPDATE&amp;creator=factset&amp;DYN_ARGS=TRUE&amp;DOC_NAME=FAT:FQL_AUDITING_CLIENT_TEMPLATE.FAT&amp;display_string=Audit&amp;VAR:KEY=AZYZAZOHSN&amp;VAR:QUERY=RkZfRUJJVERBKEFOTiwyMDEwKQ==&amp;WINDOW=FIRST_POPUP&amp;HEIGHT=450&amp;WIDTH=450&amp;START_MAXIMIZED=","FALSE&amp;VAR:CALENDAR=US&amp;VAR:SYMBOL=CNI&amp;VAR:INDEX=0"}</definedName>
    <definedName name="_60__FDSAUDITLINK__" hidden="1">{"fdsup://directions/FAT Viewer?action=UPDATE&amp;creator=factset&amp;DYN_ARGS=TRUE&amp;DOC_NAME=FAT:FQL_AUDITING_CLIENT_TEMPLATE.FAT&amp;display_string=Audit&amp;VAR:KEY=JCDUDYVCBO&amp;VAR:QUERY=RkZfRUJJVERBKEFOTiwyMDA5KQ==&amp;WINDOW=FIRST_POPUP&amp;HEIGHT=450&amp;WIDTH=450&amp;START_MAXIMIZED=","FALSE&amp;VAR:CALENDAR=US&amp;VAR:SYMBOL=CNI&amp;VAR:INDEX=0"}</definedName>
    <definedName name="_61__FDSAUDITLINK__" localSheetId="6" hidden="1">{"fdsup://Directions/FactSet Auditing Viewer?action=AUDIT_VALUE&amp;DB=129&amp;ID1=90781810&amp;VALUEID=01250&amp;SDATE=2010&amp;PERIODTYPE=ANN_STD&amp;window=popup_no_bar&amp;width=385&amp;height=120&amp;START_MAXIMIZED=FALSE&amp;creator=factset&amp;display_string=Audit"}</definedName>
    <definedName name="_61__FDSAUDITLINK__" hidden="1">{"fdsup://directions/FAT Viewer?action=UPDATE&amp;creator=factset&amp;DYN_ARGS=TRUE&amp;DOC_NAME=FAT:FQL_AUDITING_CLIENT_TEMPLATE.FAT&amp;display_string=Audit&amp;VAR:KEY=TYJGTERWZO&amp;VAR:QUERY=RkZfTkVUX0lOQyhBTk4sMjAwOSk=&amp;WINDOW=FIRST_POPUP&amp;HEIGHT=450&amp;WIDTH=450&amp;START_MAXIMIZED=","FALSE&amp;VAR:CALENDAR=US&amp;VAR:SYMBOL=NSC&amp;VAR:INDEX=0"}</definedName>
    <definedName name="_62__FDSAUDITLINK__" localSheetId="6" hidden="1">{"fdsup://Directions/FactSet Auditing Viewer?action=AUDIT_VALUE&amp;DB=129&amp;ID1=75075340&amp;VALUEID=01250&amp;SDATE=2010&amp;PERIODTYPE=ANN_STD&amp;window=popup_no_bar&amp;width=385&amp;height=120&amp;START_MAXIMIZED=FALSE&amp;creator=factset&amp;display_string=Audit"}</definedName>
    <definedName name="_62__FDSAUDITLINK__" hidden="1">{"fdsup://directions/FAT Viewer?action=UPDATE&amp;creator=factset&amp;DYN_ARGS=TRUE&amp;DOC_NAME=FAT:FQL_AUDITING_CLIENT_TEMPLATE.FAT&amp;display_string=Audit&amp;VAR:KEY=DWHWRCVQHK&amp;VAR:QUERY=RkZfTkVUX0lOQyhBTk4sMjAwOSk=&amp;WINDOW=FIRST_POPUP&amp;HEIGHT=450&amp;WIDTH=450&amp;START_MAXIMIZED=","FALSE&amp;VAR:CALENDAR=US&amp;VAR:SYMBOL=KSU&amp;VAR:INDEX=0"}</definedName>
    <definedName name="_63__FDSAUDITLINK__" localSheetId="6" hidden="1">{"fdsup://Directions/FactSet Auditing Viewer?action=AUDIT_VALUE&amp;DB=129&amp;ID1=65584410&amp;VALUEID=01250&amp;SDATE=2010&amp;PERIODTYPE=ANN_STD&amp;window=popup_no_bar&amp;width=385&amp;height=120&amp;START_MAXIMIZED=FALSE&amp;creator=factset&amp;display_string=Audit"}</definedName>
    <definedName name="_63__FDSAUDITLINK__" hidden="1">{"fdsup://directions/FAT Viewer?action=UPDATE&amp;creator=factset&amp;DYN_ARGS=TRUE&amp;DOC_NAME=FAT:FQL_AUDITING_CLIENT_TEMPLATE.FAT&amp;display_string=Audit&amp;VAR:KEY=VOBYRCLIDS&amp;VAR:QUERY=RkZfTkVUX0lOQyhBTk4sMjAwOSk=&amp;WINDOW=FIRST_POPUP&amp;HEIGHT=450&amp;WIDTH=450&amp;START_MAXIMIZED=","FALSE&amp;VAR:CALENDAR=US&amp;VAR:SYMBOL=GWR&amp;VAR:INDEX=0"}</definedName>
    <definedName name="_64__FDSAUDITLINK__" localSheetId="6" hidden="1">{"fdsup://Directions/FactSet Auditing Viewer?action=AUDIT_VALUE&amp;DB=129&amp;ID1=48517030&amp;VALUEID=01250&amp;SDATE=2010&amp;PERIODTYPE=ANN_STD&amp;window=popup_no_bar&amp;width=385&amp;height=120&amp;START_MAXIMIZED=FALSE&amp;creator=factset&amp;display_string=Audit"}</definedName>
    <definedName name="_64__FDSAUDITLINK__" hidden="1">{"fdsup://directions/FAT Viewer?action=UPDATE&amp;creator=factset&amp;DYN_ARGS=TRUE&amp;DOC_NAME=FAT:FQL_AUDITING_CLIENT_TEMPLATE.FAT&amp;display_string=Audit&amp;VAR:KEY=XCTUNKTUDO&amp;VAR:QUERY=RkZfTkVUX0lOQyhBTk4sMjAwOSk=&amp;WINDOW=FIRST_POPUP&amp;HEIGHT=450&amp;WIDTH=450&amp;START_MAXIMIZED=","FALSE&amp;VAR:CALENDAR=US&amp;VAR:SYMBOL=CSX&amp;VAR:INDEX=0"}</definedName>
    <definedName name="_65__FDSAUDITLINK__" localSheetId="6" hidden="1">{"fdsup://Directions/FactSet Auditing Viewer?action=AUDIT_VALUE&amp;DB=129&amp;ID1=37155910&amp;VALUEID=01250&amp;SDATE=2010&amp;PERIODTYPE=ANN_STD&amp;window=popup_no_bar&amp;width=385&amp;height=120&amp;START_MAXIMIZED=FALSE&amp;creator=factset&amp;display_string=Audit"}</definedName>
    <definedName name="_65__FDSAUDITLINK__" hidden="1">{"fdsup://directions/FAT Viewer?action=UPDATE&amp;creator=factset&amp;DYN_ARGS=TRUE&amp;DOC_NAME=FAT:FQL_AUDITING_CLIENT_TEMPLATE.FAT&amp;display_string=Audit&amp;VAR:KEY=ZIJWZYDWHC&amp;VAR:QUERY=RkZfTkVUX0lOQyhBTk4sMjAwOSk=&amp;WINDOW=FIRST_POPUP&amp;HEIGHT=450&amp;WIDTH=450&amp;START_MAXIMIZED=","FALSE&amp;VAR:CALENDAR=US&amp;VAR:SYMBOL=CP&amp;VAR:INDEX=0"}</definedName>
    <definedName name="_66__FDSAUDITLINK__" localSheetId="6" hidden="1">{"fdsup://Directions/FactSet Auditing Viewer?action=AUDIT_VALUE&amp;DB=129&amp;ID1=12640810&amp;VALUEID=01250&amp;SDATE=2010&amp;PERIODTYPE=ANN_STD&amp;window=popup_no_bar&amp;width=385&amp;height=120&amp;START_MAXIMIZED=FALSE&amp;creator=factset&amp;display_string=Audit"}</definedName>
    <definedName name="_66__FDSAUDITLINK__" hidden="1">{"fdsup://directions/FAT Viewer?action=UPDATE&amp;creator=factset&amp;DYN_ARGS=TRUE&amp;DOC_NAME=FAT:FQL_AUDITING_CLIENT_TEMPLATE.FAT&amp;display_string=Audit&amp;VAR:KEY=ZIVKNCFMTU&amp;VAR:QUERY=RkZfTkVUX0lOQyhBTk4sMjAwOSk=&amp;WINDOW=FIRST_POPUP&amp;HEIGHT=450&amp;WIDTH=450&amp;START_MAXIMIZED=","FALSE&amp;VAR:CALENDAR=US&amp;VAR:SYMBOL=CNI&amp;VAR:INDEX=0"}</definedName>
    <definedName name="_67__FDSAUDITLINK__" localSheetId="6" hidden="1">{"fdsup://Directions/FactSet Auditing Viewer?action=AUDIT_VALUE&amp;DB=129&amp;ID1=90781810&amp;VALUEID=01001&amp;SDATE=2010&amp;PERIODTYPE=ANN_STD&amp;window=popup_no_bar&amp;width=385&amp;height=120&amp;START_MAXIMIZED=FALSE&amp;creator=factset&amp;display_string=Audit"}</definedName>
    <definedName name="_67__FDSAUDITLINK__" hidden="1">{"fdsup://directions/FAT Viewer?action=UPDATE&amp;creator=factset&amp;DYN_ARGS=TRUE&amp;DOC_NAME=FAT:FQL_AUDITING_CLIENT_TEMPLATE.FAT&amp;display_string=Audit&amp;VAR:KEY=JSNEFUFKBO&amp;VAR:QUERY=RkZfRUJJVChBTk4sMjAwOSk=&amp;WINDOW=FIRST_POPUP&amp;HEIGHT=450&amp;WIDTH=450&amp;START_MAXIMIZED=FALS","E&amp;VAR:CALENDAR=US&amp;VAR:SYMBOL=NSC&amp;VAR:INDEX=0"}</definedName>
    <definedName name="_68__FDSAUDITLINK__" localSheetId="6" hidden="1">{"fdsup://Directions/FactSet Auditing Viewer?action=AUDIT_VALUE&amp;DB=129&amp;ID1=75075340&amp;VALUEID=01001&amp;SDATE=2010&amp;PERIODTYPE=ANN_STD&amp;window=popup_no_bar&amp;width=385&amp;height=120&amp;START_MAXIMIZED=FALSE&amp;creator=factset&amp;display_string=Audit"}</definedName>
    <definedName name="_68__FDSAUDITLINK__" hidden="1">{"fdsup://directions/FAT Viewer?action=UPDATE&amp;creator=factset&amp;DYN_ARGS=TRUE&amp;DOC_NAME=FAT:FQL_AUDITING_CLIENT_TEMPLATE.FAT&amp;display_string=Audit&amp;VAR:KEY=FWBSRAVMTC&amp;VAR:QUERY=RkZfRUJJVChBTk4sMjAwOSk=&amp;WINDOW=FIRST_POPUP&amp;HEIGHT=450&amp;WIDTH=450&amp;START_MAXIMIZED=FALS","E&amp;VAR:CALENDAR=US&amp;VAR:SYMBOL=KSU&amp;VAR:INDEX=0"}</definedName>
    <definedName name="_69__FDSAUDITLINK__" localSheetId="6" hidden="1">{"fdsup://Directions/FactSet Auditing Viewer?action=AUDIT_VALUE&amp;DB=129&amp;ID1=65584410&amp;VALUEID=01001&amp;SDATE=2010&amp;PERIODTYPE=ANN_STD&amp;window=popup_no_bar&amp;width=385&amp;height=120&amp;START_MAXIMIZED=FALSE&amp;creator=factset&amp;display_string=Audit"}</definedName>
    <definedName name="_69__FDSAUDITLINK__" hidden="1">{"fdsup://directions/FAT Viewer?action=UPDATE&amp;creator=factset&amp;DYN_ARGS=TRUE&amp;DOC_NAME=FAT:FQL_AUDITING_CLIENT_TEMPLATE.FAT&amp;display_string=Audit&amp;VAR:KEY=JEFYFGBSLG&amp;VAR:QUERY=RkZfRUJJVChBTk4sMjAwOSk=&amp;WINDOW=FIRST_POPUP&amp;HEIGHT=450&amp;WIDTH=450&amp;START_MAXIMIZED=FALS","E&amp;VAR:CALENDAR=US&amp;VAR:SYMBOL=GWR&amp;VAR:INDEX=0"}</definedName>
    <definedName name="_7__FDSAUDITLINK__" localSheetId="5" hidden="1">{"fdsup://directions/FAT Viewer?action=UPDATE&amp;creator=factset&amp;DYN_ARGS=TRUE&amp;DOC_NAME=FAT:FQL_AUDITING_CLIENT_TEMPLATE.FAT&amp;display_string=Audit&amp;VAR:KEY=LGVIBSLILE&amp;VAR:QUERY=RkZfRUJJVERBKEFOTiwyMDEwKQ==&amp;WINDOW=FIRST_POPUP&amp;HEIGHT=450&amp;WIDTH=450&amp;START_MAXIMIZED=","FALSE&amp;VAR:CALENDAR=US&amp;VAR:SYMBOL=UNP&amp;VAR:INDEX=0"}</definedName>
    <definedName name="_7__FDSAUDITLINK__" localSheetId="6" hidden="1">{"fdsup://Directions/FactSet Auditing Viewer?action=AUDIT_VALUE&amp;DB=129&amp;ID1=88250810&amp;VALUEID=02001&amp;SDATE=200903&amp;PERIODTYPE=QTR_STD&amp;window=popup_no_bar&amp;width=385&amp;height=120&amp;START_MAXIMIZED=FALSE&amp;creator=factset&amp;display_string=Audit"}</definedName>
    <definedName name="_7__FDSAUDITLINK__" localSheetId="7" hidden="1">{"fdsup://directions/FAT Viewer?action=UPDATE&amp;creator=factset&amp;DYN_ARGS=TRUE&amp;DOC_NAME=FAT:FQL_AUDITING_CLIENT_TEMPLATE.FAT&amp;display_string=Audit&amp;VAR:KEY=LGVIBSLILE&amp;VAR:QUERY=RkZfRUJJVERBKEFOTiwyMDEwKQ==&amp;WINDOW=FIRST_POPUP&amp;HEIGHT=450&amp;WIDTH=450&amp;START_MAXIMIZED=","FALSE&amp;VAR:CALENDAR=US&amp;VAR:SYMBOL=UNP&amp;VAR:INDEX=0"}</definedName>
    <definedName name="_7__FDSAUDITLINK__" hidden="1">{"fdsup://directions/FAT Viewer?action=UPDATE&amp;creator=factset&amp;DYN_ARGS=TRUE&amp;DOC_NAME=FAT:FQL_AUDITING_CLIENT_TEMPLATE.FAT&amp;display_string=Audit&amp;VAR:KEY=ZIJWZYDWHC&amp;VAR:QUERY=RkZfTkVUX0lOQyhBTk4sMjAwOSk=&amp;WINDOW=FIRST_POPUP&amp;HEIGHT=450&amp;WIDTH=450&amp;START_MAXIMIZED=","FALSE&amp;VAR:CALENDAR=US&amp;VAR:SYMBOL=CP&amp;VAR:INDEX=0"}</definedName>
    <definedName name="_70__FDSAUDITLINK__" localSheetId="6" hidden="1">{"fdsup://Directions/FactSet Auditing Viewer?action=AUDIT_VALUE&amp;DB=129&amp;ID1=48517030&amp;VALUEID=01001&amp;SDATE=2010&amp;PERIODTYPE=ANN_STD&amp;window=popup_no_bar&amp;width=385&amp;height=120&amp;START_MAXIMIZED=FALSE&amp;creator=factset&amp;display_string=Audit"}</definedName>
    <definedName name="_70__FDSAUDITLINK__" hidden="1">{"fdsup://directions/FAT Viewer?action=UPDATE&amp;creator=factset&amp;DYN_ARGS=TRUE&amp;DOC_NAME=FAT:FQL_AUDITING_CLIENT_TEMPLATE.FAT&amp;display_string=Audit&amp;VAR:KEY=LOVABURQPM&amp;VAR:QUERY=RkZfRUJJVChBTk4sMjAwOSk=&amp;WINDOW=FIRST_POPUP&amp;HEIGHT=450&amp;WIDTH=450&amp;START_MAXIMIZED=FALS","E&amp;VAR:CALENDAR=US&amp;VAR:SYMBOL=CSX&amp;VAR:INDEX=0"}</definedName>
    <definedName name="_71__FDSAUDITLINK__" localSheetId="6" hidden="1">{"fdsup://Directions/FactSet Auditing Viewer?action=AUDIT_VALUE&amp;DB=129&amp;ID1=37155910&amp;VALUEID=01001&amp;SDATE=2010&amp;PERIODTYPE=ANN_STD&amp;window=popup_no_bar&amp;width=385&amp;height=120&amp;START_MAXIMIZED=FALSE&amp;creator=factset&amp;display_string=Audit"}</definedName>
    <definedName name="_71__FDSAUDITLINK__" hidden="1">{"fdsup://directions/FAT Viewer?action=UPDATE&amp;creator=factset&amp;DYN_ARGS=TRUE&amp;DOC_NAME=FAT:FQL_AUDITING_CLIENT_TEMPLATE.FAT&amp;display_string=Audit&amp;VAR:KEY=BUBMLSREXC&amp;VAR:QUERY=RkZfRUJJVChBTk4sMjAwOSk=&amp;WINDOW=FIRST_POPUP&amp;HEIGHT=450&amp;WIDTH=450&amp;START_MAXIMIZED=FALS","E&amp;VAR:CALENDAR=US&amp;VAR:SYMBOL=CP&amp;VAR:INDEX=0"}</definedName>
    <definedName name="_72__FDSAUDITLINK__" localSheetId="6" hidden="1">{"fdsup://Directions/FactSet Auditing Viewer?action=AUDIT_VALUE&amp;DB=129&amp;ID1=12640810&amp;VALUEID=01001&amp;SDATE=2010&amp;PERIODTYPE=ANN_STD&amp;window=popup_no_bar&amp;width=385&amp;height=120&amp;START_MAXIMIZED=FALSE&amp;creator=factset&amp;display_string=Audit"}</definedName>
    <definedName name="_72__FDSAUDITLINK__" hidden="1">{"fdsup://directions/FAT Viewer?action=UPDATE&amp;creator=factset&amp;DYN_ARGS=TRUE&amp;DOC_NAME=FAT:FQL_AUDITING_CLIENT_TEMPLATE.FAT&amp;display_string=Audit&amp;VAR:KEY=VMNIVYHKNS&amp;VAR:QUERY=RkZfRUJJVChBTk4sMjAwOSk=&amp;WINDOW=FIRST_POPUP&amp;HEIGHT=450&amp;WIDTH=450&amp;START_MAXIMIZED=FALS","E&amp;VAR:CALENDAR=US&amp;VAR:SYMBOL=CNI&amp;VAR:INDEX=0"}</definedName>
    <definedName name="_73__FDSAUDITLINK__" localSheetId="6" hidden="1">{"fdsup://directions/FAT Viewer?action=UPDATE&amp;creator=factset&amp;DYN_ARGS=TRUE&amp;DOC_NAME=FAT:FQL_AUDITING_CLIENT_TEMPLATE.FAT&amp;display_string=Audit&amp;VAR:KEY=GFSNGJUZGB&amp;VAR:QUERY=RkZfTkVUX0lOQyhBTk4sMjAxMCk=&amp;WINDOW=FIRST_POPUP&amp;HEIGHT=450&amp;WIDTH=450&amp;START_MAXIMIZED=","FALSE&amp;VAR:CALENDAR=US&amp;VAR:SYMBOL=UNP&amp;VAR:INDEX=0"}</definedName>
    <definedName name="_73__FDSAUDITLINK__" hidden="1">{"fdsup://directions/FAT Viewer?action=UPDATE&amp;creator=factset&amp;DYN_ARGS=TRUE&amp;DOC_NAME=FAT:FQL_AUDITING_CLIENT_TEMPLATE.FAT&amp;display_string=Audit&amp;VAR:KEY=BSJCZYVKZC&amp;VAR:QUERY=RkZfRUJJVERBKEFOTiwyMDA5KQ==&amp;WINDOW=FIRST_POPUP&amp;HEIGHT=450&amp;WIDTH=450&amp;START_MAXIMIZED=","FALSE&amp;VAR:CALENDAR=US&amp;VAR:SYMBOL=NSC&amp;VAR:INDEX=0"}</definedName>
    <definedName name="_74__FDSAUDITLINK__" localSheetId="6" hidden="1">{"fdsup://directions/FAT Viewer?action=UPDATE&amp;creator=factset&amp;DYN_ARGS=TRUE&amp;DOC_NAME=FAT:FQL_AUDITING_CLIENT_TEMPLATE.FAT&amp;display_string=Audit&amp;VAR:KEY=CBUFQRWTMN&amp;VAR:QUERY=RkZfTkVUX0lOQyhBTk4sMjAxMCk=&amp;WINDOW=FIRST_POPUP&amp;HEIGHT=450&amp;WIDTH=450&amp;START_MAXIMIZED=","FALSE&amp;VAR:CALENDAR=US&amp;VAR:SYMBOL=RA&amp;VAR:INDEX=0"}</definedName>
    <definedName name="_74__FDSAUDITLINK__" hidden="1">{"fdsup://directions/FAT Viewer?action=UPDATE&amp;creator=factset&amp;DYN_ARGS=TRUE&amp;DOC_NAME=FAT:FQL_AUDITING_CLIENT_TEMPLATE.FAT&amp;display_string=Audit&amp;VAR:KEY=XKXCRUTYVA&amp;VAR:QUERY=RkZfRUJJVERBKEFOTiwyMDA5KQ==&amp;WINDOW=FIRST_POPUP&amp;HEIGHT=450&amp;WIDTH=450&amp;START_MAXIMIZED=","FALSE&amp;VAR:CALENDAR=US&amp;VAR:SYMBOL=KSU&amp;VAR:INDEX=0"}</definedName>
    <definedName name="_75__FDSAUDITLINK__" localSheetId="6" hidden="1">{"fdsup://directions/FAT Viewer?action=UPDATE&amp;creator=factset&amp;DYN_ARGS=TRUE&amp;DOC_NAME=FAT:FQL_AUDITING_CLIENT_TEMPLATE.FAT&amp;display_string=Audit&amp;VAR:KEY=CFMTMNEHCF&amp;VAR:QUERY=RkZfTkVUX0lOQyhBTk4sMjAxMCk=&amp;WINDOW=FIRST_POPUP&amp;HEIGHT=450&amp;WIDTH=450&amp;START_MAXIMIZED=","FALSE&amp;VAR:CALENDAR=US&amp;VAR:SYMBOL=NSC&amp;VAR:INDEX=0"}</definedName>
    <definedName name="_75__FDSAUDITLINK__" hidden="1">{"fdsup://directions/FAT Viewer?action=UPDATE&amp;creator=factset&amp;DYN_ARGS=TRUE&amp;DOC_NAME=FAT:FQL_AUDITING_CLIENT_TEMPLATE.FAT&amp;display_string=Audit&amp;VAR:KEY=ZWBUHQBQBE&amp;VAR:QUERY=RkZfRUJJVERBKEFOTiwyMDA5KQ==&amp;WINDOW=FIRST_POPUP&amp;HEIGHT=450&amp;WIDTH=450&amp;START_MAXIMIZED=","FALSE&amp;VAR:CALENDAR=US&amp;VAR:SYMBOL=GWR&amp;VAR:INDEX=0"}</definedName>
    <definedName name="_76__FDSAUDITLINK__" localSheetId="6" hidden="1">{"fdsup://directions/FAT Viewer?action=UPDATE&amp;creator=factset&amp;DYN_ARGS=TRUE&amp;DOC_NAME=FAT:FQL_AUDITING_CLIENT_TEMPLATE.FAT&amp;display_string=Audit&amp;VAR:KEY=EPWDAVAVWL&amp;VAR:QUERY=RkZfTkVUX0lOQyhBTk4sMjAxMCk=&amp;WINDOW=FIRST_POPUP&amp;HEIGHT=450&amp;WIDTH=450&amp;START_MAXIMIZED=","FALSE&amp;VAR:CALENDAR=US&amp;VAR:SYMBOL=KSU&amp;VAR:INDEX=0"}</definedName>
    <definedName name="_76__FDSAUDITLINK__" hidden="1">{"fdsup://directions/FAT Viewer?action=UPDATE&amp;creator=factset&amp;DYN_ARGS=TRUE&amp;DOC_NAME=FAT:FQL_AUDITING_CLIENT_TEMPLATE.FAT&amp;display_string=Audit&amp;VAR:KEY=BIVUXIBITK&amp;VAR:QUERY=RkZfRUJJVERBKEFOTiwyMDA5KQ==&amp;WINDOW=FIRST_POPUP&amp;HEIGHT=450&amp;WIDTH=450&amp;START_MAXIMIZED=","FALSE&amp;VAR:CALENDAR=US&amp;VAR:SYMBOL=CSX&amp;VAR:INDEX=0"}</definedName>
    <definedName name="_77__FDSAUDITLINK__" localSheetId="6" hidden="1">{"fdsup://directions/FAT Viewer?action=UPDATE&amp;creator=factset&amp;DYN_ARGS=TRUE&amp;DOC_NAME=FAT:FQL_AUDITING_CLIENT_TEMPLATE.FAT&amp;display_string=Audit&amp;VAR:KEY=ENALIHQZUJ&amp;VAR:QUERY=RkZfTkVUX0lOQyhBTk4sMjAxMCk=&amp;WINDOW=FIRST_POPUP&amp;HEIGHT=450&amp;WIDTH=450&amp;START_MAXIMIZED=","FALSE&amp;VAR:CALENDAR=US&amp;VAR:SYMBOL=GWR&amp;VAR:INDEX=0"}</definedName>
    <definedName name="_77__FDSAUDITLINK__" hidden="1">{"fdsup://directions/FAT Viewer?action=UPDATE&amp;creator=factset&amp;DYN_ARGS=TRUE&amp;DOC_NAME=FAT:FQL_AUDITING_CLIENT_TEMPLATE.FAT&amp;display_string=Audit&amp;VAR:KEY=DWHGPKXKXY&amp;VAR:QUERY=RkZfRUJJVERBKEFOTiwyMDA5KQ==&amp;WINDOW=FIRST_POPUP&amp;HEIGHT=450&amp;WIDTH=450&amp;START_MAXIMIZED=","FALSE&amp;VAR:CALENDAR=US&amp;VAR:SYMBOL=CP&amp;VAR:INDEX=0"}</definedName>
    <definedName name="_78__FDSAUDITLINK__" localSheetId="6" hidden="1">{"fdsup://directions/FAT Viewer?action=UPDATE&amp;creator=factset&amp;DYN_ARGS=TRUE&amp;DOC_NAME=FAT:FQL_AUDITING_CLIENT_TEMPLATE.FAT&amp;display_string=Audit&amp;VAR:KEY=EFKFOZQBKX&amp;VAR:QUERY=RkZfTkVUX0lOQyhBTk4sMjAxMCk=&amp;WINDOW=FIRST_POPUP&amp;HEIGHT=450&amp;WIDTH=450&amp;START_MAXIMIZED=","FALSE&amp;VAR:CALENDAR=US&amp;VAR:SYMBOL=CSX&amp;VAR:INDEX=0"}</definedName>
    <definedName name="_78__FDSAUDITLINK__" hidden="1">{"fdsup://directions/FAT Viewer?action=UPDATE&amp;creator=factset&amp;DYN_ARGS=TRUE&amp;DOC_NAME=FAT:FQL_AUDITING_CLIENT_TEMPLATE.FAT&amp;display_string=Audit&amp;VAR:KEY=JCDUDYVCBO&amp;VAR:QUERY=RkZfRUJJVERBKEFOTiwyMDA5KQ==&amp;WINDOW=FIRST_POPUP&amp;HEIGHT=450&amp;WIDTH=450&amp;START_MAXIMIZED=","FALSE&amp;VAR:CALENDAR=US&amp;VAR:SYMBOL=CNI&amp;VAR:INDEX=0"}</definedName>
    <definedName name="_79__FDSAUDITLINK__" localSheetId="6" hidden="1">{"fdsup://directions/FAT Viewer?action=UPDATE&amp;creator=factset&amp;DYN_ARGS=TRUE&amp;DOC_NAME=FAT:FQL_AUDITING_CLIENT_TEMPLATE.FAT&amp;display_string=Audit&amp;VAR:KEY=OZKRUNWHIL&amp;VAR:QUERY=RkZfTkVUX0lOQyhBTk4sMjAxMCk=&amp;WINDOW=FIRST_POPUP&amp;HEIGHT=450&amp;WIDTH=450&amp;START_MAXIMIZED=","FALSE&amp;VAR:CALENDAR=US&amp;VAR:SYMBOL=CP&amp;VAR:INDEX=0"}</definedName>
    <definedName name="_79__FDSAUDITLINK__" hidden="1">{"fdsup://directions/FAT Viewer?action=UPDATE&amp;creator=factset&amp;DYN_ARGS=TRUE&amp;DOC_NAME=FAT:FQL_AUDITING_CLIENT_TEMPLATE.FAT&amp;display_string=Audit&amp;VAR:KEY=TYJGTERWZO&amp;VAR:QUERY=RkZfTkVUX0lOQyhBTk4sMjAwOSk=&amp;WINDOW=FIRST_POPUP&amp;HEIGHT=450&amp;WIDTH=450&amp;START_MAXIMIZED=","FALSE&amp;VAR:CALENDAR=US&amp;VAR:SYMBOL=NSC&amp;VAR:INDEX=0"}</definedName>
    <definedName name="_8__FDSAUDITLINK__" localSheetId="5" hidden="1">{"fdsup://directions/FAT Viewer?action=UPDATE&amp;creator=factset&amp;DYN_ARGS=TRUE&amp;DOC_NAME=FAT:FQL_AUDITING_CLIENT_TEMPLATE.FAT&amp;display_string=Audit&amp;VAR:KEY=BIZOBITOPM&amp;VAR:QUERY=RkZfRUJJVERBKEFOTiwyMDEwKQ==&amp;WINDOW=FIRST_POPUP&amp;HEIGHT=450&amp;WIDTH=450&amp;START_MAXIMIZED=","FALSE&amp;VAR:CALENDAR=US&amp;VAR:SYMBOL=RA&amp;VAR:INDEX=0"}</definedName>
    <definedName name="_8__FDSAUDITLINK__" localSheetId="6" hidden="1">{"fdsup://Directions/FactSet Auditing Viewer?action=AUDIT_VALUE&amp;DB=129&amp;ID1=11132010&amp;VALUEID=02001&amp;SDATE=200903&amp;PERIODTYPE=QTR_STD&amp;window=popup_no_bar&amp;width=385&amp;height=120&amp;START_MAXIMIZED=FALSE&amp;creator=factset&amp;display_string=Audit"}</definedName>
    <definedName name="_8__FDSAUDITLINK__" localSheetId="7" hidden="1">{"fdsup://directions/FAT Viewer?action=UPDATE&amp;creator=factset&amp;DYN_ARGS=TRUE&amp;DOC_NAME=FAT:FQL_AUDITING_CLIENT_TEMPLATE.FAT&amp;display_string=Audit&amp;VAR:KEY=BIZOBITOPM&amp;VAR:QUERY=RkZfRUJJVERBKEFOTiwyMDEwKQ==&amp;WINDOW=FIRST_POPUP&amp;HEIGHT=450&amp;WIDTH=450&amp;START_MAXIMIZED=","FALSE&amp;VAR:CALENDAR=US&amp;VAR:SYMBOL=RA&amp;VAR:INDEX=0"}</definedName>
    <definedName name="_8__FDSAUDITLINK__" hidden="1">{"fdsup://directions/FAT Viewer?action=UPDATE&amp;creator=factset&amp;DYN_ARGS=TRUE&amp;DOC_NAME=FAT:FQL_AUDITING_CLIENT_TEMPLATE.FAT&amp;display_string=Audit&amp;VAR:KEY=ZIVKNCFMTU&amp;VAR:QUERY=RkZfTkVUX0lOQyhBTk4sMjAwOSk=&amp;WINDOW=FIRST_POPUP&amp;HEIGHT=450&amp;WIDTH=450&amp;START_MAXIMIZED=","FALSE&amp;VAR:CALENDAR=US&amp;VAR:SYMBOL=CNI&amp;VAR:INDEX=0"}</definedName>
    <definedName name="_80__FDSAUDITLINK__" localSheetId="6" hidden="1">{"fdsup://directions/FAT Viewer?action=UPDATE&amp;creator=factset&amp;DYN_ARGS=TRUE&amp;DOC_NAME=FAT:FQL_AUDITING_CLIENT_TEMPLATE.FAT&amp;display_string=Audit&amp;VAR:KEY=QPUPARQXUX&amp;VAR:QUERY=RkZfTkVUX0lOQyhBTk4sMjAxMCk=&amp;WINDOW=FIRST_POPUP&amp;HEIGHT=450&amp;WIDTH=450&amp;START_MAXIMIZED=","FALSE&amp;VAR:CALENDAR=US&amp;VAR:SYMBOL=CNI&amp;VAR:INDEX=0"}</definedName>
    <definedName name="_80__FDSAUDITLINK__" hidden="1">{"fdsup://directions/FAT Viewer?action=UPDATE&amp;creator=factset&amp;DYN_ARGS=TRUE&amp;DOC_NAME=FAT:FQL_AUDITING_CLIENT_TEMPLATE.FAT&amp;display_string=Audit&amp;VAR:KEY=DWHWRCVQHK&amp;VAR:QUERY=RkZfTkVUX0lOQyhBTk4sMjAwOSk=&amp;WINDOW=FIRST_POPUP&amp;HEIGHT=450&amp;WIDTH=450&amp;START_MAXIMIZED=","FALSE&amp;VAR:CALENDAR=US&amp;VAR:SYMBOL=KSU&amp;VAR:INDEX=0"}</definedName>
    <definedName name="_81__FDSAUDITLINK__" localSheetId="6" hidden="1">{"fdsup://directions/FAT Viewer?action=UPDATE&amp;creator=factset&amp;DYN_ARGS=TRUE&amp;DOC_NAME=FAT:FQL_AUDITING_CLIENT_TEMPLATE.FAT&amp;display_string=Audit&amp;VAR:KEY=UNOBIVMNGP&amp;VAR:QUERY=RkZfRUJJVChBTk4sMjAxMCk=&amp;WINDOW=FIRST_POPUP&amp;HEIGHT=450&amp;WIDTH=450&amp;START_MAXIMIZED=FALS","E&amp;VAR:CALENDAR=US&amp;VAR:SYMBOL=UNP&amp;VAR:INDEX=0"}</definedName>
    <definedName name="_81__FDSAUDITLINK__" hidden="1">{"fdsup://directions/FAT Viewer?action=UPDATE&amp;creator=factset&amp;DYN_ARGS=TRUE&amp;DOC_NAME=FAT:FQL_AUDITING_CLIENT_TEMPLATE.FAT&amp;display_string=Audit&amp;VAR:KEY=VOBYRCLIDS&amp;VAR:QUERY=RkZfTkVUX0lOQyhBTk4sMjAwOSk=&amp;WINDOW=FIRST_POPUP&amp;HEIGHT=450&amp;WIDTH=450&amp;START_MAXIMIZED=","FALSE&amp;VAR:CALENDAR=US&amp;VAR:SYMBOL=GWR&amp;VAR:INDEX=0"}</definedName>
    <definedName name="_82__FDSAUDITLINK__" localSheetId="6" hidden="1">{"fdsup://directions/FAT Viewer?action=UPDATE&amp;creator=factset&amp;DYN_ARGS=TRUE&amp;DOC_NAME=FAT:FQL_AUDITING_CLIENT_TEMPLATE.FAT&amp;display_string=Audit&amp;VAR:KEY=CHSVMLSVYH&amp;VAR:QUERY=RkZfRUJJVChBTk4sMjAxMCk=&amp;WINDOW=FIRST_POPUP&amp;HEIGHT=450&amp;WIDTH=450&amp;START_MAXIMIZED=FALS","E&amp;VAR:CALENDAR=US&amp;VAR:SYMBOL=RA&amp;VAR:INDEX=0"}</definedName>
    <definedName name="_82__FDSAUDITLINK__" hidden="1">{"fdsup://directions/FAT Viewer?action=UPDATE&amp;creator=factset&amp;DYN_ARGS=TRUE&amp;DOC_NAME=FAT:FQL_AUDITING_CLIENT_TEMPLATE.FAT&amp;display_string=Audit&amp;VAR:KEY=XCTUNKTUDO&amp;VAR:QUERY=RkZfTkVUX0lOQyhBTk4sMjAwOSk=&amp;WINDOW=FIRST_POPUP&amp;HEIGHT=450&amp;WIDTH=450&amp;START_MAXIMIZED=","FALSE&amp;VAR:CALENDAR=US&amp;VAR:SYMBOL=CSX&amp;VAR:INDEX=0"}</definedName>
    <definedName name="_83__FDSAUDITLINK__" localSheetId="6" hidden="1">{"fdsup://directions/FAT Viewer?action=UPDATE&amp;creator=factset&amp;DYN_ARGS=TRUE&amp;DOC_NAME=FAT:FQL_AUDITING_CLIENT_TEMPLATE.FAT&amp;display_string=Audit&amp;VAR:KEY=CBKNWDAHKJ&amp;VAR:QUERY=RkZfRUJJVChBTk4sMjAxMCk=&amp;WINDOW=FIRST_POPUP&amp;HEIGHT=450&amp;WIDTH=450&amp;START_MAXIMIZED=FALS","E&amp;VAR:CALENDAR=US&amp;VAR:SYMBOL=NSC&amp;VAR:INDEX=0"}</definedName>
    <definedName name="_83__FDSAUDITLINK__" hidden="1">{"fdsup://directions/FAT Viewer?action=UPDATE&amp;creator=factset&amp;DYN_ARGS=TRUE&amp;DOC_NAME=FAT:FQL_AUDITING_CLIENT_TEMPLATE.FAT&amp;display_string=Audit&amp;VAR:KEY=ZIJWZYDWHC&amp;VAR:QUERY=RkZfTkVUX0lOQyhBTk4sMjAwOSk=&amp;WINDOW=FIRST_POPUP&amp;HEIGHT=450&amp;WIDTH=450&amp;START_MAXIMIZED=","FALSE&amp;VAR:CALENDAR=US&amp;VAR:SYMBOL=CP&amp;VAR:INDEX=0"}</definedName>
    <definedName name="_84__FDSAUDITLINK__" localSheetId="6" hidden="1">{"fdsup://directions/FAT Viewer?action=UPDATE&amp;creator=factset&amp;DYN_ARGS=TRUE&amp;DOC_NAME=FAT:FQL_AUDITING_CLIENT_TEMPLATE.FAT&amp;display_string=Audit&amp;VAR:KEY=KPODUPWHYR&amp;VAR:QUERY=RkZfRUJJVChBTk4sMjAxMCk=&amp;WINDOW=FIRST_POPUP&amp;HEIGHT=450&amp;WIDTH=450&amp;START_MAXIMIZED=FALS","E&amp;VAR:CALENDAR=US&amp;VAR:SYMBOL=KSU&amp;VAR:INDEX=0"}</definedName>
    <definedName name="_84__FDSAUDITLINK__" hidden="1">{"fdsup://directions/FAT Viewer?action=UPDATE&amp;creator=factset&amp;DYN_ARGS=TRUE&amp;DOC_NAME=FAT:FQL_AUDITING_CLIENT_TEMPLATE.FAT&amp;display_string=Audit&amp;VAR:KEY=ZIVKNCFMTU&amp;VAR:QUERY=RkZfTkVUX0lOQyhBTk4sMjAwOSk=&amp;WINDOW=FIRST_POPUP&amp;HEIGHT=450&amp;WIDTH=450&amp;START_MAXIMIZED=","FALSE&amp;VAR:CALENDAR=US&amp;VAR:SYMBOL=CNI&amp;VAR:INDEX=0"}</definedName>
    <definedName name="_85__FDSAUDITLINK__" localSheetId="6" hidden="1">{"fdsup://directions/FAT Viewer?action=UPDATE&amp;creator=factset&amp;DYN_ARGS=TRUE&amp;DOC_NAME=FAT:FQL_AUDITING_CLIENT_TEMPLATE.FAT&amp;display_string=Audit&amp;VAR:KEY=WHUFCHOVAN&amp;VAR:QUERY=RkZfRUJJVChBTk4sMjAxMCk=&amp;WINDOW=FIRST_POPUP&amp;HEIGHT=450&amp;WIDTH=450&amp;START_MAXIMIZED=FALS","E&amp;VAR:CALENDAR=US&amp;VAR:SYMBOL=GWR&amp;VAR:INDEX=0"}</definedName>
    <definedName name="_85__FDSAUDITLINK__" hidden="1">{"fdsup://directions/FAT Viewer?action=UPDATE&amp;creator=factset&amp;DYN_ARGS=TRUE&amp;DOC_NAME=FAT:FQL_AUDITING_CLIENT_TEMPLATE.FAT&amp;display_string=Audit&amp;VAR:KEY=JSNEFUFKBO&amp;VAR:QUERY=RkZfRUJJVChBTk4sMjAwOSk=&amp;WINDOW=FIRST_POPUP&amp;HEIGHT=450&amp;WIDTH=450&amp;START_MAXIMIZED=FALS","E&amp;VAR:CALENDAR=US&amp;VAR:SYMBOL=NSC&amp;VAR:INDEX=0"}</definedName>
    <definedName name="_86__FDSAUDITLINK__" localSheetId="6" hidden="1">{"fdsup://directions/FAT Viewer?action=UPDATE&amp;creator=factset&amp;DYN_ARGS=TRUE&amp;DOC_NAME=FAT:FQL_AUDITING_CLIENT_TEMPLATE.FAT&amp;display_string=Audit&amp;VAR:KEY=QDWBINOJIH&amp;VAR:QUERY=RkZfRUJJVChBTk4sMjAxMCk=&amp;WINDOW=FIRST_POPUP&amp;HEIGHT=450&amp;WIDTH=450&amp;START_MAXIMIZED=FALS","E&amp;VAR:CALENDAR=US&amp;VAR:SYMBOL=CSX&amp;VAR:INDEX=0"}</definedName>
    <definedName name="_86__FDSAUDITLINK__" hidden="1">{"fdsup://directions/FAT Viewer?action=UPDATE&amp;creator=factset&amp;DYN_ARGS=TRUE&amp;DOC_NAME=FAT:FQL_AUDITING_CLIENT_TEMPLATE.FAT&amp;display_string=Audit&amp;VAR:KEY=FWBSRAVMTC&amp;VAR:QUERY=RkZfRUJJVChBTk4sMjAwOSk=&amp;WINDOW=FIRST_POPUP&amp;HEIGHT=450&amp;WIDTH=450&amp;START_MAXIMIZED=FALS","E&amp;VAR:CALENDAR=US&amp;VAR:SYMBOL=KSU&amp;VAR:INDEX=0"}</definedName>
    <definedName name="_87__FDSAUDITLINK__" localSheetId="6" hidden="1">{"fdsup://directions/FAT Viewer?action=UPDATE&amp;creator=factset&amp;DYN_ARGS=TRUE&amp;DOC_NAME=FAT:FQL_AUDITING_CLIENT_TEMPLATE.FAT&amp;display_string=Audit&amp;VAR:KEY=UXUVUJWNOH&amp;VAR:QUERY=RkZfRUJJVChBTk4sMjAxMCk=&amp;WINDOW=FIRST_POPUP&amp;HEIGHT=450&amp;WIDTH=450&amp;START_MAXIMIZED=FALS","E&amp;VAR:CALENDAR=US&amp;VAR:SYMBOL=CP&amp;VAR:INDEX=0"}</definedName>
    <definedName name="_87__FDSAUDITLINK__" hidden="1">{"fdsup://directions/FAT Viewer?action=UPDATE&amp;creator=factset&amp;DYN_ARGS=TRUE&amp;DOC_NAME=FAT:FQL_AUDITING_CLIENT_TEMPLATE.FAT&amp;display_string=Audit&amp;VAR:KEY=JEFYFGBSLG&amp;VAR:QUERY=RkZfRUJJVChBTk4sMjAwOSk=&amp;WINDOW=FIRST_POPUP&amp;HEIGHT=450&amp;WIDTH=450&amp;START_MAXIMIZED=FALS","E&amp;VAR:CALENDAR=US&amp;VAR:SYMBOL=GWR&amp;VAR:INDEX=0"}</definedName>
    <definedName name="_88__FDSAUDITLINK__" localSheetId="6" hidden="1">{"fdsup://directions/FAT Viewer?action=UPDATE&amp;creator=factset&amp;DYN_ARGS=TRUE&amp;DOC_NAME=FAT:FQL_AUDITING_CLIENT_TEMPLATE.FAT&amp;display_string=Audit&amp;VAR:KEY=GPYRITKBWH&amp;VAR:QUERY=RkZfRUJJVChBTk4sMjAxMCk=&amp;WINDOW=FIRST_POPUP&amp;HEIGHT=450&amp;WIDTH=450&amp;START_MAXIMIZED=FALS","E&amp;VAR:CALENDAR=US&amp;VAR:SYMBOL=CNI&amp;VAR:INDEX=0"}</definedName>
    <definedName name="_88__FDSAUDITLINK__" hidden="1">{"fdsup://directions/FAT Viewer?action=UPDATE&amp;creator=factset&amp;DYN_ARGS=TRUE&amp;DOC_NAME=FAT:FQL_AUDITING_CLIENT_TEMPLATE.FAT&amp;display_string=Audit&amp;VAR:KEY=LOVABURQPM&amp;VAR:QUERY=RkZfRUJJVChBTk4sMjAwOSk=&amp;WINDOW=FIRST_POPUP&amp;HEIGHT=450&amp;WIDTH=450&amp;START_MAXIMIZED=FALS","E&amp;VAR:CALENDAR=US&amp;VAR:SYMBOL=CSX&amp;VAR:INDEX=0"}</definedName>
    <definedName name="_89__FDSAUDITLINK__" localSheetId="6" hidden="1">{"fdsup://directions/FAT Viewer?action=UPDATE&amp;creator=factset&amp;DYN_ARGS=TRUE&amp;DOC_NAME=FAT:FQL_AUDITING_CLIENT_TEMPLATE.FAT&amp;display_string=Audit&amp;VAR:KEY=ONQHQDUZKF&amp;VAR:QUERY=RkZfRUJJVERBKEFOTiwyMDEwKQ==&amp;WINDOW=FIRST_POPUP&amp;HEIGHT=450&amp;WIDTH=450&amp;START_MAXIMIZED=","FALSE&amp;VAR:CALENDAR=US&amp;VAR:SYMBOL=UNP&amp;VAR:INDEX=0"}</definedName>
    <definedName name="_89__FDSAUDITLINK__" hidden="1">{"fdsup://directions/FAT Viewer?action=UPDATE&amp;creator=factset&amp;DYN_ARGS=TRUE&amp;DOC_NAME=FAT:FQL_AUDITING_CLIENT_TEMPLATE.FAT&amp;display_string=Audit&amp;VAR:KEY=BUBMLSREXC&amp;VAR:QUERY=RkZfRUJJVChBTk4sMjAwOSk=&amp;WINDOW=FIRST_POPUP&amp;HEIGHT=450&amp;WIDTH=450&amp;START_MAXIMIZED=FALS","E&amp;VAR:CALENDAR=US&amp;VAR:SYMBOL=CP&amp;VAR:INDEX=0"}</definedName>
    <definedName name="_9__FDSAUDITLINK__" localSheetId="5" hidden="1">{"fdsup://directions/FAT Viewer?action=UPDATE&amp;creator=factset&amp;DYN_ARGS=TRUE&amp;DOC_NAME=FAT:FQL_AUDITING_CLIENT_TEMPLATE.FAT&amp;display_string=Audit&amp;VAR:KEY=BAPOBKVWDO&amp;VAR:QUERY=RkZfRUJJVERBKEFOTiwyMDEwKQ==&amp;WINDOW=FIRST_POPUP&amp;HEIGHT=450&amp;WIDTH=450&amp;START_MAXIMIZED=","FALSE&amp;VAR:CALENDAR=US&amp;VAR:SYMBOL=NSC&amp;VAR:INDEX=0"}</definedName>
    <definedName name="_9__FDSAUDITLINK__" localSheetId="6" hidden="1">{"fdsup://Directions/FactSet Auditing Viewer?action=AUDIT_VALUE&amp;DB=129&amp;ID1=590294&amp;VALUEID=02001&amp;SDATE=200903&amp;PERIODTYPE=QTR_STD&amp;window=popup_no_bar&amp;width=385&amp;height=120&amp;START_MAXIMIZED=FALSE&amp;creator=factset&amp;display_string=Audit"}</definedName>
    <definedName name="_9__FDSAUDITLINK__" localSheetId="7" hidden="1">{"fdsup://directions/FAT Viewer?action=UPDATE&amp;creator=factset&amp;DYN_ARGS=TRUE&amp;DOC_NAME=FAT:FQL_AUDITING_CLIENT_TEMPLATE.FAT&amp;display_string=Audit&amp;VAR:KEY=BAPOBKVWDO&amp;VAR:QUERY=RkZfRUJJVERBKEFOTiwyMDEwKQ==&amp;WINDOW=FIRST_POPUP&amp;HEIGHT=450&amp;WIDTH=450&amp;START_MAXIMIZED=","FALSE&amp;VAR:CALENDAR=US&amp;VAR:SYMBOL=NSC&amp;VAR:INDEX=0"}</definedName>
    <definedName name="_9__FDSAUDITLINK__" hidden="1">{"fdsup://directions/FAT Viewer?action=UPDATE&amp;creator=factset&amp;DYN_ARGS=TRUE&amp;DOC_NAME=FAT:FQL_AUDITING_CLIENT_TEMPLATE.FAT&amp;display_string=Audit&amp;VAR:KEY=HKHMXMJYTG&amp;VAR:QUERY=RkZfRUJJVChBTk4sMjAwOSk=&amp;WINDOW=FIRST_POPUP&amp;HEIGHT=450&amp;WIDTH=450&amp;START_MAXIMIZED=FALS","E&amp;VAR:CALENDAR=US&amp;VAR:SYMBOL=UNP&amp;VAR:INDEX=0"}</definedName>
    <definedName name="_90__FDSAUDITLINK__" localSheetId="6" hidden="1">{"fdsup://directions/FAT Viewer?action=UPDATE&amp;creator=factset&amp;DYN_ARGS=TRUE&amp;DOC_NAME=FAT:FQL_AUDITING_CLIENT_TEMPLATE.FAT&amp;display_string=Audit&amp;VAR:KEY=OLOPGHWHAP&amp;VAR:QUERY=RkZfRUJJVERBKEFOTiwyMDEwKQ==&amp;WINDOW=FIRST_POPUP&amp;HEIGHT=450&amp;WIDTH=450&amp;START_MAXIMIZED=","FALSE&amp;VAR:CALENDAR=US&amp;VAR:SYMBOL=RA&amp;VAR:INDEX=0"}</definedName>
    <definedName name="_90__FDSAUDITLINK__" hidden="1">{"fdsup://directions/FAT Viewer?action=UPDATE&amp;creator=factset&amp;DYN_ARGS=TRUE&amp;DOC_NAME=FAT:FQL_AUDITING_CLIENT_TEMPLATE.FAT&amp;display_string=Audit&amp;VAR:KEY=VMNIVYHKNS&amp;VAR:QUERY=RkZfRUJJVChBTk4sMjAwOSk=&amp;WINDOW=FIRST_POPUP&amp;HEIGHT=450&amp;WIDTH=450&amp;START_MAXIMIZED=FALS","E&amp;VAR:CALENDAR=US&amp;VAR:SYMBOL=CNI&amp;VAR:INDEX=0"}</definedName>
    <definedName name="_91__FDSAUDITLINK__" localSheetId="6" hidden="1">{"fdsup://directions/FAT Viewer?action=UPDATE&amp;creator=factset&amp;DYN_ARGS=TRUE&amp;DOC_NAME=FAT:FQL_AUDITING_CLIENT_TEMPLATE.FAT&amp;display_string=Audit&amp;VAR:KEY=EZCLCRSDAP&amp;VAR:QUERY=RkZfRUJJVERBKEFOTiwyMDEwKQ==&amp;WINDOW=FIRST_POPUP&amp;HEIGHT=450&amp;WIDTH=450&amp;START_MAXIMIZED=","FALSE&amp;VAR:CALENDAR=US&amp;VAR:SYMBOL=NSC&amp;VAR:INDEX=0"}</definedName>
    <definedName name="_91__FDSAUDITLINK__" hidden="1">{"fdsup://directions/FAT Viewer?action=UPDATE&amp;creator=factset&amp;DYN_ARGS=TRUE&amp;DOC_NAME=FAT:FQL_AUDITING_CLIENT_TEMPLATE.FAT&amp;display_string=Audit&amp;VAR:KEY=BSJCZYVKZC&amp;VAR:QUERY=RkZfRUJJVERBKEFOTiwyMDA5KQ==&amp;WINDOW=FIRST_POPUP&amp;HEIGHT=450&amp;WIDTH=450&amp;START_MAXIMIZED=","FALSE&amp;VAR:CALENDAR=US&amp;VAR:SYMBOL=NSC&amp;VAR:INDEX=0"}</definedName>
    <definedName name="_92__FDSAUDITLINK__" localSheetId="6" hidden="1">{"fdsup://directions/FAT Viewer?action=UPDATE&amp;creator=factset&amp;DYN_ARGS=TRUE&amp;DOC_NAME=FAT:FQL_AUDITING_CLIENT_TEMPLATE.FAT&amp;display_string=Audit&amp;VAR:KEY=CBYLCVWFIZ&amp;VAR:QUERY=RkZfRUJJVERBKEFOTiwyMDEwKQ==&amp;WINDOW=FIRST_POPUP&amp;HEIGHT=450&amp;WIDTH=450&amp;START_MAXIMIZED=","FALSE&amp;VAR:CALENDAR=US&amp;VAR:SYMBOL=KSU&amp;VAR:INDEX=0"}</definedName>
    <definedName name="_92__FDSAUDITLINK__" hidden="1">{"fdsup://directions/FAT Viewer?action=UPDATE&amp;creator=factset&amp;DYN_ARGS=TRUE&amp;DOC_NAME=FAT:FQL_AUDITING_CLIENT_TEMPLATE.FAT&amp;display_string=Audit&amp;VAR:KEY=XKXCRUTYVA&amp;VAR:QUERY=RkZfRUJJVERBKEFOTiwyMDA5KQ==&amp;WINDOW=FIRST_POPUP&amp;HEIGHT=450&amp;WIDTH=450&amp;START_MAXIMIZED=","FALSE&amp;VAR:CALENDAR=US&amp;VAR:SYMBOL=KSU&amp;VAR:INDEX=0"}</definedName>
    <definedName name="_93__FDSAUDITLINK__" localSheetId="6" hidden="1">{"fdsup://directions/FAT Viewer?action=UPDATE&amp;creator=factset&amp;DYN_ARGS=TRUE&amp;DOC_NAME=FAT:FQL_AUDITING_CLIENT_TEMPLATE.FAT&amp;display_string=Audit&amp;VAR:KEY=MZIRGRQDQT&amp;VAR:QUERY=RkZfRUJJVERBKEFOTiwyMDEwKQ==&amp;WINDOW=FIRST_POPUP&amp;HEIGHT=450&amp;WIDTH=450&amp;START_MAXIMIZED=","FALSE&amp;VAR:CALENDAR=US&amp;VAR:SYMBOL=GWR&amp;VAR:INDEX=0"}</definedName>
    <definedName name="_93__FDSAUDITLINK__" hidden="1">{"fdsup://directions/FAT Viewer?action=UPDATE&amp;creator=factset&amp;DYN_ARGS=TRUE&amp;DOC_NAME=FAT:FQL_AUDITING_CLIENT_TEMPLATE.FAT&amp;display_string=Audit&amp;VAR:KEY=ZWBUHQBQBE&amp;VAR:QUERY=RkZfRUJJVERBKEFOTiwyMDA5KQ==&amp;WINDOW=FIRST_POPUP&amp;HEIGHT=450&amp;WIDTH=450&amp;START_MAXIMIZED=","FALSE&amp;VAR:CALENDAR=US&amp;VAR:SYMBOL=GWR&amp;VAR:INDEX=0"}</definedName>
    <definedName name="_94__FDSAUDITLINK__" localSheetId="6" hidden="1">{"fdsup://directions/FAT Viewer?action=UPDATE&amp;creator=factset&amp;DYN_ARGS=TRUE&amp;DOC_NAME=FAT:FQL_AUDITING_CLIENT_TEMPLATE.FAT&amp;display_string=Audit&amp;VAR:KEY=WNEPKPEBAB&amp;VAR:QUERY=RkZfRUJJVERBKEFOTiwyMDEwKQ==&amp;WINDOW=FIRST_POPUP&amp;HEIGHT=450&amp;WIDTH=450&amp;START_MAXIMIZED=","FALSE&amp;VAR:CALENDAR=US&amp;VAR:SYMBOL=CSX&amp;VAR:INDEX=0"}</definedName>
    <definedName name="_94__FDSAUDITLINK__" hidden="1">{"fdsup://directions/FAT Viewer?action=UPDATE&amp;creator=factset&amp;DYN_ARGS=TRUE&amp;DOC_NAME=FAT:FQL_AUDITING_CLIENT_TEMPLATE.FAT&amp;display_string=Audit&amp;VAR:KEY=BIVUXIBITK&amp;VAR:QUERY=RkZfRUJJVERBKEFOTiwyMDA5KQ==&amp;WINDOW=FIRST_POPUP&amp;HEIGHT=450&amp;WIDTH=450&amp;START_MAXIMIZED=","FALSE&amp;VAR:CALENDAR=US&amp;VAR:SYMBOL=CSX&amp;VAR:INDEX=0"}</definedName>
    <definedName name="_95__FDSAUDITLINK__" localSheetId="6" hidden="1">{"fdsup://directions/FAT Viewer?action=UPDATE&amp;creator=factset&amp;DYN_ARGS=TRUE&amp;DOC_NAME=FAT:FQL_AUDITING_CLIENT_TEMPLATE.FAT&amp;display_string=Audit&amp;VAR:KEY=KDCPCRGJOX&amp;VAR:QUERY=RkZfRUJJVERBKEFOTiwyMDEwKQ==&amp;WINDOW=FIRST_POPUP&amp;HEIGHT=450&amp;WIDTH=450&amp;START_MAXIMIZED=","FALSE&amp;VAR:CALENDAR=US&amp;VAR:SYMBOL=CP&amp;VAR:INDEX=0"}</definedName>
    <definedName name="_95__FDSAUDITLINK__" hidden="1">{"fdsup://directions/FAT Viewer?action=UPDATE&amp;creator=factset&amp;DYN_ARGS=TRUE&amp;DOC_NAME=FAT:FQL_AUDITING_CLIENT_TEMPLATE.FAT&amp;display_string=Audit&amp;VAR:KEY=DWHGPKXKXY&amp;VAR:QUERY=RkZfRUJJVERBKEFOTiwyMDA5KQ==&amp;WINDOW=FIRST_POPUP&amp;HEIGHT=450&amp;WIDTH=450&amp;START_MAXIMIZED=","FALSE&amp;VAR:CALENDAR=US&amp;VAR:SYMBOL=CP&amp;VAR:INDEX=0"}</definedName>
    <definedName name="_96__FDSAUDITLINK__" localSheetId="6" hidden="1">{"fdsup://directions/FAT Viewer?action=UPDATE&amp;creator=factset&amp;DYN_ARGS=TRUE&amp;DOC_NAME=FAT:FQL_AUDITING_CLIENT_TEMPLATE.FAT&amp;display_string=Audit&amp;VAR:KEY=AZYZAZOHSN&amp;VAR:QUERY=RkZfRUJJVERBKEFOTiwyMDEwKQ==&amp;WINDOW=FIRST_POPUP&amp;HEIGHT=450&amp;WIDTH=450&amp;START_MAXIMIZED=","FALSE&amp;VAR:CALENDAR=US&amp;VAR:SYMBOL=CNI&amp;VAR:INDEX=0"}</definedName>
    <definedName name="_96__FDSAUDITLINK__" hidden="1">{"fdsup://directions/FAT Viewer?action=UPDATE&amp;creator=factset&amp;DYN_ARGS=TRUE&amp;DOC_NAME=FAT:FQL_AUDITING_CLIENT_TEMPLATE.FAT&amp;display_string=Audit&amp;VAR:KEY=JCDUDYVCBO&amp;VAR:QUERY=RkZfRUJJVERBKEFOTiwyMDA5KQ==&amp;WINDOW=FIRST_POPUP&amp;HEIGHT=450&amp;WIDTH=450&amp;START_MAXIMIZED=","FALSE&amp;VAR:CALENDAR=US&amp;VAR:SYMBOL=CNI&amp;VAR:INDEX=0"}</definedName>
    <definedName name="_97__FDSAUDITLINK__" localSheetId="6" hidden="1">{"fdsup://Directions/FactSet Auditing Viewer?action=AUDIT_VALUE&amp;DB=129&amp;ID1=90781810&amp;VALUEID=01250&amp;SDATE=2010&amp;PERIODTYPE=ANN_STD&amp;window=popup_no_bar&amp;width=385&amp;height=120&amp;START_MAXIMIZED=FALSE&amp;creator=factset&amp;display_string=Audit"}</definedName>
    <definedName name="_97__FDSAUDITLINK__" hidden="1">{"fdsup://directions/FAT Viewer?action=UPDATE&amp;creator=factset&amp;DYN_ARGS=TRUE&amp;DOC_NAME=FAT:FQL_AUDITING_CLIENT_TEMPLATE.FAT&amp;display_string=Audit&amp;VAR:KEY=TYJGTERWZO&amp;VAR:QUERY=RkZfTkVUX0lOQyhBTk4sMjAwOSk=&amp;WINDOW=FIRST_POPUP&amp;HEIGHT=450&amp;WIDTH=450&amp;START_MAXIMIZED=","FALSE&amp;VAR:CALENDAR=US&amp;VAR:SYMBOL=NSC&amp;VAR:INDEX=0"}</definedName>
    <definedName name="_98__FDSAUDITLINK__" localSheetId="6" hidden="1">{"fdsup://Directions/FactSet Auditing Viewer?action=AUDIT_VALUE&amp;DB=129&amp;ID1=75075340&amp;VALUEID=01250&amp;SDATE=2010&amp;PERIODTYPE=ANN_STD&amp;window=popup_no_bar&amp;width=385&amp;height=120&amp;START_MAXIMIZED=FALSE&amp;creator=factset&amp;display_string=Audit"}</definedName>
    <definedName name="_98__FDSAUDITLINK__" hidden="1">{"fdsup://directions/FAT Viewer?action=UPDATE&amp;creator=factset&amp;DYN_ARGS=TRUE&amp;DOC_NAME=FAT:FQL_AUDITING_CLIENT_TEMPLATE.FAT&amp;display_string=Audit&amp;VAR:KEY=DWHWRCVQHK&amp;VAR:QUERY=RkZfTkVUX0lOQyhBTk4sMjAwOSk=&amp;WINDOW=FIRST_POPUP&amp;HEIGHT=450&amp;WIDTH=450&amp;START_MAXIMIZED=","FALSE&amp;VAR:CALENDAR=US&amp;VAR:SYMBOL=KSU&amp;VAR:INDEX=0"}</definedName>
    <definedName name="_99__FDSAUDITLINK__" localSheetId="6" hidden="1">{"fdsup://Directions/FactSet Auditing Viewer?action=AUDIT_VALUE&amp;DB=129&amp;ID1=65584410&amp;VALUEID=01250&amp;SDATE=2010&amp;PERIODTYPE=ANN_STD&amp;window=popup_no_bar&amp;width=385&amp;height=120&amp;START_MAXIMIZED=FALSE&amp;creator=factset&amp;display_string=Audit"}</definedName>
    <definedName name="_99__FDSAUDITLINK__" hidden="1">{"fdsup://directions/FAT Viewer?action=UPDATE&amp;creator=factset&amp;DYN_ARGS=TRUE&amp;DOC_NAME=FAT:FQL_AUDITING_CLIENT_TEMPLATE.FAT&amp;display_string=Audit&amp;VAR:KEY=VOBYRCLIDS&amp;VAR:QUERY=RkZfTkVUX0lOQyhBTk4sMjAwOSk=&amp;WINDOW=FIRST_POPUP&amp;HEIGHT=450&amp;WIDTH=450&amp;START_MAXIMIZED=","FALSE&amp;VAR:CALENDAR=US&amp;VAR:SYMBOL=GWR&amp;VAR:INDEX=0"}</definedName>
    <definedName name="_abc1" hidden="1">{"cover a","2q",FALSE,"Cover";"Op Earn Mgd Q2",#N/A,FALSE,"Op-Earn (Mng)";"Op Earn Rpt Q2",#N/A,FALSE,"Op-Earn (Rpt)";"Loans",#N/A,FALSE,"Loans";"Credit Costs",#N/A,FALSE,"CCosts";"Net Interest Margin",#N/A,FALSE,"Margin";"Nonint Income",#N/A,FALSE,"NonII";"Nonint Exp",#N/A,FALSE,"NonIE";"Valuation",#N/A,FALSE,"Valuation"}</definedName>
    <definedName name="_abc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bdm.8C9D399BEE1E4706B978378CC751FE3A.edm" hidden="1">CNW!$1:$1048576</definedName>
    <definedName name="_bdm.9861FA9959B345588BF0FA075069D903.edm" localSheetId="5" hidden="1">CNW!$A$1:$DV$121</definedName>
    <definedName name="_bdm.AAE4106B394A4DD79509C7F936D52C36.edm" localSheetId="5" hidden="1">CNW!$A$1:$DV$239</definedName>
    <definedName name="_bdm.F203B75AAE1649A68B59BDBEDFE48E40.edm" localSheetId="5" hidden="1">CNW!$A$1:$DV$308</definedName>
    <definedName name="_iop1" hidden="1">{"assumptions",#N/A,FALSE,"Scenario 1";"valuation",#N/A,FALSE,"Scenario 1"}</definedName>
    <definedName name="_Order1" hidden="1">255</definedName>
    <definedName name="_Order1_1" hidden="1">255</definedName>
    <definedName name="_Order2" hidden="1">0</definedName>
    <definedName name="aa" localSheetId="6" hidden="1">{"Pulp Production",#N/A,FALSE,"Pulp";"Pulp Earnings",#N/A,FALSE,"Pulp"}</definedName>
    <definedName name="aa" hidden="1">{"Pulp Production",#N/A,FALSE,"Pulp";"Pulp Earnings",#N/A,FALSE,"Pulp"}</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c" localSheetId="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localSheetId="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abc" localSheetId="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tual" localSheetId="5" hidden="1">{#N/A,#N/A,TRUE,"Historicals";#N/A,#N/A,TRUE,"Charts";#N/A,#N/A,TRUE,"Forecasts"}</definedName>
    <definedName name="Actual" localSheetId="6" hidden="1">{#N/A,#N/A,TRUE,"Historicals";#N/A,#N/A,TRUE,"Charts";#N/A,#N/A,TRUE,"Forecasts"}</definedName>
    <definedName name="Actual" localSheetId="7" hidden="1">{#N/A,#N/A,TRUE,"Historicals";#N/A,#N/A,TRUE,"Charts";#N/A,#N/A,TRUE,"Forecasts"}</definedName>
    <definedName name="Actual" hidden="1">{#N/A,#N/A,TRUE,"Historicals";#N/A,#N/A,TRUE,"Charts";#N/A,#N/A,TRUE,"Forecasts"}</definedName>
    <definedName name="actual_start_year">1992</definedName>
    <definedName name="AdditionalInstructions">IndexInformation!$B$42</definedName>
    <definedName name="Address" localSheetId="3">ImportantDisclosures!$A$2:$A$2</definedName>
    <definedName name="adf" localSheetId="6">#N/A</definedName>
    <definedName name="adf">[0]!val,[0]!INC,[0]!bal,[0]!Cash,[0]!int,[0]!assum1,[0]!assum2,[0]!dcf</definedName>
    <definedName name="adfasdfsd" localSheetId="6">#N/A</definedName>
    <definedName name="adfasdfsd">[0]!val,[0]!INC,[0]!bal,[0]!Cash,[0]!int,[0]!assum1,[0]!assum2,[0]!dcf</definedName>
    <definedName name="AdjustValue">[0]!AdjustValue</definedName>
    <definedName name="admin">1</definedName>
    <definedName name="adsf" localSheetId="6">#N/A</definedName>
    <definedName name="adsf">[0]!val,[0]!INC,[0]!bal,[0]!Cash,[0]!int,[0]!assum1,[0]!assum2,[0]!dcf</definedName>
    <definedName name="adsfasd" hidden="1">{"EM",#N/A,FALSE,"EM";"EM_Quarterly",#N/A,FALSE,"EM";"BS",#N/A,FALSE,"BS";"CF",#N/A,FALSE,"CF"}</definedName>
    <definedName name="adsfasdfasd" localSheetId="6">#N/A</definedName>
    <definedName name="adsfasdfasd">[0]!val,[0]!INC,[0]!bal,[0]!Cash,[0]!int,[0]!assum1,[0]!assum2,[0]!dcf,[0]!_dcf1</definedName>
    <definedName name="ANA" localSheetId="9">ModPubIndex!$A$7</definedName>
    <definedName name="anscount" hidden="1">1</definedName>
    <definedName name="AS2DocOpenMode" hidden="1">"AS2DocumentEdit"</definedName>
    <definedName name="asd" hidden="1">{"EM",#N/A,FALSE,"EM";"EMQuarterly",#N/A,FALSE,"EM";"BS",#N/A,FALSE,"BS";"CF",#N/A,FALSE,"CF"}</definedName>
    <definedName name="Assets" localSheetId="5">CNW!$287:$287</definedName>
    <definedName name="AssetsCurrentDeferredIncomeTaxes">0</definedName>
    <definedName name="AssetsCurrentShortTermInvestments">0</definedName>
    <definedName name="AssetsIntangiblesAccumulatedAmortization">0</definedName>
    <definedName name="AssetsIntangiblesGross">0</definedName>
    <definedName name="AssetsOtherAccumulatedAmortization">0</definedName>
    <definedName name="AssetsOtherGross">0</definedName>
    <definedName name="AssetsOtherNet">0</definedName>
    <definedName name="Authors" localSheetId="3">ImportantDisclosures!$A$7</definedName>
    <definedName name="Authors" localSheetId="8">IndexInformation!$B$18</definedName>
    <definedName name="Avg_Wt_Per_Total_Shipment">CNW!$55:$55</definedName>
    <definedName name="awer" hidden="1">{"EM",#N/A,FALSE,"EM";"EM_Quarterly",#N/A,FALSE,"EM";"BS",#N/A,FALSE,"BS";"CF",#N/A,FALSE,"CF"}</definedName>
    <definedName name="bcd" localSheetId="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bcd"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BNIPE">#N/A</definedName>
    <definedName name="BRO" localSheetId="9">ModPubIndex!$A$1</definedName>
    <definedName name="case_num">1</definedName>
    <definedName name="Cash">CNW!$278:$278</definedName>
    <definedName name="CashFlowCapitalExpenditureCellular">0</definedName>
    <definedName name="CashFlowCapitalExpenditureOther">0</definedName>
    <definedName name="CashFlowCapitalExpenditurePaging">0</definedName>
    <definedName name="CashFlowCapitalExpenditureTelephone">0</definedName>
    <definedName name="CashFlowCapitalExpenditureWireless">0</definedName>
    <definedName name="CashFlowDividendPaidPreferredStock">0</definedName>
    <definedName name="cb_sChart12595BBC_opts" hidden="1">"1, 1, 1, False, 2, True, False, , 0, False, False, 2, 2"</definedName>
    <definedName name="cb_sChart12595E44_opts" hidden="1">"1, 3, 1, False, 2, True, False, , 0, True, False, 2, 2"</definedName>
    <definedName name="cb_sChart14E6EA1E_opts" hidden="1">"1, 9, 1, False, 2, False, False, , 0, False, False, 1, 2"</definedName>
    <definedName name="cb_sChart14E6EB91_opts" hidden="1">"1, 9, 1, False, 2, False, False, , 0, False, False, 1, 1"</definedName>
    <definedName name="cb_sChart14E6ED99_opts" hidden="1">"1, 9, 1, False, 2, False, False, , 0, False, False, 1, 1"</definedName>
    <definedName name="cb_sChart14E6F3EE_opts" hidden="1">"1, 9, 1, False, 2, False, False, , 0, False, False, 1, 1"</definedName>
    <definedName name="cb_sChart14E81502_opts" hidden="1">"1, 9, 1, False, 2, False, False, , 0, False, False, 1, 2"</definedName>
    <definedName name="cb_sChart14E81DF6_opts" hidden="1">"1, 9, 1, False, 2, False, False, , 0, False, False, 1, 2"</definedName>
    <definedName name="cb_sChart14E82800_opts" hidden="1">"1, 9, 1, False, 2, False, False, , 0, False, False, 1, 2"</definedName>
    <definedName name="cb_sChart14E83288_opts" hidden="1">"1, 9, 1, False, 2, False, False, , 0, False, False, 1, 2"</definedName>
    <definedName name="cb_sChart14E8F629_opts" hidden="1">"1, 9, 1, False, 2, False, False, , 0, False, False, 1, 2"</definedName>
    <definedName name="cb_sChart14F787E8_opts" hidden="1">"1, 9, 1, False, 2, False, False, , 0, False, False, 1, 2"</definedName>
    <definedName name="cb_sChart14F7947A_opts" hidden="1">"1, 9, 1, False, 2, False, False, , 0, False, False, 1, 2"</definedName>
    <definedName name="cb_sChart14F79A09_opts" hidden="1">"1, 9, 1, False, 2, False, False, , 0, False, False, 1, 2"</definedName>
    <definedName name="cb_sChart14FA60AB_opts" hidden="1">"1, 9, 1, False, 2, False, False, , 0, False, False, 1, 2"</definedName>
    <definedName name="cb_sChart14FA650D_opts" hidden="1">"1, 9, 1, False, 2, False, False, , 0, False, False, 1, 2"</definedName>
    <definedName name="cb_sChart1501ACE3_opts" hidden="1">"1, 8, 1, False, 2, False, False, , 0, False, False, 1, 2"</definedName>
    <definedName name="cb_sChart1501AEF7_opts" hidden="1">"1, 9, 1, False, 2, False, False, , 0, False, False, 1, 2"</definedName>
    <definedName name="cb_sChart1501DCE6_opts" hidden="1">"1, 9, 1, False, 2, False, False, , 0, False, False, 1, 2"</definedName>
    <definedName name="cb_sChart1501EF92_opts" hidden="1">"1, 9, 1, False, 2, False, False, , 0, False, False, 1, 2"</definedName>
    <definedName name="cb_sChart1501F8CB_opts" hidden="1">"1, 9, 1, False, 2, False, False, , 0, False, False, 1, 2"</definedName>
    <definedName name="cb_sChart150208AA_opts" hidden="1">"1, 9, 1, False, 2, False, False, , 0, False, False, 1, 2"</definedName>
    <definedName name="cb_sChart15020EC4_opts" hidden="1">"1, 9, 1, False, 2, False, False, , 0, False, False, 1, 2"</definedName>
    <definedName name="cb_sChart150212BF_opts" hidden="1">"1, 9, 1, False, 2, False, False, , 0, False, False, 1, 2"</definedName>
    <definedName name="cb_sChart15021F68_opts" hidden="1">"1, 9, 1, False, 2, False, False, , 0, False, False, 1, 1"</definedName>
    <definedName name="cb_sChart15022484_opts" hidden="1">"1, 9, 1, False, 2, False, False, , 0, False, False, 1, 2"</definedName>
    <definedName name="cb_sChart150226F5_opts" hidden="1">"1, 9, 1, False, 2, False, False, , 0, False, False, 1, 2"</definedName>
    <definedName name="cb_sChart15144595_opts" hidden="1">"1, 9, 1, False, 2, False, False, , 0, False, False, 1, 2"</definedName>
    <definedName name="cb_sChart15145615_opts" hidden="1">"1, 9, 1, False, 2, False, False, , 0, False, False, 1, 2"</definedName>
    <definedName name="cb_sChart151464B0_opts" hidden="1">"1, 9, 1, False, 2, False, False, , 0, False, False, 1, 2"</definedName>
    <definedName name="cb_sChart15146FA1_opts" hidden="1">"1, 9, 1, False, 2, False, False, , 0, False, False, 1, 2"</definedName>
    <definedName name="cb_sChart15149A94_opts" hidden="1">"1, 9, 1, False, 2, False, False, , 0, False, False, 1, 2"</definedName>
    <definedName name="cb_sChart1514EEC3_opts" hidden="1">"1, 9, 1, False, 2, False, False, , 0, False, False, 1, 2"</definedName>
    <definedName name="cb_sChart1514F2E0_opts" hidden="1">"1, 9, 1, False, 2, False, False, , 0, False, False, 1, 2"</definedName>
    <definedName name="cb_sChart151510A0_opts" hidden="1">"1, 9, 1, False, 2, False, False, , 0, False, False, 1, 2"</definedName>
    <definedName name="cb_sChart15154C37_opts" hidden="1">"1, 9, 1, False, 2, False, False, , 0, False, False, 1, 2"</definedName>
    <definedName name="cb_sChart15157034_opts" hidden="1">"1, 9, 1, False, 2, False, False, , 0, False, False, 1, 2"</definedName>
    <definedName name="cb_sChart1515F81B_opts" hidden="1">"1, 9, 1, False, 2, False, False, , 0, False, False, 1, 2"</definedName>
    <definedName name="cb_sChart1515F9EA_opts" hidden="1">"1, 9, 1, False, 2, False, False, , 0, False, False, 1, 2"</definedName>
    <definedName name="cb_sChart15161029_opts" hidden="1">"1, 9, 1, False, 2, False, False, , 0, False, False, 1, 2"</definedName>
    <definedName name="cb_sChart15163773_opts" hidden="1">"1, 9, 1, False, 2, False, False, , 0, False, False, 1, 2"</definedName>
    <definedName name="cb_sChart15164F8C_opts" hidden="1">"1, 9, 1, False, 2, False, False, , 0, False, False, 1, 2"</definedName>
    <definedName name="cb_sChart15165265_opts" hidden="1">"1, 9, 1, False, 2, False, False, , 0, False, False, 1, 2"</definedName>
    <definedName name="cb_sChart15166173_opts" hidden="1">"1, 9, 1, False, 2, False, False, , 0, False, False, 1, 2"</definedName>
    <definedName name="cb_sChart1516A84C_opts" hidden="1">"1, 9, 1, False, 2, False, False, , 0, False, False, 1, 2"</definedName>
    <definedName name="cb_sChart19550B88_opts" hidden="1">"1, 1, 1, False, 2, False, False, , 0, False, False, 1, 1"</definedName>
    <definedName name="cb_sChart1955183C_opts" hidden="1">"2, 1, 1, True, 2, False, False, , 0, False, False, 1, 1"</definedName>
    <definedName name="cb_sChart19551C4E_opts" hidden="1">"2, 1, 1, True, 2, True, False, , 0, False, False, 1, 1"</definedName>
    <definedName name="cb_sChart1955C01A_opts" hidden="1">"2, 1, 1, False, 2, False, False, , 0, False, True, 1, 1"</definedName>
    <definedName name="cb_sChart1955C1C7_opts" hidden="1">"2, 1, 1, True, 2, False, False, , 0, False, True, 1, 1"</definedName>
    <definedName name="cb_sChart19EB7A17_opts" hidden="1">"1, 3, 1, False, 2, False, False, , 0, False, True, 1, 1"</definedName>
    <definedName name="cb_sChart19EB7D70_opts" hidden="1">"1, 5, 1, False, 2, False, False, , 0, False, True, 1, 1"</definedName>
    <definedName name="cb_sChart19EB7F61_opts" hidden="1">"1, 3, 1, False, 2, False, False, , 0, False, True, 1, 1"</definedName>
    <definedName name="cb_sChart1B9A4AFE_opts" hidden="1">"1, 9, 1, False, 2, False, False, , 0, False, False, 1, 2"</definedName>
    <definedName name="cb_sChart1BA1DC3F_opts" hidden="1">"1, 9, 1, False, 2, False, False, , 0, False, False, 1, 2"</definedName>
    <definedName name="cb_sChart1C94B61D_opts" hidden="1">"1, 9, 3, False, 2, False, False, , 0, False, True, 1, 1"</definedName>
    <definedName name="cb_sChart1C94BA0C_opts" hidden="1">"1, 1, 1, False, 2, True, False, , 0, False, True, 1, 1"</definedName>
    <definedName name="cb_sChart1C94BFE1_opts" hidden="1">"1, 9, 1, False, 2, False, False, , 0, False, True, 1, 1"</definedName>
    <definedName name="chart" localSheetId="6">"Chart 1"</definedName>
    <definedName name="Class_B">68.45</definedName>
    <definedName name="cm">1</definedName>
    <definedName name="computer">[0]!computer</definedName>
    <definedName name="conflict" localSheetId="6">#N/A</definedName>
    <definedName name="conflict">[0]!val,[0]!INC,[0]!bal,[0]!Cash,[0]!int,[0]!assum1,[0]!assum2,[0]!dcf</definedName>
    <definedName name="ConversionAdjustment">CNW!$229:$229</definedName>
    <definedName name="CopyrightStamp">ImportantDisclosures!$A$27</definedName>
    <definedName name="COU" localSheetId="9">ModPubIndex!$A$5</definedName>
    <definedName name="CQEnd" localSheetId="8">IndexInformation!$B$31</definedName>
    <definedName name="Currency" localSheetId="8">IndexInformation!$B$24</definedName>
    <definedName name="CurrentStockPrice" localSheetId="8">IndexInformation!$B$23</definedName>
    <definedName name="CurrQtrEPS" localSheetId="8">IndexInformation!$B$29</definedName>
    <definedName name="CurrYearEPS" localSheetId="8">IndexInformation!$B$11</definedName>
    <definedName name="CurrYearTotalRevenue" localSheetId="8">IndexInformation!$B$10</definedName>
    <definedName name="CurrYearTotalRevenueActual" localSheetId="8">IndexInformation!$B$32</definedName>
    <definedName name="CUSIP" localSheetId="8">IndexInformation!$B$20</definedName>
    <definedName name="CYEnd" localSheetId="8">IndexInformation!$B$30</definedName>
    <definedName name="dafasd" hidden="1">{"EM",#N/A,FALSE,"EM";"EM_Quarterly",#N/A,FALSE,"EM";"BS",#N/A,FALSE,"BS";"CF",#N/A,FALSE,"CF"}</definedName>
    <definedName name="dasdasd" localSheetId="6" hidden="1">{"Bell",#N/A,TRUE,"Earnings Model";"Cessna",#N/A,TRUE,"Earnings Model"}</definedName>
    <definedName name="dasdasd" hidden="1">{"Bell",#N/A,TRUE,"Earnings Model";"Cessna",#N/A,TRUE,"Earnings Model"}</definedName>
    <definedName name="Date" localSheetId="3">ImportantDisclosures!$A$8</definedName>
    <definedName name="ddd" hidden="1">{"EM",#N/A,FALSE,"EM";"EM_Quarterly",#N/A,FALSE,"EM";"BS",#N/A,FALSE,"BS";"CF",#N/A,FALSE,"CF"}</definedName>
    <definedName name="Deleted" localSheetId="8">IndexInformation!$B$27</definedName>
    <definedName name="Depreciation" localSheetId="5">CNW!$255:$255</definedName>
    <definedName name="Description" localSheetId="8">IndexInformation!$B$7</definedName>
    <definedName name="desk">[0]!desk</definedName>
    <definedName name="DEVELOPMENT">5</definedName>
    <definedName name="dfasf" hidden="1">{"EM",#N/A,FALSE,"EM";"EM_Quarterly",#N/A,FALSE,"EM";"BS",#N/A,FALSE,"BS";"CF",#N/A,FALSE,"CF"}</definedName>
    <definedName name="Diesel">CNW!$71:$71</definedName>
    <definedName name="DilutedShares">CNW!$239:$239</definedName>
    <definedName name="Discipline" localSheetId="8">IndexInformation!$B$3</definedName>
    <definedName name="DISCIPLINE" localSheetId="9">ModPubIndex!$A$12</definedName>
    <definedName name="DisclosuresText">ImportantDisclosures!$A$22</definedName>
    <definedName name="Distribution" localSheetId="8">IndexInformation!$B$26</definedName>
    <definedName name="DistTable" localSheetId="3">ImportantDisclosures!#REF!</definedName>
    <definedName name="DistTablePreamble" localSheetId="3">ImportantDisclosures!#REF!</definedName>
    <definedName name="Dividend" localSheetId="5">CNW!$268:$268</definedName>
    <definedName name="DOCDAT" localSheetId="9">ModPubIndex!$A$2</definedName>
    <definedName name="DOCTIME" localSheetId="9">ModPubIndex!$A$3</definedName>
    <definedName name="DocType" localSheetId="8">IndexInformation!$B$5</definedName>
    <definedName name="ds" hidden="1">{"EM",#N/A,FALSE,"EM";"EMQuarterly",#N/A,FALSE,"EM";"BS",#N/A,FALSE,"BS";"CF",#N/A,FALSE,"CF"}</definedName>
    <definedName name="dssa" hidden="1">{"EM",#N/A,FALSE,"EM";"EMQuarterly",#N/A,FALSE,"EM";"BS",#N/A,FALSE,"BS";"CF",#N/A,FALSE,"CF"}</definedName>
    <definedName name="EMAIL_ALERT" localSheetId="9">ModPubIndex!$A$10</definedName>
    <definedName name="EmailAlert" localSheetId="8">IndexInformation!$B$28</definedName>
    <definedName name="EPS" localSheetId="5">CNW!$231:$231</definedName>
    <definedName name="EPS_Label" localSheetId="5">CNW!$A$231</definedName>
    <definedName name="Equity" localSheetId="5">CNW!$307:$307</definedName>
    <definedName name="EquityAdjustments">0</definedName>
    <definedName name="EquityEmployeeStockOwnershipPlan">0</definedName>
    <definedName name="EquityPaidInCapital">0</definedName>
    <definedName name="EquityTreasuryStock">0</definedName>
    <definedName name="ethg" hidden="1">{"'RCIM'!$E$128"}</definedName>
    <definedName name="ev.Calculation" localSheetId="6" hidden="1">-4135</definedName>
    <definedName name="ev.Calculation" hidden="1">-4105</definedName>
    <definedName name="ev.Initialized" hidden="1">FALSE</definedName>
    <definedName name="Exch">" Sheet2!$F$2"</definedName>
    <definedName name="f" localSheetId="6"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f"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ｆ" hidden="1">"iQShowAnnual"</definedName>
    <definedName name="fair_value">DCF!$E$38</definedName>
    <definedName name="FiveYearGrowthRate" localSheetId="8">IndexInformation!$B$16</definedName>
    <definedName name="FollowingYearEPS" localSheetId="8">IndexInformation!$B$15</definedName>
    <definedName name="FollowingYearTotalRevenue" localSheetId="8">IndexInformation!$B$14</definedName>
    <definedName name="FollowingYearTotalRevenueActual" localSheetId="8">IndexInformation!$B$34</definedName>
    <definedName name="forecast" localSheetId="6" hidden="1">{"cover a","1q",FALSE,"Cover";"Op Earn Mgd Q1",#N/A,FALSE,"Op-Earn (Mng)";"Op Earn Rpt Q1",#N/A,FALSE,"Op-Earn (Rpt)";"Loans",#N/A,FALSE,"Loans";"Credit Costs",#N/A,FALSE,"CCosts";"Net Interest Margin",#N/A,FALSE,"Margin";"Nonint Income",#N/A,FALSE,"NonII";"Nonint Exp",#N/A,FALSE,"NonIE";"Valuation",#N/A,FALSE,"Valuation"}</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forecast1" localSheetId="6" hidden="1">{"cover a","1q",FALSE,"Cover";"Op Earn Mgd Q1",#N/A,FALSE,"Op-Earn (Mng)";"Op Earn Rpt Q1",#N/A,FALSE,"Op-Earn (Rpt)";"Loans",#N/A,FALSE,"Loans";"Credit Costs",#N/A,FALSE,"CCosts";"Net Interest Margin",#N/A,FALSE,"Margin";"Nonint Income",#N/A,FALSE,"NonII";"Nonint Exp",#N/A,FALSE,"NonIE";"Valuation",#N/A,FALSE,"Valuation"}</definedName>
    <definedName name="forecast1" hidden="1">{"cover a","1q",FALSE,"Cover";"Op Earn Mgd Q1",#N/A,FALSE,"Op-Earn (Mng)";"Op Earn Rpt Q1",#N/A,FALSE,"Op-Earn (Rpt)";"Loans",#N/A,FALSE,"Loans";"Credit Costs",#N/A,FALSE,"CCosts";"Net Interest Margin",#N/A,FALSE,"Margin";"Nonint Income",#N/A,FALSE,"NonII";"Nonint Exp",#N/A,FALSE,"NonIE";"Valuation",#N/A,FALSE,"Valuation"}</definedName>
    <definedName name="glad">[0]!glad</definedName>
    <definedName name="Goodwill_Amortization">25</definedName>
    <definedName name="Gross_Capex">CNW!$260:$260</definedName>
    <definedName name="Growth_ROIC">#N/A</definedName>
    <definedName name="GWyears">40</definedName>
    <definedName name="help" hidden="1">{"'RCIM'!$E$128"}</definedName>
    <definedName name="HL" localSheetId="9">ModPubIndex!$A$8</definedName>
    <definedName name="hn.ExtDb" hidden="1">FALSE</definedName>
    <definedName name="hn.ModelType" hidden="1">"DEAL"</definedName>
    <definedName name="hn.ModelVersion" hidden="1">1</definedName>
    <definedName name="hn.NoUpload" hidden="1">0</definedName>
    <definedName name="HTML_CodePage" hidden="1">1252</definedName>
    <definedName name="HTML_Control" localSheetId="6" hidden="1">{"'Asm'!$E$1:$AX$53"}</definedName>
    <definedName name="HTML_Control" hidden="1">{"'Breakup 01 Euro'!$A$3:$I$30"}</definedName>
    <definedName name="HTML_Description" hidden="1">""</definedName>
    <definedName name="HTML_Email" hidden="1">""</definedName>
    <definedName name="HTML_Header" localSheetId="6" hidden="1">"Asm"</definedName>
    <definedName name="HTML_Header" hidden="1">"Breakup 01 Euro"</definedName>
    <definedName name="HTML_LastUpdate" localSheetId="6" hidden="1">"10/12/98"</definedName>
    <definedName name="HTML_LastUpdate" hidden="1">"27/02/2001"</definedName>
    <definedName name="HTML_LineAfter" hidden="1">FALSE</definedName>
    <definedName name="HTML_LineBefore" hidden="1">FALSE</definedName>
    <definedName name="HTML_Name" localSheetId="6" hidden="1">"Tom Stone"</definedName>
    <definedName name="HTML_Name" hidden="1">"jonasa"</definedName>
    <definedName name="HTML_OBDlg2" hidden="1">TRUE</definedName>
    <definedName name="HTML_OBDlg4" hidden="1">TRUE</definedName>
    <definedName name="HTML_OS" hidden="1">0</definedName>
    <definedName name="HTML_PathFile" localSheetId="6" hidden="1">"f:\Finance\MyHTML.htm"</definedName>
    <definedName name="HTML_PathFile" hidden="1">"L:\AUTOS\XLDATA\Jonas\other\DCX_Sop.htm"</definedName>
    <definedName name="HTML_Title" localSheetId="6" hidden="1">"PlanRpts220"</definedName>
    <definedName name="HTML_Title" hidden="1">"DAIC-INC"</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 localSheetId="6" hidden="1">{"Qtr Op Mgd Q3",#N/A,FALSE,"Qtr-Op (Mng)";"Qtr Op Rpt Q3",#N/A,FALSE,"Qtr-Op (Rpt)";"Operating Vs Reported",#N/A,FALSE,"Rpt-Op Inc"}</definedName>
    <definedName name="i" hidden="1">{"Qtr Op Mgd Q3",#N/A,FALSE,"Qtr-Op (Mng)";"Qtr Op Rpt Q3",#N/A,FALSE,"Qtr-Op (Rpt)";"Operating Vs Reported",#N/A,FALSE,"Rpt-Op Inc"}</definedName>
    <definedName name="IncomeEPSFullyDiluted">0</definedName>
    <definedName name="IncomeEPSPrimary">0</definedName>
    <definedName name="IncomeEPSRegular">0</definedName>
    <definedName name="ind" localSheetId="6" hidden="1">{#N/A,#N/A,FALSE,"Earnings";#N/A,#N/A,FALSE,"Overview";#N/A,#N/A,FALSE,"Summary";#N/A,#N/A,FALSE,"Summary II";#N/A,#N/A,FALSE,"R&amp;D";#N/A,#N/A,FALSE,"R&amp;D Forecast";#N/A,#N/A,FALSE,"Tax Adj";#N/A,#N/A,FALSE,"Goodwill";#N/A,#N/A,FALSE,"FX ";#N/A,#N/A,FALSE,"Consolidation";#N/A,#N/A,FALSE,"Provisions"}</definedName>
    <definedName name="IND" localSheetId="9">ModPubIndex!$A$9</definedName>
    <definedName name="ind" hidden="1">{#N/A,#N/A,FALSE,"Earnings";#N/A,#N/A,FALSE,"Overview";#N/A,#N/A,FALSE,"Summary";#N/A,#N/A,FALSE,"Summary II";#N/A,#N/A,FALSE,"R&amp;D";#N/A,#N/A,FALSE,"R&amp;D Forecast";#N/A,#N/A,FALSE,"Tax Adj";#N/A,#N/A,FALSE,"Goodwill";#N/A,#N/A,FALSE,"FX ";#N/A,#N/A,FALSE,"Consolidation";#N/A,#N/A,FALSE,"Provisions"}</definedName>
    <definedName name="Industry" localSheetId="3">ImportantDisclosures!$A$12</definedName>
    <definedName name="IndustryId">IndexInformation!$B$40</definedName>
    <definedName name="IndustryRating" localSheetId="3">ImportantDisclosures!$A$13</definedName>
    <definedName name="input" localSheetId="6">{"0.614608629108408";"0.089";"0.07";"0.036";"0.09";"0.39";"0.177761404547907";"0.116071428571429";"0.708";"0.0556964285714285";"0.127160714285714"}</definedName>
    <definedName name="Int_exp">8%</definedName>
    <definedName name="Interest_Expense">CNW!$212:$212</definedName>
    <definedName name="InvestCapGrowth">#N/A</definedName>
    <definedName name="Investments">BS_LongTermInvestments</definedName>
    <definedName name="ipo" hidden="1">{"assumptions",#N/A,FALSE,"Scenario 1";"valuation",#N/A,FALSE,"Scenario 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PER_SHARE_BASIC" hidden="1">"c8869"</definedName>
    <definedName name="IQ_AFFO_PER_SHARE_DILUTED" hidden="1">"c8870"</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"c1591"</definedName>
    <definedName name="IQ_AMORTIZED_COST_FDIC" hidden="1">"c6426"</definedName>
    <definedName name="IQ_AMT_OUT" hidden="1">"c2145"</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HELD_FDIC" hidden="1">"c6305"</definedName>
    <definedName name="IQ_ASSETS_NAME_AP" hidden="1">"c8921"</definedName>
    <definedName name="IQ_ASSETS_NAME_AP_ABS" hidden="1">"c8940"</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 hidden="1">"c4455"</definedName>
    <definedName name="IQ_AVG_INDUSTRY_REC_CIQ" hidden="1">"c4984"</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_UNUSED_UNUSED" hidden="1">"c8135"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CIQ" hidden="1">"c5068"</definedName>
    <definedName name="IQ_BV_OVER_SHARES" hidden="1">"c1349"</definedName>
    <definedName name="IQ_BV_SHARE" hidden="1">"c100"</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REUT" hidden="1">"c6800"</definedName>
    <definedName name="IQ_CAL_Q_EST_THOM" hidden="1">"c6804"</definedName>
    <definedName name="IQ_CAL_Y" hidden="1">"c102"</definedName>
    <definedName name="IQ_CAL_Y_EST" hidden="1">"c6797"</definedName>
    <definedName name="IQ_CAL_Y_EST_CIQ" hidden="1">"c6809"</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IZED_INTEREST" localSheetId="6" hidden="1">"c2076"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localSheetId="6" hidden="1">"c1630"</definedName>
    <definedName name="IQ_CASH_ACQUIRE_CF" hidden="1">"c116"</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IVIDENDS_NET_INCOME_FDIC" hidden="1">"c6738"</definedName>
    <definedName name="IQ_CASH_DUE_BANKS" hidden="1">"c1351"</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 hidden="1">"c4154"</definedName>
    <definedName name="IQ_CASH_FLOW_ACT_OR_EST_CIQ" hidden="1">"c4566"</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 hidden="1">"c4164"</definedName>
    <definedName name="IQ_CASH_OPER_ACT_OR_EST_CIQ" hidden="1">"c4576"</definedName>
    <definedName name="IQ_CASH_OPER_AP" hidden="1">"c8888"</definedName>
    <definedName name="IQ_CASH_OPER_AP_ABS" hidden="1">"c8907"</definedName>
    <definedName name="IQ_CASH_OPER_NAME_AP" hidden="1">"c8926"</definedName>
    <definedName name="IQ_CASH_OPER_NAME_AP_ABS" hidden="1">"c8945"</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_UNUSED_UNUSED" hidden="1">"c8280"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ST_BORROWING" hidden="1">"c2936"</definedName>
    <definedName name="IQ_COST_BORROWINGS" hidden="1">"c225"</definedName>
    <definedName name="IQ_COST_CAPITAL_NEW_BUSINESS" hidden="1">"c9968"</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VERED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EXPOSURE" hidden="1">"c10038"</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_UNUSED_UNUSED" hidden="1">"c7947"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_UNUSED_UNUSED" hidden="1">"c8167"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SCRIPTION_LONG" hidden="1">"c1520"</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 hidden="1">"c4278"</definedName>
    <definedName name="IQ_DISTRIBUTABLE_CASH_ACT_OR_EST_CIQ" hidden="1">"c4803"</definedName>
    <definedName name="IQ_DISTRIBUTABLE_CASH_PAYOUT" hidden="1">"c3005"</definedName>
    <definedName name="IQ_DISTRIBUTABLE_CASH_SHARE" hidden="1">"c3003"</definedName>
    <definedName name="IQ_DISTRIBUTABLE_CASH_SHARE_ACT_OR_EST" hidden="1">"c4286"</definedName>
    <definedName name="IQ_DISTRIBUTABLE_CASH_SHARE_ACT_OR_EST_CIQ" hidden="1">"c4811"</definedName>
    <definedName name="IQ_DIV_AMOUNT" hidden="1">"c3041"</definedName>
    <definedName name="IQ_DIV_PAYMENT_DATE" localSheetId="6" hidden="1">"c2106"</definedName>
    <definedName name="IQ_DIV_PAYMENT_DATE" hidden="1">"c2205"</definedName>
    <definedName name="IQ_DIV_RECORD_DATE" localSheetId="6" hidden="1">"c2105"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IVIDENDS_PAID_DECLARED_PERIOD_COVERED" hidden="1">"c9960"</definedName>
    <definedName name="IQ_DIVIDENDS_PAID_DECLARED_PERIOD_GROUP" hidden="1">"c9946"</definedName>
    <definedName name="IQ_DNB_OTHER_EXP_INC_TAX_US" hidden="1">"c6787"</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ANNOUNCE_DATE_REUT" hidden="1">"c5314"</definedName>
    <definedName name="IQ_EARNINGS_ANNOUNCE_DATE_THOM" hidden="1">"c5093"</definedName>
    <definedName name="IQ_EARNINGS_COVERAGE_NET_CHARGE_OFFS_FDIC" hidden="1">"c6735"</definedName>
    <definedName name="IQ_EARNINGS_PERIOD_COVERED" hidden="1">"c9958"</definedName>
    <definedName name="IQ_EARNINGS_PERIOD_GROUP" hidden="1">"c9944"</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"c1369"</definedName>
    <definedName name="IQ_EBIT_SBC_ACT_OR_EST" hidden="1">"c4316"</definedName>
    <definedName name="IQ_EBIT_SBC_ACT_OR_EST_CIQ" hidden="1">"c4841"</definedName>
    <definedName name="IQ_EBIT_SBC_GW_ACT_OR_EST" hidden="1">"c4320"</definedName>
    <definedName name="IQ_EBIT_SBC_GW_ACT_OR_EST_CIQ" hidden="1">"c4845"</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THOM" hidden="1">"c5300"</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CIQ" hidden="1">"c3622"</definedName>
    <definedName name="IQ_EBITDA_EST_REUT" hidden="1">"c3640"</definedName>
    <definedName name="IQ_EBITDA_EST_THOM" hidden="1">"c3658"</definedName>
    <definedName name="IQ_EBITDA_EXCL_SBC" hidden="1">"c3081"</definedName>
    <definedName name="IQ_EBITDA_HIGH_EST" hidden="1">"c370"</definedName>
    <definedName name="IQ_EBITDA_HIGH_EST_CIQ" hidden="1">"c3624"</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CIQ" hidden="1">"c3625"</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CIQ" hidden="1">"c3623"</definedName>
    <definedName name="IQ_EBITDA_MEDIAN_EST_REUT" hidden="1">"c3641"</definedName>
    <definedName name="IQ_EBITDA_MEDIAN_EST_THOM" hidden="1">"c3659"</definedName>
    <definedName name="IQ_EBITDA_NUM_EST" hidden="1">"c374"</definedName>
    <definedName name="IQ_EBITDA_NUM_EST_CIQ" hidden="1">"c3626"</definedName>
    <definedName name="IQ_EBITDA_NUM_EST_REUT" hidden="1">"c3644"</definedName>
    <definedName name="IQ_EBITDA_NUM_EST_THOM" hidden="1">"c3662"</definedName>
    <definedName name="IQ_EBITDA_OVER_TOTAL_IE" hidden="1">"c1371"</definedName>
    <definedName name="IQ_EBITDA_SBC_ACT_OR_EST" hidden="1">"c4337"</definedName>
    <definedName name="IQ_EBITDA_SBC_ACT_OR_EST_CIQ" hidden="1">"c4862"</definedName>
    <definedName name="IQ_EBITDA_STDDEV_EST" hidden="1">"c375"</definedName>
    <definedName name="IQ_EBITDA_STDDEV_EST_CIQ" hidden="1">"c3627"</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ACT_OR_EST_CIQ" hidden="1">"c4875"</definedName>
    <definedName name="IQ_EBT_SBC_GW_ACT_OR_EST" hidden="1">"c4354"</definedName>
    <definedName name="IQ_EBT_SBC_GW_ACT_OR_EST_CIQ" hidden="1">"c4879"</definedName>
    <definedName name="IQ_EBT_SUBTOTAL_AP" hidden="1">"c8982"</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27" hidden="1">"c6927"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147" hidden="1">"c7147"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367" hidden="1">"c7367"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587" hidden="1">"c7587"</definedName>
    <definedName name="IQ_ECO_METRIC_7648_UNUSED_UNUSED_UNUSED" hidden="1">"c7648"</definedName>
    <definedName name="IQ_ECO_METRIC_7704" hidden="1">"c7704"</definedName>
    <definedName name="IQ_ECO_METRIC_7705_UNUSED_UNUSED_UNUSED" hidden="1">"c7705"</definedName>
    <definedName name="IQ_ECO_METRIC_7706" hidden="1">"c7706"</definedName>
    <definedName name="IQ_ECO_METRIC_7718" hidden="1">"c7718"</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07" hidden="1">"c7807"</definedName>
    <definedName name="IQ_ECO_METRIC_7811" hidden="1">"c7811"</definedName>
    <definedName name="IQ_ECO_METRIC_7868_UNUSED_UNUSED_UNUSED" hidden="1">"c7868"</definedName>
    <definedName name="IQ_ECO_METRIC_7873" hidden="1">"c7873"</definedName>
    <definedName name="IQ_ECO_METRIC_7924" hidden="1">"c7924"</definedName>
    <definedName name="IQ_ECO_METRIC_7925_UNUSED_UNUSED_UNUSED" hidden="1">"c7925"</definedName>
    <definedName name="IQ_ECO_METRIC_7926" hidden="1">"c7926"</definedName>
    <definedName name="IQ_ECO_METRIC_7938" hidden="1">"c7938"</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27" hidden="1">"c8027"</definedName>
    <definedName name="IQ_ECO_METRIC_8031" hidden="1">"c8031"</definedName>
    <definedName name="IQ_ECO_METRIC_8088_UNUSED_UNUSED_UNUSED" hidden="1">"c8088"</definedName>
    <definedName name="IQ_ECO_METRIC_8093" hidden="1">"c8093"</definedName>
    <definedName name="IQ_ECO_METRIC_8144" hidden="1">"c8144"</definedName>
    <definedName name="IQ_ECO_METRIC_8145_UNUSED_UNUSED_UNUSED" hidden="1">"c8145"</definedName>
    <definedName name="IQ_ECO_METRIC_8146" hidden="1">"c8146"</definedName>
    <definedName name="IQ_ECO_METRIC_8158" hidden="1">"c8158"</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247" hidden="1">"c8247"</definedName>
    <definedName name="IQ_ECO_METRIC_8251" hidden="1">"c8251"</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_UNUSED_UNUSED" hidden="1">"c8436"</definedName>
    <definedName name="IQ_ECO_METRIC_8437_UNUSED_UNUSED_UNUSED" hidden="1">"c8437"</definedName>
    <definedName name="IQ_ECO_METRIC_8467" hidden="1">"c8467"</definedName>
    <definedName name="IQ_ECO_METRIC_8471" hidden="1">"c8471"</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NTERPRISE_VALUE" hidden="1">"c1348"</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THOM" hidden="1">"c5298"</definedName>
    <definedName name="IQ_EPS_AP" hidden="1">"c8880"</definedName>
    <definedName name="IQ_EPS_AP_ABS" hidden="1">"c8899"</definedName>
    <definedName name="IQ_EPS_EST" hidden="1">"c399"</definedName>
    <definedName name="IQ_EPS_EST_BOTTOM_UP" hidden="1">"c5489"</definedName>
    <definedName name="IQ_EPS_EST_BOTTOM_UP_THOM" hidden="1">"c5647"</definedName>
    <definedName name="IQ_EPS_EST_CIQ" hidden="1">"c4994"</definedName>
    <definedName name="IQ_EPS_EST_REUT" hidden="1">"c5453"</definedName>
    <definedName name="IQ_EPS_EST_THOM" hidden="1">"c5290"</definedName>
    <definedName name="IQ_EPS_GW_ACT_OR_EST" hidden="1">"c2223"</definedName>
    <definedName name="IQ_EPS_GW_ACT_OR_EST_CIQ" hidden="1">"c5066"</definedName>
    <definedName name="IQ_EPS_GW_EST" hidden="1">"c1737"</definedName>
    <definedName name="IQ_EPS_GW_EST_CIQ" hidden="1">"c4723"</definedName>
    <definedName name="IQ_EPS_GW_EST_REUT" hidden="1">"c5389"</definedName>
    <definedName name="IQ_EPS_GW_EST_THOM" hidden="1">"c5133"</definedName>
    <definedName name="IQ_EPS_GW_HIGH_EST" hidden="1">"c1739"</definedName>
    <definedName name="IQ_EPS_GW_HIGH_EST_CIQ" hidden="1">"c4725"</definedName>
    <definedName name="IQ_EPS_GW_HIGH_EST_REUT" hidden="1">"c5391"</definedName>
    <definedName name="IQ_EPS_GW_HIGH_EST_THOM" hidden="1">"c5135"</definedName>
    <definedName name="IQ_EPS_GW_LOW_EST" hidden="1">"c1740"</definedName>
    <definedName name="IQ_EPS_GW_LOW_EST_CIQ" hidden="1">"c4726"</definedName>
    <definedName name="IQ_EPS_GW_LOW_EST_REUT" hidden="1">"c5392"</definedName>
    <definedName name="IQ_EPS_GW_LOW_EST_THOM" hidden="1">"c5136"</definedName>
    <definedName name="IQ_EPS_GW_MEDIAN_EST" hidden="1">"c1738"</definedName>
    <definedName name="IQ_EPS_GW_MEDIAN_EST_CIQ" hidden="1">"c4724"</definedName>
    <definedName name="IQ_EPS_GW_MEDIAN_EST_REUT" hidden="1">"c5390"</definedName>
    <definedName name="IQ_EPS_GW_MEDIAN_EST_THOM" hidden="1">"c5134"</definedName>
    <definedName name="IQ_EPS_GW_NUM_EST" hidden="1">"c1741"</definedName>
    <definedName name="IQ_EPS_GW_NUM_EST_CIQ" hidden="1">"c4727"</definedName>
    <definedName name="IQ_EPS_GW_NUM_EST_REUT" hidden="1">"c5393"</definedName>
    <definedName name="IQ_EPS_GW_NUM_EST_THOM" hidden="1">"c5137"</definedName>
    <definedName name="IQ_EPS_GW_STDDEV_EST" hidden="1">"c1742"</definedName>
    <definedName name="IQ_EPS_GW_STDDEV_EST_CIQ" hidden="1">"c4728"</definedName>
    <definedName name="IQ_EPS_GW_STDDEV_EST_REUT" hidden="1">"c5394"</definedName>
    <definedName name="IQ_EPS_GW_STDDEV_EST_THOM" hidden="1">"c5138"</definedName>
    <definedName name="IQ_EPS_HIGH_EST" hidden="1">"c400"</definedName>
    <definedName name="IQ_EPS_HIGH_EST_CIQ" hidden="1">"c4995"</definedName>
    <definedName name="IQ_EPS_HIGH_EST_REUT" hidden="1">"c5454"</definedName>
    <definedName name="IQ_EPS_HIGH_EST_THOM" hidden="1">"c5291"</definedName>
    <definedName name="IQ_EPS_LOW_EST" hidden="1">"c401"</definedName>
    <definedName name="IQ_EPS_LOW_EST_CIQ" hidden="1">"c4996"</definedName>
    <definedName name="IQ_EPS_LOW_EST_REUT" hidden="1">"c5455"</definedName>
    <definedName name="IQ_EPS_LOW_EST_THOM" hidden="1">"c5292"</definedName>
    <definedName name="IQ_EPS_MEDIAN_EST" hidden="1">"c1661"</definedName>
    <definedName name="IQ_EPS_MEDIAN_EST_CIQ" hidden="1">"c4997"</definedName>
    <definedName name="IQ_EPS_MEDIAN_EST_REUT" hidden="1">"c5456"</definedName>
    <definedName name="IQ_EPS_MEDIAN_EST_THOM" hidden="1">"c5293"</definedName>
    <definedName name="IQ_EPS_NAME_AP" hidden="1">"c8918"</definedName>
    <definedName name="IQ_EPS_NAME_AP_ABS" hidden="1">"c8937"</definedName>
    <definedName name="IQ_EPS_NORM" hidden="1">"c1902"</definedName>
    <definedName name="IQ_EPS_NORM_EST" hidden="1">"c2226"</definedName>
    <definedName name="IQ_EPS_NORM_EST_CIQ" hidden="1">"c4667"</definedName>
    <definedName name="IQ_EPS_NORM_EST_REUT" hidden="1">"c5326"</definedName>
    <definedName name="IQ_EPS_NORM_HIGH_EST" hidden="1">"c2228"</definedName>
    <definedName name="IQ_EPS_NORM_HIGH_EST_CIQ" hidden="1">"c4669"</definedName>
    <definedName name="IQ_EPS_NORM_HIGH_EST_REUT" hidden="1">"c5328"</definedName>
    <definedName name="IQ_EPS_NORM_LOW_EST" hidden="1">"c2229"</definedName>
    <definedName name="IQ_EPS_NORM_LOW_EST_CIQ" hidden="1">"c4670"</definedName>
    <definedName name="IQ_EPS_NORM_LOW_EST_REUT" hidden="1">"c5329"</definedName>
    <definedName name="IQ_EPS_NORM_MEDIAN_EST" hidden="1">"c2227"</definedName>
    <definedName name="IQ_EPS_NORM_MEDIAN_EST_CIQ" hidden="1">"c4668"</definedName>
    <definedName name="IQ_EPS_NORM_MEDIAN_EST_REUT" hidden="1">"c5327"</definedName>
    <definedName name="IQ_EPS_NORM_NUM_EST" hidden="1">"c2230"</definedName>
    <definedName name="IQ_EPS_NORM_NUM_EST_CIQ" hidden="1">"c4671"</definedName>
    <definedName name="IQ_EPS_NORM_NUM_EST_REUT" hidden="1">"c5330"</definedName>
    <definedName name="IQ_EPS_NORM_STDDEV_EST" hidden="1">"c2231"</definedName>
    <definedName name="IQ_EPS_NORM_STDDEV_EST_CIQ" hidden="1">"c4672"</definedName>
    <definedName name="IQ_EPS_NORM_STDDEV_EST_REUT" hidden="1">"c5331"</definedName>
    <definedName name="IQ_EPS_NUM_EST" hidden="1">"c402"</definedName>
    <definedName name="IQ_EPS_NUM_EST_CIQ" hidden="1">"c4992"</definedName>
    <definedName name="IQ_EPS_NUM_EST_REUT" hidden="1">"c5451"</definedName>
    <definedName name="IQ_EPS_NUM_EST_THOM" hidden="1">"c5288"</definedName>
    <definedName name="IQ_EPS_REPORT_ACT_OR_EST" hidden="1">"c2224"</definedName>
    <definedName name="IQ_EPS_REPORT_ACT_OR_EST_CIQ" hidden="1">"c5067"</definedName>
    <definedName name="IQ_EPS_REPORT_ACT_OR_EST_THOM" hidden="1">"c5307"</definedName>
    <definedName name="IQ_EPS_REPORTED_EST" hidden="1">"c1744"</definedName>
    <definedName name="IQ_EPS_REPORTED_EST_CIQ" hidden="1">"c4730"</definedName>
    <definedName name="IQ_EPS_REPORTED_EST_REUT" hidden="1">"c5396"</definedName>
    <definedName name="IQ_EPS_REPORTED_EST_THOM" hidden="1">"c5140"</definedName>
    <definedName name="IQ_EPS_REPORTED_HIGH_EST" hidden="1">"c1746"</definedName>
    <definedName name="IQ_EPS_REPORTED_HIGH_EST_CIQ" hidden="1">"c4732"</definedName>
    <definedName name="IQ_EPS_REPORTED_HIGH_EST_REUT" hidden="1">"c5398"</definedName>
    <definedName name="IQ_EPS_REPORTED_HIGH_EST_THOM" hidden="1">"c5142"</definedName>
    <definedName name="IQ_EPS_REPORTED_LOW_EST" hidden="1">"c1747"</definedName>
    <definedName name="IQ_EPS_REPORTED_LOW_EST_CIQ" hidden="1">"c4733"</definedName>
    <definedName name="IQ_EPS_REPORTED_LOW_EST_REUT" hidden="1">"c5399"</definedName>
    <definedName name="IQ_EPS_REPORTED_LOW_EST_THOM" hidden="1">"c5143"</definedName>
    <definedName name="IQ_EPS_REPORTED_MEDIAN_EST" hidden="1">"c1745"</definedName>
    <definedName name="IQ_EPS_REPORTED_MEDIAN_EST_CIQ" hidden="1">"c4731"</definedName>
    <definedName name="IQ_EPS_REPORTED_MEDIAN_EST_REUT" hidden="1">"c5397"</definedName>
    <definedName name="IQ_EPS_REPORTED_MEDIAN_EST_THOM" hidden="1">"c5141"</definedName>
    <definedName name="IQ_EPS_REPORTED_NUM_EST" hidden="1">"c1748"</definedName>
    <definedName name="IQ_EPS_REPORTED_NUM_EST_CIQ" hidden="1">"c4734"</definedName>
    <definedName name="IQ_EPS_REPORTED_NUM_EST_REUT" hidden="1">"c5400"</definedName>
    <definedName name="IQ_EPS_REPORTED_NUM_EST_THOM" hidden="1">"c5144"</definedName>
    <definedName name="IQ_EPS_REPORTED_STDDEV_EST" hidden="1">"c1749"</definedName>
    <definedName name="IQ_EPS_REPORTED_STDDEV_EST_CIQ" hidden="1">"c4735"</definedName>
    <definedName name="IQ_EPS_REPORTED_STDDEV_EST_REUT" hidden="1">"c5401"</definedName>
    <definedName name="IQ_EPS_REPORTED_STDDEV_EST_THOM" hidden="1">"c5145"</definedName>
    <definedName name="IQ_EPS_SBC_ACT_OR_EST" hidden="1">"c4376"</definedName>
    <definedName name="IQ_EPS_SBC_ACT_OR_EST_CIQ" hidden="1">"c4901"</definedName>
    <definedName name="IQ_EPS_SBC_GW_ACT_OR_EST" hidden="1">"c4380"</definedName>
    <definedName name="IQ_EPS_SBC_GW_ACT_OR_EST_CIQ" hidden="1">"c4905"</definedName>
    <definedName name="IQ_EPS_STDDEV_EST" hidden="1">"c403"</definedName>
    <definedName name="IQ_EPS_STDDEV_EST_CIQ" hidden="1">"c4993"</definedName>
    <definedName name="IQ_EPS_STDDEV_EST_REUT" hidden="1">"c5452"</definedName>
    <definedName name="IQ_EPS_STDDEV_EST_THOM" hidden="1">"c5289"</definedName>
    <definedName name="IQ_EQUITY_AFFIL" hidden="1">"c1451"</definedName>
    <definedName name="IQ_EQUITY_AP" hidden="1">"c8887"</definedName>
    <definedName name="IQ_EQUITY_AP_ABS" hidden="1">"c8906"</definedName>
    <definedName name="IQ_EQUITY_CAPITAL_ASSETS_FDIC" hidden="1">"c6744"</definedName>
    <definedName name="IQ_EQUITY_FDIC" hidden="1">"c6353"</definedName>
    <definedName name="IQ_EQUITY_METHOD" hidden="1">"c404"</definedName>
    <definedName name="IQ_EQUITY_NAME_AP" hidden="1">"c8925"</definedName>
    <definedName name="IQ_EQUITY_NAME_AP_ABS" hidden="1">"c8944"</definedName>
    <definedName name="IQ_EQUITY_SECURITIES_FDIC" hidden="1">"c6304"</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CIQ" hidden="1">"c4729"</definedName>
    <definedName name="IQ_EST_ACT_EPS_GW_REUT" hidden="1">"c5395"</definedName>
    <definedName name="IQ_EST_ACT_EPS_GW_THOM" hidden="1">"c5139"</definedName>
    <definedName name="IQ_EST_ACT_EPS_NORM" hidden="1">"c2232"</definedName>
    <definedName name="IQ_EST_ACT_EPS_NORM_CIQ" hidden="1">"c4673"</definedName>
    <definedName name="IQ_EST_ACT_EPS_NORM_REUT" hidden="1">"c5332"</definedName>
    <definedName name="IQ_EST_ACT_EPS_REPORTED" hidden="1">"c1750"</definedName>
    <definedName name="IQ_EST_ACT_EPS_REPORTED_CIQ" hidden="1">"c4736"</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CIQ" hidden="1">"c4769"</definedName>
    <definedName name="IQ_EST_CURRENCY_REUT" hidden="1">"c5437"</definedName>
    <definedName name="IQ_EST_CURRENCY_THOM" hidden="1">"c5280"</definedName>
    <definedName name="IQ_EST_DATE" hidden="1">"c1634"</definedName>
    <definedName name="IQ_EST_DATE_CIQ" hidden="1">"c4770"</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CIQ" hidden="1">"c3628"</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CIQ" hidden="1">"c3615"</definedName>
    <definedName name="IQ_EST_EPS_GROWTH_5YR_HIGH" hidden="1">"c1657"</definedName>
    <definedName name="IQ_EST_EPS_GROWTH_5YR_HIGH_CIQ" hidden="1">"c4663"</definedName>
    <definedName name="IQ_EST_EPS_GROWTH_5YR_HIGH_THOM" hidden="1">"c5101"</definedName>
    <definedName name="IQ_EST_EPS_GROWTH_5YR_LOW" hidden="1">"c1658"</definedName>
    <definedName name="IQ_EST_EPS_GROWTH_5YR_LOW_CIQ" hidden="1">"c4664"</definedName>
    <definedName name="IQ_EST_EPS_GROWTH_5YR_LOW_THOM" hidden="1">"c5102"</definedName>
    <definedName name="IQ_EST_EPS_GROWTH_5YR_MEDIAN" hidden="1">"c1656"</definedName>
    <definedName name="IQ_EST_EPS_GROWTH_5YR_MEDIAN_CIQ" hidden="1">"c5480"</definedName>
    <definedName name="IQ_EST_EPS_GROWTH_5YR_MEDIAN_THOM" hidden="1">"c5100"</definedName>
    <definedName name="IQ_EST_EPS_GROWTH_5YR_NUM" hidden="1">"c1659"</definedName>
    <definedName name="IQ_EST_EPS_GROWTH_5YR_NUM_CIQ" hidden="1">"c4665"</definedName>
    <definedName name="IQ_EST_EPS_GROWTH_5YR_NUM_THOM" hidden="1">"c5103"</definedName>
    <definedName name="IQ_EST_EPS_GROWTH_5YR_REUT" hidden="1">"c3633"</definedName>
    <definedName name="IQ_EST_EPS_GROWTH_5YR_STDDEV" hidden="1">"c1660"</definedName>
    <definedName name="IQ_EST_EPS_GROWTH_5YR_STDDEV_CIQ" hidden="1">"c4666"</definedName>
    <definedName name="IQ_EST_EPS_GROWTH_5YR_STDDEV_THOM" hidden="1">"c5104"</definedName>
    <definedName name="IQ_EST_EPS_GROWTH_5YR_THOM" hidden="1">"c3651"</definedName>
    <definedName name="IQ_EST_EPS_GROWTH_Q_1YR" hidden="1">"c1641"</definedName>
    <definedName name="IQ_EST_EPS_GROWTH_Q_1YR_CIQ" hidden="1">"c4744"</definedName>
    <definedName name="IQ_EST_EPS_GROWTH_Q_1YR_REUT" hidden="1">"c5410"</definedName>
    <definedName name="IQ_EST_EPS_GROWTH_Q_1YR_THOM" hidden="1">"c5155"</definedName>
    <definedName name="IQ_EST_EPS_GW_DIFF" hidden="1">"c1891"</definedName>
    <definedName name="IQ_EST_EPS_GW_DIFF_CIQ" hidden="1">"c4761"</definedName>
    <definedName name="IQ_EST_EPS_GW_DIFF_REUT" hidden="1">"c5429"</definedName>
    <definedName name="IQ_EST_EPS_GW_DIFF_THOM" hidden="1">"c5200"</definedName>
    <definedName name="IQ_EST_EPS_GW_SURPRISE_PERCENT" hidden="1">"c1892"</definedName>
    <definedName name="IQ_EST_EPS_GW_SURPRISE_PERCENT_CIQ" hidden="1">"c4762"</definedName>
    <definedName name="IQ_EST_EPS_GW_SURPRISE_PERCENT_REUT" hidden="1">"c5430"</definedName>
    <definedName name="IQ_EST_EPS_GW_SURPRISE_PERCENT_THOM" hidden="1">"c5201"</definedName>
    <definedName name="IQ_EST_EPS_NORM_DIFF" hidden="1">"c2247"</definedName>
    <definedName name="IQ_EST_EPS_NORM_DIFF_CIQ" hidden="1">"c4745"</definedName>
    <definedName name="IQ_EST_EPS_NORM_DIFF_REUT" hidden="1">"c5411"</definedName>
    <definedName name="IQ_EST_EPS_NORM_SURPRISE_PERCENT" hidden="1">"c2248"</definedName>
    <definedName name="IQ_EST_EPS_NORM_SURPRISE_PERCENT_CIQ" hidden="1">"c4746"</definedName>
    <definedName name="IQ_EST_EPS_NORM_SURPRISE_PERCENT_REUT" hidden="1">"c5412"</definedName>
    <definedName name="IQ_EST_EPS_REPORT_DIFF" hidden="1">"c1893"</definedName>
    <definedName name="IQ_EST_EPS_REPORT_DIFF_CIQ" hidden="1">"c4763"</definedName>
    <definedName name="IQ_EST_EPS_REPORT_DIFF_REUT" hidden="1">"c5431"</definedName>
    <definedName name="IQ_EST_EPS_REPORT_DIFF_THOM" hidden="1">"c5202"</definedName>
    <definedName name="IQ_EST_EPS_REPORT_SURPRISE_PERCENT" hidden="1">"c1894"</definedName>
    <definedName name="IQ_EST_EPS_REPORT_SURPRISE_PERCENT_CIQ" hidden="1">"c4764"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S_AP" hidden="1">"c8875"</definedName>
    <definedName name="IQ_EXPENSES_AP_ABS" hidden="1">"c8894"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_UNUSED_UNUSED" hidden="1">"c8401"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 hidden="1">"c11931"</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 hidden="1">"c11932"</definedName>
    <definedName name="IQ_EXPORTS_GOODS_REAL_SAAR_YOY_FC_UNUSED_UNUSED_UNUSED" hidden="1">"c8292"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_UNUSED_UNUSED" hidden="1">"c7961"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 hidden="1">"c11935"</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 hidden="1">"c11936"</definedName>
    <definedName name="IQ_EXPORTS_SERVICES_REAL_SAAR_YOY_FC_UNUSED_UNUSED_UNUSED" hidden="1">"c8296"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"c1459"</definedName>
    <definedName name="IQ_EXTRAORDINARY_GAINS_FDIC" hidden="1">"c6586"</definedName>
    <definedName name="IQ_FAD" hidden="1">"c8757"</definedName>
    <definedName name="IQ_FAD_PAYOUT_RATIO" hidden="1">"c8872"</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ADJ_ACT_OR_EST_CIQ" hidden="1">"c4960"</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PER_SHARE_BASIC" hidden="1">"c8867"</definedName>
    <definedName name="IQ_FFO_PER_SHARE_DILUTED" hidden="1">"c8868"</definedName>
    <definedName name="IQ_FFO_SHARE_ACT_OR_EST" hidden="1">"c4446"</definedName>
    <definedName name="IQ_FFO_SHARE_ACT_OR_EST_CIQ" hidden="1">"c4971"</definedName>
    <definedName name="IQ_FFO_STDDEV_EST" hidden="1">"c422"</definedName>
    <definedName name="IQ_FFO_STDDEV_EST_THOM" hidden="1">"c4004"</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"c1405"</definedName>
    <definedName name="IQ_FINANCING_CASH_SUPPL" hidden="1">"c1406"</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REUT" hidden="1">"c6798"</definedName>
    <definedName name="IQ_FISCAL_Q_EST_THOM" hidden="1">"c6802"</definedName>
    <definedName name="IQ_FISCAL_Y" hidden="1">"c441"</definedName>
    <definedName name="IQ_FISCAL_Y_EST" hidden="1">"c6795"</definedName>
    <definedName name="IQ_FISCAL_Y_EST_CIQ" hidden="1">"c6807"</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_UNUSED_UNUSED" hidden="1">"c8298"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X_CONTRACTS_FDIC" hidden="1">"c6517"</definedName>
    <definedName name="IQ_FX_CONTRACTS_SPOT_FDIC" hidden="1">"c6356"</definedName>
    <definedName name="IQ_FY" hidden="1">1000</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SALE_ASSETS_FDIC" hidden="1">"c6675"</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EXP_CASINO" hidden="1">"c8733"</definedName>
    <definedName name="IQ_HG_EXP_DEVELOPMENT" hidden="1">"c8738"</definedName>
    <definedName name="IQ_HG_EXP_ENTERTAINMENT" hidden="1">"c8736"</definedName>
    <definedName name="IQ_HG_EXP_FOOD_BEV" hidden="1">"c8734"</definedName>
    <definedName name="IQ_HG_EXP_FRANCHISE_MANAGEMENT" hidden="1">"c8744"</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INCENTIVE_MANAGEMENT_FEES" hidden="1">"c8727"</definedName>
    <definedName name="IQ_HG_REV_MANAGEMENT_FEES" hidden="1">"c8718"</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PROM_COSTS" hidden="1">"c8745"</definedName>
    <definedName name="IQ_HG_ROOMS_BEG" hidden="1">"c8600"</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"c8643"</definedName>
    <definedName name="IQ_HG_TABLE_GAMES_MANAGED" hidden="1">"c8644"</definedName>
    <definedName name="IQ_HG_TABLE_GAMES_OWNED" hidden="1">"c8642"</definedName>
    <definedName name="IQ_HG_TABLE_GAM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TARGET_PRICE" hidden="1">"c1651"</definedName>
    <definedName name="IQ_HIGH_TARGET_PRICE_CIQ" hidden="1">"c4659"</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IR_OIL" hidden="1">"c547"</definedName>
    <definedName name="IQ_IMPAIRMENT_GW" hidden="1">"c548"</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 hidden="1">"c11959"</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_UNUSED_UNUSED" hidden="1">"c8304"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_UNUSED_UNUSED" hidden="1">"c8209"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_DEPOSITS" hidden="1">"c89"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EARING_DEPOSITS" hidden="1">"c1166"</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"c1407"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CIQ" hidden="1">"c4660"</definedName>
    <definedName name="IQ_LOW_TARGET_PRICE_REUT" hidden="1">"c5318"</definedName>
    <definedName name="IQ_LOW_TARGET_PRICE_THOM" hidden="1">"c5097"</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 hidden="1">"c4458"</definedName>
    <definedName name="IQ_MAINT_CAPEX_ACT_OR_EST_CIQ" hidden="1">"c4987"</definedName>
    <definedName name="IQ_MAINT_REPAIR" hidden="1">"c2087"</definedName>
    <definedName name="IQ_MAKE_WHOLE_END_DATE" hidden="1">"c2493"</definedName>
    <definedName name="IQ_MAKE_WHOLE_SPREAD" hidden="1">"c2494"</definedName>
    <definedName name="IQ_MAKE_WHOLE_START_DATE" hidden="1">"c2492"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DAYS_CLAIMS_PAYABLE" hidden="1">"c9937"</definedName>
    <definedName name="IQ_MC_DAYS_CLAIMS_PAYABLE_EXCL_CAPITATION" hidden="1">"c9938"</definedName>
    <definedName name="IQ_MC_MEDICAL_COSTS_PMPM" hidden="1">"c9925"</definedName>
    <definedName name="IQ_MC_PARENT_CASH" hidden="1">"c9942"</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TATUTORY_SURPLUS" hidden="1">"c2772"</definedName>
    <definedName name="IQ_MC_TOTAL_COVERED_LIVES" hidden="1">"c9919"</definedName>
    <definedName name="IQ_MC_TOTAL_MEMBERSHIP" hidden="1">"c9922"</definedName>
    <definedName name="IQ_MC_TOTAL_MEMBERSHIP_CAPITATION" hidden="1">"c9923"</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CIQ" hidden="1">"c4658"</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ULTIFAMILY_RESIDENTIAL_LOANS_FDIC" hidden="1">"c6311"</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BEFORE_CAPITALIZED" hidden="1">"c792"</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ACT_OR_EST_CIQ" hidden="1">"c5012"</definedName>
    <definedName name="IQ_NI_SBC_GW_ACT_OR_EST" hidden="1">"c4478"</definedName>
    <definedName name="IQ_NI_SBC_GW_ACT_OR_EST_CIQ" hidden="1">"c5016"</definedName>
    <definedName name="IQ_NI_SFAS" hidden="1">"c795"</definedName>
    <definedName name="IQ_NI_STDDEV_EST" hidden="1">"c1721"</definedName>
    <definedName name="IQ_NI_STDDEV_EST_THOM" hidden="1">"c5131"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BEARING_DEPOSITS" hidden="1">"c800"</definedName>
    <definedName name="IQ_NON_INT_EXP" hidden="1">"c801"</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_UNUSED_UNUSED" hidden="1">"c8248"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ANCY_CONSOL" hidden="1">"c8840"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"c10073"</definedName>
    <definedName name="IQ_OG_DAILY_PRDUCTION_GROWTH_GAS_EQUIVALENT" hidden="1">"c10076"</definedName>
    <definedName name="IQ_OG_DAILY_PRDUCTION_GROWTH_NGL" hidden="1">"c10074"</definedName>
    <definedName name="IQ_OG_DAILY_PRDUCTION_GROWTH_OIL" hidden="1">"c10072"</definedName>
    <definedName name="IQ_OG_DAILY_PR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TOTAL_WELLS_DRILLED" hidden="1">"c10096"</definedName>
    <definedName name="IQ_OG_GROSS_OPERATED_WELLS" hidden="1">"c10092"</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"c10067"</definedName>
    <definedName name="IQ_OG_PRDUCTION_GROWTH_GAS_EQUIVALENT" hidden="1">"c10070"</definedName>
    <definedName name="IQ_OG_PRDUCTION_GROWTH_NGL" hidden="1">"c10068"</definedName>
    <definedName name="IQ_OG_PRDUCTION_GROWTH_OIL" hidden="1">"c10066"</definedName>
    <definedName name="IQ_OG_PRDUCTION_GROWTH_OIL_EQUIVALENT" hidden="1">"c10069"</definedName>
    <definedName name="IQ_OG_PRDUCTION_GROWTH_TOAL" hidden="1">"c10071"</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"c1448"</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DJUSTMENTS_COVERED" hidden="1">"c9961"</definedName>
    <definedName name="IQ_OTHER_ADJUSTMENTS_GROUP" hidden="1">"c9947"</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PROP" hidden="1">"c8764"</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OOMS" hidden="1">"c8788"</definedName>
    <definedName name="IQ_OTHER_SAVINGS_DEPOSITS_FDIC" hidden="1">"c6554"</definedName>
    <definedName name="IQ_OTHER_SQ_FT" hidden="1">"c8780"</definedName>
    <definedName name="IQ_OTHER_STRIKE_PRICE_GRANTED" hidden="1">"c2692"</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localSheetId="6" hidden="1">"c2127"</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RTNERSHIP_INC_RE" hidden="1">"c12039"</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"c1414"</definedName>
    <definedName name="IQ_PERIODDATE_AP" hidden="1">"c11745"</definedName>
    <definedName name="IQ_PERIODDATE_BS" hidden="1">"c1032"</definedName>
    <definedName name="IQ_PERIODDATE_CF" hidden="1">"c1033"</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"c10027"</definedName>
    <definedName name="IQ_PHARMBIO_NUMBER_PROD__CLINICAL_DEV" hidden="1">"c10022"</definedName>
    <definedName name="IQ_PHARMBIO_NUMBER_PROD__LAUNCHED_DURING_PERIOD" hidden="1">"c10028"</definedName>
    <definedName name="IQ_PHARMBIO_NUMBER_PROD__PHASE_I" hidden="1">"c10023"</definedName>
    <definedName name="IQ_PHARMBIO_NUMBER_PROD__PHASE_II" hidden="1">"c10024"</definedName>
    <definedName name="IQ_PHARMBIO_NUMBER_PROD__PHASE_III" hidden="1">"c10025"</definedName>
    <definedName name="IQ_PHARMBIO_NUMBER_PROD__PRE_CLINICAL_TRIALS" hidden="1">"c10021"</definedName>
    <definedName name="IQ_PHARMBIO_NUMBER_PROD__PRE_REGISTRATION" hidden="1">"c10026"</definedName>
    <definedName name="IQ_PHARMBIO_NUMBER_PROD__RESEARCH_DEV" hidden="1">"c10020"</definedName>
    <definedName name="IQ_PHARMBIO_NUMBER_PROD_DISCOVERY_RESEARCH" hidden="1">"c10019"</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TOT" hidden="1">"c1415"</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"c1412"</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CIQ" hidden="1">"c3613"</definedName>
    <definedName name="IQ_PRICE_TARGET_REUT" hidden="1">"c3631"</definedName>
    <definedName name="IQ_PRICE_TARGET_THOM" hidden="1">"c3649"</definedName>
    <definedName name="IQ_PRICEDATE" hidden="1">"c1069"</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FESSIONAL" hidden="1">"c1071"</definedName>
    <definedName name="IQ_PROFESSIONAL_TITLE" hidden="1">"c1072"</definedName>
    <definedName name="IQ_PROFIT_AFTER_COST_CAPITAL_NEW_BUSINESS" hidden="1">"c9969"</definedName>
    <definedName name="IQ_PROFIT_BEFORE_COST_CAPITAL_NEW_BUSINESS" hidden="1">"c9967"</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PV_PREMIUMS_NEW_BUSINESS" hidden="1">"c9973"</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DEPR_AMORT" hidden="1">"c8750"</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GAIN_LOSS_SALE_ASSETS" hidden="1">"c8751"</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ACT_OR_EST_CIQ" hidden="1">"c5045"</definedName>
    <definedName name="IQ_RECURRING_PROFIT_SHARE_ACT_OR_EST" hidden="1">"c4508"</definedName>
    <definedName name="IQ_RECURRING_PROFIT_SHARE_ACT_OR_EST_CIQ" hidden="1">"c5046"</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"c2895"</definedName>
    <definedName name="IQ_RETAIL_ACQUIRED_OWNED_STORES" hidden="1">"c2903"</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SALES" hidden="1">"c7003"</definedName>
    <definedName name="IQ_RETAIL_SALES_APR" hidden="1">"c7663"</definedName>
    <definedName name="IQ_RETAIL_SALES_APR_FC" hidden="1">"c8543"</definedName>
    <definedName name="IQ_RETAIL_SALES_CATALOG" hidden="1">"c9903"</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"c9904"</definedName>
    <definedName name="IQ_RETAIL_SALES_POP" hidden="1">"c7223"</definedName>
    <definedName name="IQ_RETAIL_SALES_POP_FC" hidden="1">"c8103"</definedName>
    <definedName name="IQ_RETAIL_SALES_RETAIL" hidden="1">"c9902"</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NED_EARN" hidden="1">"c1420"</definedName>
    <definedName name="IQ_RETAINED_EARNINGS_AVERAGE_EQUITY_FDIC" hidden="1">"c6733"</definedName>
    <definedName name="IQ_RETURN_ASSETS" hidden="1">"c1113"</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MBEDDED_VALUE" hidden="1">"c9974"</definedName>
    <definedName name="IQ_RETURN_EQUITY" hidden="1">"c1118"</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NAME_AP" hidden="1">"c8911"</definedName>
    <definedName name="IQ_REV_NAME_AP_ABS" hidden="1">"c8930"</definedName>
    <definedName name="IQ_REV_STDDEV_EST" hidden="1">"c1124"</definedName>
    <definedName name="IQ_REV_STDDEV_EST_CIQ" hidden="1">"c3621"</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"c1422"</definedName>
    <definedName name="IQ_REVENUE_ACT_OR_EST" hidden="1">"c2214"</definedName>
    <definedName name="IQ_REVENUE_ACT_OR_EST_CIQ" hidden="1">"c5059"</definedName>
    <definedName name="IQ_REVENUE_ACT_OR_EST_THOM" hidden="1">"c5299"</definedName>
    <definedName name="IQ_REVENUE_EST" hidden="1">"c1126"</definedName>
    <definedName name="IQ_REVENUE_EST_CIQ" hidden="1">"c3616"</definedName>
    <definedName name="IQ_REVENUE_EST_REUT" hidden="1">"c3634"</definedName>
    <definedName name="IQ_REVENUE_EST_THOM" hidden="1">"c3652"</definedName>
    <definedName name="IQ_REVENUE_HIGH_EST" hidden="1">"c1127"</definedName>
    <definedName name="IQ_REVENUE_HIGH_EST_CIQ" hidden="1">"c3618"</definedName>
    <definedName name="IQ_REVENUE_HIGH_EST_REUT" hidden="1">"c3636"</definedName>
    <definedName name="IQ_REVENUE_HIGH_EST_THOM" hidden="1">"c3654"</definedName>
    <definedName name="IQ_REVENUE_LOW_EST" hidden="1">"c1128"</definedName>
    <definedName name="IQ_REVENUE_LOW_EST_CIQ" hidden="1">"c3619"</definedName>
    <definedName name="IQ_REVENUE_LOW_EST_REUT" hidden="1">"c3637"</definedName>
    <definedName name="IQ_REVENUE_LOW_EST_THOM" hidden="1">"c3655"</definedName>
    <definedName name="IQ_REVENUE_MEDIAN_EST" hidden="1">"c1662"</definedName>
    <definedName name="IQ_REVENUE_MEDIAN_EST_CIQ" hidden="1">"c3617"</definedName>
    <definedName name="IQ_REVENUE_MEDIAN_EST_REUT" hidden="1">"c3635"</definedName>
    <definedName name="IQ_REVENUE_MEDIAN_EST_THOM" hidden="1">"c3653"</definedName>
    <definedName name="IQ_REVENUE_NUM_EST" hidden="1">"c1129"</definedName>
    <definedName name="IQ_REVENUE_NUM_EST_CIQ" hidden="1">"c3620"</definedName>
    <definedName name="IQ_REVENUE_NUM_EST_REUT" hidden="1">"c3638"</definedName>
    <definedName name="IQ_REVENUE_NUM_EST_THOM" hidden="1">"c3656"</definedName>
    <definedName name="IQ_REVISION_DATE_" localSheetId="5" hidden="1">39489.6256597222</definedName>
    <definedName name="IQ_REVISION_DATE_" localSheetId="6" hidden="1">39734.3457291667</definedName>
    <definedName name="IQ_REVISION_DATE_" localSheetId="7" hidden="1">39489.6256597222</definedName>
    <definedName name="IQ_REVISION_DATE_" hidden="1">39489.6256597222</definedName>
    <definedName name="IQ_RISK_ADJ_BANK_ASSETS" hidden="1">"c2670"</definedName>
    <definedName name="IQ_RISK_WEIGHTED_ASSETS_FDIC" hidden="1">"c6370"</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CIQ" hidden="1">"c4661"</definedName>
    <definedName name="IQ_TARGET_PRICE_NUM_REUT" hidden="1">"c5319"</definedName>
    <definedName name="IQ_TARGET_PRICE_NUM_THOM" hidden="1">"c5098"</definedName>
    <definedName name="IQ_TARGET_PRICE_STDDEV" hidden="1">"c1654"</definedName>
    <definedName name="IQ_TARGET_PRICE_STDDEV_CIQ" hidden="1">"c4662"</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NON_CURRENT" hidden="1">"c6191"</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SUBTOTAL_AP" hidden="1">"c8989"</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ISK_BASED_CAPITAL_RATIO_FDIC" hidden="1">"c6747"</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CONSOL_BEDS" hidden="1">"c8783"</definedName>
    <definedName name="IQ_UNCONSOL_PROP" hidden="1">"c8762"</definedName>
    <definedName name="IQ_UNCONSOL_ROOMS" hidden="1">"c8787"</definedName>
    <definedName name="IQ_UNCONSOL_SQ_FT" hidden="1">"c8778"</definedName>
    <definedName name="IQ_UNCONSOL_UNITS" hidden="1">"c8770"</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localSheetId="6" hidden="1">"c2104"</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sColHidden" hidden="1">FALSE</definedName>
    <definedName name="IsLTMColHidden" hidden="1">FALSE</definedName>
    <definedName name="j">[0]!j</definedName>
    <definedName name="jhiuh" hidden="1">{"'RCIM'!$E$128"}</definedName>
    <definedName name="joimnf" hidden="1">{"'RCIM'!$E$128"}</definedName>
    <definedName name="KeepVersions" localSheetId="8">IndexInformation!$B$8</definedName>
    <definedName name="kw" hidden="1">{"fdsup://Directions/FactSet Auditing Viewer?action=AUDIT_VALUE&amp;DB=129&amp;ID1=03783310&amp;VALUEID=02001&amp;SDATE=2009&amp;PERIODTYPE=ANN_STD&amp;window=popup_no_bar&amp;width=385&amp;height=120&amp;START_MAXIMIZED=FALSE&amp;creator=factset&amp;display_string=Audit"}</definedName>
    <definedName name="L_\LIBRARY\LONG\FMC\Aug98\_fbpd_model1.xls_5_Year_DCF__07_28_98__10_03_AM">"DCF2"</definedName>
    <definedName name="L_\LIBRARY\LONG\FMC\Aug98\_fbpd_model1.xls_Combined__PF_BS__07_28_98__10_01_AM">"DCF1"</definedName>
    <definedName name="lamp">[0]!lamp</definedName>
    <definedName name="LanguageCode">IndexInformation!$B$38</definedName>
    <definedName name="LastCell" localSheetId="3">ImportantDisclosures!$A$22</definedName>
    <definedName name="Liabilities" localSheetId="5">CNW!$299:$299</definedName>
    <definedName name="LiabilitiesCurrentAccruedLiabilities">0</definedName>
    <definedName name="LiabilitiesCurrentNotesPayable">0</definedName>
    <definedName name="LiabilitiesDeferredIncomeTaxes">0</definedName>
    <definedName name="LiabilitiesOther">0</definedName>
    <definedName name="LiabilitiesUnamortizedInvestmentTaxCredits">0</definedName>
    <definedName name="limcount" hidden="1">2</definedName>
    <definedName name="Linking_1">Model!$A$1:$CC$220</definedName>
    <definedName name="Linking_10">Model!$A$1:$CC$264</definedName>
    <definedName name="Linking_2">Model!$A$1:$CC$297</definedName>
    <definedName name="Linking_3">Model!$A$1:$CC$263</definedName>
    <definedName name="Linking_7">Model!$A$3:$CC$220</definedName>
    <definedName name="Linking_8">Model!$A$1:$CC$298</definedName>
    <definedName name="Linking_Range_10" localSheetId="6">DCF!$B$4:$R$51</definedName>
    <definedName name="Linking_Range_17">DCF!$B$3:$R$51</definedName>
    <definedName name="Linking_Range_2">Model!$A$1:$BI$123</definedName>
    <definedName name="Linking_Range_29">DCF!$B$3:$Q$51</definedName>
    <definedName name="Linking_Range_3">Model!$A$1:$BI$218</definedName>
    <definedName name="Linking_Range_4">Model!$A$1:$BN$297</definedName>
    <definedName name="lisahuang">[0]!lisahuang</definedName>
    <definedName name="Load_Factor">CNW!$11:$11</definedName>
    <definedName name="LOH" localSheetId="5">CNW!$7:$7</definedName>
    <definedName name="LongTermDebt" localSheetId="5">CNW!$295:$295</definedName>
    <definedName name="ltdquarter" localSheetId="6"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ltdquarter"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MacroVersion" localSheetId="8">IndexInformation!$B$1</definedName>
    <definedName name="mfpoerjf" hidden="1">{"'RCIM'!$E$128"}</definedName>
    <definedName name="misc">1</definedName>
    <definedName name="misc2">1</definedName>
    <definedName name="ModelPrice" localSheetId="3">ImportantDisclosures!$A$14</definedName>
    <definedName name="Monthlies_title">#N/A</definedName>
    <definedName name="Multiplier" localSheetId="8">IndexInformation!$B$35</definedName>
    <definedName name="mvropemld" hidden="1">{"'RCIM'!$E$128"}</definedName>
    <definedName name="mwTaxrate2" localSheetId="6">0.36</definedName>
    <definedName name="mynameis">[0]!mynameis</definedName>
    <definedName name="Name" localSheetId="6">DCF!Name</definedName>
    <definedName name="ncowe" hidden="1">{"'RCIM'!$E$128"}</definedName>
    <definedName name="Net_Capex" localSheetId="5">CNW!$267:$267</definedName>
    <definedName name="nEW" localSheetId="6" hidden="1">{"Bell",#N/A,TRUE,"Earnings Model";"Cessna",#N/A,TRUE,"Earnings Model"}</definedName>
    <definedName name="nEW" hidden="1">{"Bell",#N/A,TRUE,"Earnings Model";"Cessna",#N/A,TRUE,"Earnings Model"}</definedName>
    <definedName name="NewName">"B45:G45"</definedName>
    <definedName name="newstuff">[0]!newstuff</definedName>
    <definedName name="NextYearEPS" localSheetId="8">IndexInformation!$B$13</definedName>
    <definedName name="NextYearTotalRevenue" localSheetId="8">IndexInformation!$B$12</definedName>
    <definedName name="NextYearTotalRevenueActual" localSheetId="8">IndexInformation!$B$33</definedName>
    <definedName name="NM">"NM"</definedName>
    <definedName name="Normalized_Income_Statement">"IS_Annual"</definedName>
    <definedName name="NvsASD">"V2000-09-08"</definedName>
    <definedName name="NvsAutoDrillOk">"VN"</definedName>
    <definedName name="NvsElapsedTime">0.000234143517445773</definedName>
    <definedName name="NvsEndTime">36707.2948738426</definedName>
    <definedName name="NvsInstSpec">"%,FMI_ALT_BU,TCA_ALTBU_CORPS,NCONSOLIDATING"</definedName>
    <definedName name="NvsLayoutType">"M3"</definedName>
    <definedName name="NvsNplSpec">"%,X,RZF..,CZF.."</definedName>
    <definedName name="NvsPanelEffdt">"V9999-01-01"</definedName>
    <definedName name="NvsPanelSetid">"VMIDIV"</definedName>
    <definedName name="NvsReqBU">"V52"</definedName>
    <definedName name="NvsReqBUOnly">"VN"</definedName>
    <definedName name="NvsTransLed">"VN"</definedName>
    <definedName name="NvsTreeASD">"V2000-09-08"</definedName>
    <definedName name="NvsValTbl.PRODUCT">"MI_GL_PRODCT_VW"</definedName>
    <definedName name="o" localSheetId="6" hidden="1">{"Pulp Production",#N/A,FALSE,"Pulp";"Pulp Earnings",#N/A,FALSE,"Pulp"}</definedName>
    <definedName name="o" hidden="1">{"Pulp Production",#N/A,FALSE,"Pulp";"Pulp Earnings",#N/A,FALSE,"Pulp"}</definedName>
    <definedName name="ObjectType">IndexInformation!$B$37</definedName>
    <definedName name="oldstuff">[0]!oldstuff</definedName>
    <definedName name="OpDay_printarea">#N/A</definedName>
    <definedName name="OperatingCashFlow" localSheetId="5">CNW!$259:$259</definedName>
    <definedName name="OpExAmortization">0</definedName>
    <definedName name="OpExBeforeDepreciationAmortizationExtraordinariesOther">0</definedName>
    <definedName name="OpExBeforeDepreciationAmortizationExtraordinariesTotal">0</definedName>
    <definedName name="OpExCostOfEquipment">0</definedName>
    <definedName name="OpExDepreciation">0</definedName>
    <definedName name="OpExGeneralAdministrative">0</definedName>
    <definedName name="OpExSellingMarketing">0</definedName>
    <definedName name="OpExTotal">0</definedName>
    <definedName name="OpMargin">#N/A</definedName>
    <definedName name="OtherExEquityIncome">0</definedName>
    <definedName name="OtherExGainOnSale">0</definedName>
    <definedName name="OtherExInterestIncome">0</definedName>
    <definedName name="OtherExMinorityInterest">0</definedName>
    <definedName name="OtherExTotal">0</definedName>
    <definedName name="PANA" localSheetId="9">ModPubIndex!$A$11</definedName>
    <definedName name="PathName" localSheetId="8">IndexInformation!$B$25</definedName>
    <definedName name="Pdate">35902</definedName>
    <definedName name="perc">{"0.85","0.875","0.9","0.925","0.95","0.975","1","1.025","1.05","1.075","1.1","1.125","1.15"}</definedName>
    <definedName name="Phase1NPVFCF">#N/A</definedName>
    <definedName name="Phase2NPVFCF">#N/A</definedName>
    <definedName name="Phase3NPVFCF">#N/A</definedName>
    <definedName name="phone">[0]!phone</definedName>
    <definedName name="pooling_Premium">25%</definedName>
    <definedName name="PreTaxIncome" localSheetId="5">CNW!$219:$219</definedName>
    <definedName name="price_date">36098</definedName>
    <definedName name="_xlnm.Print_Area" localSheetId="5">CNW!$A$1:$FU$309</definedName>
    <definedName name="_xlnm.Print_Area" localSheetId="6">DCF!$A$1:$R$51</definedName>
    <definedName name="_xlnm.Print_Area" localSheetId="4">Model!$A$1:$CY$298</definedName>
    <definedName name="_xlnm.Print_Area">#REF!</definedName>
    <definedName name="print_full" localSheetId="6">#N/A</definedName>
    <definedName name="print_full">[0]!val,[0]!INC,[0]!bal,[0]!Cash,[0]!int,[0]!assum1,[0]!assum2,[0]!dcf,[0]!_dcf1</definedName>
    <definedName name="print_full1" localSheetId="6">#N/A</definedName>
    <definedName name="print_full1">[0]!val,[0]!INC,[0]!bal,[0]!Cash,[0]!int,[0]!assum1,[0]!assum2,[0]!dcf</definedName>
    <definedName name="_xlnm.Print_Titles" localSheetId="5">CNW!$A:$A,CNW!$1:$2</definedName>
    <definedName name="_xlnm.Print_Titles" localSheetId="4">Model!$A:$A,Model!$1:$2</definedName>
    <definedName name="_xlnm.Print_Titles">#REF!</definedName>
    <definedName name="printareafull" localSheetId="6">#N/A</definedName>
    <definedName name="printareafull">[0]!val,[0]!INC,[0]!bal,[0]!Cash,[0]!int,[0]!assum1,[0]!assum2,[0]!dcf,[0]!_dcf1</definedName>
    <definedName name="printfull2" localSheetId="6">#N/A</definedName>
    <definedName name="printfull2">[0]!val,[0]!INC,[0]!bal,[0]!Cash,[0]!int,[0]!assum1,[0]!assum2,[0]!dcf</definedName>
    <definedName name="Proceeds_from_Sales" localSheetId="5">CNW!$261:$261</definedName>
    <definedName name="PRODUCT" localSheetId="9">ModPubIndex!$A$6</definedName>
    <definedName name="ProjectName" localSheetId="5">{"Client Name or Project Name"}</definedName>
    <definedName name="ProjectName" localSheetId="6">{"Client Name or Project Name"}</definedName>
    <definedName name="ProjectName" localSheetId="7">{"Client Name or Project Name"}</definedName>
    <definedName name="ProjectName">{"Client Name or Project Name"}</definedName>
    <definedName name="PSYM" localSheetId="9">ModPubIndex!$A$4</definedName>
    <definedName name="PUB_UserID" hidden="1">"MAYERX"</definedName>
    <definedName name="PublishDate" localSheetId="8">IndexInformation!$B$2</definedName>
    <definedName name="Purchase_Premium_A">25%</definedName>
    <definedName name="Purchase_Premium_B">0.25</definedName>
    <definedName name="q" localSheetId="6" hidden="1">{"Qtr Op Mgd Q2",#N/A,FALSE,"Qtr-Op (Mng)";"Qtr Op Rpt Q2",#N/A,FALSE,"Qtr-Op (Rpt)";"Operating Vs Reported",#N/A,FALSE,"Rpt-Op Inc"}</definedName>
    <definedName name="q" hidden="1">{"Qtr Op Mgd Q2",#N/A,FALSE,"Qtr-Op (Mng)";"Qtr Op Rpt Q2",#N/A,FALSE,"Qtr-Op (Rpt)";"Operating Vs Reported",#N/A,FALSE,"Rpt-Op Inc"}</definedName>
    <definedName name="qwefas" localSheetId="5" hidden="1">{"Income Stmt",#N/A,FALSE,"Model"}</definedName>
    <definedName name="qwefas" localSheetId="6" hidden="1">{"Income Stmt",#N/A,FALSE,"Model"}</definedName>
    <definedName name="qwefas" localSheetId="7" hidden="1">{"Income Stmt",#N/A,FALSE,"Model"}</definedName>
    <definedName name="qwefas" hidden="1">{"Income Stmt",#N/A,FALSE,"Model"}</definedName>
    <definedName name="Rating" localSheetId="8">IndexInformation!$B$9</definedName>
    <definedName name="RatingsDefined" localSheetId="3">ImportantDisclosures!$A$21</definedName>
    <definedName name="RatingsDefs" localSheetId="3">ImportantDisclosures!#REF!</definedName>
    <definedName name="redux">1</definedName>
    <definedName name="RegACDisclosure" localSheetId="3">ImportantDisclosures!#REF!</definedName>
    <definedName name="Rem_Bus_ROIC">OFFSET([0]!XRange,11,0)</definedName>
    <definedName name="rep" localSheetId="6" hidden="1">{#N/A,#N/A,FALSE,"COVER";#N/A,#N/A,FALSE,"VALUATION";#N/A,#N/A,FALSE,"FORECAST";#N/A,#N/A,FALSE,"FY ANALYSIS ";#N/A,#N/A,FALSE," HY ANALYSIS"}</definedName>
    <definedName name="rep" hidden="1">{#N/A,#N/A,FALSE,"COVER";#N/A,#N/A,FALSE,"VALUATION";#N/A,#N/A,FALSE,"FORECAST";#N/A,#N/A,FALSE,"FY ANALYSIS ";#N/A,#N/A,FALSE," HY ANALYSIS"}</definedName>
    <definedName name="RepairedName0135">"iQShowAnnual"</definedName>
    <definedName name="ResearchTopic" localSheetId="8">IndexInformation!$B$4</definedName>
    <definedName name="returns" hidden="1">{"Client is",#N/A,FALSE,"Client"}</definedName>
    <definedName name="RevenuesCellularEquipment">0</definedName>
    <definedName name="RevenuesCellularOther">0</definedName>
    <definedName name="RevenuesCellularService">0</definedName>
    <definedName name="RevenuesCellularTotal">0</definedName>
    <definedName name="RevenuesPagingEquipment">0</definedName>
    <definedName name="RevenuesPagingOther">0</definedName>
    <definedName name="RevenuesPagingService">0</definedName>
    <definedName name="RevenuesPagingTotal">0</definedName>
    <definedName name="RevenuesWirelessEquipment">0</definedName>
    <definedName name="RevenuesWirelessOther">0</definedName>
    <definedName name="RevenuesWirelessService">0</definedName>
    <definedName name="RIC" localSheetId="8">IndexInformation!$B$21</definedName>
    <definedName name="ROADproforma">[0]!ROADproforma</definedName>
    <definedName name="rrrrrrrr" hidden="1">{"'RCIM'!$E$128"}</definedName>
    <definedName name="sad">[0]!sad</definedName>
    <definedName name="ScenarioCharts">"Chart 15,Chart 16,Chart 17"</definedName>
    <definedName name="sd" hidden="1">{"EM",#N/A,FALSE,"EM";"EM_Quarterly",#N/A,FALSE,"EM";"BS",#N/A,FALSE,"BS";"CF",#N/A,FALSE,"CF"}</definedName>
    <definedName name="sds" hidden="1">{"EM",#N/A,FALSE,"EM";"EMQuarterly",#N/A,FALSE,"EM";"BS",#N/A,FALSE,"BS";"CF",#N/A,FALSE,"CF"}</definedName>
    <definedName name="SECSettlement" localSheetId="3">ImportantDisclosures!#REF!</definedName>
    <definedName name="sedol" localSheetId="6">2160753</definedName>
    <definedName name="SEDOL" localSheetId="8">IndexInformation!$B$22</definedName>
    <definedName name="sencount" hidden="1">2</definedName>
    <definedName name="SharesConvertibleSecurities">0</definedName>
    <definedName name="SharesFullyDiluted">0</definedName>
    <definedName name="SharesOptions">0</definedName>
    <definedName name="SharesOutstandingLatestDate">0</definedName>
    <definedName name="SharesOutstandingOther">0</definedName>
    <definedName name="SharesOutstandingSenior">0</definedName>
    <definedName name="SharesOutstandingSubordinate">0</definedName>
    <definedName name="SharesPrimary">0</definedName>
    <definedName name="SharesWarrants">0</definedName>
    <definedName name="ShortTermDebt" localSheetId="5">CNW!$289:$289</definedName>
    <definedName name="sName">[0]!sName</definedName>
    <definedName name="sName1">[0]!sName1</definedName>
    <definedName name="solver_lin" hidden="1">0</definedName>
    <definedName name="solver_num" hidden="1">0</definedName>
    <definedName name="solver_typ" hidden="1">3</definedName>
    <definedName name="solver_val" localSheetId="6" hidden="1">0.1076</definedName>
    <definedName name="solver_val" hidden="1">3729</definedName>
    <definedName name="SourceDefined" localSheetId="3">ImportantDisclosures!$A$19</definedName>
    <definedName name="spebdy" hidden="1">{"'RCIM'!$E$128"}</definedName>
    <definedName name="SPWS_WBID">"F1754E3C-8B33-11D3-B915-000086369788"</definedName>
    <definedName name="Statement" localSheetId="5">CNW!Statement</definedName>
    <definedName name="Statement" localSheetId="6">DCF!Statement</definedName>
    <definedName name="Statement" localSheetId="7">Fuel!Statement</definedName>
    <definedName name="Statement">[0]!Statement</definedName>
    <definedName name="StatsAccessLinesDomesticInternationalTotalAverage">0</definedName>
    <definedName name="StatsAccessLinesTotalAverage">0</definedName>
    <definedName name="StatsAverageMonthlyRevenue">0</definedName>
    <definedName name="StatsEmployeesConsolidatedInternational">0</definedName>
    <definedName name="StatsEmployeesTelephoneInternational">0</definedName>
    <definedName name="StatsPagingAverageMonthlyRevenue">0</definedName>
    <definedName name="StatsPagingSubscribers">0</definedName>
    <definedName name="StatsPenetration">0</definedName>
    <definedName name="StatsPOPS">0</definedName>
    <definedName name="StatsProportionatePenetration">0</definedName>
    <definedName name="StatsProportionatePOPS">0</definedName>
    <definedName name="StatsProportionateSubscribersAverage">0</definedName>
    <definedName name="StatsProportionateSubscribersBeginning">0</definedName>
    <definedName name="StatsProportionateSubscribersEnding">0</definedName>
    <definedName name="StatsProportionateSubscribersNetAdds">0</definedName>
    <definedName name="StatsSubscribersAverage">0</definedName>
    <definedName name="StatsSubscribersBeginning">0</definedName>
    <definedName name="StatsSubscribersEnding">0</definedName>
    <definedName name="StatsSubscribersNetAdds">0</definedName>
    <definedName name="stock" hidden="1">{"EM",#N/A,FALSE,"EM";"EM_Quarterly",#N/A,FALSE,"EM";"BS",#N/A,FALSE,"BS";"CF",#N/A,FALSE,"CF"}</definedName>
    <definedName name="stock1" hidden="1">{"EM",#N/A,FALSE,"EM";"EM_Quarterly",#N/A,FALSE,"EM";"BS",#N/A,FALSE,"BS";"CF",#N/A,FALSE,"CF"}</definedName>
    <definedName name="StockRating" localSheetId="3">ImportantDisclosures!$A$11</definedName>
    <definedName name="SubjectCode" localSheetId="8">IndexInformation!$B$6</definedName>
    <definedName name="SubmitterUserId">IndexInformation!$B$39</definedName>
    <definedName name="SUPPRESSED" localSheetId="9">ModPubIndex!$A$13</definedName>
    <definedName name="t" localSheetId="6"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t"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Target_Net_Debt">"targ_netdebt"</definedName>
    <definedName name="TargetPrice" localSheetId="3">ImportantDisclosures!$A$15</definedName>
    <definedName name="Tax_Rate" localSheetId="5">CNW!$220:$220</definedName>
    <definedName name="tax_rate" localSheetId="6">38%</definedName>
    <definedName name="Taxes">CNW!$221:$221</definedName>
    <definedName name="temp" hidden="1">{"assumptions",#N/A,FALSE,"Scenario 1";"valuation",#N/A,FALSE,"Scenario 1"}</definedName>
    <definedName name="temp2" hidden="1">{"assumptions",#N/A,FALSE,"Scenario 1";"valuation",#N/A,FALSE,"Scenario 1"}</definedName>
    <definedName name="TemplateRegion">IndexInformation!$B$36</definedName>
    <definedName name="This_Year">"1998E"</definedName>
    <definedName name="Ticker" localSheetId="3">ImportantDisclosures!$A$10</definedName>
    <definedName name="TickerRegion">IndexInformation!$B$41</definedName>
    <definedName name="Tickers" localSheetId="8">IndexInformation!$B$19</definedName>
    <definedName name="Total_Bus_ROIC">OFFSET([0]!XRange,12,0)</definedName>
    <definedName name="Total_Current_Assets" localSheetId="5">CNW!$283:$283</definedName>
    <definedName name="Total_Current_Liabilities" localSheetId="5">CNW!$294:$294</definedName>
    <definedName name="Total_Shipments">CNW!$58:$58</definedName>
    <definedName name="trEdate" localSheetId="6">"0FY"</definedName>
    <definedName name="TRW" localSheetId="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TRW"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unsure2" hidden="1">{"ALL",#N/A,FALSE,"PRICES";"ALL",#N/A,FALSE,"RESULTS";#N/A,#N/A,FALSE,"SECTOR - 1 ";"ALL",#N/A,FALSE,"SECTOR - 2";"ALL",#N/A,FALSE,"SECTOR -3";"ALL",#N/A,FALSE,"SECTOR 4";"ALL",#N/A,FALSE,"SECTOR 5";"ALL",#N/A,FALSE,"SECTOR 6";"ALL",#N/A,FALSE,"SECTOR 7";"TOP",#N/A,FALSE,"PERATIOS";"BOTTOM",#N/A,FALSE,"PERATIOS";"P AND L",#N/A,FALSE,"AMEC";"FRONT",#N/A,FALSE,"AMEC";"CASH AND VAL",#N/A,FALSE,"AMEC";"FRONT",#N/A,FALSE,"BARRATT";"P AND L",#N/A,FALSE,"BARRATT";"CASH AND MODEL",#N/A,FALSE,"BARRATT";"VALUATION",#N/A,FALSE,"BARRATT";"P AND L",#N/A,FALSE,"BEAZER";"VAL AND MODELS",#N/A,FALSE,"BEAZER";"FRONT",#N/A,FALSE,"BELLWAY";"P AND L",#N/A,FALSE,"BELLWAY";"CASH AND HOUSE",#N/A,FALSE,"BELLWAY";"FRONT",#N/A,FALSE,"BERKLY";"P AND L",#N/A,FALSE,"BERKLY";"CASH AND HOUSE",#N/A,FALSE,"BERKLY";"VALUATION",#N/A,FALSE,"BERKLY";"FRONT",#N/A,FALSE,"BRYANT";"P AND L",#N/A,FALSE,"BRYANT";"CASH AND OTHER",#N/A,FALSE,"BRYANT";"VAL AND OTHER",#N/A,FALSE,"BRYANT";"FRONT",#N/A,FALSE,"COSTAIN";"P AND L",#N/A,FALSE,"COSTAIN";"CASH AND VAL",#N/A,FALSE,"COSTAIN";"FRONT",#N/A,FALSE,"HEWDEN ST";"P AND L",#N/A,FALSE,"HEWDEN ST";"CASH AND VAL",#N/A,FALSE,"HEWDEN ST";"FRONT",#N/A,FALSE,"LAING";"P AND L",#N/A,FALSE,"LAING";"CASH AND VAL",#N/A,FALSE,"LAING";"MODELS",#N/A,FALSE,"LAING";"P AND L",#N/A,FALSE,"MORRISON";"CASH AND VAL",#N/A,FALSE,"MORRISON";"FRONT",#N/A,FALSE,"MCALP";"P AND L",#N/A,FALSE,"MCALP";"CASH AND VAL",#N/A,FALSE,"MCALP";"DIVISIONS",#N/A,FALSE,"MCALP";"FRONT",#N/A,FALSE,"MOWLM";"P AND L",#N/A,FALSE,"MOWLM";"CASH AND VAL",#N/A,FALSE,"MOWLM";"MODELS",#N/A,FALSE,"MOWLM";"FRONT",#N/A,FALSE,"PERSIMMON";"P AND L",#N/A,FALSE,"PERSIMMON";"CASH",#N/A,FALSE,"PERSIMMON";"VALUATION",#N/A,FALSE,"PERSIMMON";"FRONT",#N/A,FALSE,"RAINE";"P AND L",#N/A,FALSE,"RAINE";"CASH AND VAL",#N/A,FALSE,"RAINE";"MODELS",#N/A,FALSE,"RAINE";"FRONT",#N/A,FALSE,"REDROW";"P AND L",#N/A,FALSE,"REDROW";"CASH",#N/A,FALSE,"REDROW";"VALUATION",#N/A,FALSE,"REDROW";"FRONT",#N/A,FALSE,"TAY. WOOD.";"P AND L",#N/A,FALSE,"TAY. WOOD.";"CASH AND VAL",#N/A,FALSE,"TAY. WOOD.";"MODELS",#N/A,FALSE,"TAY. WOOD.";"FRONT",#N/A,FALSE,"WAIN";"P AND L",#N/A,FALSE,"WAIN";"CASH",#N/A,FALSE,"WAIN";"VALUATION",#N/A,FALSE,"WAIN";"FRONT",#N/A,FALSE,"WILSON B";"P AND L",#N/A,FALSE,"WILSON B";"CASH AND MODEL",#N/A,FALSE,"WILSON B";"FRONT",#N/A,FALSE,"WIMPEY";"P AND L",#N/A,FALSE,"WIMPEY";"CASH AND VAL",#N/A,FALSE,"WIMPEY";"MODELS",#N/A,FALSE,"WIMPEY";"FRONT",#N/A,FALSE,"GLEESON";"PROFIT AND LOSS",#N/A,FALSE,"GLEESON";"CASHFLOW",#N/A,FALSE,"GLEESON";"BREAKDOWN",#N/A,FALSE,"GLEESON";"FRONT",#N/A,FALSE,"MORRISON";"VALUATION",#N/A,FALSE,"MORRISON";"HALFANALYSIS",#N/A,FALSE,"MORRISON";"ASSETVAL",#N/A,FALSE,"WILCON";"CASHMODEL",#N/A,FALSE,"WILCON";"FRONT",#N/A,FALSE,"WILCON";"PANDL",#N/A,FALSE,"WILCON";"VALUATION",#N/A,FALSE,"WILCON"}</definedName>
    <definedName name="unsure3" hidden="1">{"FRONT (MCALP)",#N/A,TRUE,"MCALP";"P AND L (MCALP)",#N/A,TRUE,"MCALP";"CASH AND VAL (MCALP)",#N/A,TRUE,"MCALP";"DIVISIONS (MCALP)",#N/A,TRUE,"MCALP";"SUMPART (MCALP)",#N/A,TRUE,"MCALP"}</definedName>
    <definedName name="UpdateReason" localSheetId="8">IndexInformation!$B$17</definedName>
    <definedName name="USRegDisclosures" localSheetId="3">ImportantDisclosures!#REF!</definedName>
    <definedName name="UTIW_EXPD" hidden="1">{"EM",#N/A,FALSE,"EM";"EM_Quarterly",#N/A,FALSE,"EM";"BS",#N/A,FALSE,"BS";"CF",#N/A,FALSE,"CF"}</definedName>
    <definedName name="ValuationAdjustmentsOther">0</definedName>
    <definedName name="ValuationAdjustmentsValue">0</definedName>
    <definedName name="ValuationCellularValue">0</definedName>
    <definedName name="ValuationDebtAdjustment">0</definedName>
    <definedName name="ValuationDebtNet">0</definedName>
    <definedName name="ValuationDebtTotal">0</definedName>
    <definedName name="ValuationFirmValue">0</definedName>
    <definedName name="ValuationInvestments">0</definedName>
    <definedName name="ValuationMarketCapitalization">0</definedName>
    <definedName name="ValuationOtherValue">0</definedName>
    <definedName name="ValuationPagingValue">0</definedName>
    <definedName name="ValuationTelephoneValue">0</definedName>
    <definedName name="ValuationWirelessValue">0</definedName>
    <definedName name="Version">"June 29, 2004"</definedName>
    <definedName name="WACC">OFFSET([0]!XRange,13,0)</definedName>
    <definedName name="wr" localSheetId="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____EVERYTHING____." hidden="1">{"PRICES",#N/A,TRUE,"PRICES";"RESULTS",#N/A,TRUE,"RESULTS";"SECTOR1",#N/A,TRUE,"SECTOR 1";"SECTOR2",#N/A,TRUE,"SECTOR 2";"SECTOR3",#N/A,TRUE,"SECTOR 3";"SECTOR4",#N/A,TRUE,"SECTOR 4";"Sector 5",#N/A,TRUE,"SECTOR 5";"Normalized_Potential",#N/A,TRUE,"SECTOR 5";"SECTOR6",#N/A,TRUE,"SECTOR 6";"KEY_OPER",#N/A,TRUE,"BARDON";"P_AND_L",#N/A,TRUE,"BARDON";"Val_Cash",#N/A,TRUE,"BARDON";"ANALYSIS",#N/A,TRUE,"BARDON";"FRONT",#N/A,TRUE,"BCI";"PRO_LOSS",#N/A,TRUE,"BCI";"CASH_VAL",#N/A,TRUE,"BCI";"CASH_VAL",#N/A,TRUE,"BPB";"ANAYLSIS",#N/A,TRUE,"BPB";"PROF_LOSS",#N/A,TRUE,"BPB";"BUILDING",#N/A,TRUE,"BPB";"GEOGRAPHY",#N/A,TRUE,"BPB";"FRONT",#N/A,TRUE,"CARADON";"PROF_LOSS",#N/A,TRUE,"CARADON";"CASHFLOW",#N/A,TRUE,"CARADON";"OPER_SUMMURY",#N/A,TRUE,"CARADON";"ANALYSIS",#N/A,TRUE,"CARADON";"FRONT",#N/A,TRUE,"CRH";"P_AND_L",#N/A,TRUE,"CRH";"CASH_AND_VAL",#N/A,TRUE,"CRH";"FRONT",#N/A,TRUE,"GRAHAM";"P_AND_L",#N/A,TRUE,"GRAHAM";"CASH_AND_VAL",#N/A,TRUE,"GRAHAM";"HISTORIC_PERFORMANCE",#N/A,TRUE,"GRAHAM";"FRONT",#N/A,TRUE,"HEPWORTH";"P_AND_L",#N/A,TRUE,"HEPWORTH";"CASH_AND_VAL",#N/A,TRUE,"HEPWORTH";"MODELS",#N/A,TRUE,"HEPWORTH";"FRONT",#N/A,TRUE,"HEYWOOD W";"P_AND_L",#N/A,TRUE,"HEYWOOD W";"CASH_AND_VAL",#N/A,TRUE,"HEYWOOD W";"UK_BRICKS",#N/A,TRUE,"IBSTOCK";"FRONT",#N/A,TRUE,"MARLEY";"P_AND_L",#N/A,TRUE,"MARLEY";"CASH_AND_VAL",#N/A,TRUE,"MARLEY";"FRONT",#N/A,TRUE,"MEYER";"P AND L",#N/A,TRUE,"MEYER";"CASH AND VAL",#N/A,TRUE,"MEYER";"FRONT",#N/A,TRUE,"NORCROS";"FRONT",#N/A,TRUE,"NORCROS";"CASH_AND_VAL",#N/A,TRUE,"NORCROS";"FRONT",#N/A,TRUE,"PILKINGTON";"P_AND_L",#N/A,TRUE,"PILKINGTON";#N/A,#N/A,TRUE,"PILKINGTON";"FRONT",#N/A,TRUE,"REDLAND";"P_AND_L",#N/A,TRUE,"REDLAND";"CASH_AND_VAL",#N/A,TRUE,"REDLAND";"OPERATIONAL_FORCASTS",#N/A,TRUE,"REDLAND";"MODELS",#N/A,TRUE,"REDLAND";"P_AND_L",#N/A,TRUE,"RMC";"CASH_AND_VAL",#N/A,TRUE,"RMC";"HALF_YEAR",#N/A,TRUE,"RMC";"P_AND_L",#N/A,TRUE,"RUGBY";"CASH_AND_VAL",#N/A,TRUE,"RUGBY";"P_AND_L",#N/A,TRUE,"A. RUSSELL";"CASH_AND_VAL",#N/A,TRUE,"A. RUSSELL";"FRONT",#N/A,TRUE,"SPRING RAM";"P_AND_L",#N/A,TRUE,"SPRING RAM";"CASH_AND_VAL",#N/A,TRUE,"SPRING RAM";"FRONT",#N/A,TRUE,"TARMAC";"P_AND_L",#N/A,TRUE,"TARMAC";"CASH_AND_VAL",#N/A,TRUE,"TARMAC";"MODELS",#N/A,TRUE,"TARMAC";"FRONT",#N/A,TRUE,"TRAVIS PERK";"P_AND_L",#N/A,TRUE,"TRAVIS PERK";"CASH_AND_VAL",#N/A,TRUE,"TRAVIS PERK";"P AND L",#N/A,TRUE,"WOLSELEY";"CASH AND VAL",#N/A,TRUE,"WOLSELEY";"FRONT",#N/A,TRUE,"IBSTOCK - NEW";"P_AND_L",#N/A,TRUE,"IBSTOCK - NEW";"UK_BRICKS",#N/A,TRUE,"IBSTOCK - NEW";"CASH_AND_VAL",#N/A,TRUE,"IBSTOCK - NEW"}</definedName>
    <definedName name="wrn.____OVERVIEW____." hidden="1">{"PRICES",#N/A,TRUE,"PRICES";"RESULTS",#N/A,TRUE,"RESULTS";"SECTOR1",#N/A,TRUE,"SECTOR 1";"SECTOR2",#N/A,TRUE,"SECTOR 2";"SECTOR3",#N/A,TRUE,"SECTOR 3";"SECTOR4",#N/A,TRUE,"SECTOR 4";"Sector 5",#N/A,TRUE,"SECTOR 5";"Normalized_Potential",#N/A,TRUE,"SECTOR 5";"SECTOR6",#N/A,TRUE,"SECTOR 6";"TOP",#N/A,TRUE,"PERATIOS";"BOTTOM",#N/A,TRUE,"PERATIOS"}</definedName>
    <definedName name="wrn.___EVERYTHING___." hidden="1">{"ALL",#N/A,FALSE,"PRICES";"ALL",#N/A,FALSE,"RESULTS";#N/A,#N/A,FALSE,"SECTOR - 1 ";"ALL",#N/A,FALSE,"SECTOR - 2";"ALL",#N/A,FALSE,"SECTOR -3";"ALL",#N/A,FALSE,"SECTOR 4";"ALL",#N/A,FALSE,"SECTOR 5";"ALL",#N/A,FALSE,"SECTOR 6";"ALL",#N/A,FALSE,"SECTOR 7";"TOP",#N/A,FALSE,"PERATIOS";"BOTTOM",#N/A,FALSE,"PERATIOS";"P AND L",#N/A,FALSE,"AMEC";"FRONT",#N/A,FALSE,"AMEC";"CASH AND VAL",#N/A,FALSE,"AMEC";"FRONT",#N/A,FALSE,"BARRATT";"P AND L",#N/A,FALSE,"BARRATT";"CASH AND MODEL",#N/A,FALSE,"BARRATT";"VALUATION",#N/A,FALSE,"BARRATT";"P AND L",#N/A,FALSE,"BEAZER";"VAL AND MODELS",#N/A,FALSE,"BEAZER";"FRONT",#N/A,FALSE,"BELLWAY";"P AND L",#N/A,FALSE,"BELLWAY";"CASH AND HOUSE",#N/A,FALSE,"BELLWAY";"FRONT",#N/A,FALSE,"BERKLY";"P AND L",#N/A,FALSE,"BERKLY";"CASH AND HOUSE",#N/A,FALSE,"BERKLY";"VALUATION",#N/A,FALSE,"BERKLY";"FRONT",#N/A,FALSE,"BRYANT";"P AND L",#N/A,FALSE,"BRYANT";"CASH AND OTHER",#N/A,FALSE,"BRYANT";"VAL AND OTHER",#N/A,FALSE,"BRYANT";"FRONT",#N/A,FALSE,"COSTAIN";"P AND L",#N/A,FALSE,"COSTAIN";"CASH AND VAL",#N/A,FALSE,"COSTAIN";"FRONT",#N/A,FALSE,"HEWDEN ST";"P AND L",#N/A,FALSE,"HEWDEN ST";"CASH AND VAL",#N/A,FALSE,"HEWDEN ST";"FRONT",#N/A,FALSE,"LAING";"P AND L",#N/A,FALSE,"LAING";"CASH AND VAL",#N/A,FALSE,"LAING";"MODELS",#N/A,FALSE,"LAING";"P AND L",#N/A,FALSE,"MORRISON";"CASH AND VAL",#N/A,FALSE,"MORRISON";"FRONT",#N/A,FALSE,"MCALP";"P AND L",#N/A,FALSE,"MCALP";"CASH AND VAL",#N/A,FALSE,"MCALP";"DIVISIONS",#N/A,FALSE,"MCALP";"FRONT",#N/A,FALSE,"MOWLM";"P AND L",#N/A,FALSE,"MOWLM";"CASH AND VAL",#N/A,FALSE,"MOWLM";"MODELS",#N/A,FALSE,"MOWLM";"FRONT",#N/A,FALSE,"PERSIMMON";"P AND L",#N/A,FALSE,"PERSIMMON";"CASH",#N/A,FALSE,"PERSIMMON";"VALUATION",#N/A,FALSE,"PERSIMMON";"FRONT",#N/A,FALSE,"RAINE";"P AND L",#N/A,FALSE,"RAINE";"CASH AND VAL",#N/A,FALSE,"RAINE";"MODELS",#N/A,FALSE,"RAINE";"FRONT",#N/A,FALSE,"REDROW";"P AND L",#N/A,FALSE,"REDROW";"CASH",#N/A,FALSE,"REDROW";"VALUATION",#N/A,FALSE,"REDROW";"FRONT",#N/A,FALSE,"TAY. WOOD.";"P AND L",#N/A,FALSE,"TAY. WOOD.";"CASH AND VAL",#N/A,FALSE,"TAY. WOOD.";"MODELS",#N/A,FALSE,"TAY. WOOD.";"FRONT",#N/A,FALSE,"WAIN";"P AND L",#N/A,FALSE,"WAIN";"CASH",#N/A,FALSE,"WAIN";"VALUATION",#N/A,FALSE,"WAIN";"FRONT",#N/A,FALSE,"WILSON B";"P AND L",#N/A,FALSE,"WILSON B";"CASH AND MODEL",#N/A,FALSE,"WILSON B";"FRONT",#N/A,FALSE,"WIMPEY";"P AND L",#N/A,FALSE,"WIMPEY";"CASH AND VAL",#N/A,FALSE,"WIMPEY";"MODELS",#N/A,FALSE,"WIMPEY";"FRONT",#N/A,FALSE,"GLEESON";"PROFIT AND LOSS",#N/A,FALSE,"GLEESON";"CASHFLOW",#N/A,FALSE,"GLEESON";"BREAKDOWN",#N/A,FALSE,"GLEESON";"FRONT",#N/A,FALSE,"MORRISON";"VALUATION",#N/A,FALSE,"MORRISON";"HALFANALYSIS",#N/A,FALSE,"MORRISON";"ASSETVAL",#N/A,FALSE,"WILCON";"CASHMODEL",#N/A,FALSE,"WILCON";"FRONT",#N/A,FALSE,"WILCON";"PANDL",#N/A,FALSE,"WILCON";"VALUATION",#N/A,FALSE,"WILCON"}</definedName>
    <definedName name="wrn.2._.pagers." localSheetId="5" hidden="1">{"Cover",#N/A,FALSE,"Cover";"Summary",#N/A,FALSE,"Summarpage"}</definedName>
    <definedName name="wrn.2._.pagers." localSheetId="6" hidden="1">{"Cover",#N/A,FALSE,"Cover";"Summary",#N/A,FALSE,"Summarpage"}</definedName>
    <definedName name="wrn.2._.pagers." localSheetId="7" hidden="1">{"Cover",#N/A,FALSE,"Cover";"Summary",#N/A,FALSE,"Summarpage"}</definedName>
    <definedName name="wrn.2._.pagers." hidden="1">{"Cover",#N/A,FALSE,"Cover";"Summary",#N/A,FALSE,"Summarpage"}</definedName>
    <definedName name="wrn.96_model." localSheetId="5" hidden="1">{"qtr_is_94_95",#N/A,FALSE,"MA";"ann_is_96",#N/A,FALSE,"MA";"seg_sales_96",#N/A,FALSE,"MA";"seg_inc_96",#N/A,FALSE,"MA";"divisional_91_95",#N/A,FALSE,"MA";"ann_bs_96",#N/A,FALSE,"MA";"ann_cf_96",#N/A,FALSE,"MA"}</definedName>
    <definedName name="wrn.96_model." localSheetId="6" hidden="1">{"qtr_is_94_95",#N/A,FALSE,"MA";"ann_is_96",#N/A,FALSE,"MA";"seg_sales_96",#N/A,FALSE,"MA";"seg_inc_96",#N/A,FALSE,"MA";"divisional_91_95",#N/A,FALSE,"MA";"ann_bs_96",#N/A,FALSE,"MA";"ann_cf_96",#N/A,FALSE,"MA"}</definedName>
    <definedName name="wrn.96_model." localSheetId="7" hidden="1">{"qtr_is_94_95",#N/A,FALSE,"MA";"ann_is_96",#N/A,FALSE,"MA";"seg_sales_96",#N/A,FALSE,"MA";"seg_inc_96",#N/A,FALSE,"MA";"divisional_91_95",#N/A,FALSE,"MA";"ann_bs_96",#N/A,FALSE,"MA";"ann_cf_96",#N/A,FALSE,"MA"}</definedName>
    <definedName name="wrn.96_model." hidden="1">{"qtr_is_94_95",#N/A,FALSE,"MA";"ann_is_96",#N/A,FALSE,"MA";"seg_sales_96",#N/A,FALSE,"MA";"seg_inc_96",#N/A,FALSE,"MA";"divisional_91_95",#N/A,FALSE,"MA";"ann_bs_96",#N/A,FALSE,"MA";"ann_cf_96",#N/A,FALSE,"MA"}</definedName>
    <definedName name="wrn.abc." hidden="1">{"sensit",#N/A,FALSE,"WOLSELEY"}</definedName>
    <definedName name="wrn.AGG.._.IND.." hidden="1">{"P_AND_L (AGG. IND.) (25)",#N/A,TRUE,"AGG. IND.";"Val_Cash (AGG. IND.) (25)",#N/A,TRUE,"AGG. IND.";"KEY_OPER (AGG. IND.) (25)",#N/A,TRUE,"AGG. IND.";"COMBINED (AGG. IND.) (25)",#N/A,TRUE,"AGG. IND.";"ANALYSIS (AGG. IND.) (25)",#N/A,TRUE,"AGG. IND."}</definedName>
    <definedName name="wrn.Aircraft._.Breakdown." localSheetId="6" hidden="1">{"Bell",#N/A,TRUE,"Earnings Model";"Cessna",#N/A,TRUE,"Earnings Model"}</definedName>
    <definedName name="wrn.Aircraft._.Breakdown." hidden="1">{"Bell",#N/A,TRUE,"Earnings Model";"Cessna",#N/A,TRUE,"Earnings Model"}</definedName>
    <definedName name="wrn.ALFRED._.MCALPINE." hidden="1">{"FRONT (MCALP)",#N/A,TRUE,"MCALP";"P AND L (MCALP)",#N/A,TRUE,"MCALP";"CASH AND VAL (MCALP)",#N/A,TRUE,"MCALP";"DIVISIONS (MCALP)",#N/A,TRUE,"MCALP";"SUMPART (MCALP)",#N/A,TRUE,"MCALP"}</definedName>
    <definedName name="wrn.ALLEN." hidden="1">{"FRONT (ALLEN)",#N/A,TRUE,"ALLEN";"P AND L (ALLEN)",#N/A,TRUE,"ALLEN";"CASHFLOW (ALLEN)",#N/A,TRUE,"ALLEN";"VALMATRIX (ALLEN)",#N/A,TRUE,"ALLEN"}</definedName>
    <definedName name="wrn.allpages." localSheetId="5" hidden="1">{#N/A,#N/A,TRUE,"Historicals";#N/A,#N/A,TRUE,"Charts";#N/A,#N/A,TRUE,"Forecasts"}</definedName>
    <definedName name="wrn.allpages." localSheetId="6" hidden="1">{#N/A,#N/A,TRUE,"Historicals";#N/A,#N/A,TRUE,"Charts";#N/A,#N/A,TRUE,"Forecasts"}</definedName>
    <definedName name="wrn.allpages." localSheetId="7" hidden="1">{#N/A,#N/A,TRUE,"Historicals";#N/A,#N/A,TRUE,"Charts";#N/A,#N/A,TRUE,"Forecasts"}</definedName>
    <definedName name="wrn.allpages." hidden="1">{#N/A,#N/A,TRUE,"Historicals";#N/A,#N/A,TRUE,"Charts";#N/A,#N/A,TRUE,"Forecasts"}</definedName>
    <definedName name="wrn.AMEC." hidden="1">{"FRONT (AMEC)",#N/A,TRUE,"AMEC";"P AND L (AMEC)",#N/A,TRUE,"AMEC";"CASH AND VAL (AMEC)",#N/A,TRUE,"AMEC";"MODEL1 (AMEC)",#N/A,TRUE,"AMEC";"MODEL (AMEC)",#N/A,TRUE,"AMEC"}</definedName>
    <definedName name="wrn.Annual._.Operating._.Earnings." localSheetId="6" hidden="1">{"Annual 1996",#N/A,FALSE,"Ann-Op (Mng)";"Annual 1996",#N/A,FALSE,"Ann-Op (Rep)";"Operating Vs. Reported Earnings",#N/A,FALSE,"Rpt-Op Inc"}</definedName>
    <definedName name="wrn.Annual._.Operating._.Earnings." hidden="1">{"Annual 1996",#N/A,FALSE,"Ann-Op (Mng)";"Annual 1996",#N/A,FALSE,"Ann-Op (Rep)";"Operating Vs. Reported Earnings",#N/A,FALSE,"Rpt-Op Inc"}</definedName>
    <definedName name="wrn.Annual._.Operating._.Earnings1." localSheetId="6"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BARRATT." hidden="1">{"FRONT (BARRATT)",#N/A,TRUE,"BARRATT";"P AND L (BARRATT)",#N/A,TRUE,"BARRATT";"CASH AND MODEL (BARRATT)",#N/A,TRUE,"BARRATT";"VALUATION (BARRATT)",#N/A,TRUE,"BARRATT";"MODELS (BARRATT)",#N/A,TRUE,"BARRATT";"ASSETVAL (BARRATT)",#N/A,TRUE,"BARRATT"}</definedName>
    <definedName name="wrn.BCI." hidden="1">{"FRONT (BCI) (25)",#N/A,TRUE,"BCI";"PRO_LOSS (BCI) (23)",#N/A,TRUE,"BCI";"CASH_VAL (BCI) (25)",#N/A,TRUE,"BCI";"CASHMODEL (BCI) (25)",#N/A,TRUE,"BCI";"MODELS1 (BCI) (25)",#N/A,TRUE,"BCI";"MODELS2 (BCI) (25)",#N/A,TRUE,"BCI";"MODELS3 (BCI) (25)",#N/A,TRUE,"BCI";"IND VALUE (BCI) (25)",#N/A,TRUE,"BCI"}</definedName>
    <definedName name="wrn.BEAZER." hidden="1">{"FRONT (BEAZER)",#N/A,TRUE,"BEAZER";"P AND L (BEAZER)",#N/A,TRUE,"BEAZER";"CASHFLOW AND VAL (BEAZER)",#N/A,TRUE,"BEAZER";"VALMATRIX (BEAZER)",#N/A,TRUE,"BEAZER";"VAL AND MODELS2 (BEAZER)",#N/A,TRUE,"BEAZER";"VAL AND MODELS (BEAZER)",#N/A,TRUE,"BEAZER";"ASSETVAL (BEAZER)",#N/A,TRUE,"BEAZER"}</definedName>
    <definedName name="wrn.BELLWAY." hidden="1">{"FRONT (BELLWAY)",#N/A,TRUE,"BELLWAY";"P AND L (BELLWAY)",#N/A,TRUE,"BELLWAY";"CASH AND HOUSE (BELLWAY)",#N/A,TRUE,"BELLWAY";"VALUATION (BELLWAY)",#N/A,TRUE,"BELLWAY";"VAL AND LANDFORCAST (BELLWAY)",#N/A,TRUE,"BELLWAY"}</definedName>
    <definedName name="wrn.BERKLY." hidden="1">{"FRONT",#N/A,TRUE,"BERKLY";"P AND L",#N/A,TRUE,"BERKLY";"CASH AND HOUSE",#N/A,TRUE,"BERKLY";"VALUATION",#N/A,TRUE,"BERKLY";"HOUSESPLIT",#N/A,TRUE,"BERKLY";"LAND AND VAL",#N/A,TRUE,"BERKLY"}</definedName>
    <definedName name="wrn.BPB." hidden="1">{"PROF_LOSS (BPB) (25)",#N/A,TRUE,"BPB";"PROF_LOSS (BPB) (23)",#N/A,TRUE,"BPB";"CASH_VAL (BPB) (25)",#N/A,TRUE,"BPB";"ANAYLSIS (BPB) (25)",#N/A,TRUE,"BPB";"GEOGRAPHY (BPB) (25)",#N/A,TRUE,"BPB";"BUILDING (BPB) (25)",#N/A,TRUE,"BPB"}</definedName>
    <definedName name="wrn.BRASS." hidden="1">{"BRASS P AND L",#N/A,FALSE,"REDLAND";"BRASS BALANCE",#N/A,FALSE,"REDLAND";"BRASS TCE",#N/A,FALSE,"REDLAND";"GERMAN STATS",#N/A,FALSE,"REDLAND"}</definedName>
    <definedName name="wrn.BRYANT." hidden="1">{"FRONT (BRYANT)",#N/A,TRUE,"BRYANT";"P AND L (BRYANT)",#N/A,TRUE,"BRYANT";"CASH AND OTHER (BRYANT)",#N/A,TRUE,"BRYANT";"VAL AND OTHER (BRYANT)",#N/A,TRUE,"BRYANT";"MODELS (BRYANT)",#N/A,TRUE,"BRYANT"}</definedName>
    <definedName name="wrn.BUILDING._.VALUE." hidden="1">{"BUILD VALUE 1",#N/A,FALSE,"VALUE";"BUILD VALUE 2",#N/A,FALSE,"VALUE";"BUILD VALUE 3",#N/A,FALSE,"VALUE";"BUILD VALUE 4",#N/A,FALSE,"VALUE";"BUILD VALUE 5",#N/A,FALSE,"VALUE";"BUILD VALUE 6",#N/A,FALSE,"VALUE";"BUILD VALUE 7",#N/A,FALSE,"VALUE";"BUILD VALUE 8",#N/A,FALSE,"VALUE";"BUILD VALUE 9",#N/A,FALSE,"VALUE";"BUILD VALUE 10",#N/A,FALSE,"VALUE"}</definedName>
    <definedName name="wrn.CARADON." hidden="1">{"FRONT (CARADON) (23)",#N/A,TRUE,"CARADON";"PROF_LOSS (CARADON) (23)",#N/A,TRUE,"CARADON";"CASHFLOW (CARADON) (23)",#N/A,TRUE,"CARADON";"ANALYSIS (CARADON) (23)",#N/A,TRUE,"CARADON";"RECONCILIATION (CARADON) (23)",#N/A,TRUE,"CARADON";"OPER_SUMMURY (CARADON) (23)",#N/A,TRUE,"CARADON"}</definedName>
    <definedName name="wrn.Client._.cfbs." localSheetId="5" hidden="1">{"client cfbs",#N/A,FALSE,"Client"}</definedName>
    <definedName name="wrn.Client._.cfbs." localSheetId="6" hidden="1">{"client cfbs",#N/A,FALSE,"Client"}</definedName>
    <definedName name="wrn.Client._.cfbs." localSheetId="7" hidden="1">{"client cfbs",#N/A,FALSE,"Client"}</definedName>
    <definedName name="wrn.client._.cfbs." hidden="1">{"client cfbs",#N/A,FALSE,"Client"}</definedName>
    <definedName name="wrn.Client._.is." localSheetId="5" hidden="1">{"client is",#N/A,FALSE,"Client"}</definedName>
    <definedName name="wrn.Client._.is." localSheetId="6" hidden="1">{"client is",#N/A,FALSE,"Client"}</definedName>
    <definedName name="wrn.Client._.is." localSheetId="7" hidden="1">{"client is",#N/A,FALSE,"Client"}</definedName>
    <definedName name="wrn.client._.is." hidden="1">{"client is",#N/A,FALSE,"Client"}</definedName>
    <definedName name="wrn.Client._.stats." localSheetId="5" hidden="1">{"client stats",#N/A,FALSE,"Client"}</definedName>
    <definedName name="wrn.Client._.stats." localSheetId="6" hidden="1">{"client stats",#N/A,FALSE,"Client"}</definedName>
    <definedName name="wrn.Client._.stats." localSheetId="7" hidden="1">{"client stats",#N/A,FALSE,"Client"}</definedName>
    <definedName name="wrn.client._.stats." hidden="1">{"client stats",#N/A,FALSE,"Client"}</definedName>
    <definedName name="wrn.cns" localSheetId="5"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cns" localSheetId="6"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cns" localSheetId="7"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cns"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Complete." localSheetId="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Repor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Repor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nsolidated._.Statements." localSheetId="6" hidden="1">{"view1",#N/A,FALSE,"EARN (US$)";"view1",#N/A,FALSE,"DASTBS (US$)";"view1",#N/A,FALSE,"DASTCF (US$)"}</definedName>
    <definedName name="wrn.Consolidated._.Statements." hidden="1">{"view1",#N/A,FALSE,"EARN (US$)";"view1",#N/A,FALSE,"DASTBS (US$)";"view1",#N/A,FALSE,"DASTCF (US$)"}</definedName>
    <definedName name="wrn.COSTAIN." hidden="1">{"FRONT (COSTAIN)",#N/A,TRUE,"COSTAIN";"P AND L (COSTAIN)",#N/A,TRUE,"COSTAIN";"CASH AND VAL (COSTAIN)",#N/A,TRUE,"COSTAIN";"OPERATIONS (COSTAIN)",#N/A,TRUE,"COSTAIN"}</definedName>
    <definedName name="wrn.Covers." localSheetId="6" hidden="1">{"view1",#N/A,FALSE,"MOTEARN";"view1",#N/A,FALSE,"Bal Sht";"view1",#N/A,FALSE,"Cash Flows"}</definedName>
    <definedName name="wrn.Covers." hidden="1">{"view1",#N/A,FALSE,"MOTEARN";"view1",#N/A,FALSE,"Bal Sht";"view1",#N/A,FALSE,"Cash Flows"}</definedName>
    <definedName name="wrn.CRH." hidden="1">{"FRONT (CRH) (25)",#N/A,TRUE,"CRH";"P_AND_L (CRH) (25)",#N/A,TRUE,"CRH";"CASH_AND_VAL (CRH) (25)",#N/A,TRUE,"CRH";"CASHFLOW (CRH) (25)",#N/A,TRUE,"CRH";"MODELS (CRH) (25)",#N/A,TRUE,"CRH"}</definedName>
    <definedName name="wrn.DG" localSheetId="5"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DG" localSheetId="6"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DG" localSheetId="7"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DG"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DG." localSheetId="5"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DG." localSheetId="6"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DG." localSheetId="7"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DG."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Earnings._.Model." localSheetId="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verything." hidden="1">{"Inc.St. Annual",#N/A,FALSE,"Inc.St.";"Inc.St. Qtr",#N/A,FALSE,"Inc.St.";#N/A,#N/A,FALSE,"Bal.Sht.";"Cash Flow Annual",#N/A,FALSE,"Cash Flow";"Cash Flow Qtr",#N/A,FALSE,"Cash Flow";#N/A,#N/A,FALSE,"Debt";#N/A,#N/A,FALSE,"DCF";"Summary Annual",#N/A,FALSE,"Summary";"Summary Qtr",#N/A,FALSE,"Summary"}</definedName>
    <definedName name="wrn.Fax." hidden="1">{"fax (BS)",#N/A,FALSE,"BS";"fax (CF)",#N/A,FALSE,"CF";"fax (seg)",#N/A,FALSE,"Seg";"fax (telecomm)",#N/A,FALSE,"telecomm";"fax (infodisplay)",#N/A,FALSE,"infodisplay";"fax (am)",#N/A,FALSE,"AM";"fax (is)",#N/A,FALSE,"IS"}</definedName>
    <definedName name="wrn.Forecast._.Q1." localSheetId="6" hidden="1">{"cover a","1q",FALSE,"Cover";"Op Earn Mgd Q1",#N/A,FALSE,"Op-Earn (Mng)";"Op Earn Rpt Q1",#N/A,FALSE,"Op-Earn (Rpt)";"Loans",#N/A,FALSE,"Loans";"Credit Costs",#N/A,FALSE,"CCosts";"Net Interest Margin",#N/A,FALSE,"Margin";"Nonint Income",#N/A,FALSE,"NonII";"Nonint Exp",#N/A,FALSE,"NonIE";"Valuation",#N/A,FALSE,"Valuation"}</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localSheetId="6" hidden="1">{"cover a","2q",FALSE,"Cover";"Op Earn Mgd Q2",#N/A,FALSE,"Op-Earn (Mng)";"Op Earn Rpt Q2",#N/A,FALSE,"Op-Earn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6"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localSheetId="6" hidden="1">{"cover a","3q",FALSE,"Cover";"Op Earn Mgd Q3",#N/A,FALSE,"Op-Earn (Mng)";"Op Earn Rpt Q3",#N/A,FALSE,"Op-Earn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localSheetId="6" hidden="1">{"cover a","4q",FALSE,"Cover";"Op Earn Mgd Q4",#N/A,FALSE,"Op-Earn (Mng)";"Op Earn Rpt Q4",#N/A,FALSE,"Op-Earn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6"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TS." localSheetId="5"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FTS." localSheetId="6"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FTS." localSheetId="7"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FTS."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Full._.Report." localSheetId="6" hidden="1">{#N/A,#N/A,FALSE,"COVER";#N/A,#N/A,FALSE,"VALUATION";#N/A,#N/A,FALSE,"FORECAST";#N/A,#N/A,FALSE,"FY ANALYSIS ";#N/A,#N/A,FALSE," HY ANALYSIS"}</definedName>
    <definedName name="wrn.Full._.Report." hidden="1">{#N/A,#N/A,FALSE,"COVER";#N/A,#N/A,FALSE,"VALUATION";#N/A,#N/A,FALSE,"FORECAST";#N/A,#N/A,FALSE,"FY ANALYSIS ";#N/A,#N/A,FALSE," HY ANALYSIS"}</definedName>
    <definedName name="wrn.FUZ_REP." localSheetId="5" hidden="1">{"FUZ_INC_A",#N/A,FALSE,"NOBE";"FUZ_INC_Q",#N/A,FALSE,"NOBE";"FUZ_BAL_A",#N/A,FALSE,"NOBE";"FUZ_CASH_A",#N/A,FALSE,"NOBE";"FUZ_PROD_A",#N/A,FALSE,"NOBE"}</definedName>
    <definedName name="wrn.FUZ_REP." localSheetId="6" hidden="1">{"FUZ_INC_A",#N/A,FALSE,"NOBE";"FUZ_INC_Q",#N/A,FALSE,"NOBE";"FUZ_BAL_A",#N/A,FALSE,"NOBE";"FUZ_CASH_A",#N/A,FALSE,"NOBE";"FUZ_PROD_A",#N/A,FALSE,"NOBE"}</definedName>
    <definedName name="wrn.FUZ_REP." localSheetId="7" hidden="1">{"FUZ_INC_A",#N/A,FALSE,"NOBE";"FUZ_INC_Q",#N/A,FALSE,"NOBE";"FUZ_BAL_A",#N/A,FALSE,"NOBE";"FUZ_CASH_A",#N/A,FALSE,"NOBE";"FUZ_PROD_A",#N/A,FALSE,"NOBE"}</definedName>
    <definedName name="wrn.FUZ_REP." hidden="1">{"FUZ_INC_A",#N/A,FALSE,"NOBE";"FUZ_INC_Q",#N/A,FALSE,"NOBE";"FUZ_BAL_A",#N/A,FALSE,"NOBE";"FUZ_CASH_A",#N/A,FALSE,"NOBE";"FUZ_PROD_A",#N/A,FALSE,"NOBE"}</definedName>
    <definedName name="wrn.fuz_report." localSheetId="5" hidden="1">{"fuz_inc_a",#N/A,FALSE,"KSS";"fuz_inc_q",#N/A,FALSE,"KSS";"fuz_bal_a",#N/A,FALSE,"KSS";"fuz_cash_a",#N/A,FALSE,"KSS"}</definedName>
    <definedName name="wrn.fuz_report." localSheetId="6" hidden="1">{"fuz_inc_a",#N/A,FALSE,"KSS";"fuz_inc_q",#N/A,FALSE,"KSS";"fuz_bal_a",#N/A,FALSE,"KSS";"fuz_cash_a",#N/A,FALSE,"KSS"}</definedName>
    <definedName name="wrn.fuz_report." localSheetId="7" hidden="1">{"fuz_inc_a",#N/A,FALSE,"KSS";"fuz_inc_q",#N/A,FALSE,"KSS";"fuz_bal_a",#N/A,FALSE,"KSS";"fuz_cash_a",#N/A,FALSE,"KSS"}</definedName>
    <definedName name="wrn.fuz_report." hidden="1">{"fuz_inc_a",#N/A,FALSE,"KSS";"fuz_inc_q",#N/A,FALSE,"KSS";"fuz_bal_a",#N/A,FALSE,"KSS";"fuz_cash_a",#N/A,FALSE,"KSS"}</definedName>
    <definedName name="wrn.GLEESON." hidden="1">{"FRONT (GLEESON)",#N/A,TRUE,"GLEESON";"PROFIT AND LOSS (GLEESON)",#N/A,TRUE,"GLEESON";"CASHFLOW (GLEESON)",#N/A,TRUE,"GLEESON";"BREAKDOWN (GLEESON)",#N/A,TRUE,"GLEESON"}</definedName>
    <definedName name="wrn.GRAHAM." hidden="1">{"FRONT (GRAHAM) (30)",#N/A,TRUE,"GRAHAM";"P_AND_L (GRAHAM) (30)",#N/A,TRUE,"GRAHAM";"CASH_AND_VAL (GRAHAM) (30)",#N/A,TRUE,"GRAHAM";"HISTORIC PERFORMANCE (GRAHAM) (30)",#N/A,TRUE,"GRAHAM"}</definedName>
    <definedName name="wrn.HANSON." hidden="1">{"P AND L (HANSON) (25)",#N/A,TRUE,"HANSON";"CASHFLOW (HANSON) (25)",#N/A,TRUE,"HANSON";"VALUATION (HANSON) (23)",#N/A,TRUE,"HANSON";"MODELS (HANSON) (25)",#N/A,TRUE,"HANSON";"CASHMODEL (HANSON) (25)",#N/A,TRUE,"HANSON";"BRICKS (HANSON) (25)",#N/A,TRUE,"HANSON";"ARC (HANSON) (25)",#N/A,TRUE,"HANSON";"VALUATION (HANSON) (25)",#N/A,TRUE,"HANSON"}</definedName>
    <definedName name="wrn.HEAVYSIDE." hidden="1">{#N/A,#N/A,FALSE,"HEAVYSIDE";"HEAVYSIDE",#N/A,FALSE,"HEAVYSIDE";"HEAVYSIDE2",#N/A,FALSE,"HEAVYSIDE"}</definedName>
    <definedName name="wrn.HEPWORTH." hidden="1">{"FRONT (HEPWORTH) (25)",#N/A,TRUE,"HEPWORTH";"P_AND_L (HEPWORTH) (25)",#N/A,TRUE,"HEPWORTH";"CASH_AND_VAL (HEPWORTH) (25)",#N/A,TRUE,"HEPWORTH";"MODELS (HEPWORTH) (25)",#N/A,TRUE,"HEPWORTH"}</definedName>
    <definedName name="wrn.HEWDEN._.STUART." hidden="1">{"FRONT (HEWDEN ST)",#N/A,TRUE,"HEWDEN ST";"P AND L (HEWDEN ST)",#N/A,TRUE,"HEWDEN ST";"CASH AND VAL (HEWDEN ST)",#N/A,TRUE,"HEWDEN ST";"MARGINS (HEWDEN ST)",#N/A,TRUE,"HEWDEN ST"}</definedName>
    <definedName name="wrn.HEYWOOD." hidden="1">{"FRONT (HEYWOOD W) (25)",#N/A,TRUE,"HEYWOOD W";"P_AND_L (HEYWOOD W) (25)",#N/A,TRUE,"HEYWOOD W";"CASH_AND_VAL (HEYWOOD W) (25)",#N/A,TRUE,"HEYWOOD W";"USAMODEL (HEYWOOD W) (25)",#N/A,TRUE,"HEYWOOD W";"UKMODEL (HEYWOOD W) (25)",#N/A,TRUE,"HEYWOOD W"}</definedName>
    <definedName name="wrn.HOUSING." hidden="1">{"HOUSING VAL",#N/A,FALSE,"S &amp; L VAL";"ASSET VALUE",#N/A,FALSE,"asset value (2)";"VOLUMES",#N/A,FALSE,"Volumes";"LANDBANK1",#N/A,FALSE,"Land banks";"LANDBANK2",#N/A,FALSE,"Land banks";"ASSETCOMP",#N/A,FALSE,"ASSETS";"ASSETCOMP2",#N/A,FALSE,"ASSETS"}</definedName>
    <definedName name="wrn.IBSTOCK." hidden="1">{"FRONT",#N/A,FALSE,"IBSTOCK - NEW";"P_AND_L",#N/A,FALSE,"IBSTOCK - NEW";"UK_BRICKS",#N/A,FALSE,"IBSTOCK - NEW";"CASH_AND_VAL",#N/A,FALSE,"IBSTOCK - NEW"}</definedName>
    <definedName name="wrn.Income._.Stmt." localSheetId="5" hidden="1">{"Income Stmt",#N/A,FALSE,"Model"}</definedName>
    <definedName name="wrn.Income._.Stmt." localSheetId="6" hidden="1">{"Income Stmt",#N/A,FALSE,"Model"}</definedName>
    <definedName name="wrn.Income._.Stmt." localSheetId="7" hidden="1">{"Income Stmt",#N/A,FALSE,"Model"}</definedName>
    <definedName name="wrn.Income._.Stmt." hidden="1">{"Income Stmt",#N/A,FALSE,"Model"}</definedName>
    <definedName name="wrn.Industry.xls." localSheetId="5" hidden="1">{#N/A,#N/A,FALSE,"Earnings";#N/A,#N/A,FALSE,"Overview";#N/A,#N/A,FALSE,"Summary";#N/A,#N/A,FALSE,"Summary II";#N/A,#N/A,FALSE,"R&amp;D";#N/A,#N/A,FALSE,"R&amp;D Forecast";#N/A,#N/A,FALSE,"Tax Adj";#N/A,#N/A,FALSE,"Goodwill";#N/A,#N/A,FALSE,"FX ";#N/A,#N/A,FALSE,"Consolidation";#N/A,#N/A,FALSE,"Provisions"}</definedName>
    <definedName name="wrn.Industry.xls." localSheetId="6" hidden="1">{#N/A,#N/A,FALSE,"Earnings";#N/A,#N/A,FALSE,"Overview";#N/A,#N/A,FALSE,"Summary";#N/A,#N/A,FALSE,"Summary II";#N/A,#N/A,FALSE,"R&amp;D";#N/A,#N/A,FALSE,"R&amp;D Forecast";#N/A,#N/A,FALSE,"Tax Adj";#N/A,#N/A,FALSE,"Goodwill";#N/A,#N/A,FALSE,"FX ";#N/A,#N/A,FALSE,"Consolidation";#N/A,#N/A,FALSE,"Provisions"}</definedName>
    <definedName name="wrn.Industry.xls." localSheetId="7"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Internal._.is." localSheetId="5" hidden="1">{"internal is",#N/A,FALSE,"Model"}</definedName>
    <definedName name="wrn.Internal._.is." localSheetId="6" hidden="1">{"internal is",#N/A,FALSE,"Model"}</definedName>
    <definedName name="wrn.Internal._.is." localSheetId="7" hidden="1">{"internal is",#N/A,FALSE,"Model"}</definedName>
    <definedName name="wrn.Internal._.is." hidden="1">{"internal is",#N/A,FALSE,"Model"}</definedName>
    <definedName name="wrn.IPO._.Valuation." hidden="1">{"assumptions",#N/A,FALSE,"Scenario 1";"valuation",#N/A,FALSE,"Scenario 1"}</definedName>
    <definedName name="wrn.JARVIS." hidden="1">{"P AND L (JARVIS)",#N/A,FALSE,"JARVIS";"CASH (JARVIS)",#N/A,FALSE,"JARVIS";"VALUATION (JARVIS)",#N/A,FALSE,"JARVIS";"MODELS (JARVIS)",#N/A,FALSE,"JARVIS"}</definedName>
    <definedName name="wrn.JCI._.Earnings." localSheetId="6" hidden="1">{"Income Statement -- Quarterly",#N/A,FALSE,"Model";"Balance Sheet",#N/A,FALSE,"Model";"Income Statement Annual",#N/A,FALSE,"Model"}</definedName>
    <definedName name="wrn.JCI._.Earnings." hidden="1">{"Income Statement -- Quarterly",#N/A,FALSE,"Model";"Balance Sheet",#N/A,FALSE,"Model";"Income Statement Annual",#N/A,FALSE,"Model"}</definedName>
    <definedName name="wrn.JOHN._.LAING." hidden="1">{"FRONT (LAING)",#N/A,TRUE,"LAING";"P AND L (LAING)",#N/A,TRUE,"LAING";"CASH AND VAL (LAING)",#N/A,TRUE,"LAING";"SUM (LAING)",#N/A,TRUE,"LAING";"MODELS2 (LAING)",#N/A,TRUE,"LAING";"MODELS (LAING)",#N/A,TRUE,"LAING"}</definedName>
    <definedName name="wrn.KIER." hidden="1">{"PROFIT AND LOSS (KIER)",#N/A,TRUE,"KIER";"CASH AND VAL (KIER)",#N/A,TRUE,"KIER";"SUM (KIER)",#N/A,TRUE,"KIER"}</definedName>
    <definedName name="wrn.Leases.xls." localSheetId="5" hidden="1">{#N/A,#N/A,FALSE,"Initial Year";#N/A,#N/A,FALSE,"Historical";#N/A,#N/A,FALSE,"balsheet";#N/A,#N/A,FALSE,"incstate";#N/A,#N/A,FALSE,"Fleet"}</definedName>
    <definedName name="wrn.Leases.xls." localSheetId="6" hidden="1">{#N/A,#N/A,FALSE,"Initial Year";#N/A,#N/A,FALSE,"Historical";#N/A,#N/A,FALSE,"balsheet";#N/A,#N/A,FALSE,"incstate";#N/A,#N/A,FALSE,"Fleet"}</definedName>
    <definedName name="wrn.Leases.xls." localSheetId="7" hidden="1">{#N/A,#N/A,FALSE,"Initial Year";#N/A,#N/A,FALSE,"Historical";#N/A,#N/A,FALSE,"balsheet";#N/A,#N/A,FALSE,"incstate";#N/A,#N/A,FALSE,"Fleet"}</definedName>
    <definedName name="wrn.Leases.xls." hidden="1">{#N/A,#N/A,FALSE,"Initial Year";#N/A,#N/A,FALSE,"Historical";#N/A,#N/A,FALSE,"balsheet";#N/A,#N/A,FALSE,"incstate";#N/A,#N/A,FALSE,"Fleet"}</definedName>
    <definedName name="wrn.LIGHTSIDE." hidden="1">{"light1",#N/A,FALSE,"LIGHTSIDE";"light2",#N/A,FALSE,"LIGHTSIDE";"light3",#N/A,FALSE,"LIGHTSIDE";"light4",#N/A,FALSE,"LIGHTSIDE"}</definedName>
    <definedName name="wrn.MANUFACTURERS." hidden="1">{"summary",#N/A,FALSE,"MANUFACTURERS"}</definedName>
    <definedName name="wrn.MARLEY." hidden="1">{"FRONT",#N/A,TRUE,"MARLEY";"P_AND_L",#N/A,TRUE,"MARLEY";"CASH_AND_VAL",#N/A,TRUE,"MARLEY";"MODELS",#N/A,TRUE,"MARLEY"}</definedName>
    <definedName name="wrn.MARSHALLS." hidden="1">{"PANDL (MARSHALLS) (25)",#N/A,TRUE,"MARSHALLS";"CASHFLOW (MARSHALLS) (25)",#N/A,TRUE,"MARSHALLS";"VALUATION (MARSHALLS) (25)",#N/A,TRUE,"MARSHALLS";"MODELS (MARSHALLS) (25)",#N/A,TRUE,"MARSHALLS"}</definedName>
    <definedName name="wrn.MERCHANTS." hidden="1">{"merchants",#N/A,FALSE,"MERCHANTS";"merchants2",#N/A,FALSE,"MERCHANTS"}</definedName>
    <definedName name="wrn.MEYER." hidden="1">{"FRONT (MEYER) (23)",#N/A,TRUE,"MEYER";"P AND L (MEYER) (23)",#N/A,TRUE,"MEYER";"CASH AND VAL (MEYER) (23)",#N/A,TRUE,"MEYER";"DCF (MEYER) (23)",#N/A,TRUE,"MEYER";"JEWSON (MEYER) (23)",#N/A,TRUE,"MEYER";"HARCROS (MEYER) (23)",#N/A,TRUE,"MEYER";"PONT (MEYER) (23)",#N/A,TRUE,"MEYER"}</definedName>
    <definedName name="wrn.MOBIL." localSheetId="5" hidden="1">{"quarter",#N/A,FALSE,"MOB"}</definedName>
    <definedName name="wrn.MOBIL." localSheetId="6" hidden="1">{"quarter",#N/A,FALSE,"MOB"}</definedName>
    <definedName name="wrn.MOBIL." localSheetId="7" hidden="1">{"quarter",#N/A,FALSE,"MOB"}</definedName>
    <definedName name="wrn.MOBIL." hidden="1">{"quarter",#N/A,FALSE,"MOB"}</definedName>
    <definedName name="wrn.Model." hidden="1">{"EM",#N/A,FALSE,"EM";"EM_Quarters",#N/A,FALSE,"EM";"BS",#N/A,FALSE,"BS";"CF",#N/A,FALSE,"CF"}</definedName>
    <definedName name="wrn.MORRISON." hidden="1">{"FRONT (MORRISON)",#N/A,TRUE,"MORRISON";"P AND L (MORRISON)",#N/A,TRUE,"MORRISON";"CASH AND VAL (MORRISON)",#N/A,TRUE,"MORRISON";"VALUATION (MORRISON)",#N/A,TRUE,"MORRISON";"HALFANALYSIS (MORRISON)",#N/A,TRUE,"MORRISON"}</definedName>
    <definedName name="wrn.MOWLM." hidden="1">{"FRONT",#N/A,TRUE,"MOWLM";"P AND L",#N/A,TRUE,"MOWLM";"CASH AND VAL",#N/A,TRUE,"MOWLM";"MODELS",#N/A,TRUE,"MOWLM";"VALUATION",#N/A,TRUE,"MOWLM"}</definedName>
    <definedName name="wrn.NORCROS." hidden="1">{"FRONT (NORCROS) (25)",#N/A,TRUE,"NORCROS";"P_AND_L (NORCROS) (25)",#N/A,TRUE,"NORCROS";"CASH_AND_VAL (NORCROS) (25)",#N/A,TRUE,"NORCROS";"SUMVAL (NORCROS) (23)",#N/A,TRUE,"NORCROS"}</definedName>
    <definedName name="wrn.NOVARTIS._.MODELS." localSheetId="6" hidden="1">{"QTRINC",#N/A,FALSE,"US FORMAT - P&amp;L";"MARGIN",#N/A,FALSE,"US FORMAT-MARGIN";"SALES1",#N/A,FALSE,"US FORMAT - SALES";"SALES2",#N/A,FALSE,"US FORMAT - SALES";"SALES3",#N/A,FALSE,"US FORMAT - SALES";"SALES4",#N/A,FALSE,"US FORMAT - SALES";"SALES5",#N/A,FALSE,"US FORMAT - SALES"}</definedName>
    <definedName name="wrn.NOVARTIS._.MODELS." hidden="1">{"QTRINC",#N/A,FALSE,"US FORMAT - P&amp;L";"MARGIN",#N/A,FALSE,"US FORMAT-MARGIN";"SALES1",#N/A,FALSE,"US FORMAT - SALES";"SALES2",#N/A,FALSE,"US FORMAT - SALES";"SALES3",#N/A,FALSE,"US FORMAT - SALES";"SALES4",#N/A,FALSE,"US FORMAT - SALES";"SALES5",#N/A,FALSE,"US FORMAT - SALES"}</definedName>
    <definedName name="wrn.Outlook._.for._.US._.Domestic._.Paging." localSheetId="6" hidden="1">{"Yearend_units",#N/A,TRUE,"Paging";"Unit_growth",#N/A,TRUE,"Paging";"Yearend_nationwide_units",#N/A,TRUE,"Paging";"nationwide_growth",#N/A,TRUE,"Paging";"ARPU",#N/A,TRUE,"Paging";"paging_industry_revenues",#N/A,TRUE,"Paging";"paging_net_add_breakdown",#N/A,TRUE,"Paging";"paging_churn",#N/A,TRUE,"Paging";"paging_gross_adds",#N/A,TRUE,"Paging"}</definedName>
    <definedName name="wrn.Outlook._.for._.US._.Domestic._.Paging." hidden="1">{"Yearend_units",#N/A,TRUE,"Paging";"Unit_growth",#N/A,TRUE,"Paging";"Yearend_nationwide_units",#N/A,TRUE,"Paging";"nationwide_growth",#N/A,TRUE,"Paging";"ARPU",#N/A,TRUE,"Paging";"paging_industry_revenues",#N/A,TRUE,"Paging";"paging_net_add_breakdown",#N/A,TRUE,"Paging";"paging_churn",#N/A,TRUE,"Paging";"paging_gross_adds",#N/A,TRUE,"Paging"}</definedName>
    <definedName name="wrn.OUTPUT." hidden="1">{"DCF","UPSIDE CASE",FALSE,"Sheet1";"DCF","BASE CASE",FALSE,"Sheet1";"DCF","DOWNSIDE CASE",FALSE,"Sheet1"}</definedName>
    <definedName name="wrn.PERSIMMON." hidden="1">{"FRONT (PERSIMMON)",#N/A,TRUE,"PERSIMMON";"P AND L (PERSIMMON)",#N/A,TRUE,"PERSIMMON";"CASH (PERSIMMON)",#N/A,TRUE,"PERSIMMON";"VALUATION (PERSIMMON)",#N/A,TRUE,"PERSIMMON";"ASSET VAL (PERSIMMON)",#N/A,TRUE,"PERSIMMON";"MODELS (PERSIMMON)",#N/A,TRUE,"PERSIMMON"}</definedName>
    <definedName name="wrn.PETC." localSheetId="5"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PETC." localSheetId="6"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PETC." localSheetId="7"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PETC."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PILKINGTON." hidden="1">{"FRONT (PILKINGTON) (25)",#N/A,TRUE,"PILKINGTON";"P_AND_L (PILKINGTON) (25)",#N/A,TRUE,"PILKINGTON";"CASH_AND_VAL (PILKINGTON) (25)",#N/A,TRUE,"PILKINGTON";"VALUATION (PILKINGTON) (25)",#N/A,TRUE,"PILKINGTON";"MODELS (PILKINGTON) (25)",#N/A,TRUE,"PILKINGTON";"SENSITIV (PILKINGTON) (25)",#N/A,TRUE,"PILKINGTON";"P_AND_VOL (PILKINGTON) (25)",#N/A,TRUE,"PILKINGTON";"INVINC (PILKINGTON) (25)",#N/A,TRUE,"PILKINGTON"}</definedName>
    <definedName name="wrn.Portrait._.IS." localSheetId="5" hidden="1">{"Portrait letter is",#N/A,FALSE,"Model"}</definedName>
    <definedName name="wrn.Portrait._.IS." localSheetId="6" hidden="1">{"Portrait letter is",#N/A,FALSE,"Model"}</definedName>
    <definedName name="wrn.Portrait._.IS." localSheetId="7" hidden="1">{"Portrait letter is",#N/A,FALSE,"Model"}</definedName>
    <definedName name="wrn.Portrait._.IS." hidden="1">{"Portrait letter is",#N/A,FALSE,"Model"}</definedName>
    <definedName name="wrn.Portrait._.letter._.is." localSheetId="5" hidden="1">{"Portrait letter is",#N/A,FALSE,"Model"}</definedName>
    <definedName name="wrn.Portrait._.letter._.is." localSheetId="6" hidden="1">{"Portrait letter is",#N/A,FALSE,"Model"}</definedName>
    <definedName name="wrn.Portrait._.letter._.is." localSheetId="7" hidden="1">{"Portrait letter is",#N/A,FALSE,"Model"}</definedName>
    <definedName name="wrn.Portrait._.letter._.is." hidden="1">{"portrait letter is",#N/A,FALSE,"Model"}</definedName>
    <definedName name="wrn.Print." hidden="1">{#N/A,#N/A,FALSE,"Cover Pg";#N/A,#N/A,FALSE,"Exec_Mo";#N/A,#N/A,FALSE,"Exec_YTD";#N/A,#N/A,FALSE,"Exec_Fore";#N/A,#N/A,FALSE,"Exec_CXCO";#N/A,#N/A,FALSE,"Financials";#N/A,#N/A,FALSE,"Var_Fcst";#N/A,#N/A,FALSE,"Var_Plan";#N/A,#N/A,FALSE,"Financials YTD";#N/A,#N/A,FALSE,"Var_YTD";#N/A,#N/A,FALSE,"Fcst Detail";#N/A,#N/A,FALSE,"3 mo Forecast";#N/A,#N/A,FALSE,"PF Detail";#N/A,#N/A,FALSE,"PF vs Prior";#N/A,#N/A,FALSE,"Var_Proformas"}</definedName>
    <definedName name="wrn.Print._.Model." hidden="1">{"EM",#N/A,FALSE,"EM";"EMQuarterly",#N/A,FALSE,"EM";"BS",#N/A,FALSE,"BS";"CF",#N/A,FALSE,"CF"}</definedName>
    <definedName name="wrn.Print._.Tables." hidden="1">{"EM",#N/A,FALSE,"EM";"Returns",#N/A,FALSE,"Returns";"FFUniverse",#N/A,FALSE,"FFUniverse"}</definedName>
    <definedName name="wrn.printall." hidden="1">{"printall",#N/A,FALSE,"BAIRNUMB"}</definedName>
    <definedName name="wrn.Pulp." localSheetId="5" hidden="1">{"Pulp Production",#N/A,FALSE,"Pulp";"Pulp Earnings",#N/A,FALSE,"Pulp"}</definedName>
    <definedName name="wrn.Pulp." localSheetId="6" hidden="1">{"Pulp Production",#N/A,FALSE,"Pulp";"Pulp Earnings",#N/A,FALSE,"Pulp"}</definedName>
    <definedName name="wrn.Pulp." localSheetId="7" hidden="1">{"Pulp Production",#N/A,FALSE,"Pulp";"Pulp Earnings",#N/A,FALSE,"Pulp"}</definedName>
    <definedName name="wrn.Pulp." hidden="1">{"Pulp Production",#N/A,FALSE,"Pulp";"Pulp Earnings",#N/A,FALSE,"Pulp"}</definedName>
    <definedName name="wrn.Q._.Report." localSheetId="5" hidden="1">{"Quarterly Earnings",#N/A,FALSE,"FTS";"Quarterly Margins",#N/A,FALSE,"FTS";"Q Sales",#N/A,FALSE,"FTS";"Q EBIT",#N/A,FALSE,"FTS";"Unit Analysis",#N/A,FALSE,"FTS";"Inventory Analysis",#N/A,FALSE,"FTS"}</definedName>
    <definedName name="wrn.Q._.Report." localSheetId="6" hidden="1">{"Quarterly Earnings",#N/A,FALSE,"FTS";"Quarterly Margins",#N/A,FALSE,"FTS";"Q Sales",#N/A,FALSE,"FTS";"Q EBIT",#N/A,FALSE,"FTS";"Unit Analysis",#N/A,FALSE,"FTS";"Inventory Analysis",#N/A,FALSE,"FTS"}</definedName>
    <definedName name="wrn.Q._.Report." localSheetId="7" hidden="1">{"Quarterly Earnings",#N/A,FALSE,"FTS";"Quarterly Margins",#N/A,FALSE,"FTS";"Q Sales",#N/A,FALSE,"FTS";"Q EBIT",#N/A,FALSE,"FTS";"Unit Analysis",#N/A,FALSE,"FTS";"Inventory Analysis",#N/A,FALSE,"FTS"}</definedName>
    <definedName name="wrn.Q._.Report." hidden="1">{"Quarterly Earnings",#N/A,FALSE,"FTS";"Quarterly Margins",#N/A,FALSE,"FTS";"Q Sales",#N/A,FALSE,"FTS";"Q EBIT",#N/A,FALSE,"FTS";"Unit Analysis",#N/A,FALSE,"FTS";"Inventory Analysis",#N/A,FALSE,"FTS"}</definedName>
    <definedName name="wrn.qrt95." hidden="1">{"qrt95",#N/A,FALSE,"BAIRNUMB"}</definedName>
    <definedName name="wrn.Qtr._.Op._.Q1." localSheetId="6" hidden="1">{"Qtr Op Mgd Q1",#N/A,FALSE,"Qtr-Op (Mng)";"Qtr Op Rpt Q1",#N/A,FALSE,"Qtr-Op (Rpt)";"Operating Vs Reported",#N/A,FALSE,"Rpt-Op Inc"}</definedName>
    <definedName name="wrn.Qtr._.Op._.Q1." hidden="1">{"Qtr Op Mgd Q1",#N/A,FALSE,"Qtr-Op (Mng)";"Qtr Op Rpt Q1",#N/A,FALSE,"Qtr-Op (Rpt)";"Operating Vs Reported",#N/A,FALSE,"Rpt-Op Inc"}</definedName>
    <definedName name="wrn.Qtr._.Op._.Q2." localSheetId="6" hidden="1">{"Qtr Op Mgd Q2",#N/A,FALSE,"Qtr-Op (Mng)";"Qtr Op Rpt Q2",#N/A,FALSE,"Qtr-Op (Rpt)";"Operating Vs Reported",#N/A,FALSE,"Rpt-Op Inc"}</definedName>
    <definedName name="wrn.Qtr._.Op._.Q2." hidden="1">{"Qtr Op Mgd Q2",#N/A,FALSE,"Qtr-Op (Mng)";"Qtr Op Rpt Q2",#N/A,FALSE,"Qtr-Op (Rpt)";"Operating Vs Reported",#N/A,FALSE,"Rpt-Op Inc"}</definedName>
    <definedName name="wrn.Qtr._.Op._.Q3." localSheetId="6" hidden="1">{"Qtr Op Mgd Q3",#N/A,FALSE,"Qtr-Op (Mng)";"Qtr Op Rpt Q3",#N/A,FALSE,"Qtr-Op (Rpt)";"Operating Vs Reported",#N/A,FALSE,"Rpt-Op Inc"}</definedName>
    <definedName name="wrn.Qtr._.Op._.Q3." hidden="1">{"Qtr Op Mgd Q3",#N/A,FALSE,"Qtr-Op (Mng)";"Qtr Op Rpt Q3",#N/A,FALSE,"Qtr-Op (Rpt)";"Operating Vs Reported",#N/A,FALSE,"Rpt-Op Inc"}</definedName>
    <definedName name="wrn.Qtr._.Op._.Q4." localSheetId="6"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2a." localSheetId="6" hidden="1">{"Qtr Op Mgd Q2",#N/A,FALSE,"Qtr-Op (Mng)";"Qtr Op Rpt Q2",#N/A,FALSE,"Qtr-Op (Rpt)";"Operating Vs Reported",#N/A,FALSE,"Rpt-Op Inc"}</definedName>
    <definedName name="wrn.Qtr._.Op._Q2a." hidden="1">{"Qtr Op Mgd Q2",#N/A,FALSE,"Qtr-Op (Mng)";"Qtr Op Rpt Q2",#N/A,FALSE,"Qtr-Op (Rpt)";"Operating Vs Reported",#N/A,FALSE,"Rpt-Op Inc"}</definedName>
    <definedName name="wrn.Qtr_.Op._.Q4." localSheetId="6" hidden="1">{"Qtr Op Mgd Q3",#N/A,FALSE,"Qtr-Op (Mng)";"Qtr Op Rpt Q4",#N/A,FALSE,"Qtr-Op (Rpt)";"Operating Vs Reported",#N/A,FALSE,"Rpt-Op Inc"}</definedName>
    <definedName name="wrn.Qtr_.Op._.Q4." hidden="1">{"Qtr Op Mgd Q3",#N/A,FALSE,"Qtr-Op (Mng)";"Qtr Op Rpt Q4",#N/A,FALSE,"Qtr-Op (Rpt)";"Operating Vs Reported",#N/A,FALSE,"Rpt-Op Inc"}</definedName>
    <definedName name="wrn.quarterly." hidden="1">{"quarterly",#N/A,FALSE,"BAIRNUMB"}</definedName>
    <definedName name="wrn.RAINE." hidden="1">{"FRONT",#N/A,FALSE,"RAINE";"P AND L",#N/A,FALSE,"RAINE";"CASH AND VAL",#N/A,FALSE,"RAINE";"MODELS",#N/A,FALSE,"RAINE";"VALUATION",#N/A,FALSE,"RAINE"}</definedName>
    <definedName name="wrn.REDLAND." hidden="1">{"FRONT (REDLAND) (25)",#N/A,FALSE,"REDLAND";"P_AND_L (REDLAND) (25)",#N/A,FALSE,"REDLAND";"CASH_AND_VAL (REDLAND) (25)",#N/A,FALSE,"REDLAND";"OPERATIONAL_FORCASTS (REDLAND) (25)",#N/A,FALSE,"REDLAND";"MODELS (REDLAND) (25)",#N/A,FALSE,"REDLAND";"IND.VAL2 (REDLAND) (25)",#N/A,FALSE,"REDLAND";"IND.VAL1 (REDLAND) (25)",#N/A,FALSE,"REDLAND";"GERMAN STATS (REDLAND) (25)",#N/A,FALSE,"REDLAND";"BRASS TCE (REDLAND) (25)",#N/A,FALSE,"REDLAND";"BRASS P AND L (REDLAND) (25)",#N/A,FALSE,"REDLAND";"BRASS BALANCE (REDLAND) (25)",#N/A,FALSE,"REDLAND";"SUMPARTS (REDLAND) (23)",#N/A,FALSE,"REDLAND"}</definedName>
    <definedName name="wrn.REDROW." hidden="1">{"FRONT (REDROW)",#N/A,TRUE,"REDROW";"P ANDL (REDROW)",#N/A,TRUE,"REDROW";"CASH (REDROW)",#N/A,TRUE,"REDROW";"VALUATION (REDROW)",#N/A,TRUE,"REDROW"}</definedName>
    <definedName name="wrn.Report." localSheetId="6" hidden="1">{#N/A,#N/A,FALSE,"COVER";#N/A,#N/A,FALSE,"FORECAST";#N/A,#N/A,FALSE,"VALUATION";#N/A,#N/A,FALSE,"FY ANALYSIS ";#N/A,#N/A,FALSE," HY ANALYSIS"}</definedName>
    <definedName name="wrn.Report." hidden="1">{#N/A,#N/A,FALSE,"COVER";#N/A,#N/A,FALSE,"FORECAST";#N/A,#N/A,FALSE,"VALUATION";#N/A,#N/A,FALSE,"FY ANALYSIS ";#N/A,#N/A,FALSE," HY ANALYSIS"}</definedName>
    <definedName name="wrn.RESIDUAL." hidden="1">{"RESIDUAL",#N/A,FALSE,"RESID"}</definedName>
    <definedName name="wrn.RETURNS." hidden="1">{"BETAS",#N/A,FALSE,"RETURNS";"THEOR KE",#N/A,FALSE,"RETURNS";"IMPLIED KE",#N/A,FALSE,"RETURNS";"THEO GR",#N/A,FALSE,"RETURNS";"IMPLIED GR",#N/A,FALSE,"RETURNS";"IMPLIED KE PORD",#N/A,FALSE,"RETURNS";"ROE",#N/A,FALSE,"RETURNS";"RETENTIONS",#N/A,FALSE,"RETURNS";"RISK FREE",#N/A,FALSE,"RETURNS";"GRISKADJPER",#N/A,FALSE,"RETURNS";"THEOR PER",#N/A,FALSE,"RETURNS"}</definedName>
    <definedName name="wrn.RETURNS._.ON._.INV." hidden="1">{"RETURNINVEST",#N/A,FALSE,"ROI (%)";"RETURNS2",#N/A,FALSE,"ROI (%)";"RETURNS3",#N/A,FALSE,"ROI (%)"}</definedName>
    <definedName name="wrn.RMC." hidden="1">{"FRONT (RMC) (25)",#N/A,TRUE,"RMC";"P_AND_L (RMC) (25)",#N/A,TRUE,"RMC";"CASH_AND_VAL (RMC) (25)",#N/A,TRUE,"RMC";"INDVAL (RMC) (25)",#N/A,TRUE,"RMC"}</definedName>
    <definedName name="wrn.RUGBY." hidden="1">{"FRONT (RUGBY) (25)",#N/A,TRUE,"RUGBY";"P_AND_L (RUGBY) (25)",#N/A,TRUE,"RUGBY";"CASH_AND_VAL (RUGBY) (25)",#N/A,TRUE,"RUGBY";"VALUE (RUGBY) (25)",#N/A,TRUE,"RUGBY";"SENSIT (RUGBY) (25)",#N/A,TRUE,"RUGBY";"models1 (RUGBY) (25)",#N/A,TRUE,"RUGBY";"MODELS (RUGBY) (25)",#N/A,TRUE,"RUGBY";"JOINERY (RUGBY) (25)",#N/A,TRUE,"RUGBY"}</definedName>
    <definedName name="wrn.RUSSELL." hidden="1">{"FRONT (A. RUSSELL) (25)",#N/A,TRUE,"A. RUSSELL";"P_AND_L (A. RUSSELL) (25)",#N/A,TRUE,"A. RUSSELL";"CASH_AND_VAL (A. RUSSELL) (25)",#N/A,TRUE,"A. RUSSELL"}</definedName>
    <definedName name="wrn.Segments." localSheetId="6" hidden="1">{"view1",#N/A,FALSE,"Consolidated";"view2",#N/A,FALSE,"Consolidated (sum)";"view1",#N/A,FALSE,"Gen Sys";"view1",#N/A,FALSE,"Semicon";"view1",#N/A,FALSE,"Mess|Med";"view1",#N/A,FALSE,"Land Mob";"view1",#N/A,FALSE,"Other Prod";"view1",#N/A,FALSE,"Adj|Elim"}</definedName>
    <definedName name="wrn.Segments." hidden="1">{"view1",#N/A,FALSE,"Consolidated";"view2",#N/A,FALSE,"Consolidated (sum)";"view1",#N/A,FALSE,"Gen Sys";"view1",#N/A,FALSE,"Semicon";"view1",#N/A,FALSE,"Mess|Med";"view1",#N/A,FALSE,"Land Mob";"view1",#N/A,FALSE,"Other Prod";"view1",#N/A,FALSE,"Adj|Elim"}</definedName>
    <definedName name="wrn.SGB." hidden="1">{"P AND L",#N/A,FALSE,"SGB";"CASH AND VAL",#N/A,FALSE,"SGB";"VALUATION",#N/A,FALSE,"SGB"}</definedName>
    <definedName name="wrn.SHARPE." hidden="1">{"FRONT (SHARPE &amp; FISHER) (25)",#N/A,TRUE,"SHARPE &amp; FISHER";"P AND L (SHARPE &amp; FISHER) (25)",#N/A,TRUE,"SHARPE &amp; FISHER";"CASH AND VAL (SHARPE &amp; FISHER) (25)",#N/A,TRUE,"SHARPE &amp; FISHER"}</definedName>
    <definedName name="wrn.SIG." hidden="1">{"FRONT (SIG) (25)",#N/A,TRUE,"SIG";"P AND L (SIG) (25)",#N/A,TRUE,"SIG";"CASH AND VAL (SIG) (25)",#N/A,TRUE,"SIG";"MODELS (SIG) (25)",#N/A,TRUE,"SIG"}</definedName>
    <definedName name="wrn.SPRING._.RAM." hidden="1">{"FRONT (SPRING RAM) (29)",#N/A,TRUE,"SPRING RAM";"P_AND_L (SPRING RAM) (29)",#N/A,TRUE,"SPRING RAM";"CASH_AND_VAL (SPRING RAM) (29)",#N/A,TRUE,"SPRING RAM"}</definedName>
    <definedName name="wrn.Statements." hidden="1">{"Co1statements",#N/A,FALSE,"Cmpy1";"Co2statement",#N/A,FALSE,"Cmpy2";"co1pm",#N/A,FALSE,"Co1PM";"co2PM",#N/A,FALSE,"Co2PM";"value",#N/A,FALSE,"value";"opco",#N/A,FALSE,"NewSparkle";"adjusts",#N/A,FALSE,"Adjustments"}</definedName>
    <definedName name="wrn.Tables." localSheetId="6" hidden="1">{"view1",#N/A,FALSE,"Tables";"view2",#N/A,FALSE,"Tables";"view3",#N/A,FALSE,"Tables"}</definedName>
    <definedName name="wrn.Tables." hidden="1">{"view1",#N/A,FALSE,"Tables";"view2",#N/A,FALSE,"Tables";"view3",#N/A,FALSE,"Tables"}</definedName>
    <definedName name="wrn.TARMAC." hidden="1">{"FRONT (TARMAC) (25)",#N/A,TRUE,"TARMAC";"P_AND_L (TARMAC) (25)",#N/A,TRUE,"TARMAC";"CASH AND VAL (TARMAC) (25)",#N/A,TRUE,"TARMAC";"MODELS (TARMAC) (25)",#N/A,TRUE,"TARMAC";"MODELS2 (TARMAC) (25)",#N/A,TRUE,"TARMAC";"INDUSTRIAL (TARMAC) (25)",#N/A,TRUE,"TARMAC"}</definedName>
    <definedName name="wrn.TAYLOR._.WOODROW." hidden="1">{"FRONT (TAY. WOOD.)",#N/A,TRUE,"TAY. WOOD.";"P AND L (TAY. WOOD.)",#N/A,TRUE,"TAY. WOOD.";"CASH AND VAL (TAY. WOOD.)",#N/A,TRUE,"TAY. WOOD.";"MODELS (TAY. WOOD.)",#N/A,TRUE,"TAY. WOOD.";"MODELS2 (TAY. WOOD.)",#N/A,TRUE,"TAY. WOOD.";"MODELS3 (TAY. WOOD.)",#N/A,TRUE,"TAY. WOOD."}</definedName>
    <definedName name="wrn.TILDOUG." hidden="1">{"PANDL (TILDOUG)",#N/A,TRUE,"TILDOUG";"CASH (TILDOUG)",#N/A,TRUE,"TILDOUG";"VALUATION (TILDOUG)",#N/A,TRUE,"TILDOUG"}</definedName>
    <definedName name="wrn.TRAVIS._.PERKINS." hidden="1">{"FRONT (TRAVIS PERK) (25)",#N/A,TRUE,"TRAVIS PERK";"P_AND_L (TRAVIS PERK) (25)",#N/A,TRUE,"TRAVIS PERK";"CASH_AND_VAL (TRAVIS PERK) (25)",#N/A,TRUE,"TRAVIS PERK"}</definedName>
    <definedName name="wrn.Variance._.3." localSheetId="6" hidden="1">{"Variance Q3",#N/A,FALSE,"Var"}</definedName>
    <definedName name="wrn.Variance._.3." hidden="1">{"Variance Q3",#N/A,FALSE,"Var"}</definedName>
    <definedName name="wrn.Variance._.Q1." localSheetId="6" hidden="1">{"Variance Q1",#N/A,FALSE,"Var"}</definedName>
    <definedName name="wrn.Variance._.Q1." hidden="1">{"Variance Q1",#N/A,FALSE,"Var"}</definedName>
    <definedName name="wrn.Variance._.Q2." localSheetId="6" hidden="1">{"Variance Q2",#N/A,FALSE,"Var"}</definedName>
    <definedName name="wrn.Variance._.Q2." hidden="1">{"Variance Q2",#N/A,FALSE,"Var"}</definedName>
    <definedName name="wrn.Variance._.Q3." localSheetId="6" hidden="1">{"Variance Q3",#N/A,FALSE,"Var"}</definedName>
    <definedName name="wrn.Variance._.Q3." hidden="1">{"Variance Q3",#N/A,FALSE,"Var"}</definedName>
    <definedName name="wrn.Variance._.Q4" localSheetId="6" hidden="1">{"Variance Q4",#N/A,FALSE,"Var"}</definedName>
    <definedName name="wrn.Variance._.Q4" hidden="1">{"Variance Q4",#N/A,FALSE,"Var"}</definedName>
    <definedName name="wrn.Variance._.Q4." localSheetId="6" hidden="1">{"Variance Q4",#N/A,FALSE,"Var"}</definedName>
    <definedName name="wrn.Variance._.Q4." hidden="1">{"Variance Q4",#N/A,FALSE,"Var"}</definedName>
    <definedName name="wrn.WAINHOMES." hidden="1">{"FRONT (WAIN)",#N/A,TRUE,"WAIN";"P AND L (WAIN)",#N/A,TRUE,"WAIN";"CASH (WAIN)",#N/A,TRUE,"WAIN";"VALUATION (WAIN)",#N/A,TRUE,"WAIN";"MODELS (WAIN)",#N/A,TRUE,"WAIN";"ASSETVAL (WAIN)",#N/A,TRUE,"WAIN"}</definedName>
    <definedName name="wrn.WESTBURY." hidden="1">{"P AND L (WESTBURY)",#N/A,FALSE,"WESTBURY";"CASHFLOW (WESTBURY)",#N/A,FALSE,"WESTBURY";"VALUATION (WESTBURY)",#N/A,FALSE,"WESTBURY";"ASSETVAL (WESTBURY)",#N/A,FALSE,"WESTBURY";"MODELS (WESTBURY)",#N/A,FALSE,"WESTBURY"}</definedName>
    <definedName name="wrn.WILCON." hidden="1">{"FRONT (WILCON)",#N/A,TRUE,"COSTAIN";"PANDL (WILCON)",#N/A,TRUE,"COSTAIN";"CASHMODEL (WILCON)",#N/A,TRUE,"COSTAIN";"VALUATION (WILCON)",#N/A,TRUE,"COSTAIN";"ASSETVAL (WILCON)",#N/A,TRUE,"COSTAIN"}</definedName>
    <definedName name="wrn.WILSON._.B." hidden="1">{"FRONT (WILSON B)",#N/A,TRUE,"WILSON B";"P AND L (WILSON B)",#N/A,TRUE,"WILSON B";"CASH AND MODEL (WILSON B)",#N/A,TRUE,"WILSON B";"VALUATION (WILSON B)",#N/A,TRUE,"WILSON B";"ASSETVAL (WILSON B)",#N/A,TRUE,"WILSON B";"MODELS (WILSON B)",#N/A,TRUE,"WILSON B";"MATRIX (WILSON B)",#N/A,TRUE,"WILSON B";"TRENCH (WILSON B)",#N/A,TRUE,"WILSON B"}</definedName>
    <definedName name="wrn.WIMPEY." hidden="1">{"FRONT (WIMPEY)",#N/A,TRUE,"WIMPEY";"P AND L (WIMPEY)",#N/A,TRUE,"WIMPEY";"CASH AND VAL (WIMPEY)",#N/A,TRUE,"WIMPEY";"MODELS (WIMPEY)",#N/A,TRUE,"WIMPEY";"MODELS2 (WIMPEY)",#N/A,TRUE,"WIMPEY";"MODELS3 (WIMPEY)",#N/A,TRUE,"WIMPEY";"MODELS3A (WIMPEY)",#N/A,TRUE,"WIMPEY";"ASSET VAL (WIMPEY)",#N/A,TRUE,"WIMPEY"}</definedName>
    <definedName name="wrn.WOLSELEY." hidden="1">{"FRONT (WOLSELEY) (23)",#N/A,TRUE,"WOLSELEY";"P AND L (WOLSELEY) (23)",#N/A,TRUE,"WOLSELEY";"CASH AND VAL (WOLSELEY) (23)",#N/A,TRUE,"WOLSELEY";"VALUATION (WOLSELEY) (23)",#N/A,TRUE,"WOLSELEY";"VALUATION (WOLSELEY) (21)",#N/A,TRUE,"WOLSELEY";"CASHFLOWVAL (WOLSELEY) (23)",#N/A,TRUE,"WOLSELEY";"MODELS3 (WOLSELEY) (23)",#N/A,TRUE,"WOLSELEY";"MODELS2 (WOLSELEY) (23)",#N/A,TRUE,"WOLSELEY";"MODELS (WOLSELEY) (23)",#N/A,TRUE,"WOLSELEY"}</definedName>
    <definedName name="xxx" localSheetId="6" hidden="1">{"cover a","1q",FALSE,"Cover";"Op Earn Mgd Q1",#N/A,FALSE,"Op-Earn (Mng)";"Op Earn Rpt Q1",#N/A,FALSE,"Op-Earn (Rpt)";"Loans",#N/A,FALSE,"Loans";"Credit Costs",#N/A,FALSE,"CCosts";"Net Interest Margin",#N/A,FALSE,"Margin";"Nonint Income",#N/A,FALSE,"NonII";"Nonint Exp",#N/A,FALSE,"NonIE";"Valuation",#N/A,FALSE,"Valuation"}</definedName>
    <definedName name="xxx" hidden="1">{"cover a","1q",FALSE,"Cover";"Op Earn Mgd Q1",#N/A,FALSE,"Op-Earn (Mng)";"Op Earn Rpt Q1",#N/A,FALSE,"Op-Earn (Rpt)";"Loans",#N/A,FALSE,"Loans";"Credit Costs",#N/A,FALSE,"CCosts";"Net Interest Margin",#N/A,FALSE,"Margin";"Nonint Income",#N/A,FALSE,"NonII";"Nonint Exp",#N/A,FALSE,"NonIE";"Valuation",#N/A,FALSE,"Valuation"}</definedName>
    <definedName name="Year_End">1988</definedName>
    <definedName name="YearQtr_title">#N/A</definedName>
    <definedName name="YrEnd_FFr_USD">0.1767</definedName>
  </definedNames>
  <calcPr calcId="145621"/>
  <fileRecoveryPr autoRecover="0"/>
</workbook>
</file>

<file path=xl/calcChain.xml><?xml version="1.0" encoding="utf-8"?>
<calcChain xmlns="http://schemas.openxmlformats.org/spreadsheetml/2006/main">
  <c r="CC201" i="8" l="1"/>
  <c r="BX201" i="8"/>
  <c r="BX160" i="8"/>
  <c r="BO101" i="8"/>
  <c r="BP101" i="8" s="1"/>
  <c r="BQ101" i="8" s="1"/>
  <c r="BR101" i="8" s="1"/>
  <c r="BO121" i="8"/>
  <c r="BP121" i="8"/>
  <c r="BQ121" i="8" s="1"/>
  <c r="BP268" i="8"/>
  <c r="BQ268" i="8" s="1"/>
  <c r="BR268" i="8" s="1"/>
  <c r="BO268" i="8"/>
  <c r="BR99" i="8"/>
  <c r="BQ99" i="8"/>
  <c r="BP99" i="8"/>
  <c r="BO99" i="8"/>
  <c r="CF40" i="8" l="1"/>
  <c r="BR29" i="8"/>
  <c r="BQ29" i="8"/>
  <c r="BP29" i="8"/>
  <c r="BO29" i="8"/>
  <c r="BR40" i="8"/>
  <c r="BQ40" i="8"/>
  <c r="BP40" i="8"/>
  <c r="BO40" i="8"/>
  <c r="CB5" i="8"/>
  <c r="CA5" i="8"/>
  <c r="BZ5" i="8"/>
  <c r="BY5" i="8"/>
  <c r="CC30" i="8"/>
  <c r="CP30" i="8"/>
  <c r="CO30" i="8"/>
  <c r="CL29" i="8"/>
  <c r="CP29" i="8" s="1"/>
  <c r="BS29" i="8" l="1"/>
  <c r="BS30" i="8" s="1"/>
  <c r="CO29" i="8"/>
  <c r="BR160" i="8"/>
  <c r="CF187" i="8"/>
  <c r="EQ189" i="103"/>
  <c r="EO209" i="103"/>
  <c r="EN209" i="103"/>
  <c r="EM209" i="103"/>
  <c r="EL209" i="103"/>
  <c r="EJ209" i="103"/>
  <c r="EI209" i="103"/>
  <c r="EH209" i="103"/>
  <c r="FJ163" i="103"/>
  <c r="FI163" i="103"/>
  <c r="FH163" i="103"/>
  <c r="FJ159" i="103"/>
  <c r="FI159" i="103"/>
  <c r="FH159" i="103"/>
  <c r="FJ125" i="103"/>
  <c r="FI125" i="103"/>
  <c r="FK63" i="103"/>
  <c r="FJ63" i="103"/>
  <c r="FI63" i="103"/>
  <c r="FH63" i="103"/>
  <c r="FK60" i="103"/>
  <c r="FJ60" i="103"/>
  <c r="FI60" i="103"/>
  <c r="FH60" i="103"/>
  <c r="FK57" i="103"/>
  <c r="FJ57" i="103"/>
  <c r="FI57" i="103"/>
  <c r="FH57" i="103"/>
  <c r="FK54" i="103"/>
  <c r="FJ54" i="103"/>
  <c r="FI54" i="103"/>
  <c r="FH54" i="103"/>
  <c r="FK51" i="103"/>
  <c r="FJ51" i="103"/>
  <c r="FI51" i="103"/>
  <c r="FH51" i="103"/>
  <c r="FK46" i="103"/>
  <c r="FJ46" i="103"/>
  <c r="FI46" i="103"/>
  <c r="FH46" i="103"/>
  <c r="FJ38" i="103"/>
  <c r="FI38" i="103"/>
  <c r="BX29" i="8" l="1"/>
  <c r="CC29" i="8" s="1"/>
  <c r="BO210" i="8"/>
  <c r="CX228" i="8" l="1"/>
  <c r="CI187" i="8"/>
  <c r="CH187" i="8"/>
  <c r="CG187" i="8"/>
  <c r="U8" i="105" l="1"/>
  <c r="CX239" i="8" l="1"/>
  <c r="CX238" i="8"/>
  <c r="CC242" i="8"/>
  <c r="BX192" i="8"/>
  <c r="BP242" i="8" l="1"/>
  <c r="BQ242" i="8" s="1"/>
  <c r="BR242" i="8" s="1"/>
  <c r="BN23" i="8" l="1"/>
  <c r="CX229" i="8" l="1"/>
  <c r="EO123" i="103"/>
  <c r="EO125" i="103" s="1"/>
  <c r="EO62" i="103"/>
  <c r="EO56" i="103"/>
  <c r="EO45" i="103"/>
  <c r="EO44" i="103"/>
  <c r="EO34" i="103"/>
  <c r="BP190" i="8"/>
  <c r="BQ190" i="8" s="1"/>
  <c r="BR190" i="8" s="1"/>
  <c r="BM297" i="8"/>
  <c r="BM296" i="8"/>
  <c r="BM295" i="8"/>
  <c r="BM294" i="8"/>
  <c r="BM293" i="8"/>
  <c r="BM292" i="8"/>
  <c r="BM291" i="8"/>
  <c r="BM290" i="8"/>
  <c r="BM289" i="8"/>
  <c r="BM287" i="8"/>
  <c r="BM285" i="8"/>
  <c r="BM284" i="8"/>
  <c r="BM282" i="8"/>
  <c r="BM280" i="8"/>
  <c r="BM278" i="8"/>
  <c r="BM277" i="8"/>
  <c r="BM275" i="8"/>
  <c r="BM274" i="8"/>
  <c r="BM273" i="8"/>
  <c r="BM272" i="8"/>
  <c r="BM268" i="8"/>
  <c r="BN287" i="8"/>
  <c r="BN285" i="8"/>
  <c r="BN280" i="8"/>
  <c r="BN274" i="8"/>
  <c r="BM262" i="8"/>
  <c r="BM261" i="8"/>
  <c r="BM259" i="8"/>
  <c r="BM257" i="8"/>
  <c r="BM256" i="8"/>
  <c r="BM258" i="8" s="1"/>
  <c r="BM255" i="8"/>
  <c r="BM242" i="8"/>
  <c r="BM239" i="8"/>
  <c r="BM244" i="8" s="1"/>
  <c r="BN262" i="8"/>
  <c r="BN258" i="8"/>
  <c r="BN255" i="8"/>
  <c r="BL235" i="8"/>
  <c r="BM238" i="8"/>
  <c r="BM201" i="8"/>
  <c r="EO124" i="103" l="1"/>
  <c r="BM243" i="8"/>
  <c r="CM229" i="8" l="1"/>
  <c r="CM224" i="8"/>
  <c r="CM219" i="8"/>
  <c r="CM216" i="8"/>
  <c r="CM215" i="8"/>
  <c r="CM214" i="8"/>
  <c r="CM213" i="8"/>
  <c r="CM212" i="8"/>
  <c r="CM210" i="8"/>
  <c r="CM207" i="8"/>
  <c r="CM201" i="8"/>
  <c r="CM200" i="8"/>
  <c r="CM198" i="8"/>
  <c r="CM194" i="8"/>
  <c r="CM190" i="8"/>
  <c r="CM179" i="8"/>
  <c r="CM170" i="8"/>
  <c r="CM169" i="8"/>
  <c r="CM166" i="8"/>
  <c r="CM140" i="8"/>
  <c r="CM118" i="8"/>
  <c r="CM112" i="8"/>
  <c r="CM92" i="8"/>
  <c r="CM81" i="8"/>
  <c r="CM76" i="8"/>
  <c r="CM71" i="8"/>
  <c r="CM67" i="8"/>
  <c r="CM66" i="8"/>
  <c r="CM65" i="8"/>
  <c r="CM64" i="8"/>
  <c r="CM63" i="8"/>
  <c r="CM62" i="8"/>
  <c r="CM61" i="8"/>
  <c r="CM60" i="8"/>
  <c r="CM59" i="8"/>
  <c r="CM58" i="8"/>
  <c r="CM56" i="8"/>
  <c r="CM51" i="8"/>
  <c r="CM45" i="8"/>
  <c r="CM42" i="8"/>
  <c r="CM40" i="8"/>
  <c r="CM31" i="8"/>
  <c r="CM19" i="8"/>
  <c r="CM17" i="8"/>
  <c r="CM9" i="8"/>
  <c r="CL229" i="8"/>
  <c r="CL224" i="8"/>
  <c r="CL215" i="8"/>
  <c r="CL214" i="8"/>
  <c r="CL213" i="8"/>
  <c r="CL212" i="8"/>
  <c r="CL207" i="8"/>
  <c r="CL179" i="8"/>
  <c r="CL170" i="8"/>
  <c r="CL169" i="8"/>
  <c r="CL166" i="8"/>
  <c r="CL112" i="8"/>
  <c r="CL81" i="8"/>
  <c r="CL76" i="8"/>
  <c r="CL71" i="8"/>
  <c r="CL67" i="8"/>
  <c r="CL66" i="8"/>
  <c r="CL65" i="8"/>
  <c r="CL64" i="8"/>
  <c r="CL63" i="8"/>
  <c r="CL62" i="8"/>
  <c r="CL61" i="8"/>
  <c r="CL60" i="8"/>
  <c r="CL59" i="8"/>
  <c r="CL58" i="8"/>
  <c r="CL56" i="8"/>
  <c r="CL51" i="8"/>
  <c r="CL27" i="8"/>
  <c r="CL26" i="8"/>
  <c r="CL25" i="8"/>
  <c r="CL219" i="8" l="1"/>
  <c r="CL118" i="8"/>
  <c r="CL42" i="8"/>
  <c r="CL40" i="8"/>
  <c r="CL31" i="8"/>
  <c r="BM78" i="8"/>
  <c r="CL17" i="8"/>
  <c r="CL19" i="8"/>
  <c r="CL9" i="8"/>
  <c r="CL216" i="8"/>
  <c r="BN210" i="8"/>
  <c r="CL201" i="8"/>
  <c r="CL200" i="8"/>
  <c r="CL190" i="8"/>
  <c r="CL194" i="8"/>
  <c r="BM279" i="8"/>
  <c r="BN2" i="8"/>
  <c r="BM230" i="8"/>
  <c r="BN229" i="8"/>
  <c r="BM226" i="8"/>
  <c r="BN215" i="8"/>
  <c r="BN179" i="8"/>
  <c r="BN170" i="8"/>
  <c r="BN169" i="8"/>
  <c r="BM168" i="8"/>
  <c r="BM167" i="8" s="1"/>
  <c r="BN166" i="8"/>
  <c r="BM162" i="8"/>
  <c r="CL162" i="8" s="1"/>
  <c r="BN161" i="8"/>
  <c r="BN160" i="8"/>
  <c r="BM159" i="8"/>
  <c r="BN151" i="8"/>
  <c r="BN150" i="8"/>
  <c r="BN149" i="8"/>
  <c r="BN148" i="8"/>
  <c r="BN146" i="8"/>
  <c r="BN145" i="8"/>
  <c r="BN144" i="8"/>
  <c r="BM120" i="8"/>
  <c r="CL120" i="8" s="1"/>
  <c r="BM119" i="8"/>
  <c r="CL119" i="8" s="1"/>
  <c r="BM117" i="8"/>
  <c r="CL117" i="8" s="1"/>
  <c r="BM114" i="8"/>
  <c r="BM113" i="8"/>
  <c r="CL113" i="8" s="1"/>
  <c r="BN112" i="8"/>
  <c r="BM72" i="8"/>
  <c r="CL72" i="8" s="1"/>
  <c r="BN71" i="8"/>
  <c r="BM57" i="8"/>
  <c r="CL57" i="8" s="1"/>
  <c r="BN56" i="8"/>
  <c r="BM53" i="8"/>
  <c r="BM52" i="8"/>
  <c r="CL52" i="8" s="1"/>
  <c r="BN51" i="8"/>
  <c r="BM43" i="8"/>
  <c r="CL43" i="8" s="1"/>
  <c r="BN42" i="8"/>
  <c r="BN43" i="8" s="1"/>
  <c r="BN26" i="8"/>
  <c r="BN25" i="8"/>
  <c r="BM22" i="8"/>
  <c r="CL22" i="8" s="1"/>
  <c r="BM10" i="8"/>
  <c r="CL10" i="8" s="1"/>
  <c r="BM100" i="8" l="1"/>
  <c r="CL100" i="8" s="1"/>
  <c r="BM41" i="8"/>
  <c r="CL41" i="8" s="1"/>
  <c r="CL45" i="8"/>
  <c r="BM122" i="8"/>
  <c r="CL122" i="8" s="1"/>
  <c r="BM211" i="8"/>
  <c r="CL211" i="8" s="1"/>
  <c r="BM178" i="8"/>
  <c r="CL178" i="8" s="1"/>
  <c r="BN194" i="8"/>
  <c r="BM68" i="8"/>
  <c r="CL68" i="8" s="1"/>
  <c r="BM20" i="8"/>
  <c r="CL20" i="8" s="1"/>
  <c r="BN201" i="8"/>
  <c r="BN198" i="8"/>
  <c r="CL198" i="8"/>
  <c r="BM34" i="8"/>
  <c r="CL33" i="8"/>
  <c r="BM48" i="8"/>
  <c r="BM96" i="8"/>
  <c r="CL96" i="8" s="1"/>
  <c r="CL92" i="8"/>
  <c r="BM218" i="8"/>
  <c r="CL218" i="8" s="1"/>
  <c r="CL210" i="8"/>
  <c r="CL140" i="8"/>
  <c r="BN216" i="8"/>
  <c r="BN211" i="8" s="1"/>
  <c r="BM38" i="8"/>
  <c r="CL38" i="8" s="1"/>
  <c r="BM18" i="8"/>
  <c r="CL18" i="8" s="1"/>
  <c r="BN40" i="8"/>
  <c r="BN41" i="8" s="1"/>
  <c r="BM217" i="8"/>
  <c r="CL217" i="8" s="1"/>
  <c r="BN190" i="8"/>
  <c r="CL114" i="8"/>
  <c r="CL53" i="8"/>
  <c r="CL48" i="8"/>
  <c r="CL226" i="8"/>
  <c r="BM141" i="8"/>
  <c r="CL141" i="8" s="1"/>
  <c r="BM182" i="8"/>
  <c r="BM142" i="8"/>
  <c r="CL142" i="8" s="1"/>
  <c r="BM46" i="8"/>
  <c r="CL46" i="8" s="1"/>
  <c r="BM175" i="8"/>
  <c r="BM93" i="8"/>
  <c r="CL93" i="8" s="1"/>
  <c r="BM5" i="8"/>
  <c r="BO220" i="8"/>
  <c r="BM220" i="8"/>
  <c r="CL220" i="8" s="1"/>
  <c r="BN219" i="8"/>
  <c r="BM7" i="8"/>
  <c r="BM73" i="8"/>
  <c r="BM86" i="8"/>
  <c r="BM165" i="8"/>
  <c r="CL165" i="8" s="1"/>
  <c r="BM32" i="8"/>
  <c r="CL32" i="8" s="1"/>
  <c r="BM101" i="8" l="1"/>
  <c r="CL101" i="8" s="1"/>
  <c r="BM121" i="8"/>
  <c r="CL121" i="8"/>
  <c r="BR121" i="8"/>
  <c r="BM269" i="8"/>
  <c r="BM281" i="8"/>
  <c r="BM184" i="8"/>
  <c r="CL184" i="8" s="1"/>
  <c r="BM125" i="8"/>
  <c r="CL125" i="8" s="1"/>
  <c r="BM164" i="8"/>
  <c r="CL164" i="8" s="1"/>
  <c r="BM44" i="8"/>
  <c r="CL5" i="8"/>
  <c r="CL7" i="8"/>
  <c r="CL182" i="8"/>
  <c r="BM158" i="8"/>
  <c r="BM153" i="8" s="1"/>
  <c r="CL86" i="8"/>
  <c r="BM176" i="8"/>
  <c r="BM98" i="8" s="1"/>
  <c r="CL98" i="8" s="1"/>
  <c r="CL175" i="8"/>
  <c r="BM88" i="8"/>
  <c r="CL88" i="8" s="1"/>
  <c r="BM83" i="8"/>
  <c r="CL83" i="8" s="1"/>
  <c r="BM94" i="8"/>
  <c r="CL94" i="8" s="1"/>
  <c r="BM97" i="8"/>
  <c r="CL97" i="8" s="1"/>
  <c r="CL153" i="8" l="1"/>
  <c r="BM186" i="8"/>
  <c r="CL186" i="8" s="1"/>
  <c r="BM99" i="8"/>
  <c r="CL99" i="8" s="1"/>
  <c r="CL44" i="8"/>
  <c r="BM156" i="8" l="1"/>
  <c r="CL156" i="8" s="1"/>
  <c r="BM136" i="8" l="1"/>
  <c r="CL136" i="8" s="1"/>
  <c r="BM173" i="8"/>
  <c r="CL173" i="8" s="1"/>
  <c r="BM180" i="8" l="1"/>
  <c r="BM128" i="8"/>
  <c r="CL128" i="8" s="1"/>
  <c r="BM171" i="8"/>
  <c r="BM132" i="8"/>
  <c r="CL132" i="8" s="1"/>
  <c r="BM196" i="8"/>
  <c r="CL196" i="8" s="1"/>
  <c r="CL171" i="8" l="1"/>
  <c r="CL180" i="8"/>
  <c r="BM197" i="8"/>
  <c r="CL197" i="8" s="1"/>
  <c r="BM199" i="8"/>
  <c r="BM202" i="8" l="1"/>
  <c r="CL202" i="8" s="1"/>
  <c r="CL199" i="8"/>
  <c r="BM205" i="8" l="1"/>
  <c r="CL205" i="8" s="1"/>
  <c r="BM203" i="8"/>
  <c r="CL203" i="8" s="1"/>
  <c r="BM223" i="8"/>
  <c r="CL223" i="8" s="1"/>
  <c r="BM1" i="104"/>
  <c r="BN1" i="104"/>
  <c r="BO1" i="104"/>
  <c r="BP1" i="104"/>
  <c r="BQ1" i="104"/>
  <c r="BR1" i="104"/>
  <c r="BS1" i="104"/>
  <c r="BT1" i="104"/>
  <c r="BU1" i="104"/>
  <c r="BV1" i="104"/>
  <c r="BW1" i="104"/>
  <c r="BX1" i="104"/>
  <c r="BY1" i="104"/>
  <c r="BZ1" i="104"/>
  <c r="CA1" i="104"/>
  <c r="CB1" i="104"/>
  <c r="CC1" i="104"/>
  <c r="CD1" i="104"/>
  <c r="CE1" i="104"/>
  <c r="CF1" i="104"/>
  <c r="CG1" i="104"/>
  <c r="CH1" i="104"/>
  <c r="CI1" i="104"/>
  <c r="CJ1" i="104"/>
  <c r="CK1" i="104"/>
  <c r="CL1" i="104"/>
  <c r="CM1" i="104"/>
  <c r="CN1" i="104"/>
  <c r="CO1" i="104"/>
  <c r="CP1" i="104"/>
  <c r="CQ1" i="104"/>
  <c r="CR1" i="104"/>
  <c r="CS1" i="104"/>
  <c r="CT1" i="104"/>
  <c r="CU1" i="104"/>
  <c r="CV1" i="104"/>
  <c r="CW1" i="104"/>
  <c r="CX1" i="104"/>
  <c r="CY1" i="104"/>
  <c r="CZ1" i="104"/>
  <c r="DA1" i="104"/>
  <c r="DB1" i="104"/>
  <c r="DC1" i="104"/>
  <c r="DD1" i="104"/>
  <c r="DE1" i="104"/>
  <c r="DF1" i="104"/>
  <c r="DG1" i="104"/>
  <c r="DH1" i="104"/>
  <c r="DI1" i="104"/>
  <c r="DJ1" i="104"/>
  <c r="DK1" i="104"/>
  <c r="DL1" i="104"/>
  <c r="DM1" i="104"/>
  <c r="DN1" i="104"/>
  <c r="DO1" i="104"/>
  <c r="DP1" i="104"/>
  <c r="DQ1" i="104"/>
  <c r="DR1" i="104"/>
  <c r="DS1" i="104"/>
  <c r="DT1" i="104"/>
  <c r="DU1" i="104"/>
  <c r="DV1" i="104"/>
  <c r="DW1" i="104"/>
  <c r="DX1" i="104"/>
  <c r="DY1" i="104"/>
  <c r="DZ1" i="104"/>
  <c r="EA1" i="104"/>
  <c r="EB1" i="104"/>
  <c r="EC1" i="104"/>
  <c r="ED1" i="104"/>
  <c r="EE1" i="104"/>
  <c r="EF1" i="104"/>
  <c r="EG1" i="104"/>
  <c r="EH1" i="104"/>
  <c r="EI1" i="104"/>
  <c r="EJ1" i="104"/>
  <c r="EK1" i="104"/>
  <c r="EL1" i="104"/>
  <c r="EM1" i="104"/>
  <c r="EN1" i="104"/>
  <c r="EO1" i="104"/>
  <c r="EP1" i="104"/>
  <c r="EQ1" i="104"/>
  <c r="ER1" i="104"/>
  <c r="ES1" i="104"/>
  <c r="ET1" i="104"/>
  <c r="EU1" i="104"/>
  <c r="EV1" i="104"/>
  <c r="EW1" i="104"/>
  <c r="EX1" i="104"/>
  <c r="EY1" i="104"/>
  <c r="EZ1" i="104"/>
  <c r="FA1" i="104"/>
  <c r="FB1" i="104"/>
  <c r="FC1" i="104"/>
  <c r="FD1" i="104"/>
  <c r="FE1" i="104"/>
  <c r="FF1" i="104"/>
  <c r="FG1" i="104"/>
  <c r="FH1" i="104"/>
  <c r="FI1" i="104"/>
  <c r="FJ1" i="104"/>
  <c r="FK1" i="104"/>
  <c r="FL1" i="104"/>
  <c r="FM1" i="104"/>
  <c r="D4" i="104"/>
  <c r="A4" i="104" s="1"/>
  <c r="B4" i="104" s="1"/>
  <c r="AB5" i="104"/>
  <c r="AB6" i="104"/>
  <c r="AB7" i="104" s="1"/>
  <c r="AB8" i="104"/>
  <c r="AB9" i="104" s="1"/>
  <c r="AB10" i="104" s="1"/>
  <c r="AB11" i="104"/>
  <c r="AB12" i="104" s="1"/>
  <c r="AB13" i="104" s="1"/>
  <c r="AB14" i="104" s="1"/>
  <c r="AB15" i="104" s="1"/>
  <c r="P44" i="104"/>
  <c r="O45" i="104"/>
  <c r="P45" i="104"/>
  <c r="O46" i="104" s="1"/>
  <c r="P46" i="104" s="1"/>
  <c r="O47" i="104" s="1"/>
  <c r="P47" i="104" s="1"/>
  <c r="O48" i="104" s="1"/>
  <c r="P48" i="104" s="1"/>
  <c r="O49" i="104" s="1"/>
  <c r="P49" i="104" s="1"/>
  <c r="O50" i="104" s="1"/>
  <c r="P50" i="104" s="1"/>
  <c r="O51" i="104" s="1"/>
  <c r="P51" i="104" s="1"/>
  <c r="O52" i="104" s="1"/>
  <c r="P52" i="104" s="1"/>
  <c r="O53" i="104" s="1"/>
  <c r="P53" i="104" s="1"/>
  <c r="O54" i="104" s="1"/>
  <c r="P54" i="104" s="1"/>
  <c r="O55" i="104" s="1"/>
  <c r="P55" i="104" s="1"/>
  <c r="O56" i="104" s="1"/>
  <c r="P56" i="104" s="1"/>
  <c r="O57" i="104" s="1"/>
  <c r="P57" i="104" s="1"/>
  <c r="O58" i="104" s="1"/>
  <c r="P58" i="104" s="1"/>
  <c r="O59" i="104" s="1"/>
  <c r="P59" i="104" s="1"/>
  <c r="O60" i="104" s="1"/>
  <c r="P60" i="104" s="1"/>
  <c r="O61" i="104" s="1"/>
  <c r="P61" i="104" s="1"/>
  <c r="O62" i="104" s="1"/>
  <c r="P62" i="104" s="1"/>
  <c r="O63" i="104" s="1"/>
  <c r="P63" i="104" s="1"/>
  <c r="O64" i="104" s="1"/>
  <c r="P64" i="104" s="1"/>
  <c r="O65" i="104" s="1"/>
  <c r="P65" i="104" s="1"/>
  <c r="O66" i="104" s="1"/>
  <c r="P66" i="104" s="1"/>
  <c r="O67" i="104" s="1"/>
  <c r="P67" i="104" s="1"/>
  <c r="O68" i="104" s="1"/>
  <c r="P68" i="104" s="1"/>
  <c r="O69" i="104" s="1"/>
  <c r="P69" i="104" s="1"/>
  <c r="O70" i="104" s="1"/>
  <c r="P70" i="104" s="1"/>
  <c r="O71" i="104" s="1"/>
  <c r="P71" i="104" s="1"/>
  <c r="O72" i="104" s="1"/>
  <c r="P72" i="104" s="1"/>
  <c r="O73" i="104" s="1"/>
  <c r="P73" i="104" s="1"/>
  <c r="O74" i="104" s="1"/>
  <c r="P74" i="104" s="1"/>
  <c r="O75" i="104" s="1"/>
  <c r="P75" i="104" s="1"/>
  <c r="O76" i="104" s="1"/>
  <c r="P76" i="104" s="1"/>
  <c r="O77" i="104" s="1"/>
  <c r="P77" i="104" s="1"/>
  <c r="O78" i="104" s="1"/>
  <c r="P78" i="104" s="1"/>
  <c r="O79" i="104" s="1"/>
  <c r="P79" i="104" s="1"/>
  <c r="O80" i="104" s="1"/>
  <c r="P80" i="104" s="1"/>
  <c r="O81" i="104" s="1"/>
  <c r="P81" i="104" s="1"/>
  <c r="O82" i="104" s="1"/>
  <c r="P82" i="104" s="1"/>
  <c r="O83" i="104" s="1"/>
  <c r="P83" i="104" s="1"/>
  <c r="O84" i="104" s="1"/>
  <c r="P84" i="104" s="1"/>
  <c r="O85" i="104" s="1"/>
  <c r="P85" i="104" s="1"/>
  <c r="O86" i="104" s="1"/>
  <c r="P86" i="104" s="1"/>
  <c r="O87" i="104" s="1"/>
  <c r="P87" i="104" s="1"/>
  <c r="O88" i="104" s="1"/>
  <c r="P88" i="104" s="1"/>
  <c r="O89" i="104" s="1"/>
  <c r="P89" i="104" s="1"/>
  <c r="O90" i="104" s="1"/>
  <c r="P90" i="104" s="1"/>
  <c r="O91" i="104" s="1"/>
  <c r="P91" i="104" s="1"/>
  <c r="O92" i="104" s="1"/>
  <c r="P92" i="104" s="1"/>
  <c r="O93" i="104" s="1"/>
  <c r="P93" i="104" s="1"/>
  <c r="O94" i="104" s="1"/>
  <c r="P94" i="104" s="1"/>
  <c r="O95" i="104" s="1"/>
  <c r="P95" i="104" s="1"/>
  <c r="O96" i="104" s="1"/>
  <c r="P96" i="104" s="1"/>
  <c r="O97" i="104" s="1"/>
  <c r="P97" i="104" s="1"/>
  <c r="O98" i="104" s="1"/>
  <c r="P98" i="104" s="1"/>
  <c r="O99" i="104" s="1"/>
  <c r="P99" i="104" s="1"/>
  <c r="O100" i="104" s="1"/>
  <c r="P100" i="104" s="1"/>
  <c r="O101" i="104" s="1"/>
  <c r="P101" i="104" s="1"/>
  <c r="O102" i="104" s="1"/>
  <c r="P102" i="104" s="1"/>
  <c r="O103" i="104" s="1"/>
  <c r="P103" i="104" s="1"/>
  <c r="O104" i="104" s="1"/>
  <c r="P104" i="104" s="1"/>
  <c r="O105" i="104" s="1"/>
  <c r="P105" i="104" s="1"/>
  <c r="O106" i="104" s="1"/>
  <c r="P106" i="104" s="1"/>
  <c r="O107" i="104" s="1"/>
  <c r="P107" i="104" s="1"/>
  <c r="O108" i="104" s="1"/>
  <c r="P108" i="104" s="1"/>
  <c r="O109" i="104" s="1"/>
  <c r="P109" i="104" s="1"/>
  <c r="O110" i="104" s="1"/>
  <c r="P110" i="104" s="1"/>
  <c r="O111" i="104" s="1"/>
  <c r="P111" i="104" s="1"/>
  <c r="O112" i="104" s="1"/>
  <c r="P43" i="104"/>
  <c r="O43" i="104" s="1"/>
  <c r="P42" i="104" s="1"/>
  <c r="O42" i="104"/>
  <c r="P41" i="104"/>
  <c r="O41" i="104" s="1"/>
  <c r="P40" i="104" s="1"/>
  <c r="O40" i="104" s="1"/>
  <c r="P39" i="104" s="1"/>
  <c r="O39" i="104" s="1"/>
  <c r="P38" i="104" s="1"/>
  <c r="O38" i="104" s="1"/>
  <c r="P37" i="104" s="1"/>
  <c r="O37" i="104" s="1"/>
  <c r="P36" i="104" s="1"/>
  <c r="O36" i="104" s="1"/>
  <c r="P35" i="104" s="1"/>
  <c r="O35" i="104" s="1"/>
  <c r="P34" i="104" s="1"/>
  <c r="O34" i="104" s="1"/>
  <c r="P33" i="104" s="1"/>
  <c r="O33" i="104" s="1"/>
  <c r="P32" i="104" s="1"/>
  <c r="O32" i="104" s="1"/>
  <c r="P31" i="104" s="1"/>
  <c r="O31" i="104" s="1"/>
  <c r="P30" i="104" s="1"/>
  <c r="O30" i="104" s="1"/>
  <c r="P29" i="104" s="1"/>
  <c r="O29" i="104" s="1"/>
  <c r="P28" i="104"/>
  <c r="O28" i="104" s="1"/>
  <c r="P27" i="104" s="1"/>
  <c r="O27" i="104" s="1"/>
  <c r="P26" i="104" s="1"/>
  <c r="O26" i="104" s="1"/>
  <c r="P25" i="104" s="1"/>
  <c r="O25" i="104" s="1"/>
  <c r="P24" i="104" s="1"/>
  <c r="O24" i="104" s="1"/>
  <c r="P23" i="104" s="1"/>
  <c r="O23" i="104" s="1"/>
  <c r="P22" i="104" s="1"/>
  <c r="O22" i="104" s="1"/>
  <c r="P21" i="104" s="1"/>
  <c r="O21" i="104" s="1"/>
  <c r="P20" i="104" s="1"/>
  <c r="O20" i="104" s="1"/>
  <c r="P19" i="104" s="1"/>
  <c r="O19" i="104" s="1"/>
  <c r="P18" i="104" s="1"/>
  <c r="O18" i="104" s="1"/>
  <c r="P17" i="104" s="1"/>
  <c r="O17" i="104" s="1"/>
  <c r="P16" i="104" s="1"/>
  <c r="O16" i="104" s="1"/>
  <c r="P15" i="104" s="1"/>
  <c r="O15" i="104" s="1"/>
  <c r="P14" i="104" s="1"/>
  <c r="O14" i="104" s="1"/>
  <c r="P13" i="104" s="1"/>
  <c r="O13" i="104" s="1"/>
  <c r="P12" i="104" s="1"/>
  <c r="O12" i="104" s="1"/>
  <c r="P11" i="104" s="1"/>
  <c r="O11" i="104" s="1"/>
  <c r="P10" i="104" s="1"/>
  <c r="O10" i="104" s="1"/>
  <c r="P9" i="104" s="1"/>
  <c r="O9" i="104" s="1"/>
  <c r="P8" i="104" s="1"/>
  <c r="O8" i="104" s="1"/>
  <c r="P7" i="104" s="1"/>
  <c r="O7" i="104" s="1"/>
  <c r="P6" i="104" s="1"/>
  <c r="O6" i="104" s="1"/>
  <c r="P5" i="104" s="1"/>
  <c r="O5" i="104" s="1"/>
  <c r="P4" i="104" s="1"/>
  <c r="O4" i="104" s="1"/>
  <c r="Q43" i="104"/>
  <c r="Q42" i="104" s="1"/>
  <c r="Q41" i="104" s="1"/>
  <c r="Q40" i="104" s="1"/>
  <c r="Q39" i="104"/>
  <c r="Q38" i="104" s="1"/>
  <c r="Q37" i="104"/>
  <c r="Q36" i="104" s="1"/>
  <c r="Q35" i="104" s="1"/>
  <c r="Q34" i="104" s="1"/>
  <c r="Q33" i="104" s="1"/>
  <c r="Q32" i="104" s="1"/>
  <c r="Q31" i="104" s="1"/>
  <c r="Q30" i="104" s="1"/>
  <c r="Q29" i="104" s="1"/>
  <c r="Q28" i="104" s="1"/>
  <c r="Q27" i="104" s="1"/>
  <c r="Q26" i="104" s="1"/>
  <c r="Q25" i="104" s="1"/>
  <c r="Q24" i="104" s="1"/>
  <c r="Q23" i="104" s="1"/>
  <c r="Q22" i="104" s="1"/>
  <c r="Q21" i="104" s="1"/>
  <c r="Q20" i="104" s="1"/>
  <c r="Q19" i="104" s="1"/>
  <c r="Q18" i="104" s="1"/>
  <c r="Q17" i="104" s="1"/>
  <c r="Q16" i="104" s="1"/>
  <c r="Q15" i="104" s="1"/>
  <c r="Q14" i="104" s="1"/>
  <c r="Q13" i="104" s="1"/>
  <c r="Q12" i="104" s="1"/>
  <c r="Q11" i="104" s="1"/>
  <c r="Q10" i="104" s="1"/>
  <c r="Q9" i="104" s="1"/>
  <c r="Q8" i="104" s="1"/>
  <c r="Q7" i="104" s="1"/>
  <c r="Q6" i="104" s="1"/>
  <c r="Q5" i="104" s="1"/>
  <c r="Q4" i="104" s="1"/>
  <c r="J56" i="104"/>
  <c r="J55" i="104"/>
  <c r="J54" i="104" s="1"/>
  <c r="J53" i="104" s="1"/>
  <c r="J52" i="104" s="1"/>
  <c r="J51" i="104"/>
  <c r="J50" i="104"/>
  <c r="J49" i="104" s="1"/>
  <c r="J48" i="104" s="1"/>
  <c r="J47" i="104" s="1"/>
  <c r="J46" i="104" s="1"/>
  <c r="J45" i="104" s="1"/>
  <c r="J44" i="104" s="1"/>
  <c r="J43" i="104" s="1"/>
  <c r="J42" i="104" s="1"/>
  <c r="J41" i="104" s="1"/>
  <c r="J40" i="104" s="1"/>
  <c r="J39" i="104" s="1"/>
  <c r="J38" i="104" s="1"/>
  <c r="J37" i="104" s="1"/>
  <c r="J36" i="104" s="1"/>
  <c r="J35" i="104" s="1"/>
  <c r="J34" i="104" s="1"/>
  <c r="J33" i="104" s="1"/>
  <c r="J32" i="104" s="1"/>
  <c r="J31" i="104" s="1"/>
  <c r="J30" i="104" s="1"/>
  <c r="J29" i="104" s="1"/>
  <c r="J28" i="104" s="1"/>
  <c r="J27" i="104" s="1"/>
  <c r="J26" i="104" s="1"/>
  <c r="J25" i="104" s="1"/>
  <c r="J24" i="104" s="1"/>
  <c r="J23" i="104" s="1"/>
  <c r="J22" i="104" s="1"/>
  <c r="J21" i="104" s="1"/>
  <c r="J20" i="104" s="1"/>
  <c r="J19" i="104" s="1"/>
  <c r="J18" i="104" s="1"/>
  <c r="J17" i="104" s="1"/>
  <c r="J16" i="104" s="1"/>
  <c r="J15" i="104" s="1"/>
  <c r="J14" i="104" s="1"/>
  <c r="J13" i="104" s="1"/>
  <c r="J12" i="104" s="1"/>
  <c r="J11" i="104" s="1"/>
  <c r="J10" i="104" s="1"/>
  <c r="J9" i="104" s="1"/>
  <c r="J8" i="104" s="1"/>
  <c r="J7" i="104" s="1"/>
  <c r="J6" i="104" s="1"/>
  <c r="J5" i="104" s="1"/>
  <c r="T6" i="104"/>
  <c r="T7" i="104" s="1"/>
  <c r="T8" i="104" s="1"/>
  <c r="T9" i="104"/>
  <c r="T10" i="104" s="1"/>
  <c r="T11" i="104" s="1"/>
  <c r="T12" i="104" s="1"/>
  <c r="T13" i="104" s="1"/>
  <c r="T14" i="104" s="1"/>
  <c r="T15" i="104" s="1"/>
  <c r="T16" i="104" s="1"/>
  <c r="T17" i="104" s="1"/>
  <c r="T18" i="104" s="1"/>
  <c r="T19" i="104" s="1"/>
  <c r="T20" i="104" s="1"/>
  <c r="T21" i="104" s="1"/>
  <c r="T22" i="104" s="1"/>
  <c r="T23" i="104" s="1"/>
  <c r="T24" i="104" s="1"/>
  <c r="T25" i="104" s="1"/>
  <c r="T26" i="104"/>
  <c r="T27" i="104" s="1"/>
  <c r="T28" i="104" s="1"/>
  <c r="T29" i="104" s="1"/>
  <c r="T30" i="104" s="1"/>
  <c r="T31" i="104" s="1"/>
  <c r="T32" i="104" s="1"/>
  <c r="T33" i="104" s="1"/>
  <c r="T34" i="104" s="1"/>
  <c r="T35" i="104" s="1"/>
  <c r="T36" i="104" s="1"/>
  <c r="T37" i="104" s="1"/>
  <c r="T38" i="104" s="1"/>
  <c r="T39" i="104" s="1"/>
  <c r="T40" i="104" s="1"/>
  <c r="T41" i="104" s="1"/>
  <c r="T42" i="104" s="1"/>
  <c r="T43" i="104" s="1"/>
  <c r="T44" i="104" s="1"/>
  <c r="T45" i="104" s="1"/>
  <c r="T46" i="104" s="1"/>
  <c r="T47" i="104" s="1"/>
  <c r="T48" i="104" s="1"/>
  <c r="T49" i="104" s="1"/>
  <c r="T50" i="104" s="1"/>
  <c r="T51" i="104" s="1"/>
  <c r="T52" i="104" s="1"/>
  <c r="V6" i="104"/>
  <c r="V7" i="104"/>
  <c r="V8" i="104" s="1"/>
  <c r="V9" i="104" s="1"/>
  <c r="R43" i="104"/>
  <c r="R42" i="104"/>
  <c r="R41" i="104" s="1"/>
  <c r="R40" i="104" s="1"/>
  <c r="R39" i="104" s="1"/>
  <c r="R38" i="104" s="1"/>
  <c r="R37" i="104" s="1"/>
  <c r="R36" i="104" s="1"/>
  <c r="R35" i="104" s="1"/>
  <c r="R34" i="104" s="1"/>
  <c r="R33" i="104" s="1"/>
  <c r="R32" i="104" s="1"/>
  <c r="R31" i="104" s="1"/>
  <c r="R30" i="104" s="1"/>
  <c r="R29" i="104" s="1"/>
  <c r="R28" i="104" s="1"/>
  <c r="R27" i="104" s="1"/>
  <c r="R26" i="104" s="1"/>
  <c r="R25" i="104" s="1"/>
  <c r="R24" i="104" s="1"/>
  <c r="R23" i="104"/>
  <c r="R22" i="104"/>
  <c r="R21" i="104" s="1"/>
  <c r="R20" i="104" s="1"/>
  <c r="R19" i="104" s="1"/>
  <c r="R18" i="104" s="1"/>
  <c r="R17" i="104" s="1"/>
  <c r="R16" i="104" s="1"/>
  <c r="R15" i="104" s="1"/>
  <c r="R14" i="104" s="1"/>
  <c r="R13" i="104" s="1"/>
  <c r="R12" i="104" s="1"/>
  <c r="R11" i="104" s="1"/>
  <c r="R10" i="104" s="1"/>
  <c r="R9" i="104" s="1"/>
  <c r="R8" i="104" s="1"/>
  <c r="R7" i="104"/>
  <c r="R6" i="104" s="1"/>
  <c r="R5" i="104" s="1"/>
  <c r="R4" i="104" s="1"/>
  <c r="U4" i="104"/>
  <c r="D5" i="104"/>
  <c r="J870" i="104"/>
  <c r="K869" i="104" s="1"/>
  <c r="H871" i="104"/>
  <c r="I870" i="104" s="1"/>
  <c r="J872" i="104"/>
  <c r="K871" i="104" s="1"/>
  <c r="J877" i="104"/>
  <c r="K876" i="104" s="1"/>
  <c r="J878" i="104"/>
  <c r="K877" i="104" s="1"/>
  <c r="J879" i="104"/>
  <c r="K878" i="104" s="1"/>
  <c r="J880" i="104"/>
  <c r="K879" i="104" s="1"/>
  <c r="H881" i="104"/>
  <c r="I880" i="104" s="1"/>
  <c r="H882" i="104"/>
  <c r="I881" i="104" s="1"/>
  <c r="H883" i="104"/>
  <c r="I882" i="104" s="1"/>
  <c r="J885" i="104"/>
  <c r="K884" i="104" s="1"/>
  <c r="J886" i="104"/>
  <c r="K885" i="104" s="1"/>
  <c r="H887" i="104"/>
  <c r="I886" i="104" s="1"/>
  <c r="J888" i="104"/>
  <c r="K887" i="104" s="1"/>
  <c r="J893" i="104"/>
  <c r="K892" i="104" s="1"/>
  <c r="J894" i="104"/>
  <c r="K893" i="104" s="1"/>
  <c r="J895" i="104"/>
  <c r="K894" i="104" s="1"/>
  <c r="J896" i="104"/>
  <c r="K895" i="104" s="1"/>
  <c r="H897" i="104"/>
  <c r="I896" i="104" s="1"/>
  <c r="H898" i="104"/>
  <c r="I897" i="104" s="1"/>
  <c r="H899" i="104"/>
  <c r="I898" i="104" s="1"/>
  <c r="J901" i="104"/>
  <c r="K900" i="104" s="1"/>
  <c r="J902" i="104"/>
  <c r="K901" i="104" s="1"/>
  <c r="J903" i="104"/>
  <c r="K902" i="104" s="1"/>
  <c r="J904" i="104"/>
  <c r="K903" i="104" s="1"/>
  <c r="J909" i="104"/>
  <c r="K908" i="104" s="1"/>
  <c r="J910" i="104"/>
  <c r="K909" i="104" s="1"/>
  <c r="J911" i="104"/>
  <c r="K910" i="104" s="1"/>
  <c r="J912" i="104"/>
  <c r="K911" i="104" s="1"/>
  <c r="H913" i="104"/>
  <c r="I912" i="104" s="1"/>
  <c r="H914" i="104"/>
  <c r="I913" i="104" s="1"/>
  <c r="H915" i="104"/>
  <c r="I914" i="104" s="1"/>
  <c r="J917" i="104"/>
  <c r="K916" i="104" s="1"/>
  <c r="J918" i="104"/>
  <c r="K917" i="104" s="1"/>
  <c r="H919" i="104"/>
  <c r="I918" i="104" s="1"/>
  <c r="J920" i="104"/>
  <c r="K919" i="104" s="1"/>
  <c r="J925" i="104"/>
  <c r="K924" i="104" s="1"/>
  <c r="J926" i="104"/>
  <c r="K925" i="104" s="1"/>
  <c r="J927" i="104"/>
  <c r="K926" i="104" s="1"/>
  <c r="J928" i="104"/>
  <c r="K927" i="104" s="1"/>
  <c r="H929" i="104"/>
  <c r="I928" i="104" s="1"/>
  <c r="H930" i="104"/>
  <c r="I929" i="104" s="1"/>
  <c r="H931" i="104"/>
  <c r="I930" i="104" s="1"/>
  <c r="J933" i="104"/>
  <c r="K932" i="104" s="1"/>
  <c r="J934" i="104"/>
  <c r="K933" i="104" s="1"/>
  <c r="J935" i="104"/>
  <c r="K934" i="104" s="1"/>
  <c r="E5" i="104"/>
  <c r="C5" i="104" s="1"/>
  <c r="K5" i="104"/>
  <c r="U5" i="104"/>
  <c r="E6" i="104"/>
  <c r="H7" i="104"/>
  <c r="I6" i="104" s="1"/>
  <c r="K6" i="104"/>
  <c r="U6" i="104"/>
  <c r="K7" i="104"/>
  <c r="V10" i="104"/>
  <c r="V11" i="104" s="1"/>
  <c r="U7" i="104"/>
  <c r="U8" i="104" s="1"/>
  <c r="U9" i="104" s="1"/>
  <c r="K8" i="104"/>
  <c r="K9" i="104"/>
  <c r="V12" i="104"/>
  <c r="V13" i="104" s="1"/>
  <c r="K10" i="104"/>
  <c r="U10" i="104"/>
  <c r="U11" i="104" s="1"/>
  <c r="U12" i="104" s="1"/>
  <c r="U13" i="104" s="1"/>
  <c r="U14" i="104" s="1"/>
  <c r="U15" i="104" s="1"/>
  <c r="U16" i="104" s="1"/>
  <c r="U17" i="104" s="1"/>
  <c r="U18" i="104" s="1"/>
  <c r="U19" i="104" s="1"/>
  <c r="U20" i="104" s="1"/>
  <c r="U21" i="104" s="1"/>
  <c r="U22" i="104" s="1"/>
  <c r="H12" i="104"/>
  <c r="H16" i="104"/>
  <c r="I15" i="104" s="1"/>
  <c r="H18" i="104"/>
  <c r="I17" i="104" s="1"/>
  <c r="H27" i="104"/>
  <c r="I26" i="104" s="1"/>
  <c r="H28" i="104"/>
  <c r="I27" i="104" s="1"/>
  <c r="H32" i="104"/>
  <c r="I31" i="104" s="1"/>
  <c r="H34" i="104"/>
  <c r="I33" i="104" s="1"/>
  <c r="H43" i="104"/>
  <c r="I42" i="104" s="1"/>
  <c r="H44" i="104"/>
  <c r="I43" i="104" s="1"/>
  <c r="H48" i="104"/>
  <c r="I47" i="104" s="1"/>
  <c r="H50" i="104"/>
  <c r="I49" i="104" s="1"/>
  <c r="H109" i="104"/>
  <c r="H497" i="104"/>
  <c r="I496" i="104" s="1"/>
  <c r="H498" i="104"/>
  <c r="I497" i="104" s="1"/>
  <c r="H499" i="104"/>
  <c r="I498" i="104" s="1"/>
  <c r="H503" i="104"/>
  <c r="I502" i="104" s="1"/>
  <c r="H513" i="104"/>
  <c r="H514" i="104"/>
  <c r="I513" i="104" s="1"/>
  <c r="H515" i="104"/>
  <c r="I514" i="104" s="1"/>
  <c r="H519" i="104"/>
  <c r="I518" i="104" s="1"/>
  <c r="H529" i="104"/>
  <c r="I528" i="104" s="1"/>
  <c r="H530" i="104"/>
  <c r="I529" i="104" s="1"/>
  <c r="H531" i="104"/>
  <c r="I530" i="104" s="1"/>
  <c r="H535" i="104"/>
  <c r="I534" i="104" s="1"/>
  <c r="H545" i="104"/>
  <c r="H546" i="104"/>
  <c r="I545" i="104" s="1"/>
  <c r="H547" i="104"/>
  <c r="I546" i="104" s="1"/>
  <c r="H551" i="104"/>
  <c r="I550" i="104" s="1"/>
  <c r="H561" i="104"/>
  <c r="I560" i="104" s="1"/>
  <c r="H562" i="104"/>
  <c r="I561" i="104" s="1"/>
  <c r="H563" i="104"/>
  <c r="I562" i="104" s="1"/>
  <c r="H567" i="104"/>
  <c r="I566" i="104" s="1"/>
  <c r="H577" i="104"/>
  <c r="H578" i="104"/>
  <c r="I577" i="104" s="1"/>
  <c r="H579" i="104"/>
  <c r="I578" i="104" s="1"/>
  <c r="H583" i="104"/>
  <c r="I582" i="104" s="1"/>
  <c r="H593" i="104"/>
  <c r="I592" i="104" s="1"/>
  <c r="H594" i="104"/>
  <c r="I593" i="104" s="1"/>
  <c r="H595" i="104"/>
  <c r="I594" i="104" s="1"/>
  <c r="H599" i="104"/>
  <c r="I598" i="104" s="1"/>
  <c r="H609" i="104"/>
  <c r="H610" i="104"/>
  <c r="I609" i="104" s="1"/>
  <c r="H611" i="104"/>
  <c r="I610" i="104" s="1"/>
  <c r="H615" i="104"/>
  <c r="I614" i="104" s="1"/>
  <c r="H625" i="104"/>
  <c r="I624" i="104" s="1"/>
  <c r="H626" i="104"/>
  <c r="I625" i="104" s="1"/>
  <c r="H627" i="104"/>
  <c r="I626" i="104" s="1"/>
  <c r="H631" i="104"/>
  <c r="I630" i="104" s="1"/>
  <c r="H641" i="104"/>
  <c r="H642" i="104"/>
  <c r="I641" i="104" s="1"/>
  <c r="H643" i="104"/>
  <c r="I642" i="104" s="1"/>
  <c r="H647" i="104"/>
  <c r="I646" i="104" s="1"/>
  <c r="H657" i="104"/>
  <c r="H658" i="104"/>
  <c r="I657" i="104" s="1"/>
  <c r="H659" i="104"/>
  <c r="I658" i="104" s="1"/>
  <c r="H663" i="104"/>
  <c r="I662" i="104" s="1"/>
  <c r="H673" i="104"/>
  <c r="I672" i="104" s="1"/>
  <c r="H674" i="104"/>
  <c r="I673" i="104" s="1"/>
  <c r="H675" i="104"/>
  <c r="I674" i="104" s="1"/>
  <c r="H679" i="104"/>
  <c r="I678" i="104" s="1"/>
  <c r="H689" i="104"/>
  <c r="I688" i="104" s="1"/>
  <c r="H690" i="104"/>
  <c r="H691" i="104"/>
  <c r="I690" i="104" s="1"/>
  <c r="H695" i="104"/>
  <c r="I694" i="104" s="1"/>
  <c r="H705" i="104"/>
  <c r="H706" i="104"/>
  <c r="H707" i="104"/>
  <c r="I706" i="104" s="1"/>
  <c r="H711" i="104"/>
  <c r="I710" i="104" s="1"/>
  <c r="H721" i="104"/>
  <c r="H722" i="104"/>
  <c r="I721" i="104" s="1"/>
  <c r="H723" i="104"/>
  <c r="I722" i="104" s="1"/>
  <c r="H727" i="104"/>
  <c r="I726" i="104" s="1"/>
  <c r="H737" i="104"/>
  <c r="I736" i="104" s="1"/>
  <c r="H738" i="104"/>
  <c r="I737" i="104" s="1"/>
  <c r="H739" i="104"/>
  <c r="I738" i="104" s="1"/>
  <c r="H743" i="104"/>
  <c r="H753" i="104"/>
  <c r="I752" i="104" s="1"/>
  <c r="H754" i="104"/>
  <c r="H755" i="104"/>
  <c r="I754" i="104" s="1"/>
  <c r="H759" i="104"/>
  <c r="I758" i="104" s="1"/>
  <c r="H769" i="104"/>
  <c r="H770" i="104"/>
  <c r="H771" i="104"/>
  <c r="I770" i="104" s="1"/>
  <c r="H775" i="104"/>
  <c r="I774" i="104" s="1"/>
  <c r="H785" i="104"/>
  <c r="H786" i="104"/>
  <c r="I785" i="104" s="1"/>
  <c r="H787" i="104"/>
  <c r="I786" i="104" s="1"/>
  <c r="H791" i="104"/>
  <c r="I790" i="104" s="1"/>
  <c r="H801" i="104"/>
  <c r="I800" i="104" s="1"/>
  <c r="H802" i="104"/>
  <c r="I801" i="104" s="1"/>
  <c r="H803" i="104"/>
  <c r="I802" i="104" s="1"/>
  <c r="H807" i="104"/>
  <c r="I806" i="104" s="1"/>
  <c r="H817" i="104"/>
  <c r="I816" i="104" s="1"/>
  <c r="H818" i="104"/>
  <c r="H819" i="104"/>
  <c r="I818" i="104" s="1"/>
  <c r="H823" i="104"/>
  <c r="I822" i="104" s="1"/>
  <c r="H833" i="104"/>
  <c r="H834" i="104"/>
  <c r="H835" i="104"/>
  <c r="I834" i="104" s="1"/>
  <c r="H839" i="104"/>
  <c r="I838" i="104" s="1"/>
  <c r="H849" i="104"/>
  <c r="H850" i="104"/>
  <c r="I849" i="104" s="1"/>
  <c r="H851" i="104"/>
  <c r="I850" i="104" s="1"/>
  <c r="H855" i="104"/>
  <c r="I854" i="104" s="1"/>
  <c r="H865" i="104"/>
  <c r="I864" i="104" s="1"/>
  <c r="H866" i="104"/>
  <c r="I865" i="104" s="1"/>
  <c r="H867" i="104"/>
  <c r="I866" i="104" s="1"/>
  <c r="I11" i="104"/>
  <c r="K11" i="104"/>
  <c r="I56" i="104"/>
  <c r="I57" i="104"/>
  <c r="I58" i="104"/>
  <c r="I59" i="104"/>
  <c r="I60" i="104"/>
  <c r="I61" i="104"/>
  <c r="I62" i="104"/>
  <c r="I63" i="104"/>
  <c r="I64" i="104"/>
  <c r="I65" i="104"/>
  <c r="I66" i="104"/>
  <c r="I67" i="104"/>
  <c r="I68" i="104"/>
  <c r="I69" i="104"/>
  <c r="I70" i="104"/>
  <c r="I71" i="104"/>
  <c r="I72" i="104"/>
  <c r="I73" i="104"/>
  <c r="I74" i="104"/>
  <c r="I75" i="104"/>
  <c r="I76" i="104"/>
  <c r="I77" i="104"/>
  <c r="I78" i="104"/>
  <c r="I79" i="104"/>
  <c r="I80" i="104"/>
  <c r="I81" i="104"/>
  <c r="I82" i="104"/>
  <c r="I83" i="104"/>
  <c r="I84" i="104"/>
  <c r="I85" i="104"/>
  <c r="I86" i="104"/>
  <c r="I87" i="104"/>
  <c r="I88" i="104"/>
  <c r="I89" i="104"/>
  <c r="I90" i="104"/>
  <c r="I91" i="104"/>
  <c r="I92" i="104"/>
  <c r="I93" i="104"/>
  <c r="I94" i="104"/>
  <c r="I95" i="104"/>
  <c r="I96" i="104"/>
  <c r="I97" i="104"/>
  <c r="I98" i="104"/>
  <c r="I99" i="104"/>
  <c r="I100" i="104"/>
  <c r="I101" i="104"/>
  <c r="I102" i="104"/>
  <c r="I103" i="104"/>
  <c r="I104" i="104"/>
  <c r="I105" i="104"/>
  <c r="I106" i="104"/>
  <c r="I107" i="104"/>
  <c r="I108" i="104"/>
  <c r="I109" i="104"/>
  <c r="I110" i="104"/>
  <c r="I111" i="104"/>
  <c r="I112" i="104"/>
  <c r="I113" i="104"/>
  <c r="I114" i="104"/>
  <c r="I115" i="104"/>
  <c r="I116" i="104"/>
  <c r="I117" i="104"/>
  <c r="I118" i="104"/>
  <c r="I119" i="104"/>
  <c r="I120" i="104"/>
  <c r="I121" i="104"/>
  <c r="I122" i="104"/>
  <c r="I123" i="104"/>
  <c r="I124" i="104"/>
  <c r="I125" i="104"/>
  <c r="I126" i="104"/>
  <c r="I127" i="104"/>
  <c r="I128" i="104"/>
  <c r="I129" i="104"/>
  <c r="I130" i="104"/>
  <c r="I131" i="104"/>
  <c r="I132" i="104"/>
  <c r="I133" i="104"/>
  <c r="I134" i="104"/>
  <c r="I135" i="104"/>
  <c r="I136" i="104"/>
  <c r="I137" i="104"/>
  <c r="I138" i="104"/>
  <c r="I139" i="104"/>
  <c r="I140" i="104"/>
  <c r="I141" i="104"/>
  <c r="I142" i="104"/>
  <c r="I143" i="104"/>
  <c r="I144" i="104"/>
  <c r="I145" i="104"/>
  <c r="I146" i="104"/>
  <c r="I147" i="104"/>
  <c r="I148" i="104"/>
  <c r="I149" i="104"/>
  <c r="I150" i="104"/>
  <c r="I151" i="104"/>
  <c r="I152" i="104"/>
  <c r="I153" i="104"/>
  <c r="I154" i="104"/>
  <c r="I155" i="104"/>
  <c r="I156" i="104"/>
  <c r="I157" i="104"/>
  <c r="I158" i="104"/>
  <c r="I159" i="104"/>
  <c r="I160" i="104"/>
  <c r="I161" i="104"/>
  <c r="I162" i="104"/>
  <c r="I163" i="104"/>
  <c r="I164" i="104"/>
  <c r="I165" i="104"/>
  <c r="I166" i="104"/>
  <c r="I167" i="104"/>
  <c r="I168" i="104"/>
  <c r="I169" i="104"/>
  <c r="I170" i="104"/>
  <c r="I171" i="104"/>
  <c r="I172" i="104"/>
  <c r="I173" i="104"/>
  <c r="I174" i="104"/>
  <c r="I175" i="104"/>
  <c r="I176" i="104"/>
  <c r="I177" i="104"/>
  <c r="I178" i="104"/>
  <c r="I179" i="104"/>
  <c r="I180" i="104"/>
  <c r="I181" i="104"/>
  <c r="I182" i="104"/>
  <c r="I183" i="104"/>
  <c r="I184" i="104"/>
  <c r="I185" i="104"/>
  <c r="I186" i="104"/>
  <c r="I187" i="104"/>
  <c r="I188" i="104"/>
  <c r="I189" i="104"/>
  <c r="I190" i="104"/>
  <c r="I191" i="104"/>
  <c r="I192" i="104"/>
  <c r="I193" i="104"/>
  <c r="I194" i="104"/>
  <c r="I195" i="104"/>
  <c r="I196" i="104"/>
  <c r="I197" i="104"/>
  <c r="I198" i="104"/>
  <c r="I199" i="104"/>
  <c r="I200" i="104"/>
  <c r="I201" i="104"/>
  <c r="I202" i="104"/>
  <c r="I203" i="104"/>
  <c r="I204" i="104"/>
  <c r="I205" i="104"/>
  <c r="I206" i="104"/>
  <c r="I207" i="104"/>
  <c r="I208" i="104"/>
  <c r="I209" i="104"/>
  <c r="I210" i="104"/>
  <c r="I211" i="104"/>
  <c r="I212" i="104"/>
  <c r="I213" i="104"/>
  <c r="I214" i="104"/>
  <c r="I215" i="104"/>
  <c r="I216" i="104"/>
  <c r="I217" i="104"/>
  <c r="I218" i="104"/>
  <c r="I219" i="104"/>
  <c r="I220" i="104"/>
  <c r="I221" i="104"/>
  <c r="I222" i="104"/>
  <c r="I223" i="104"/>
  <c r="I224" i="104"/>
  <c r="I225" i="104"/>
  <c r="I226" i="104"/>
  <c r="I227" i="104"/>
  <c r="I228" i="104"/>
  <c r="I229" i="104"/>
  <c r="I230" i="104"/>
  <c r="I231" i="104"/>
  <c r="I232" i="104"/>
  <c r="I233" i="104"/>
  <c r="I234" i="104"/>
  <c r="I235" i="104"/>
  <c r="I236" i="104"/>
  <c r="I237" i="104"/>
  <c r="I238" i="104"/>
  <c r="I239" i="104"/>
  <c r="I240" i="104"/>
  <c r="I241" i="104"/>
  <c r="I242" i="104"/>
  <c r="I243" i="104"/>
  <c r="I244" i="104"/>
  <c r="I245" i="104"/>
  <c r="I246" i="104"/>
  <c r="I247" i="104"/>
  <c r="I248" i="104"/>
  <c r="I249" i="104"/>
  <c r="I250" i="104"/>
  <c r="I251" i="104"/>
  <c r="I252" i="104"/>
  <c r="I253" i="104"/>
  <c r="I254" i="104"/>
  <c r="I255" i="104"/>
  <c r="I256" i="104"/>
  <c r="I257" i="104"/>
  <c r="I258" i="104"/>
  <c r="I259" i="104"/>
  <c r="I260" i="104"/>
  <c r="I261" i="104"/>
  <c r="I262" i="104"/>
  <c r="I263" i="104"/>
  <c r="I264" i="104"/>
  <c r="I265" i="104"/>
  <c r="I266" i="104"/>
  <c r="I267" i="104"/>
  <c r="I268" i="104"/>
  <c r="I269" i="104"/>
  <c r="I270" i="104"/>
  <c r="I271" i="104"/>
  <c r="I272" i="104"/>
  <c r="I273" i="104"/>
  <c r="I274" i="104"/>
  <c r="I275" i="104"/>
  <c r="I276" i="104"/>
  <c r="I277" i="104"/>
  <c r="I278" i="104"/>
  <c r="I279" i="104"/>
  <c r="I280" i="104"/>
  <c r="I281" i="104"/>
  <c r="I282" i="104"/>
  <c r="I283" i="104"/>
  <c r="I284" i="104"/>
  <c r="I285" i="104"/>
  <c r="I286" i="104"/>
  <c r="I287" i="104"/>
  <c r="I288" i="104"/>
  <c r="I289" i="104"/>
  <c r="I290" i="104"/>
  <c r="I291" i="104"/>
  <c r="I292" i="104"/>
  <c r="I293" i="104"/>
  <c r="I294" i="104"/>
  <c r="I295" i="104"/>
  <c r="I296" i="104"/>
  <c r="I297" i="104"/>
  <c r="I298" i="104"/>
  <c r="I299" i="104"/>
  <c r="I300" i="104"/>
  <c r="I301" i="104"/>
  <c r="I302" i="104"/>
  <c r="I303" i="104"/>
  <c r="I304" i="104"/>
  <c r="I305" i="104"/>
  <c r="I306" i="104"/>
  <c r="I307" i="104"/>
  <c r="I308" i="104"/>
  <c r="I309" i="104"/>
  <c r="I310" i="104"/>
  <c r="I311" i="104"/>
  <c r="I312" i="104"/>
  <c r="I313" i="104"/>
  <c r="I314" i="104"/>
  <c r="I315" i="104"/>
  <c r="I316" i="104"/>
  <c r="I317" i="104"/>
  <c r="I318" i="104"/>
  <c r="I319" i="104"/>
  <c r="I320" i="104"/>
  <c r="I321" i="104"/>
  <c r="I322" i="104"/>
  <c r="I323" i="104"/>
  <c r="I324" i="104"/>
  <c r="I325" i="104"/>
  <c r="I326" i="104"/>
  <c r="I327" i="104"/>
  <c r="I328" i="104"/>
  <c r="I329" i="104"/>
  <c r="I330" i="104"/>
  <c r="I331" i="104"/>
  <c r="I332" i="104"/>
  <c r="I333" i="104"/>
  <c r="I334" i="104"/>
  <c r="I335" i="104"/>
  <c r="I336" i="104"/>
  <c r="I337" i="104"/>
  <c r="I338" i="104"/>
  <c r="I339" i="104"/>
  <c r="I340" i="104"/>
  <c r="I341" i="104"/>
  <c r="I342" i="104"/>
  <c r="I343" i="104"/>
  <c r="I344" i="104"/>
  <c r="I345" i="104"/>
  <c r="I346" i="104"/>
  <c r="I347" i="104"/>
  <c r="I348" i="104"/>
  <c r="I349" i="104"/>
  <c r="I350" i="104"/>
  <c r="I351" i="104"/>
  <c r="I352" i="104"/>
  <c r="I353" i="104"/>
  <c r="I354" i="104"/>
  <c r="I355" i="104"/>
  <c r="I356" i="104"/>
  <c r="I357" i="104"/>
  <c r="I358" i="104"/>
  <c r="I359" i="104"/>
  <c r="I360" i="104"/>
  <c r="I361" i="104"/>
  <c r="I362" i="104"/>
  <c r="I363" i="104"/>
  <c r="I364" i="104"/>
  <c r="I365" i="104"/>
  <c r="I366" i="104"/>
  <c r="I367" i="104"/>
  <c r="I368" i="104"/>
  <c r="I369" i="104"/>
  <c r="I370" i="104"/>
  <c r="I371" i="104"/>
  <c r="I372" i="104"/>
  <c r="I373" i="104"/>
  <c r="I374" i="104"/>
  <c r="I375" i="104"/>
  <c r="I376" i="104"/>
  <c r="I377" i="104"/>
  <c r="I378" i="104"/>
  <c r="I379" i="104"/>
  <c r="I380" i="104"/>
  <c r="I381" i="104"/>
  <c r="I382" i="104"/>
  <c r="I383" i="104"/>
  <c r="I384" i="104"/>
  <c r="I385" i="104"/>
  <c r="I386" i="104"/>
  <c r="I387" i="104"/>
  <c r="I388" i="104"/>
  <c r="I389" i="104"/>
  <c r="I390" i="104"/>
  <c r="I391" i="104"/>
  <c r="I392" i="104"/>
  <c r="I393" i="104"/>
  <c r="I394" i="104"/>
  <c r="I395" i="104"/>
  <c r="I396" i="104"/>
  <c r="I397" i="104"/>
  <c r="I398" i="104"/>
  <c r="I399" i="104"/>
  <c r="I400" i="104"/>
  <c r="I401" i="104"/>
  <c r="I402" i="104"/>
  <c r="I403" i="104"/>
  <c r="I404" i="104"/>
  <c r="I405" i="104"/>
  <c r="I406" i="104"/>
  <c r="I407" i="104"/>
  <c r="I408" i="104"/>
  <c r="I409" i="104"/>
  <c r="I410" i="104"/>
  <c r="I411" i="104"/>
  <c r="I412" i="104"/>
  <c r="I413" i="104"/>
  <c r="I414" i="104"/>
  <c r="I415" i="104"/>
  <c r="I416" i="104"/>
  <c r="I417" i="104"/>
  <c r="I418" i="104"/>
  <c r="I419" i="104"/>
  <c r="I420" i="104"/>
  <c r="I421" i="104"/>
  <c r="I422" i="104"/>
  <c r="I423" i="104"/>
  <c r="I424" i="104"/>
  <c r="I425" i="104"/>
  <c r="I426" i="104"/>
  <c r="I427" i="104"/>
  <c r="I428" i="104"/>
  <c r="I429" i="104"/>
  <c r="I430" i="104"/>
  <c r="I431" i="104"/>
  <c r="I432" i="104"/>
  <c r="I433" i="104"/>
  <c r="I434" i="104"/>
  <c r="I435" i="104"/>
  <c r="I436" i="104"/>
  <c r="I437" i="104"/>
  <c r="I438" i="104"/>
  <c r="I439" i="104"/>
  <c r="I440" i="104"/>
  <c r="I441" i="104"/>
  <c r="I442" i="104"/>
  <c r="I443" i="104"/>
  <c r="I444" i="104"/>
  <c r="I445" i="104"/>
  <c r="I446" i="104"/>
  <c r="I447" i="104"/>
  <c r="I448" i="104"/>
  <c r="I449" i="104"/>
  <c r="I450" i="104"/>
  <c r="I451" i="104"/>
  <c r="I452" i="104"/>
  <c r="I453" i="104"/>
  <c r="I454" i="104"/>
  <c r="I455" i="104"/>
  <c r="I456" i="104"/>
  <c r="I457" i="104"/>
  <c r="I458" i="104"/>
  <c r="I459" i="104"/>
  <c r="I460" i="104"/>
  <c r="I461" i="104"/>
  <c r="I462" i="104"/>
  <c r="I463" i="104"/>
  <c r="I464" i="104"/>
  <c r="I465" i="104"/>
  <c r="I466" i="104"/>
  <c r="I467" i="104"/>
  <c r="I468" i="104"/>
  <c r="I469" i="104"/>
  <c r="I470" i="104"/>
  <c r="I471" i="104"/>
  <c r="I472" i="104"/>
  <c r="I473" i="104"/>
  <c r="I474" i="104"/>
  <c r="I475" i="104"/>
  <c r="I476" i="104"/>
  <c r="I477" i="104"/>
  <c r="I478" i="104"/>
  <c r="I479" i="104"/>
  <c r="I480" i="104"/>
  <c r="I481" i="104"/>
  <c r="I482" i="104"/>
  <c r="I483" i="104"/>
  <c r="I484" i="104"/>
  <c r="I485" i="104"/>
  <c r="I486" i="104"/>
  <c r="I487" i="104"/>
  <c r="I488" i="104"/>
  <c r="I489" i="104"/>
  <c r="I490" i="104"/>
  <c r="I491" i="104"/>
  <c r="I492" i="104"/>
  <c r="I493" i="104"/>
  <c r="I494" i="104"/>
  <c r="I495" i="104"/>
  <c r="I512" i="104"/>
  <c r="I544" i="104"/>
  <c r="I576" i="104"/>
  <c r="I608" i="104"/>
  <c r="I640" i="104"/>
  <c r="I656" i="104"/>
  <c r="I689" i="104"/>
  <c r="I704" i="104"/>
  <c r="I705" i="104"/>
  <c r="I720" i="104"/>
  <c r="I742" i="104"/>
  <c r="I753" i="104"/>
  <c r="I768" i="104"/>
  <c r="I769" i="104"/>
  <c r="I784" i="104"/>
  <c r="I817" i="104"/>
  <c r="I832" i="104"/>
  <c r="I833" i="104"/>
  <c r="I848" i="104"/>
  <c r="I1101" i="104"/>
  <c r="K12" i="104"/>
  <c r="K13" i="104"/>
  <c r="K14" i="104"/>
  <c r="V14" i="104"/>
  <c r="V15" i="104" s="1"/>
  <c r="V16" i="104" s="1"/>
  <c r="V17" i="104" s="1"/>
  <c r="K15" i="104"/>
  <c r="J109" i="104"/>
  <c r="J791" i="104"/>
  <c r="K790" i="104" s="1"/>
  <c r="J792" i="104"/>
  <c r="K791" i="104" s="1"/>
  <c r="J797" i="104"/>
  <c r="K796" i="104" s="1"/>
  <c r="J798" i="104"/>
  <c r="K797" i="104" s="1"/>
  <c r="J799" i="104"/>
  <c r="K798" i="104" s="1"/>
  <c r="J800" i="104"/>
  <c r="K799" i="104" s="1"/>
  <c r="J805" i="104"/>
  <c r="K804" i="104" s="1"/>
  <c r="J806" i="104"/>
  <c r="K805" i="104" s="1"/>
  <c r="J807" i="104"/>
  <c r="K806" i="104" s="1"/>
  <c r="J808" i="104"/>
  <c r="K807" i="104" s="1"/>
  <c r="J813" i="104"/>
  <c r="K812" i="104" s="1"/>
  <c r="J814" i="104"/>
  <c r="K813" i="104" s="1"/>
  <c r="J815" i="104"/>
  <c r="K814" i="104" s="1"/>
  <c r="J816" i="104"/>
  <c r="K815" i="104" s="1"/>
  <c r="J821" i="104"/>
  <c r="K820" i="104" s="1"/>
  <c r="J822" i="104"/>
  <c r="K821" i="104" s="1"/>
  <c r="J823" i="104"/>
  <c r="K822" i="104" s="1"/>
  <c r="J824" i="104"/>
  <c r="K823" i="104" s="1"/>
  <c r="J829" i="104"/>
  <c r="K828" i="104" s="1"/>
  <c r="J830" i="104"/>
  <c r="K829" i="104" s="1"/>
  <c r="J831" i="104"/>
  <c r="K830" i="104" s="1"/>
  <c r="J832" i="104"/>
  <c r="K831" i="104" s="1"/>
  <c r="J837" i="104"/>
  <c r="K836" i="104" s="1"/>
  <c r="J838" i="104"/>
  <c r="K837" i="104" s="1"/>
  <c r="J839" i="104"/>
  <c r="K838" i="104" s="1"/>
  <c r="J840" i="104"/>
  <c r="K839" i="104" s="1"/>
  <c r="J845" i="104"/>
  <c r="K844" i="104" s="1"/>
  <c r="J846" i="104"/>
  <c r="K845" i="104" s="1"/>
  <c r="J847" i="104"/>
  <c r="K846" i="104" s="1"/>
  <c r="J848" i="104"/>
  <c r="K847" i="104" s="1"/>
  <c r="J853" i="104"/>
  <c r="K852" i="104" s="1"/>
  <c r="J854" i="104"/>
  <c r="K853" i="104" s="1"/>
  <c r="J855" i="104"/>
  <c r="K854" i="104" s="1"/>
  <c r="J856" i="104"/>
  <c r="K855" i="104" s="1"/>
  <c r="J861" i="104"/>
  <c r="K860" i="104" s="1"/>
  <c r="J862" i="104"/>
  <c r="K861" i="104" s="1"/>
  <c r="J863" i="104"/>
  <c r="K862" i="104" s="1"/>
  <c r="J864" i="104"/>
  <c r="K863" i="104" s="1"/>
  <c r="J869" i="104"/>
  <c r="K868" i="104" s="1"/>
  <c r="J936" i="104"/>
  <c r="K935" i="104" s="1"/>
  <c r="K16" i="104"/>
  <c r="K17" i="104"/>
  <c r="K18" i="104"/>
  <c r="K19" i="104"/>
  <c r="K20" i="104"/>
  <c r="K21" i="104"/>
  <c r="K22" i="104"/>
  <c r="K23" i="104"/>
  <c r="K24" i="104"/>
  <c r="K25" i="104"/>
  <c r="K26" i="104"/>
  <c r="K27" i="104"/>
  <c r="K28" i="104"/>
  <c r="K29" i="104"/>
  <c r="K30" i="104"/>
  <c r="K31" i="104"/>
  <c r="K32" i="104"/>
  <c r="K33" i="104"/>
  <c r="K34" i="104"/>
  <c r="K35" i="104"/>
  <c r="K36" i="104"/>
  <c r="K37" i="104"/>
  <c r="K38" i="104"/>
  <c r="K39" i="104"/>
  <c r="K40" i="104"/>
  <c r="K41" i="104"/>
  <c r="K42" i="104"/>
  <c r="K43" i="104"/>
  <c r="K44" i="104"/>
  <c r="K45" i="104"/>
  <c r="K46" i="104"/>
  <c r="K47" i="104"/>
  <c r="K48" i="104"/>
  <c r="K49" i="104"/>
  <c r="K50" i="104"/>
  <c r="K51" i="104"/>
  <c r="K52" i="104"/>
  <c r="K53" i="104"/>
  <c r="K54" i="104"/>
  <c r="K55" i="104"/>
  <c r="K56" i="104"/>
  <c r="K57" i="104"/>
  <c r="K58" i="104"/>
  <c r="K59" i="104"/>
  <c r="K60" i="104"/>
  <c r="K61" i="104"/>
  <c r="K62" i="104"/>
  <c r="K63" i="104"/>
  <c r="K64" i="104"/>
  <c r="K65" i="104"/>
  <c r="K66" i="104"/>
  <c r="K67" i="104"/>
  <c r="K68" i="104"/>
  <c r="K69" i="104"/>
  <c r="K70" i="104"/>
  <c r="K71" i="104"/>
  <c r="K72" i="104"/>
  <c r="K73" i="104"/>
  <c r="K74" i="104"/>
  <c r="K75" i="104"/>
  <c r="K76" i="104"/>
  <c r="K77" i="104"/>
  <c r="K78" i="104"/>
  <c r="K79" i="104"/>
  <c r="K80" i="104"/>
  <c r="K81" i="104"/>
  <c r="K82" i="104"/>
  <c r="K83" i="104"/>
  <c r="K84" i="104"/>
  <c r="K85" i="104"/>
  <c r="K86" i="104"/>
  <c r="K87" i="104"/>
  <c r="K88" i="104"/>
  <c r="K89" i="104"/>
  <c r="K90" i="104"/>
  <c r="K91" i="104"/>
  <c r="K92" i="104"/>
  <c r="K93" i="104"/>
  <c r="K94" i="104"/>
  <c r="K95" i="104"/>
  <c r="K96" i="104"/>
  <c r="K97" i="104"/>
  <c r="K98" i="104"/>
  <c r="K99" i="104"/>
  <c r="K100" i="104"/>
  <c r="K101" i="104"/>
  <c r="K102" i="104"/>
  <c r="K103" i="104"/>
  <c r="K104" i="104"/>
  <c r="K105" i="104"/>
  <c r="K106" i="104"/>
  <c r="K107" i="104"/>
  <c r="K108" i="104"/>
  <c r="K109" i="104"/>
  <c r="K110" i="104"/>
  <c r="K111" i="104"/>
  <c r="K112" i="104"/>
  <c r="K113" i="104"/>
  <c r="K114" i="104"/>
  <c r="K115" i="104"/>
  <c r="K116" i="104"/>
  <c r="K117" i="104"/>
  <c r="K118" i="104"/>
  <c r="K119" i="104"/>
  <c r="K120" i="104"/>
  <c r="K121" i="104"/>
  <c r="K122" i="104"/>
  <c r="K123" i="104"/>
  <c r="K124" i="104"/>
  <c r="K125" i="104"/>
  <c r="K126" i="104"/>
  <c r="K127" i="104"/>
  <c r="K128" i="104"/>
  <c r="K129" i="104"/>
  <c r="K130" i="104"/>
  <c r="K131" i="104"/>
  <c r="K132" i="104"/>
  <c r="K133" i="104"/>
  <c r="K134" i="104"/>
  <c r="K135" i="104"/>
  <c r="K136" i="104"/>
  <c r="K137" i="104"/>
  <c r="K138" i="104"/>
  <c r="K139" i="104"/>
  <c r="K140" i="104"/>
  <c r="K141" i="104"/>
  <c r="K142" i="104"/>
  <c r="K143" i="104"/>
  <c r="K144" i="104"/>
  <c r="K145" i="104"/>
  <c r="K146" i="104"/>
  <c r="K147" i="104"/>
  <c r="K148" i="104"/>
  <c r="K149" i="104"/>
  <c r="K150" i="104"/>
  <c r="K151" i="104"/>
  <c r="K152" i="104"/>
  <c r="K153" i="104"/>
  <c r="K154" i="104"/>
  <c r="K155" i="104"/>
  <c r="K156" i="104"/>
  <c r="K157" i="104"/>
  <c r="K158" i="104"/>
  <c r="K159" i="104"/>
  <c r="K160" i="104"/>
  <c r="K161" i="104"/>
  <c r="K162" i="104"/>
  <c r="K163" i="104"/>
  <c r="K164" i="104"/>
  <c r="K165" i="104"/>
  <c r="K166" i="104"/>
  <c r="K167" i="104"/>
  <c r="K168" i="104"/>
  <c r="K169" i="104"/>
  <c r="K170" i="104"/>
  <c r="K171" i="104"/>
  <c r="K172" i="104"/>
  <c r="K173" i="104"/>
  <c r="K174" i="104"/>
  <c r="K175" i="104"/>
  <c r="K176" i="104"/>
  <c r="K177" i="104"/>
  <c r="K178" i="104"/>
  <c r="K179" i="104"/>
  <c r="K180" i="104"/>
  <c r="K181" i="104"/>
  <c r="K182" i="104"/>
  <c r="K183" i="104"/>
  <c r="K184" i="104"/>
  <c r="K185" i="104"/>
  <c r="K186" i="104"/>
  <c r="K187" i="104"/>
  <c r="K188" i="104"/>
  <c r="K189" i="104"/>
  <c r="K190" i="104"/>
  <c r="K191" i="104"/>
  <c r="K192" i="104"/>
  <c r="K193" i="104"/>
  <c r="K194" i="104"/>
  <c r="K195" i="104"/>
  <c r="K196" i="104"/>
  <c r="K197" i="104"/>
  <c r="K198" i="104"/>
  <c r="K199" i="104"/>
  <c r="K200" i="104"/>
  <c r="K201" i="104"/>
  <c r="K202" i="104"/>
  <c r="K203" i="104"/>
  <c r="K204" i="104"/>
  <c r="K205" i="104"/>
  <c r="K206" i="104"/>
  <c r="K207" i="104"/>
  <c r="K208" i="104"/>
  <c r="K209" i="104"/>
  <c r="K210" i="104"/>
  <c r="K211" i="104"/>
  <c r="K212" i="104"/>
  <c r="K213" i="104"/>
  <c r="K214" i="104"/>
  <c r="K215" i="104"/>
  <c r="K216" i="104"/>
  <c r="K217" i="104"/>
  <c r="K218" i="104"/>
  <c r="K219" i="104"/>
  <c r="K220" i="104"/>
  <c r="K221" i="104"/>
  <c r="K222" i="104"/>
  <c r="K223" i="104"/>
  <c r="K224" i="104"/>
  <c r="K225" i="104"/>
  <c r="K226" i="104"/>
  <c r="K227" i="104"/>
  <c r="K228" i="104"/>
  <c r="K229" i="104"/>
  <c r="K230" i="104"/>
  <c r="K231" i="104"/>
  <c r="K232" i="104"/>
  <c r="K233" i="104"/>
  <c r="K234" i="104"/>
  <c r="K235" i="104"/>
  <c r="K236" i="104"/>
  <c r="K237" i="104"/>
  <c r="K238" i="104"/>
  <c r="K239" i="104"/>
  <c r="K240" i="104"/>
  <c r="K241" i="104"/>
  <c r="K242" i="104"/>
  <c r="K243" i="104"/>
  <c r="K244" i="104"/>
  <c r="K245" i="104"/>
  <c r="K246" i="104"/>
  <c r="K247" i="104"/>
  <c r="K248" i="104"/>
  <c r="K249" i="104"/>
  <c r="K250" i="104"/>
  <c r="K251" i="104"/>
  <c r="K252" i="104"/>
  <c r="K253" i="104"/>
  <c r="K254" i="104"/>
  <c r="K255" i="104"/>
  <c r="K256" i="104"/>
  <c r="K257" i="104"/>
  <c r="K258" i="104"/>
  <c r="K259" i="104"/>
  <c r="K260" i="104"/>
  <c r="K261" i="104"/>
  <c r="K262" i="104"/>
  <c r="K263" i="104"/>
  <c r="K264" i="104"/>
  <c r="K265" i="104"/>
  <c r="K266" i="104"/>
  <c r="K267" i="104"/>
  <c r="K268" i="104"/>
  <c r="K269" i="104"/>
  <c r="K270" i="104"/>
  <c r="K271" i="104"/>
  <c r="K272" i="104"/>
  <c r="K273" i="104"/>
  <c r="K274" i="104"/>
  <c r="K275" i="104"/>
  <c r="K276" i="104"/>
  <c r="K277" i="104"/>
  <c r="K278" i="104"/>
  <c r="K279" i="104"/>
  <c r="K280" i="104"/>
  <c r="K281" i="104"/>
  <c r="K282" i="104"/>
  <c r="K283" i="104"/>
  <c r="K284" i="104"/>
  <c r="K285" i="104"/>
  <c r="K286" i="104"/>
  <c r="K287" i="104"/>
  <c r="K288" i="104"/>
  <c r="K289" i="104"/>
  <c r="K290" i="104"/>
  <c r="K291" i="104"/>
  <c r="K292" i="104"/>
  <c r="K293" i="104"/>
  <c r="K294" i="104"/>
  <c r="K295" i="104"/>
  <c r="K296" i="104"/>
  <c r="K297" i="104"/>
  <c r="K298" i="104"/>
  <c r="K299" i="104"/>
  <c r="K300" i="104"/>
  <c r="K301" i="104"/>
  <c r="K302" i="104"/>
  <c r="K303" i="104"/>
  <c r="K304" i="104"/>
  <c r="K305" i="104"/>
  <c r="K306" i="104"/>
  <c r="K307" i="104"/>
  <c r="K308" i="104"/>
  <c r="K309" i="104"/>
  <c r="K310" i="104"/>
  <c r="K311" i="104"/>
  <c r="K312" i="104"/>
  <c r="K313" i="104"/>
  <c r="K314" i="104"/>
  <c r="K315" i="104"/>
  <c r="K316" i="104"/>
  <c r="K317" i="104"/>
  <c r="K318" i="104"/>
  <c r="K319" i="104"/>
  <c r="K320" i="104"/>
  <c r="K321" i="104"/>
  <c r="K322" i="104"/>
  <c r="K323" i="104"/>
  <c r="K324" i="104"/>
  <c r="K325" i="104"/>
  <c r="K326" i="104"/>
  <c r="K327" i="104"/>
  <c r="K328" i="104"/>
  <c r="K329" i="104"/>
  <c r="K330" i="104"/>
  <c r="K331" i="104"/>
  <c r="K332" i="104"/>
  <c r="K333" i="104"/>
  <c r="K334" i="104"/>
  <c r="K335" i="104"/>
  <c r="K336" i="104"/>
  <c r="K337" i="104"/>
  <c r="K338" i="104"/>
  <c r="K339" i="104"/>
  <c r="K340" i="104"/>
  <c r="K341" i="104"/>
  <c r="K342" i="104"/>
  <c r="K343" i="104"/>
  <c r="K344" i="104"/>
  <c r="K345" i="104"/>
  <c r="K346" i="104"/>
  <c r="K347" i="104"/>
  <c r="K348" i="104"/>
  <c r="K349" i="104"/>
  <c r="K350" i="104"/>
  <c r="K351" i="104"/>
  <c r="K352" i="104"/>
  <c r="K353" i="104"/>
  <c r="K354" i="104"/>
  <c r="K355" i="104"/>
  <c r="K356" i="104"/>
  <c r="K357" i="104"/>
  <c r="K358" i="104"/>
  <c r="K359" i="104"/>
  <c r="K360" i="104"/>
  <c r="K361" i="104"/>
  <c r="K362" i="104"/>
  <c r="K363" i="104"/>
  <c r="K364" i="104"/>
  <c r="K365" i="104"/>
  <c r="K366" i="104"/>
  <c r="K367" i="104"/>
  <c r="K368" i="104"/>
  <c r="K369" i="104"/>
  <c r="K370" i="104"/>
  <c r="K371" i="104"/>
  <c r="K372" i="104"/>
  <c r="K373" i="104"/>
  <c r="K374" i="104"/>
  <c r="K375" i="104"/>
  <c r="K376" i="104"/>
  <c r="K377" i="104"/>
  <c r="K378" i="104"/>
  <c r="K379" i="104"/>
  <c r="K380" i="104"/>
  <c r="K381" i="104"/>
  <c r="K382" i="104"/>
  <c r="K383" i="104"/>
  <c r="K384" i="104"/>
  <c r="K385" i="104"/>
  <c r="K386" i="104"/>
  <c r="K387" i="104"/>
  <c r="K388" i="104"/>
  <c r="K389" i="104"/>
  <c r="K390" i="104"/>
  <c r="K391" i="104"/>
  <c r="K392" i="104"/>
  <c r="K393" i="104"/>
  <c r="K394" i="104"/>
  <c r="K395" i="104"/>
  <c r="K396" i="104"/>
  <c r="K397" i="104"/>
  <c r="K398" i="104"/>
  <c r="K399" i="104"/>
  <c r="K400" i="104"/>
  <c r="K401" i="104"/>
  <c r="K402" i="104"/>
  <c r="K403" i="104"/>
  <c r="K404" i="104"/>
  <c r="K405" i="104"/>
  <c r="K406" i="104"/>
  <c r="K407" i="104"/>
  <c r="K408" i="104"/>
  <c r="K409" i="104"/>
  <c r="K410" i="104"/>
  <c r="K411" i="104"/>
  <c r="K412" i="104"/>
  <c r="K413" i="104"/>
  <c r="K414" i="104"/>
  <c r="K415" i="104"/>
  <c r="K416" i="104"/>
  <c r="K417" i="104"/>
  <c r="K418" i="104"/>
  <c r="K419" i="104"/>
  <c r="K420" i="104"/>
  <c r="K421" i="104"/>
  <c r="K422" i="104"/>
  <c r="K423" i="104"/>
  <c r="K424" i="104"/>
  <c r="K425" i="104"/>
  <c r="K426" i="104"/>
  <c r="K427" i="104"/>
  <c r="K428" i="104"/>
  <c r="K429" i="104"/>
  <c r="K430" i="104"/>
  <c r="K431" i="104"/>
  <c r="K432" i="104"/>
  <c r="K433" i="104"/>
  <c r="K434" i="104"/>
  <c r="K435" i="104"/>
  <c r="K436" i="104"/>
  <c r="K437" i="104"/>
  <c r="K438" i="104"/>
  <c r="K439" i="104"/>
  <c r="K440" i="104"/>
  <c r="K441" i="104"/>
  <c r="K442" i="104"/>
  <c r="K443" i="104"/>
  <c r="K444" i="104"/>
  <c r="K445" i="104"/>
  <c r="K446" i="104"/>
  <c r="K447" i="104"/>
  <c r="K448" i="104"/>
  <c r="K449" i="104"/>
  <c r="K450" i="104"/>
  <c r="K451" i="104"/>
  <c r="K452" i="104"/>
  <c r="K453" i="104"/>
  <c r="K454" i="104"/>
  <c r="K455" i="104"/>
  <c r="K456" i="104"/>
  <c r="K457" i="104"/>
  <c r="K458" i="104"/>
  <c r="K459" i="104"/>
  <c r="K460" i="104"/>
  <c r="K461" i="104"/>
  <c r="K462" i="104"/>
  <c r="K463" i="104"/>
  <c r="K464" i="104"/>
  <c r="K465" i="104"/>
  <c r="K466" i="104"/>
  <c r="K467" i="104"/>
  <c r="K468" i="104"/>
  <c r="K469" i="104"/>
  <c r="K470" i="104"/>
  <c r="K471" i="104"/>
  <c r="K472" i="104"/>
  <c r="K473" i="104"/>
  <c r="K474" i="104"/>
  <c r="K475" i="104"/>
  <c r="K476" i="104"/>
  <c r="K477" i="104"/>
  <c r="K478" i="104"/>
  <c r="K479" i="104"/>
  <c r="K480" i="104"/>
  <c r="K481" i="104"/>
  <c r="K482" i="104"/>
  <c r="K483" i="104"/>
  <c r="K484" i="104"/>
  <c r="K485" i="104"/>
  <c r="K486" i="104"/>
  <c r="K487" i="104"/>
  <c r="K488" i="104"/>
  <c r="K489" i="104"/>
  <c r="K490" i="104"/>
  <c r="K491" i="104"/>
  <c r="K492" i="104"/>
  <c r="K493" i="104"/>
  <c r="K494" i="104"/>
  <c r="K495" i="104"/>
  <c r="K496" i="104"/>
  <c r="K497" i="104"/>
  <c r="K498" i="104"/>
  <c r="K499" i="104"/>
  <c r="K500" i="104"/>
  <c r="K501" i="104"/>
  <c r="K502" i="104"/>
  <c r="K503" i="104"/>
  <c r="K504" i="104"/>
  <c r="K505" i="104"/>
  <c r="K506" i="104"/>
  <c r="K507" i="104"/>
  <c r="K508" i="104"/>
  <c r="K509" i="104"/>
  <c r="K510" i="104"/>
  <c r="K511" i="104"/>
  <c r="K512" i="104"/>
  <c r="K513" i="104"/>
  <c r="K514" i="104"/>
  <c r="K515" i="104"/>
  <c r="K516" i="104"/>
  <c r="K517" i="104"/>
  <c r="K518" i="104"/>
  <c r="K519" i="104"/>
  <c r="K520" i="104"/>
  <c r="K521" i="104"/>
  <c r="K522" i="104"/>
  <c r="K523" i="104"/>
  <c r="K524" i="104"/>
  <c r="K525" i="104"/>
  <c r="K526" i="104"/>
  <c r="K527" i="104"/>
  <c r="K528" i="104"/>
  <c r="K529" i="104"/>
  <c r="K530" i="104"/>
  <c r="K531" i="104"/>
  <c r="K532" i="104"/>
  <c r="K533" i="104"/>
  <c r="K534" i="104"/>
  <c r="K535" i="104"/>
  <c r="K536" i="104"/>
  <c r="K537" i="104"/>
  <c r="K538" i="104"/>
  <c r="K539" i="104"/>
  <c r="K540" i="104"/>
  <c r="K541" i="104"/>
  <c r="K542" i="104"/>
  <c r="K543" i="104"/>
  <c r="K544" i="104"/>
  <c r="K545" i="104"/>
  <c r="K546" i="104"/>
  <c r="K547" i="104"/>
  <c r="K548" i="104"/>
  <c r="K549" i="104"/>
  <c r="K550" i="104"/>
  <c r="K551" i="104"/>
  <c r="K552" i="104"/>
  <c r="K553" i="104"/>
  <c r="K554" i="104"/>
  <c r="K555" i="104"/>
  <c r="K556" i="104"/>
  <c r="K557" i="104"/>
  <c r="K558" i="104"/>
  <c r="K559" i="104"/>
  <c r="K560" i="104"/>
  <c r="K561" i="104"/>
  <c r="K562" i="104"/>
  <c r="K563" i="104"/>
  <c r="K564" i="104"/>
  <c r="K565" i="104"/>
  <c r="K566" i="104"/>
  <c r="K567" i="104"/>
  <c r="K568" i="104"/>
  <c r="K569" i="104"/>
  <c r="K570" i="104"/>
  <c r="K571" i="104"/>
  <c r="K572" i="104"/>
  <c r="K573" i="104"/>
  <c r="K574" i="104"/>
  <c r="K575" i="104"/>
  <c r="K576" i="104"/>
  <c r="K577" i="104"/>
  <c r="K578" i="104"/>
  <c r="K579" i="104"/>
  <c r="K580" i="104"/>
  <c r="K581" i="104"/>
  <c r="K582" i="104"/>
  <c r="K583" i="104"/>
  <c r="K584" i="104"/>
  <c r="K585" i="104"/>
  <c r="K586" i="104"/>
  <c r="K587" i="104"/>
  <c r="K588" i="104"/>
  <c r="K589" i="104"/>
  <c r="K590" i="104"/>
  <c r="K591" i="104"/>
  <c r="K592" i="104"/>
  <c r="K593" i="104"/>
  <c r="K594" i="104"/>
  <c r="K595" i="104"/>
  <c r="K596" i="104"/>
  <c r="K597" i="104"/>
  <c r="K598" i="104"/>
  <c r="K599" i="104"/>
  <c r="K600" i="104"/>
  <c r="K601" i="104"/>
  <c r="K602" i="104"/>
  <c r="K603" i="104"/>
  <c r="K604" i="104"/>
  <c r="K605" i="104"/>
  <c r="K606" i="104"/>
  <c r="K607" i="104"/>
  <c r="K608" i="104"/>
  <c r="K609" i="104"/>
  <c r="K610" i="104"/>
  <c r="K611" i="104"/>
  <c r="K612" i="104"/>
  <c r="K613" i="104"/>
  <c r="K614" i="104"/>
  <c r="K615" i="104"/>
  <c r="K616" i="104"/>
  <c r="K617" i="104"/>
  <c r="K618" i="104"/>
  <c r="K619" i="104"/>
  <c r="K620" i="104"/>
  <c r="K621" i="104"/>
  <c r="K622" i="104"/>
  <c r="K623" i="104"/>
  <c r="K624" i="104"/>
  <c r="K625" i="104"/>
  <c r="K626" i="104"/>
  <c r="K627" i="104"/>
  <c r="K628" i="104"/>
  <c r="K629" i="104"/>
  <c r="K630" i="104"/>
  <c r="K631" i="104"/>
  <c r="K632" i="104"/>
  <c r="K633" i="104"/>
  <c r="K634" i="104"/>
  <c r="K635" i="104"/>
  <c r="K636" i="104"/>
  <c r="K637" i="104"/>
  <c r="K638" i="104"/>
  <c r="K639" i="104"/>
  <c r="K640" i="104"/>
  <c r="K641" i="104"/>
  <c r="K642" i="104"/>
  <c r="K643" i="104"/>
  <c r="K644" i="104"/>
  <c r="K645" i="104"/>
  <c r="K646" i="104"/>
  <c r="K647" i="104"/>
  <c r="K648" i="104"/>
  <c r="K649" i="104"/>
  <c r="K650" i="104"/>
  <c r="K651" i="104"/>
  <c r="K652" i="104"/>
  <c r="K653" i="104"/>
  <c r="K654" i="104"/>
  <c r="K655" i="104"/>
  <c r="K656" i="104"/>
  <c r="K657" i="104"/>
  <c r="K658" i="104"/>
  <c r="K659" i="104"/>
  <c r="K660" i="104"/>
  <c r="K661" i="104"/>
  <c r="K662" i="104"/>
  <c r="K663" i="104"/>
  <c r="K664" i="104"/>
  <c r="K665" i="104"/>
  <c r="K666" i="104"/>
  <c r="K667" i="104"/>
  <c r="K668" i="104"/>
  <c r="K669" i="104"/>
  <c r="K670" i="104"/>
  <c r="K671" i="104"/>
  <c r="K672" i="104"/>
  <c r="K673" i="104"/>
  <c r="K674" i="104"/>
  <c r="K675" i="104"/>
  <c r="K676" i="104"/>
  <c r="K677" i="104"/>
  <c r="K678" i="104"/>
  <c r="K679" i="104"/>
  <c r="K680" i="104"/>
  <c r="K681" i="104"/>
  <c r="K682" i="104"/>
  <c r="K683" i="104"/>
  <c r="K684" i="104"/>
  <c r="K685" i="104"/>
  <c r="K686" i="104"/>
  <c r="K687" i="104"/>
  <c r="K688" i="104"/>
  <c r="K689" i="104"/>
  <c r="K690" i="104"/>
  <c r="K691" i="104"/>
  <c r="K692" i="104"/>
  <c r="K693" i="104"/>
  <c r="K694" i="104"/>
  <c r="K695" i="104"/>
  <c r="K696" i="104"/>
  <c r="K697" i="104"/>
  <c r="K698" i="104"/>
  <c r="K699" i="104"/>
  <c r="K700" i="104"/>
  <c r="K701" i="104"/>
  <c r="K702" i="104"/>
  <c r="K703" i="104"/>
  <c r="K704" i="104"/>
  <c r="K705" i="104"/>
  <c r="K706" i="104"/>
  <c r="K707" i="104"/>
  <c r="K708" i="104"/>
  <c r="K709" i="104"/>
  <c r="K710" i="104"/>
  <c r="K711" i="104"/>
  <c r="K712" i="104"/>
  <c r="K713" i="104"/>
  <c r="K714" i="104"/>
  <c r="K715" i="104"/>
  <c r="K716" i="104"/>
  <c r="K717" i="104"/>
  <c r="K718" i="104"/>
  <c r="K719" i="104"/>
  <c r="K720" i="104"/>
  <c r="K721" i="104"/>
  <c r="K722" i="104"/>
  <c r="K723" i="104"/>
  <c r="K724" i="104"/>
  <c r="K725" i="104"/>
  <c r="K726" i="104"/>
  <c r="K727" i="104"/>
  <c r="K728" i="104"/>
  <c r="K729" i="104"/>
  <c r="K730" i="104"/>
  <c r="K731" i="104"/>
  <c r="K732" i="104"/>
  <c r="K733" i="104"/>
  <c r="K734" i="104"/>
  <c r="K735" i="104"/>
  <c r="K736" i="104"/>
  <c r="K737" i="104"/>
  <c r="K738" i="104"/>
  <c r="K739" i="104"/>
  <c r="K740" i="104"/>
  <c r="K741" i="104"/>
  <c r="K742" i="104"/>
  <c r="K743" i="104"/>
  <c r="K744" i="104"/>
  <c r="K745" i="104"/>
  <c r="K746" i="104"/>
  <c r="K747" i="104"/>
  <c r="K748" i="104"/>
  <c r="K749" i="104"/>
  <c r="K750" i="104"/>
  <c r="K751" i="104"/>
  <c r="K752" i="104"/>
  <c r="K753" i="104"/>
  <c r="K754" i="104"/>
  <c r="K755" i="104"/>
  <c r="K756" i="104"/>
  <c r="K757" i="104"/>
  <c r="K758" i="104"/>
  <c r="K759" i="104"/>
  <c r="K760" i="104"/>
  <c r="K761" i="104"/>
  <c r="K762" i="104"/>
  <c r="K763" i="104"/>
  <c r="K764" i="104"/>
  <c r="K765" i="104"/>
  <c r="K766" i="104"/>
  <c r="K767" i="104"/>
  <c r="K768" i="104"/>
  <c r="K769" i="104"/>
  <c r="K770" i="104"/>
  <c r="K771" i="104"/>
  <c r="K772" i="104"/>
  <c r="K773" i="104"/>
  <c r="K774" i="104"/>
  <c r="K775" i="104"/>
  <c r="K776" i="104"/>
  <c r="K777" i="104"/>
  <c r="K778" i="104"/>
  <c r="K779" i="104"/>
  <c r="K780" i="104"/>
  <c r="K781" i="104"/>
  <c r="K782" i="104"/>
  <c r="K783" i="104"/>
  <c r="K784" i="104"/>
  <c r="K785" i="104"/>
  <c r="K786" i="104"/>
  <c r="K787" i="104"/>
  <c r="K788" i="104"/>
  <c r="K789" i="104"/>
  <c r="K1101" i="104"/>
  <c r="AB19" i="104"/>
  <c r="AB20" i="104" s="1"/>
  <c r="L24" i="104"/>
  <c r="M23" i="104" s="1"/>
  <c r="L33" i="104"/>
  <c r="M32" i="104" s="1"/>
  <c r="L35" i="104"/>
  <c r="L40" i="104"/>
  <c r="M39" i="104" s="1"/>
  <c r="L56" i="104"/>
  <c r="M55" i="104" s="1"/>
  <c r="L65" i="104"/>
  <c r="L67" i="104"/>
  <c r="L72" i="104"/>
  <c r="M71" i="104" s="1"/>
  <c r="L88" i="104"/>
  <c r="M87" i="104" s="1"/>
  <c r="L97" i="104"/>
  <c r="M96" i="104" s="1"/>
  <c r="L99" i="104"/>
  <c r="L104" i="104"/>
  <c r="M103" i="104" s="1"/>
  <c r="L120" i="104"/>
  <c r="M119" i="104" s="1"/>
  <c r="L129" i="104"/>
  <c r="L131" i="104"/>
  <c r="L136" i="104"/>
  <c r="M135" i="104" s="1"/>
  <c r="L152" i="104"/>
  <c r="M151" i="104" s="1"/>
  <c r="L161" i="104"/>
  <c r="M160" i="104" s="1"/>
  <c r="L163" i="104"/>
  <c r="L168" i="104"/>
  <c r="M167" i="104" s="1"/>
  <c r="L184" i="104"/>
  <c r="M183" i="104" s="1"/>
  <c r="L193" i="104"/>
  <c r="L195" i="104"/>
  <c r="L200" i="104"/>
  <c r="M199" i="104" s="1"/>
  <c r="L216" i="104"/>
  <c r="M215" i="104" s="1"/>
  <c r="L224" i="104"/>
  <c r="M223" i="104" s="1"/>
  <c r="L226" i="104"/>
  <c r="M225" i="104" s="1"/>
  <c r="L227" i="104"/>
  <c r="M34" i="104"/>
  <c r="M64" i="104"/>
  <c r="M66" i="104"/>
  <c r="M98" i="104"/>
  <c r="M128" i="104"/>
  <c r="M130" i="104"/>
  <c r="M162" i="104"/>
  <c r="M192" i="104"/>
  <c r="M194" i="104"/>
  <c r="M226" i="104"/>
  <c r="M1101" i="104"/>
  <c r="U23" i="104"/>
  <c r="U24" i="104" s="1"/>
  <c r="U25" i="104" s="1"/>
  <c r="U26" i="104" s="1"/>
  <c r="U27" i="104" s="1"/>
  <c r="U28" i="104" s="1"/>
  <c r="U29" i="104" s="1"/>
  <c r="U30" i="104" s="1"/>
  <c r="U31" i="104"/>
  <c r="U32" i="104" s="1"/>
  <c r="U33" i="104" s="1"/>
  <c r="U34" i="104" s="1"/>
  <c r="U35" i="104" s="1"/>
  <c r="U36" i="104"/>
  <c r="U37" i="104"/>
  <c r="U38" i="104" s="1"/>
  <c r="U39" i="104" s="1"/>
  <c r="U40" i="104" s="1"/>
  <c r="U41" i="104" s="1"/>
  <c r="U42" i="104" s="1"/>
  <c r="U43" i="104" s="1"/>
  <c r="U44" i="104" s="1"/>
  <c r="U45" i="104" s="1"/>
  <c r="U46" i="104" s="1"/>
  <c r="U47" i="104" s="1"/>
  <c r="U48" i="104" s="1"/>
  <c r="U49" i="104" s="1"/>
  <c r="U50" i="104" s="1"/>
  <c r="U51" i="104" s="1"/>
  <c r="U52" i="104" s="1"/>
  <c r="U53" i="104" s="1"/>
  <c r="U54" i="104" s="1"/>
  <c r="U55" i="104" s="1"/>
  <c r="U56" i="104" s="1"/>
  <c r="U57" i="104" s="1"/>
  <c r="U58" i="104" s="1"/>
  <c r="U59" i="104" s="1"/>
  <c r="U60" i="104" s="1"/>
  <c r="U61" i="104" s="1"/>
  <c r="U62" i="104" s="1"/>
  <c r="U63" i="104" s="1"/>
  <c r="U64" i="104" s="1"/>
  <c r="U65" i="104" s="1"/>
  <c r="U66" i="104" s="1"/>
  <c r="U67" i="104" s="1"/>
  <c r="U68" i="104" s="1"/>
  <c r="U69" i="104" s="1"/>
  <c r="U70" i="104" s="1"/>
  <c r="U71" i="104" s="1"/>
  <c r="U72" i="104" s="1"/>
  <c r="U73" i="104" s="1"/>
  <c r="U74" i="104" s="1"/>
  <c r="U75" i="104" s="1"/>
  <c r="U76" i="104" s="1"/>
  <c r="U77" i="104" s="1"/>
  <c r="U78" i="104" s="1"/>
  <c r="U79" i="104" s="1"/>
  <c r="U80" i="104" s="1"/>
  <c r="U81" i="104" s="1"/>
  <c r="U82" i="104" s="1"/>
  <c r="U83" i="104" s="1"/>
  <c r="U84" i="104" s="1"/>
  <c r="U85" i="104" s="1"/>
  <c r="U86" i="104" s="1"/>
  <c r="U87" i="104" s="1"/>
  <c r="U88" i="104" s="1"/>
  <c r="U89" i="104"/>
  <c r="U90" i="104" s="1"/>
  <c r="U91" i="104" s="1"/>
  <c r="U92" i="104" s="1"/>
  <c r="U93" i="104" s="1"/>
  <c r="Q95" i="104"/>
  <c r="R95" i="104"/>
  <c r="Q96" i="104"/>
  <c r="Q97" i="104" s="1"/>
  <c r="Q98" i="104" s="1"/>
  <c r="Q99" i="104" s="1"/>
  <c r="R96" i="104"/>
  <c r="R97" i="104"/>
  <c r="R98" i="104" s="1"/>
  <c r="R99" i="104" s="1"/>
  <c r="R100" i="104" s="1"/>
  <c r="R101" i="104" s="1"/>
  <c r="R102" i="104" s="1"/>
  <c r="R103" i="104" s="1"/>
  <c r="R104" i="104" s="1"/>
  <c r="R105" i="104" s="1"/>
  <c r="R106" i="104" s="1"/>
  <c r="R107" i="104" s="1"/>
  <c r="R108" i="104" s="1"/>
  <c r="Q100" i="104"/>
  <c r="Q101" i="104" s="1"/>
  <c r="Q102" i="104" s="1"/>
  <c r="Q103" i="104" s="1"/>
  <c r="Q104" i="104" s="1"/>
  <c r="Q105" i="104" s="1"/>
  <c r="Q106" i="104" s="1"/>
  <c r="Q107" i="104" s="1"/>
  <c r="Q108" i="104" s="1"/>
  <c r="Q109" i="104" s="1"/>
  <c r="R109" i="104"/>
  <c r="R110" i="104" s="1"/>
  <c r="R111" i="104" s="1"/>
  <c r="R112" i="104" s="1"/>
  <c r="R113" i="104" s="1"/>
  <c r="R114" i="104" s="1"/>
  <c r="R115" i="104" s="1"/>
  <c r="R116" i="104" s="1"/>
  <c r="R117" i="104" s="1"/>
  <c r="R118" i="104" s="1"/>
  <c r="R119" i="104" s="1"/>
  <c r="R120" i="104" s="1"/>
  <c r="R121" i="104" s="1"/>
  <c r="R122" i="104" s="1"/>
  <c r="R123" i="104" s="1"/>
  <c r="R124" i="104" s="1"/>
  <c r="R125" i="104" s="1"/>
  <c r="R126" i="104" s="1"/>
  <c r="R127" i="104" s="1"/>
  <c r="R128" i="104" s="1"/>
  <c r="R129" i="104" s="1"/>
  <c r="R130" i="104" s="1"/>
  <c r="R131" i="104" s="1"/>
  <c r="R132" i="104" s="1"/>
  <c r="R133" i="104" s="1"/>
  <c r="R134" i="104" s="1"/>
  <c r="R135" i="104" s="1"/>
  <c r="R136" i="104" s="1"/>
  <c r="R137" i="104" s="1"/>
  <c r="R138" i="104" s="1"/>
  <c r="R139" i="104" s="1"/>
  <c r="R140" i="104" s="1"/>
  <c r="R141" i="104" s="1"/>
  <c r="R142" i="104" s="1"/>
  <c r="R143" i="104" s="1"/>
  <c r="R144" i="104" s="1"/>
  <c r="Q110" i="104"/>
  <c r="Q111" i="104" s="1"/>
  <c r="Q112" i="104" s="1"/>
  <c r="Q113" i="104" s="1"/>
  <c r="Q114" i="104" s="1"/>
  <c r="Q115" i="104" s="1"/>
  <c r="Q116" i="104" s="1"/>
  <c r="Q117" i="104" s="1"/>
  <c r="Q118" i="104" s="1"/>
  <c r="Q119" i="104" s="1"/>
  <c r="Q120" i="104" s="1"/>
  <c r="Q121" i="104" s="1"/>
  <c r="Q122" i="104" s="1"/>
  <c r="Q123" i="104" s="1"/>
  <c r="Q124" i="104" s="1"/>
  <c r="Q125" i="104" s="1"/>
  <c r="Q126" i="104" s="1"/>
  <c r="Q127" i="104" s="1"/>
  <c r="Q128" i="104" s="1"/>
  <c r="Q129" i="104" s="1"/>
  <c r="Q130" i="104" s="1"/>
  <c r="Q131" i="104" s="1"/>
  <c r="Q132" i="104" s="1"/>
  <c r="Q133" i="104" s="1"/>
  <c r="Q134" i="104" s="1"/>
  <c r="Q135" i="104" s="1"/>
  <c r="Q136" i="104" s="1"/>
  <c r="Q137" i="104" s="1"/>
  <c r="Q138" i="104" s="1"/>
  <c r="Q139" i="104" s="1"/>
  <c r="Q140" i="104" s="1"/>
  <c r="Q141" i="104" s="1"/>
  <c r="Q142" i="104" s="1"/>
  <c r="Q143" i="104" s="1"/>
  <c r="Q144" i="104" s="1"/>
  <c r="P112" i="104"/>
  <c r="O113" i="104" s="1"/>
  <c r="P113" i="104" s="1"/>
  <c r="O114" i="104" s="1"/>
  <c r="P114" i="104"/>
  <c r="O115" i="104" s="1"/>
  <c r="P115" i="104" s="1"/>
  <c r="O116" i="104" s="1"/>
  <c r="P116" i="104" s="1"/>
  <c r="O117" i="104" s="1"/>
  <c r="P117" i="104" s="1"/>
  <c r="O118" i="104" s="1"/>
  <c r="P118" i="104" s="1"/>
  <c r="O119" i="104" s="1"/>
  <c r="P119" i="104" s="1"/>
  <c r="O120" i="104" s="1"/>
  <c r="P120" i="104" s="1"/>
  <c r="O121" i="104" s="1"/>
  <c r="P121" i="104" s="1"/>
  <c r="O122" i="104" s="1"/>
  <c r="P122" i="104" s="1"/>
  <c r="O123" i="104" s="1"/>
  <c r="P123" i="104" s="1"/>
  <c r="O124" i="104" s="1"/>
  <c r="P124" i="104" s="1"/>
  <c r="O125" i="104" s="1"/>
  <c r="P125" i="104" s="1"/>
  <c r="O126" i="104" s="1"/>
  <c r="P126" i="104" s="1"/>
  <c r="O127" i="104" s="1"/>
  <c r="P127" i="104" s="1"/>
  <c r="O128" i="104" s="1"/>
  <c r="P128" i="104" s="1"/>
  <c r="O129" i="104" s="1"/>
  <c r="P129" i="104" s="1"/>
  <c r="O130" i="104" s="1"/>
  <c r="P130" i="104" s="1"/>
  <c r="O131" i="104" s="1"/>
  <c r="P131" i="104" s="1"/>
  <c r="O132" i="104" s="1"/>
  <c r="P132" i="104" s="1"/>
  <c r="O133" i="104" s="1"/>
  <c r="P133" i="104" s="1"/>
  <c r="O134" i="104" s="1"/>
  <c r="P134" i="104" s="1"/>
  <c r="O135" i="104" s="1"/>
  <c r="P135" i="104" s="1"/>
  <c r="O136" i="104" s="1"/>
  <c r="P136" i="104" s="1"/>
  <c r="O137" i="104" s="1"/>
  <c r="P137" i="104" s="1"/>
  <c r="O138" i="104" s="1"/>
  <c r="P138" i="104" s="1"/>
  <c r="O139" i="104" s="1"/>
  <c r="P139" i="104" s="1"/>
  <c r="O140" i="104" s="1"/>
  <c r="P140" i="104" s="1"/>
  <c r="O141" i="104" s="1"/>
  <c r="P141" i="104" s="1"/>
  <c r="O142" i="104" s="1"/>
  <c r="P142" i="104" s="1"/>
  <c r="O143" i="104" s="1"/>
  <c r="P143" i="104" s="1"/>
  <c r="O144" i="104" s="1"/>
  <c r="P144" i="104" s="1"/>
  <c r="G2" i="105"/>
  <c r="H2" i="105" s="1"/>
  <c r="I2" i="105" s="1"/>
  <c r="J2" i="105" s="1"/>
  <c r="K2" i="105" s="1"/>
  <c r="L2" i="105" s="1"/>
  <c r="M2" i="105" s="1"/>
  <c r="N2" i="105" s="1"/>
  <c r="O2" i="105" s="1"/>
  <c r="P2" i="105" s="1"/>
  <c r="Q2" i="105" s="1"/>
  <c r="G4" i="105"/>
  <c r="H4" i="105"/>
  <c r="I4" i="105"/>
  <c r="J4" i="105" s="1"/>
  <c r="K4" i="105" s="1"/>
  <c r="L4" i="105"/>
  <c r="M4" i="105" s="1"/>
  <c r="N4" i="105" s="1"/>
  <c r="O4" i="105" s="1"/>
  <c r="G13" i="105"/>
  <c r="H13" i="105" s="1"/>
  <c r="I13" i="105" s="1"/>
  <c r="J13" i="105" s="1"/>
  <c r="K13" i="105" s="1"/>
  <c r="L13" i="105" s="1"/>
  <c r="M13" i="105" s="1"/>
  <c r="P25" i="105"/>
  <c r="Q25" i="105" s="1"/>
  <c r="R25" i="105" s="1"/>
  <c r="S25" i="105" s="1"/>
  <c r="T25" i="105" s="1"/>
  <c r="U25" i="105" s="1"/>
  <c r="V25" i="105" s="1"/>
  <c r="W25" i="105" s="1"/>
  <c r="X25" i="105" s="1"/>
  <c r="Y25" i="105" s="1"/>
  <c r="E47" i="105"/>
  <c r="E52" i="105"/>
  <c r="J33" i="105" s="1"/>
  <c r="J34" i="105" s="1"/>
  <c r="J32" i="105"/>
  <c r="J38" i="105"/>
  <c r="J39" i="105"/>
  <c r="J40" i="105"/>
  <c r="G1" i="103"/>
  <c r="L1" i="103"/>
  <c r="Q1" i="103"/>
  <c r="V1" i="103" s="1"/>
  <c r="AA1" i="103" s="1"/>
  <c r="AF1" i="103"/>
  <c r="AK1" i="103" s="1"/>
  <c r="AP1" i="103" s="1"/>
  <c r="AU1" i="103" s="1"/>
  <c r="AZ1" i="103" s="1"/>
  <c r="BE1" i="103" s="1"/>
  <c r="BJ1" i="103" s="1"/>
  <c r="BO1" i="103" s="1"/>
  <c r="BT1" i="103"/>
  <c r="BY1" i="103" s="1"/>
  <c r="CD1" i="103" s="1"/>
  <c r="CI1" i="103" s="1"/>
  <c r="CN1" i="103" s="1"/>
  <c r="CS1" i="103" s="1"/>
  <c r="CX1" i="103" s="1"/>
  <c r="DC1" i="103" s="1"/>
  <c r="DH1" i="103" s="1"/>
  <c r="DM1" i="103" s="1"/>
  <c r="DR1" i="103" s="1"/>
  <c r="DW1" i="103" s="1"/>
  <c r="EB1" i="103" s="1"/>
  <c r="EG1" i="103" s="1"/>
  <c r="EL1" i="103" s="1"/>
  <c r="EQ1" i="103" s="1"/>
  <c r="EV1" i="103" s="1"/>
  <c r="FA1" i="103" s="1"/>
  <c r="AA13" i="103"/>
  <c r="AA9" i="103"/>
  <c r="AA5" i="103"/>
  <c r="AB13" i="103"/>
  <c r="AC13" i="103"/>
  <c r="AC9" i="103" s="1"/>
  <c r="AC5" i="103" s="1"/>
  <c r="AD13" i="103"/>
  <c r="AD9" i="103"/>
  <c r="AF13" i="103"/>
  <c r="AF9" i="103" s="1"/>
  <c r="AG13" i="103"/>
  <c r="AG9" i="103"/>
  <c r="AG5" i="103"/>
  <c r="AH13" i="103"/>
  <c r="AI13" i="103"/>
  <c r="AK13" i="103"/>
  <c r="AP14" i="103" s="1"/>
  <c r="AL13" i="103"/>
  <c r="AL9" i="103" s="1"/>
  <c r="AM13" i="103"/>
  <c r="AM9" i="103"/>
  <c r="AM5" i="103"/>
  <c r="AN13" i="103"/>
  <c r="AN9" i="103" s="1"/>
  <c r="AN5" i="103"/>
  <c r="AP13" i="103"/>
  <c r="AP9" i="103"/>
  <c r="AP5" i="103"/>
  <c r="AQ13" i="103"/>
  <c r="AQ9" i="103" s="1"/>
  <c r="AR13" i="103"/>
  <c r="AR14" i="103" s="1"/>
  <c r="AR9" i="103"/>
  <c r="AS13" i="103"/>
  <c r="AS9" i="103"/>
  <c r="AS5" i="103"/>
  <c r="AU13" i="103"/>
  <c r="AU9" i="103"/>
  <c r="AV13" i="103"/>
  <c r="AV9" i="103"/>
  <c r="AV5" i="103"/>
  <c r="AW13" i="103"/>
  <c r="BB14" i="103" s="1"/>
  <c r="AW9" i="103"/>
  <c r="AX13" i="103"/>
  <c r="AX14" i="103" s="1"/>
  <c r="AX9" i="103"/>
  <c r="AX5" i="103" s="1"/>
  <c r="AZ13" i="103"/>
  <c r="AZ9" i="103"/>
  <c r="AZ5" i="103" s="1"/>
  <c r="BA13" i="103"/>
  <c r="BA9" i="103"/>
  <c r="BA5" i="103"/>
  <c r="BB13" i="103"/>
  <c r="BB9" i="103"/>
  <c r="BB5" i="103"/>
  <c r="BC13" i="103"/>
  <c r="BC9" i="103" s="1"/>
  <c r="BE13" i="103"/>
  <c r="BE9" i="103" s="1"/>
  <c r="BF13" i="103"/>
  <c r="BF14" i="103" s="1"/>
  <c r="BF9" i="103"/>
  <c r="BF5" i="103"/>
  <c r="BG13" i="103"/>
  <c r="BG9" i="103"/>
  <c r="BG5" i="103" s="1"/>
  <c r="BG6" i="103" s="1"/>
  <c r="BH13" i="103"/>
  <c r="BH9" i="103"/>
  <c r="BH5" i="103"/>
  <c r="BJ13" i="103"/>
  <c r="BK13" i="103"/>
  <c r="BL13" i="103"/>
  <c r="BL9" i="103"/>
  <c r="BM13" i="103"/>
  <c r="BM9" i="103"/>
  <c r="BM10" i="103" s="1"/>
  <c r="BM5" i="103"/>
  <c r="BM6" i="103" s="1"/>
  <c r="BO13" i="103"/>
  <c r="BO9" i="103"/>
  <c r="BO5" i="103"/>
  <c r="BP13" i="103"/>
  <c r="BQ13" i="103"/>
  <c r="BR13" i="103"/>
  <c r="BR9" i="103"/>
  <c r="BT13" i="103"/>
  <c r="BT9" i="103" s="1"/>
  <c r="BU13" i="103"/>
  <c r="BU9" i="103"/>
  <c r="BU5" i="103"/>
  <c r="BV13" i="103"/>
  <c r="BW13" i="103"/>
  <c r="BY13" i="103"/>
  <c r="BY9" i="103" s="1"/>
  <c r="BZ13" i="103"/>
  <c r="CA13" i="103"/>
  <c r="CA14" i="103" s="1"/>
  <c r="CA9" i="103"/>
  <c r="CA5" i="103"/>
  <c r="CB13" i="103"/>
  <c r="CB9" i="103" s="1"/>
  <c r="CB5" i="103"/>
  <c r="CD58" i="103"/>
  <c r="CD13" i="103"/>
  <c r="CD9" i="103"/>
  <c r="CD5" i="103"/>
  <c r="CE58" i="103"/>
  <c r="CE13" i="103"/>
  <c r="CF58" i="103"/>
  <c r="CF13" i="103"/>
  <c r="CF9" i="103"/>
  <c r="CF10" i="103" s="1"/>
  <c r="CF5" i="103"/>
  <c r="CG58" i="103"/>
  <c r="CG13" i="103"/>
  <c r="CI58" i="103"/>
  <c r="CI13" i="103"/>
  <c r="CI14" i="103" s="1"/>
  <c r="CI9" i="103"/>
  <c r="CI5" i="103"/>
  <c r="CJ58" i="103"/>
  <c r="CJ13" i="103"/>
  <c r="CJ9" i="103"/>
  <c r="CK58" i="103"/>
  <c r="CK13" i="103"/>
  <c r="CK9" i="103"/>
  <c r="CK10" i="103" s="1"/>
  <c r="CK5" i="103"/>
  <c r="CK6" i="103" s="1"/>
  <c r="CL58" i="103"/>
  <c r="CL13" i="103"/>
  <c r="CN58" i="103"/>
  <c r="CN13" i="103"/>
  <c r="CN14" i="103" s="1"/>
  <c r="CN9" i="103"/>
  <c r="CO58" i="103"/>
  <c r="CO13" i="103"/>
  <c r="CT14" i="103" s="1"/>
  <c r="CP58" i="103"/>
  <c r="CP13" i="103"/>
  <c r="CP9" i="103" s="1"/>
  <c r="CQ58" i="103"/>
  <c r="CQ9" i="103" s="1"/>
  <c r="CQ13" i="103"/>
  <c r="CS58" i="103"/>
  <c r="CS13" i="103"/>
  <c r="CS14" i="103" s="1"/>
  <c r="CT58" i="103"/>
  <c r="CT13" i="103"/>
  <c r="CU58" i="103"/>
  <c r="CU13" i="103"/>
  <c r="CV58" i="103"/>
  <c r="CV13" i="103"/>
  <c r="CX58" i="103"/>
  <c r="CX13" i="103"/>
  <c r="CY58" i="103"/>
  <c r="CY13" i="103"/>
  <c r="CY14" i="103" s="1"/>
  <c r="CY9" i="103"/>
  <c r="CY5" i="103"/>
  <c r="CZ58" i="103"/>
  <c r="CZ13" i="103"/>
  <c r="DA58" i="103"/>
  <c r="DA13" i="103"/>
  <c r="DA9" i="103"/>
  <c r="DA5" i="103"/>
  <c r="DC58" i="103"/>
  <c r="DC13" i="103"/>
  <c r="DC14" i="103" s="1"/>
  <c r="DC9" i="103"/>
  <c r="DD58" i="103"/>
  <c r="DD49" i="103" s="1"/>
  <c r="DD13" i="103"/>
  <c r="DD9" i="103"/>
  <c r="DD10" i="103" s="1"/>
  <c r="DD5" i="103"/>
  <c r="DD6" i="103" s="1"/>
  <c r="DE58" i="103"/>
  <c r="DE13" i="103"/>
  <c r="DE9" i="103" s="1"/>
  <c r="DE5" i="103" s="1"/>
  <c r="DF58" i="103"/>
  <c r="DF13" i="103"/>
  <c r="DF9" i="103"/>
  <c r="DH58" i="103"/>
  <c r="DH13" i="103"/>
  <c r="DI58" i="103"/>
  <c r="DI49" i="103" s="1"/>
  <c r="DI40" i="103" s="1"/>
  <c r="DI13" i="103"/>
  <c r="DI9" i="103"/>
  <c r="DJ58" i="103"/>
  <c r="DJ13" i="103"/>
  <c r="DK58" i="103"/>
  <c r="DK13" i="103"/>
  <c r="DM58" i="103"/>
  <c r="DM13" i="103"/>
  <c r="DN58" i="103"/>
  <c r="DN13" i="103"/>
  <c r="DO58" i="103"/>
  <c r="DO60" i="103" s="1"/>
  <c r="DO13" i="103"/>
  <c r="DP58" i="103"/>
  <c r="DP13" i="103"/>
  <c r="DR58" i="103"/>
  <c r="DR13" i="103"/>
  <c r="DR14" i="103" s="1"/>
  <c r="DR9" i="103"/>
  <c r="DR5" i="103"/>
  <c r="DS58" i="103"/>
  <c r="DS13" i="103"/>
  <c r="DT58" i="103"/>
  <c r="DT13" i="103"/>
  <c r="DT9" i="103"/>
  <c r="DT5" i="103"/>
  <c r="DU58" i="103"/>
  <c r="DU13" i="103"/>
  <c r="DW58" i="103"/>
  <c r="DW13" i="103"/>
  <c r="DW14" i="103" s="1"/>
  <c r="DW9" i="103"/>
  <c r="DW5" i="103"/>
  <c r="DX58" i="103"/>
  <c r="DX13" i="103"/>
  <c r="DX9" i="103"/>
  <c r="DY58" i="103"/>
  <c r="DY13" i="103"/>
  <c r="DY9" i="103"/>
  <c r="DY10" i="103" s="1"/>
  <c r="DY5" i="103"/>
  <c r="DZ58" i="103"/>
  <c r="DZ13" i="103"/>
  <c r="EB58" i="103"/>
  <c r="EB13" i="103"/>
  <c r="EB14" i="103" s="1"/>
  <c r="EB9" i="103"/>
  <c r="EC58" i="103"/>
  <c r="EC13" i="103"/>
  <c r="AS6" i="103"/>
  <c r="AX6" i="103"/>
  <c r="BF6" i="103"/>
  <c r="DY6" i="103"/>
  <c r="K58" i="103"/>
  <c r="K7" i="103"/>
  <c r="P58" i="103"/>
  <c r="P7" i="103"/>
  <c r="P8" i="103" s="1"/>
  <c r="U58" i="103"/>
  <c r="Z58" i="103"/>
  <c r="L8" i="103"/>
  <c r="M8" i="103"/>
  <c r="N8" i="103"/>
  <c r="O8" i="103"/>
  <c r="Q8" i="103"/>
  <c r="R8" i="103"/>
  <c r="S8" i="103"/>
  <c r="T8" i="103"/>
  <c r="V8" i="103"/>
  <c r="W8" i="103"/>
  <c r="X8" i="103"/>
  <c r="Y8" i="103"/>
  <c r="AA8" i="103"/>
  <c r="AB8" i="103"/>
  <c r="AC8" i="103"/>
  <c r="AD8" i="103"/>
  <c r="AF8" i="103"/>
  <c r="AG8" i="103"/>
  <c r="AH8" i="103"/>
  <c r="AI8" i="103"/>
  <c r="AK8" i="103"/>
  <c r="AL8" i="103"/>
  <c r="AM8" i="103"/>
  <c r="AN8" i="103"/>
  <c r="AP8" i="103"/>
  <c r="AQ8" i="103"/>
  <c r="AR8" i="103"/>
  <c r="AS8" i="103"/>
  <c r="AU8" i="103"/>
  <c r="AV8" i="103"/>
  <c r="AW8" i="103"/>
  <c r="AX8" i="103"/>
  <c r="AZ8" i="103"/>
  <c r="BA8" i="103"/>
  <c r="BB8" i="103"/>
  <c r="BC8" i="103"/>
  <c r="BE8" i="103"/>
  <c r="BF8" i="103"/>
  <c r="BG8" i="103"/>
  <c r="BH8" i="103"/>
  <c r="BJ8" i="103"/>
  <c r="BK8" i="103"/>
  <c r="BL8" i="103"/>
  <c r="BM8" i="103"/>
  <c r="BO8" i="103"/>
  <c r="BP8" i="103"/>
  <c r="BQ8" i="103"/>
  <c r="BR8" i="103"/>
  <c r="BT8" i="103"/>
  <c r="BU8" i="103"/>
  <c r="BV8" i="103"/>
  <c r="BW8" i="103"/>
  <c r="BY8" i="103"/>
  <c r="BZ8" i="103"/>
  <c r="CA8" i="103"/>
  <c r="CB8" i="103"/>
  <c r="CD8" i="103"/>
  <c r="CE8" i="103"/>
  <c r="CF8" i="103"/>
  <c r="CG8" i="103"/>
  <c r="CI8" i="103"/>
  <c r="CJ8" i="103"/>
  <c r="CK8" i="103"/>
  <c r="CL8" i="103"/>
  <c r="CN8" i="103"/>
  <c r="CO8" i="103"/>
  <c r="CP8" i="103"/>
  <c r="CQ8" i="103"/>
  <c r="CS8" i="103"/>
  <c r="CT8" i="103"/>
  <c r="CU8" i="103"/>
  <c r="CV8" i="103"/>
  <c r="CX8" i="103"/>
  <c r="CY8" i="103"/>
  <c r="CZ8" i="103"/>
  <c r="DA8" i="103"/>
  <c r="DC8" i="103"/>
  <c r="DD8" i="103"/>
  <c r="DE8" i="103"/>
  <c r="DF8" i="103"/>
  <c r="DH8" i="103"/>
  <c r="DI8" i="103"/>
  <c r="DJ8" i="103"/>
  <c r="DK8" i="103"/>
  <c r="DM8" i="103"/>
  <c r="DN8" i="103"/>
  <c r="DO8" i="103"/>
  <c r="DP8" i="103"/>
  <c r="DR8" i="103"/>
  <c r="DS8" i="103"/>
  <c r="DT8" i="103"/>
  <c r="DU8" i="103"/>
  <c r="DW8" i="103"/>
  <c r="DX8" i="103"/>
  <c r="DY8" i="103"/>
  <c r="DZ8" i="103"/>
  <c r="EB8" i="103"/>
  <c r="EC8" i="103"/>
  <c r="Y13" i="103"/>
  <c r="Z11" i="103"/>
  <c r="V49" i="103"/>
  <c r="W49" i="103"/>
  <c r="X49" i="103"/>
  <c r="Y49" i="103"/>
  <c r="AS10" i="103"/>
  <c r="AX10" i="103"/>
  <c r="BA10" i="103"/>
  <c r="CD10" i="103"/>
  <c r="AE11" i="103"/>
  <c r="AJ11" i="103"/>
  <c r="AO11" i="103"/>
  <c r="AT11" i="103"/>
  <c r="AY11" i="103"/>
  <c r="AY12" i="103" s="1"/>
  <c r="BD11" i="103"/>
  <c r="BI11" i="103"/>
  <c r="BN11" i="103"/>
  <c r="BS11" i="103"/>
  <c r="BX11" i="103"/>
  <c r="CC11" i="103"/>
  <c r="CH11" i="103"/>
  <c r="CM11" i="103"/>
  <c r="CM12" i="103" s="1"/>
  <c r="CR11" i="103"/>
  <c r="CW11" i="103"/>
  <c r="DB11" i="103"/>
  <c r="DG11" i="103"/>
  <c r="DL11" i="103"/>
  <c r="DQ11" i="103"/>
  <c r="DV11" i="103"/>
  <c r="EA11" i="103"/>
  <c r="EA12" i="103" s="1"/>
  <c r="AD12" i="103"/>
  <c r="AF12" i="103"/>
  <c r="AG12" i="103"/>
  <c r="AH12" i="103"/>
  <c r="AI12" i="103"/>
  <c r="AK12" i="103"/>
  <c r="AL12" i="103"/>
  <c r="AM12" i="103"/>
  <c r="AN12" i="103"/>
  <c r="AO12" i="103"/>
  <c r="AP12" i="103"/>
  <c r="AQ12" i="103"/>
  <c r="AR12" i="103"/>
  <c r="AS12" i="103"/>
  <c r="AT12" i="103"/>
  <c r="AU12" i="103"/>
  <c r="AV12" i="103"/>
  <c r="AW12" i="103"/>
  <c r="AX12" i="103"/>
  <c r="AZ12" i="103"/>
  <c r="BA12" i="103"/>
  <c r="BB12" i="103"/>
  <c r="BC12" i="103"/>
  <c r="BE12" i="103"/>
  <c r="BF12" i="103"/>
  <c r="BG12" i="103"/>
  <c r="BH12" i="103"/>
  <c r="BJ12" i="103"/>
  <c r="BK12" i="103"/>
  <c r="BL12" i="103"/>
  <c r="BM12" i="103"/>
  <c r="BO12" i="103"/>
  <c r="BP12" i="103"/>
  <c r="BQ12" i="103"/>
  <c r="BR12" i="103"/>
  <c r="BT12" i="103"/>
  <c r="BU12" i="103"/>
  <c r="BV12" i="103"/>
  <c r="BW12" i="103"/>
  <c r="BY12" i="103"/>
  <c r="BZ12" i="103"/>
  <c r="CA12" i="103"/>
  <c r="CB12" i="103"/>
  <c r="CC12" i="103"/>
  <c r="CD12" i="103"/>
  <c r="CE12" i="103"/>
  <c r="CF12" i="103"/>
  <c r="CG12" i="103"/>
  <c r="CH12" i="103"/>
  <c r="CI12" i="103"/>
  <c r="CJ12" i="103"/>
  <c r="CK12" i="103"/>
  <c r="CL12" i="103"/>
  <c r="CN12" i="103"/>
  <c r="CO12" i="103"/>
  <c r="CP12" i="103"/>
  <c r="CQ12" i="103"/>
  <c r="CS12" i="103"/>
  <c r="CT12" i="103"/>
  <c r="CU12" i="103"/>
  <c r="CV12" i="103"/>
  <c r="CW12" i="103"/>
  <c r="CX12" i="103"/>
  <c r="CY12" i="103"/>
  <c r="CZ12" i="103"/>
  <c r="DA12" i="103"/>
  <c r="DC12" i="103"/>
  <c r="DD12" i="103"/>
  <c r="DE12" i="103"/>
  <c r="DF12" i="103"/>
  <c r="DH12" i="103"/>
  <c r="DI12" i="103"/>
  <c r="DJ12" i="103"/>
  <c r="DK12" i="103"/>
  <c r="DM12" i="103"/>
  <c r="DN12" i="103"/>
  <c r="DO12" i="103"/>
  <c r="DP12" i="103"/>
  <c r="DQ12" i="103"/>
  <c r="DR12" i="103"/>
  <c r="DS12" i="103"/>
  <c r="DT12" i="103"/>
  <c r="DU12" i="103"/>
  <c r="DV12" i="103"/>
  <c r="DW12" i="103"/>
  <c r="DX12" i="103"/>
  <c r="DY12" i="103"/>
  <c r="DZ12" i="103"/>
  <c r="EB12" i="103"/>
  <c r="EC12" i="103"/>
  <c r="AA49" i="103"/>
  <c r="AF50" i="103" s="1"/>
  <c r="AB49" i="103"/>
  <c r="AC49" i="103"/>
  <c r="AD49" i="103"/>
  <c r="AE58" i="103"/>
  <c r="AF49" i="103"/>
  <c r="AG49" i="103"/>
  <c r="AH49" i="103"/>
  <c r="AH40" i="103" s="1"/>
  <c r="AM41" i="103" s="1"/>
  <c r="AI49" i="103"/>
  <c r="AI40" i="103" s="1"/>
  <c r="AJ58" i="103"/>
  <c r="AJ59" i="103" s="1"/>
  <c r="AK49" i="103"/>
  <c r="AL49" i="103"/>
  <c r="AM49" i="103"/>
  <c r="AN49" i="103"/>
  <c r="AO58" i="103"/>
  <c r="AO59" i="103" s="1"/>
  <c r="AO60" i="103" s="1"/>
  <c r="AP49" i="103"/>
  <c r="AP50" i="103" s="1"/>
  <c r="AQ49" i="103"/>
  <c r="AR49" i="103"/>
  <c r="AS49" i="103"/>
  <c r="AT58" i="103"/>
  <c r="AU49" i="103"/>
  <c r="AZ50" i="103" s="1"/>
  <c r="AV49" i="103"/>
  <c r="AW49" i="103"/>
  <c r="AW40" i="103" s="1"/>
  <c r="AX49" i="103"/>
  <c r="AY58" i="103"/>
  <c r="AZ49" i="103"/>
  <c r="BA49" i="103"/>
  <c r="BB49" i="103"/>
  <c r="BC49" i="103"/>
  <c r="BC40" i="103" s="1"/>
  <c r="BD58" i="103"/>
  <c r="BE49" i="103"/>
  <c r="BF49" i="103"/>
  <c r="BG49" i="103"/>
  <c r="BG42" i="103" s="1"/>
  <c r="BH49" i="103"/>
  <c r="BH52" i="103" s="1"/>
  <c r="BH53" i="103" s="1"/>
  <c r="BI58" i="103"/>
  <c r="BJ49" i="103"/>
  <c r="BJ51" i="103" s="1"/>
  <c r="BK49" i="103"/>
  <c r="BL49" i="103"/>
  <c r="BQ50" i="103" s="1"/>
  <c r="BM49" i="103"/>
  <c r="BN58" i="103"/>
  <c r="BO49" i="103"/>
  <c r="BP49" i="103"/>
  <c r="BQ49" i="103"/>
  <c r="BR49" i="103"/>
  <c r="BS58" i="103"/>
  <c r="BT49" i="103"/>
  <c r="BU49" i="103"/>
  <c r="BV49" i="103"/>
  <c r="BV40" i="103" s="1"/>
  <c r="BV17" i="103" s="1"/>
  <c r="BW49" i="103"/>
  <c r="BW42" i="103" s="1"/>
  <c r="BX58" i="103"/>
  <c r="BY49" i="103"/>
  <c r="BY51" i="103" s="1"/>
  <c r="BZ49" i="103"/>
  <c r="CA49" i="103"/>
  <c r="CA42" i="103" s="1"/>
  <c r="CB49" i="103"/>
  <c r="CD51" i="103" s="1"/>
  <c r="CC58" i="103"/>
  <c r="CD49" i="103"/>
  <c r="CF49" i="103"/>
  <c r="CG49" i="103"/>
  <c r="CI49" i="103"/>
  <c r="CJ49" i="103"/>
  <c r="CK49" i="103"/>
  <c r="CL49" i="103"/>
  <c r="CM58" i="103"/>
  <c r="CN49" i="103"/>
  <c r="CP49" i="103"/>
  <c r="CU49" i="103"/>
  <c r="CY49" i="103"/>
  <c r="DA49" i="103"/>
  <c r="DC49" i="103"/>
  <c r="DE49" i="103"/>
  <c r="DF49" i="103"/>
  <c r="DG58" i="103"/>
  <c r="DJ49" i="103"/>
  <c r="DJ40" i="103" s="1"/>
  <c r="DJ17" i="103" s="1"/>
  <c r="DJ18" i="103" s="1"/>
  <c r="DK49" i="103"/>
  <c r="DK42" i="103" s="1"/>
  <c r="DM49" i="103"/>
  <c r="DO49" i="103"/>
  <c r="DP51" i="103" s="1"/>
  <c r="DP49" i="103"/>
  <c r="DR49" i="103"/>
  <c r="DT49" i="103"/>
  <c r="DW49" i="103"/>
  <c r="DW40" i="103" s="1"/>
  <c r="DX49" i="103"/>
  <c r="DY49" i="103"/>
  <c r="DZ49" i="103"/>
  <c r="EA58" i="103"/>
  <c r="AF14" i="103"/>
  <c r="AK14" i="103"/>
  <c r="AL14" i="103"/>
  <c r="AN14" i="103"/>
  <c r="AS14" i="103"/>
  <c r="AU14" i="103"/>
  <c r="AW14" i="103"/>
  <c r="AZ14" i="103"/>
  <c r="BA14" i="103"/>
  <c r="BE14" i="103"/>
  <c r="BG14" i="103"/>
  <c r="BL14" i="103"/>
  <c r="BM14" i="103"/>
  <c r="BR14" i="103"/>
  <c r="BU14" i="103"/>
  <c r="BZ14" i="103"/>
  <c r="CB14" i="103"/>
  <c r="CF14" i="103"/>
  <c r="CG14" i="103"/>
  <c r="CJ14" i="103"/>
  <c r="CK14" i="103"/>
  <c r="CO14" i="103"/>
  <c r="CP14" i="103"/>
  <c r="CX14" i="103"/>
  <c r="CZ14" i="103"/>
  <c r="DA14" i="103"/>
  <c r="DD14" i="103"/>
  <c r="DE14" i="103"/>
  <c r="DF14" i="103"/>
  <c r="DI14" i="103"/>
  <c r="DT14" i="103"/>
  <c r="DU14" i="103"/>
  <c r="DX14" i="103"/>
  <c r="DY14" i="103"/>
  <c r="EC14" i="103"/>
  <c r="BF42" i="103"/>
  <c r="BJ42" i="103"/>
  <c r="BK42" i="103"/>
  <c r="BM42" i="103"/>
  <c r="BP42" i="103"/>
  <c r="BP19" i="103" s="1"/>
  <c r="BQ42" i="103"/>
  <c r="BR42" i="103"/>
  <c r="BU42" i="103"/>
  <c r="BU15" i="103" s="1"/>
  <c r="BV42" i="103"/>
  <c r="BZ42" i="103"/>
  <c r="CD42" i="103"/>
  <c r="CJ42" i="103"/>
  <c r="CJ15" i="103"/>
  <c r="CK42" i="103"/>
  <c r="CY42" i="103"/>
  <c r="CY15" i="103"/>
  <c r="DA42" i="103"/>
  <c r="DA15" i="103" s="1"/>
  <c r="DE42" i="103"/>
  <c r="DM42" i="103"/>
  <c r="DR42" i="103"/>
  <c r="DR43" i="103" s="1"/>
  <c r="DR15" i="103"/>
  <c r="DX42" i="103"/>
  <c r="DX15" i="103"/>
  <c r="EB49" i="103"/>
  <c r="EB40" i="103" s="1"/>
  <c r="EB42" i="103"/>
  <c r="G49" i="103"/>
  <c r="H49" i="103"/>
  <c r="I49" i="103"/>
  <c r="J49" i="103"/>
  <c r="K49" i="103" s="1"/>
  <c r="P50" i="103" s="1"/>
  <c r="P51" i="103" s="1"/>
  <c r="L49" i="103"/>
  <c r="P49" i="103" s="1"/>
  <c r="P47" i="103" s="1"/>
  <c r="P17" i="103" s="1"/>
  <c r="M49" i="103"/>
  <c r="N49" i="103"/>
  <c r="O49" i="103"/>
  <c r="Q49" i="103"/>
  <c r="R49" i="103"/>
  <c r="S49" i="103"/>
  <c r="T49" i="103"/>
  <c r="BA40" i="103"/>
  <c r="BB40" i="103"/>
  <c r="BB41" i="103" s="1"/>
  <c r="BF40" i="103"/>
  <c r="BF17" i="103"/>
  <c r="BF18" i="103" s="1"/>
  <c r="BG40" i="103"/>
  <c r="BG17" i="103"/>
  <c r="BK40" i="103"/>
  <c r="BK17" i="103" s="1"/>
  <c r="BO40" i="103"/>
  <c r="BO17" i="103"/>
  <c r="BP40" i="103"/>
  <c r="BP17" i="103"/>
  <c r="BQ40" i="103"/>
  <c r="BQ17" i="103" s="1"/>
  <c r="BU40" i="103"/>
  <c r="BW40" i="103"/>
  <c r="BW17" i="103" s="1"/>
  <c r="BZ40" i="103"/>
  <c r="BZ17" i="103"/>
  <c r="CA40" i="103"/>
  <c r="CA17" i="103"/>
  <c r="CA18" i="103" s="1"/>
  <c r="CG40" i="103"/>
  <c r="CI40" i="103"/>
  <c r="CI17" i="103"/>
  <c r="CJ40" i="103"/>
  <c r="CJ17" i="103"/>
  <c r="CK40" i="103"/>
  <c r="CK17" i="103" s="1"/>
  <c r="CY40" i="103"/>
  <c r="CY17" i="103"/>
  <c r="DA40" i="103"/>
  <c r="DC40" i="103"/>
  <c r="DE40" i="103"/>
  <c r="DE17" i="103" s="1"/>
  <c r="DK40" i="103"/>
  <c r="DK17" i="103" s="1"/>
  <c r="DM40" i="103"/>
  <c r="DM17" i="103" s="1"/>
  <c r="DX40" i="103"/>
  <c r="DX17" i="103"/>
  <c r="M18" i="103"/>
  <c r="N18" i="103"/>
  <c r="O18" i="103"/>
  <c r="Q18" i="103"/>
  <c r="R18" i="103"/>
  <c r="S18" i="103"/>
  <c r="T18" i="103"/>
  <c r="V18" i="103"/>
  <c r="W18" i="103"/>
  <c r="X18" i="103"/>
  <c r="Y18" i="103"/>
  <c r="AA18" i="103"/>
  <c r="AB18" i="103"/>
  <c r="AC18" i="103"/>
  <c r="AD18" i="103"/>
  <c r="AF18" i="103"/>
  <c r="AG18" i="103"/>
  <c r="AH18" i="103"/>
  <c r="AI18" i="103"/>
  <c r="AK18" i="103"/>
  <c r="AL18" i="103"/>
  <c r="AM18" i="103"/>
  <c r="AN18" i="103"/>
  <c r="AP18" i="103"/>
  <c r="AQ18" i="103"/>
  <c r="AR18" i="103"/>
  <c r="AS18" i="103"/>
  <c r="AU18" i="103"/>
  <c r="AV18" i="103"/>
  <c r="AW18" i="103"/>
  <c r="AX18" i="103"/>
  <c r="AZ18" i="103"/>
  <c r="BA18" i="103"/>
  <c r="BB18" i="103"/>
  <c r="BC18" i="103"/>
  <c r="BG18" i="103"/>
  <c r="P59" i="103"/>
  <c r="P60" i="103" s="1"/>
  <c r="AJ60" i="103"/>
  <c r="AT59" i="103"/>
  <c r="AT60" i="103" s="1"/>
  <c r="AY59" i="103"/>
  <c r="AY60" i="103" s="1"/>
  <c r="BG19" i="103"/>
  <c r="BG20" i="103" s="1"/>
  <c r="BJ19" i="103"/>
  <c r="BK19" i="103"/>
  <c r="BQ19" i="103"/>
  <c r="BU19" i="103"/>
  <c r="BU20" i="103" s="1"/>
  <c r="BV19" i="103"/>
  <c r="BV20" i="103" s="1"/>
  <c r="CD19" i="103"/>
  <c r="CJ19" i="103"/>
  <c r="CY19" i="103"/>
  <c r="DA19" i="103"/>
  <c r="DK19" i="103"/>
  <c r="DR19" i="103"/>
  <c r="DX19" i="103"/>
  <c r="M20" i="103"/>
  <c r="N20" i="103"/>
  <c r="O20" i="103"/>
  <c r="Q20" i="103"/>
  <c r="R20" i="103"/>
  <c r="S20" i="103"/>
  <c r="T20" i="103"/>
  <c r="V20" i="103"/>
  <c r="W20" i="103"/>
  <c r="X20" i="103"/>
  <c r="Y20" i="103"/>
  <c r="AA20" i="103"/>
  <c r="AB20" i="103"/>
  <c r="AC20" i="103"/>
  <c r="AD20" i="103"/>
  <c r="AF20" i="103"/>
  <c r="AG20" i="103"/>
  <c r="AH20" i="103"/>
  <c r="AI20" i="103"/>
  <c r="AK20" i="103"/>
  <c r="AL20" i="103"/>
  <c r="AM20" i="103"/>
  <c r="AN20" i="103"/>
  <c r="AP20" i="103"/>
  <c r="AQ20" i="103"/>
  <c r="AR20" i="103"/>
  <c r="AS20" i="103"/>
  <c r="AU20" i="103"/>
  <c r="AV20" i="103"/>
  <c r="AW20" i="103"/>
  <c r="AX20" i="103"/>
  <c r="AZ20" i="103"/>
  <c r="BA20" i="103"/>
  <c r="BB20" i="103"/>
  <c r="BC20" i="103"/>
  <c r="BP20" i="103"/>
  <c r="BN22" i="103"/>
  <c r="BS22" i="103"/>
  <c r="BX22" i="103"/>
  <c r="CC22" i="103"/>
  <c r="CH22" i="103"/>
  <c r="CM22" i="103"/>
  <c r="CR22" i="103"/>
  <c r="CW22" i="103"/>
  <c r="DB22" i="103"/>
  <c r="DG22" i="103"/>
  <c r="DL22" i="103"/>
  <c r="DQ22" i="103"/>
  <c r="DV22" i="103"/>
  <c r="EA22" i="103"/>
  <c r="BI23" i="103"/>
  <c r="BN24" i="103" s="1"/>
  <c r="BN23" i="103"/>
  <c r="BS36" i="103"/>
  <c r="BO39" i="103" s="1"/>
  <c r="BX36" i="103"/>
  <c r="BX23" i="103"/>
  <c r="CC36" i="103"/>
  <c r="CC23" i="103" s="1"/>
  <c r="CC24" i="103" s="1"/>
  <c r="CH36" i="103"/>
  <c r="CM36" i="103"/>
  <c r="CI39" i="103" s="1"/>
  <c r="CM23" i="103"/>
  <c r="CR36" i="103"/>
  <c r="CR23" i="103"/>
  <c r="CR24" i="103" s="1"/>
  <c r="CW36" i="103"/>
  <c r="CV39" i="103" s="1"/>
  <c r="CW23" i="103"/>
  <c r="CW24" i="103" s="1"/>
  <c r="DB36" i="103"/>
  <c r="DG36" i="103"/>
  <c r="DL36" i="103"/>
  <c r="DL23" i="103"/>
  <c r="DQ36" i="103"/>
  <c r="DV36" i="103"/>
  <c r="EA36" i="103"/>
  <c r="EA23" i="103"/>
  <c r="CQ90" i="103"/>
  <c r="CQ28" i="103" s="1"/>
  <c r="CR90" i="103"/>
  <c r="CR28" i="103"/>
  <c r="CS90" i="103"/>
  <c r="CT90" i="103"/>
  <c r="CU90" i="103"/>
  <c r="CV90" i="103"/>
  <c r="CT28" i="103"/>
  <c r="CU28" i="103"/>
  <c r="CV28" i="103"/>
  <c r="CV29" i="103" s="1"/>
  <c r="CX90" i="103"/>
  <c r="CY90" i="103"/>
  <c r="CZ90" i="103"/>
  <c r="DA90" i="103"/>
  <c r="DB90" i="103"/>
  <c r="CY28" i="103"/>
  <c r="CY29" i="103" s="1"/>
  <c r="CZ28" i="103"/>
  <c r="DA28" i="103"/>
  <c r="DA29" i="103" s="1"/>
  <c r="DC90" i="103"/>
  <c r="DD90" i="103"/>
  <c r="DE90" i="103"/>
  <c r="DF90" i="103"/>
  <c r="DC28" i="103"/>
  <c r="DD28" i="103"/>
  <c r="DD29" i="103" s="1"/>
  <c r="DF28" i="103"/>
  <c r="DH90" i="103"/>
  <c r="DI90" i="103"/>
  <c r="DJ90" i="103"/>
  <c r="DJ28" i="103" s="1"/>
  <c r="DK90" i="103"/>
  <c r="DH28" i="103"/>
  <c r="DI28" i="103"/>
  <c r="DM90" i="103"/>
  <c r="DN90" i="103"/>
  <c r="DO90" i="103"/>
  <c r="DO28" i="103" s="1"/>
  <c r="DO29" i="103" s="1"/>
  <c r="DP90" i="103"/>
  <c r="DN28" i="103"/>
  <c r="DP28" i="103"/>
  <c r="DR90" i="103"/>
  <c r="DS90" i="103"/>
  <c r="DT90" i="103"/>
  <c r="DU90" i="103"/>
  <c r="DU28" i="103"/>
  <c r="DW90" i="103"/>
  <c r="DX90" i="103"/>
  <c r="DY90" i="103"/>
  <c r="DZ90" i="103"/>
  <c r="EA90" i="103"/>
  <c r="DW28" i="103"/>
  <c r="DX28" i="103"/>
  <c r="DY28" i="103"/>
  <c r="DZ28" i="103"/>
  <c r="CV27" i="103"/>
  <c r="CX27" i="103"/>
  <c r="CY27" i="103"/>
  <c r="CZ27" i="103"/>
  <c r="DA27" i="103"/>
  <c r="DC27" i="103"/>
  <c r="DD27" i="103"/>
  <c r="DE27" i="103"/>
  <c r="DF27" i="103"/>
  <c r="DH27" i="103"/>
  <c r="DI27" i="103"/>
  <c r="DJ27" i="103"/>
  <c r="DK27" i="103"/>
  <c r="DM27" i="103"/>
  <c r="DN27" i="103"/>
  <c r="DO27" i="103"/>
  <c r="DP27" i="103"/>
  <c r="DR27" i="103"/>
  <c r="DS27" i="103"/>
  <c r="DT27" i="103"/>
  <c r="DU27" i="103"/>
  <c r="DW27" i="103"/>
  <c r="DX27" i="103"/>
  <c r="DY27" i="103"/>
  <c r="DZ27" i="103"/>
  <c r="EB27" i="103"/>
  <c r="EC27" i="103"/>
  <c r="EB90" i="103"/>
  <c r="EB28" i="103"/>
  <c r="EC90" i="103"/>
  <c r="EC28" i="103"/>
  <c r="EC29" i="103" s="1"/>
  <c r="CZ29" i="103"/>
  <c r="DZ29" i="103"/>
  <c r="EB29" i="103"/>
  <c r="DL30" i="103"/>
  <c r="DQ30" i="103"/>
  <c r="DV30" i="103"/>
  <c r="EA30" i="103"/>
  <c r="EE61" i="103"/>
  <c r="EE58" i="103" s="1"/>
  <c r="EE55" i="103"/>
  <c r="EJ56" i="103" s="1"/>
  <c r="EE44" i="103"/>
  <c r="EK33" i="103"/>
  <c r="EN34" i="103"/>
  <c r="ET61" i="103"/>
  <c r="EY61" i="103" s="1"/>
  <c r="EO58" i="103"/>
  <c r="EO49" i="103" s="1"/>
  <c r="BM36" i="8" s="1"/>
  <c r="EJ44" i="103"/>
  <c r="EO46" i="103"/>
  <c r="EQ61" i="103"/>
  <c r="EQ58" i="103" s="1"/>
  <c r="EQ59" i="103" s="1"/>
  <c r="EQ55" i="103"/>
  <c r="EQ49" i="103" s="1"/>
  <c r="EQ52" i="103" s="1"/>
  <c r="EG44" i="103"/>
  <c r="EL44" i="103"/>
  <c r="EQ44" i="103"/>
  <c r="ER61" i="103"/>
  <c r="ER55" i="103"/>
  <c r="EM44" i="103"/>
  <c r="ER44" i="103"/>
  <c r="EW44" i="103" s="1"/>
  <c r="ES61" i="103"/>
  <c r="ES55" i="103"/>
  <c r="ED44" i="103"/>
  <c r="EI44" i="103"/>
  <c r="EN44" i="103" s="1"/>
  <c r="ES44" i="103" s="1"/>
  <c r="EX44" i="103" s="1"/>
  <c r="ET55" i="103"/>
  <c r="EY55" i="103" s="1"/>
  <c r="EV65" i="103"/>
  <c r="EW65" i="103" s="1"/>
  <c r="EU64" i="103"/>
  <c r="EZ64" i="103"/>
  <c r="EZ74" i="103"/>
  <c r="FE64" i="103"/>
  <c r="FE74" i="103"/>
  <c r="EG34" i="103"/>
  <c r="EH34" i="103"/>
  <c r="EI34" i="103"/>
  <c r="EJ34" i="103"/>
  <c r="EK34" i="103"/>
  <c r="EL34" i="103"/>
  <c r="EM34" i="103"/>
  <c r="EK36" i="103"/>
  <c r="AA37" i="103"/>
  <c r="AB37" i="103"/>
  <c r="AC37" i="103"/>
  <c r="AD37" i="103"/>
  <c r="AE37" i="103"/>
  <c r="AF37" i="103"/>
  <c r="AG37" i="103"/>
  <c r="AH37" i="103"/>
  <c r="AI37" i="103"/>
  <c r="AJ37" i="103"/>
  <c r="AK37" i="103"/>
  <c r="AL37" i="103"/>
  <c r="AM37" i="103"/>
  <c r="AN37" i="103"/>
  <c r="AO37" i="103"/>
  <c r="AP37" i="103"/>
  <c r="AQ37" i="103"/>
  <c r="AR37" i="103"/>
  <c r="AS37" i="103"/>
  <c r="AT37" i="103"/>
  <c r="AU37" i="103"/>
  <c r="AV37" i="103"/>
  <c r="AW37" i="103"/>
  <c r="AX37" i="103"/>
  <c r="AY37" i="103"/>
  <c r="AZ37" i="103"/>
  <c r="BA37" i="103"/>
  <c r="BB37" i="103"/>
  <c r="BC37" i="103"/>
  <c r="BD37" i="103"/>
  <c r="BE37" i="103"/>
  <c r="BF37" i="103"/>
  <c r="BG37" i="103"/>
  <c r="BH37" i="103"/>
  <c r="BI37" i="103"/>
  <c r="BJ37" i="103"/>
  <c r="BK37" i="103"/>
  <c r="BL37" i="103"/>
  <c r="BM37" i="103"/>
  <c r="BN37" i="103"/>
  <c r="BO37" i="103"/>
  <c r="BP37" i="103"/>
  <c r="BQ37" i="103"/>
  <c r="BR37" i="103"/>
  <c r="BT37" i="103"/>
  <c r="BU37" i="103"/>
  <c r="BV37" i="103"/>
  <c r="BW37" i="103"/>
  <c r="BX37" i="103"/>
  <c r="BX38" i="103" s="1"/>
  <c r="BY37" i="103"/>
  <c r="BZ37" i="103"/>
  <c r="CA37" i="103"/>
  <c r="CB37" i="103"/>
  <c r="CD37" i="103"/>
  <c r="CE37" i="103"/>
  <c r="CF37" i="103"/>
  <c r="CG37" i="103"/>
  <c r="CI37" i="103"/>
  <c r="CJ37" i="103"/>
  <c r="CK37" i="103"/>
  <c r="CL37" i="103"/>
  <c r="CM37" i="103"/>
  <c r="CN37" i="103"/>
  <c r="CO37" i="103"/>
  <c r="CP37" i="103"/>
  <c r="CQ37" i="103"/>
  <c r="CR37" i="103"/>
  <c r="CR38" i="103" s="1"/>
  <c r="CS37" i="103"/>
  <c r="CT37" i="103"/>
  <c r="CU37" i="103"/>
  <c r="CV37" i="103"/>
  <c r="CX37" i="103"/>
  <c r="CY37" i="103"/>
  <c r="CZ37" i="103"/>
  <c r="DA37" i="103"/>
  <c r="DC37" i="103"/>
  <c r="DD37" i="103"/>
  <c r="DE37" i="103"/>
  <c r="DF37" i="103"/>
  <c r="DH37" i="103"/>
  <c r="DI37" i="103"/>
  <c r="DJ37" i="103"/>
  <c r="DK37" i="103"/>
  <c r="DM37" i="103"/>
  <c r="DN37" i="103"/>
  <c r="DO37" i="103"/>
  <c r="DP37" i="103"/>
  <c r="DR37" i="103"/>
  <c r="DS37" i="103"/>
  <c r="DT37" i="103"/>
  <c r="DU37" i="103"/>
  <c r="DW37" i="103"/>
  <c r="DX37" i="103"/>
  <c r="DY37" i="103"/>
  <c r="DZ37" i="103"/>
  <c r="EB37" i="103"/>
  <c r="EC37" i="103"/>
  <c r="ED37" i="103"/>
  <c r="EG37" i="103"/>
  <c r="EH37" i="103"/>
  <c r="EI37" i="103"/>
  <c r="EL37" i="103"/>
  <c r="EM37" i="103"/>
  <c r="EN37" i="103"/>
  <c r="BE38" i="103"/>
  <c r="BF38" i="103"/>
  <c r="BG38" i="103"/>
  <c r="BH38" i="103"/>
  <c r="BI38" i="103"/>
  <c r="BJ38" i="103"/>
  <c r="BK38" i="103"/>
  <c r="BL38" i="103"/>
  <c r="BM38" i="103"/>
  <c r="BN38" i="103"/>
  <c r="BO38" i="103"/>
  <c r="BP38" i="103"/>
  <c r="BQ38" i="103"/>
  <c r="BR38" i="103"/>
  <c r="BT38" i="103"/>
  <c r="BU38" i="103"/>
  <c r="BV38" i="103"/>
  <c r="BW38" i="103"/>
  <c r="BY38" i="103"/>
  <c r="BZ38" i="103"/>
  <c r="CA38" i="103"/>
  <c r="CB38" i="103"/>
  <c r="CD38" i="103"/>
  <c r="CE38" i="103"/>
  <c r="CF38" i="103"/>
  <c r="CG38" i="103"/>
  <c r="CI38" i="103"/>
  <c r="CJ38" i="103"/>
  <c r="CK38" i="103"/>
  <c r="CL38" i="103"/>
  <c r="CM38" i="103"/>
  <c r="CN38" i="103"/>
  <c r="CO38" i="103"/>
  <c r="CP38" i="103"/>
  <c r="CQ38" i="103"/>
  <c r="CS38" i="103"/>
  <c r="CT38" i="103"/>
  <c r="CU38" i="103"/>
  <c r="CV38" i="103"/>
  <c r="CX38" i="103"/>
  <c r="CY38" i="103"/>
  <c r="CZ38" i="103"/>
  <c r="DA38" i="103"/>
  <c r="DC38" i="103"/>
  <c r="DD38" i="103"/>
  <c r="DE38" i="103"/>
  <c r="DF38" i="103"/>
  <c r="DH38" i="103"/>
  <c r="DI38" i="103"/>
  <c r="DJ38" i="103"/>
  <c r="DK38" i="103"/>
  <c r="DM38" i="103"/>
  <c r="DN38" i="103"/>
  <c r="DO38" i="103"/>
  <c r="DP38" i="103"/>
  <c r="DR38" i="103"/>
  <c r="DS38" i="103"/>
  <c r="DT38" i="103"/>
  <c r="DU38" i="103"/>
  <c r="DW38" i="103"/>
  <c r="DX38" i="103"/>
  <c r="DY38" i="103"/>
  <c r="DZ38" i="103"/>
  <c r="EB38" i="103"/>
  <c r="EC38" i="103"/>
  <c r="ED38" i="103"/>
  <c r="EH38" i="103"/>
  <c r="EI38" i="103"/>
  <c r="EJ38" i="103"/>
  <c r="EL38" i="103"/>
  <c r="EM38" i="103"/>
  <c r="EN38" i="103"/>
  <c r="AA39" i="103"/>
  <c r="AB39" i="103"/>
  <c r="AC39" i="103"/>
  <c r="AD39" i="103"/>
  <c r="AF39" i="103"/>
  <c r="AG39" i="103"/>
  <c r="AH39" i="103"/>
  <c r="AI39" i="103"/>
  <c r="AK39" i="103"/>
  <c r="AL39" i="103"/>
  <c r="AM39" i="103"/>
  <c r="AN39" i="103"/>
  <c r="AP39" i="103"/>
  <c r="AQ39" i="103"/>
  <c r="AR39" i="103"/>
  <c r="AS39" i="103"/>
  <c r="AU39" i="103"/>
  <c r="AV39" i="103"/>
  <c r="AW39" i="103"/>
  <c r="AX39" i="103"/>
  <c r="AZ39" i="103"/>
  <c r="BA39" i="103"/>
  <c r="BB39" i="103"/>
  <c r="BC39" i="103"/>
  <c r="BE39" i="103"/>
  <c r="BF39" i="103"/>
  <c r="BG39" i="103"/>
  <c r="BH39" i="103"/>
  <c r="BJ39" i="103"/>
  <c r="BK39" i="103"/>
  <c r="BL39" i="103"/>
  <c r="BM39" i="103"/>
  <c r="BQ39" i="103"/>
  <c r="BT39" i="103"/>
  <c r="BU39" i="103"/>
  <c r="BV39" i="103"/>
  <c r="BW39" i="103"/>
  <c r="CB39" i="103"/>
  <c r="CF39" i="103"/>
  <c r="CG39" i="103"/>
  <c r="CJ39" i="103"/>
  <c r="CK39" i="103"/>
  <c r="CL39" i="103"/>
  <c r="CN39" i="103"/>
  <c r="CO39" i="103"/>
  <c r="CP39" i="103"/>
  <c r="CQ39" i="103"/>
  <c r="CT39" i="103"/>
  <c r="CU39" i="103"/>
  <c r="DA39" i="103"/>
  <c r="DE39" i="103"/>
  <c r="DF39" i="103"/>
  <c r="DH39" i="103"/>
  <c r="DI39" i="103"/>
  <c r="DJ39" i="103"/>
  <c r="DK39" i="103"/>
  <c r="DR39" i="103"/>
  <c r="DT39" i="103"/>
  <c r="DZ39" i="103"/>
  <c r="AF40" i="103"/>
  <c r="AJ40" i="103" s="1"/>
  <c r="AJ41" i="103" s="1"/>
  <c r="AG40" i="103"/>
  <c r="AL40" i="103"/>
  <c r="AL41" i="103" s="1"/>
  <c r="AM40" i="103"/>
  <c r="AN40" i="103"/>
  <c r="AN41" i="103" s="1"/>
  <c r="AP40" i="103"/>
  <c r="AQ40" i="103"/>
  <c r="AQ41" i="103" s="1"/>
  <c r="AU40" i="103"/>
  <c r="AV40" i="103"/>
  <c r="BA41" i="103" s="1"/>
  <c r="ED58" i="103"/>
  <c r="ED49" i="103"/>
  <c r="ED47" i="103"/>
  <c r="EG58" i="103"/>
  <c r="EG49" i="103"/>
  <c r="EG42" i="103"/>
  <c r="EH58" i="103"/>
  <c r="EH49" i="103"/>
  <c r="EH42" i="103" s="1"/>
  <c r="EI58" i="103"/>
  <c r="EI49" i="103"/>
  <c r="EK49" i="103" s="1"/>
  <c r="EI74" i="103"/>
  <c r="EJ58" i="103"/>
  <c r="EJ49" i="103"/>
  <c r="EJ42" i="103"/>
  <c r="EL58" i="103"/>
  <c r="EM58" i="103"/>
  <c r="EM49" i="103" s="1"/>
  <c r="EM52" i="103" s="1"/>
  <c r="EM42" i="103"/>
  <c r="EN58" i="103"/>
  <c r="AA41" i="103"/>
  <c r="AB41" i="103"/>
  <c r="AC41" i="103"/>
  <c r="AD41" i="103"/>
  <c r="AE41" i="103"/>
  <c r="AF41" i="103"/>
  <c r="AG41" i="103"/>
  <c r="AH41" i="103"/>
  <c r="AI41" i="103"/>
  <c r="AV41" i="103"/>
  <c r="BF41" i="103"/>
  <c r="BG41" i="103"/>
  <c r="BP41" i="103"/>
  <c r="BV41" i="103"/>
  <c r="CA41" i="103"/>
  <c r="DJ41" i="103"/>
  <c r="ED42" i="103"/>
  <c r="AA43" i="103"/>
  <c r="AB43" i="103"/>
  <c r="AC43" i="103"/>
  <c r="AD43" i="103"/>
  <c r="AE43" i="103"/>
  <c r="AF43" i="103"/>
  <c r="AG43" i="103"/>
  <c r="AH43" i="103"/>
  <c r="AI43" i="103"/>
  <c r="AJ43" i="103"/>
  <c r="AK43" i="103"/>
  <c r="AL43" i="103"/>
  <c r="AM43" i="103"/>
  <c r="AN43" i="103"/>
  <c r="AO43" i="103"/>
  <c r="AP43" i="103"/>
  <c r="AQ43" i="103"/>
  <c r="AR43" i="103"/>
  <c r="AS43" i="103"/>
  <c r="AT43" i="103"/>
  <c r="AU43" i="103"/>
  <c r="AV43" i="103"/>
  <c r="AW43" i="103"/>
  <c r="AX43" i="103"/>
  <c r="AY43" i="103"/>
  <c r="AZ43" i="103"/>
  <c r="BA43" i="103"/>
  <c r="BB43" i="103"/>
  <c r="BC43" i="103"/>
  <c r="BD43" i="103"/>
  <c r="BG43" i="103"/>
  <c r="BK43" i="103"/>
  <c r="BP43" i="103"/>
  <c r="BU43" i="103"/>
  <c r="EM43" i="103"/>
  <c r="BJ45" i="103"/>
  <c r="BK45" i="103"/>
  <c r="BL45" i="103"/>
  <c r="BM45" i="103"/>
  <c r="BO45" i="103"/>
  <c r="BP45" i="103"/>
  <c r="BQ45" i="103"/>
  <c r="BR45" i="103"/>
  <c r="BT45" i="103"/>
  <c r="BU45" i="103"/>
  <c r="BV45" i="103"/>
  <c r="BW45" i="103"/>
  <c r="BY45" i="103"/>
  <c r="BZ45" i="103"/>
  <c r="CA45" i="103"/>
  <c r="CB45" i="103"/>
  <c r="CD45" i="103"/>
  <c r="CE45" i="103"/>
  <c r="CF45" i="103"/>
  <c r="CG45" i="103"/>
  <c r="CI45" i="103"/>
  <c r="CJ45" i="103"/>
  <c r="CK45" i="103"/>
  <c r="CL45" i="103"/>
  <c r="CN45" i="103"/>
  <c r="CO45" i="103"/>
  <c r="CP45" i="103"/>
  <c r="CQ45" i="103"/>
  <c r="CS45" i="103"/>
  <c r="CT45" i="103"/>
  <c r="CU45" i="103"/>
  <c r="CV45" i="103"/>
  <c r="CX45" i="103"/>
  <c r="CY45" i="103"/>
  <c r="CZ45" i="103"/>
  <c r="DA45" i="103"/>
  <c r="DC45" i="103"/>
  <c r="DD45" i="103"/>
  <c r="DE45" i="103"/>
  <c r="DF45" i="103"/>
  <c r="DH45" i="103"/>
  <c r="DI45" i="103"/>
  <c r="DJ45" i="103"/>
  <c r="DK45" i="103"/>
  <c r="DM45" i="103"/>
  <c r="DN45" i="103"/>
  <c r="DO45" i="103"/>
  <c r="DP45" i="103"/>
  <c r="DR45" i="103"/>
  <c r="DS45" i="103"/>
  <c r="DT45" i="103"/>
  <c r="DU45" i="103"/>
  <c r="DW45" i="103"/>
  <c r="DX45" i="103"/>
  <c r="DY45" i="103"/>
  <c r="DZ45" i="103"/>
  <c r="EB45" i="103"/>
  <c r="EC45" i="103"/>
  <c r="ED45" i="103"/>
  <c r="EE45" i="103"/>
  <c r="EG45" i="103"/>
  <c r="EH45" i="103"/>
  <c r="EJ45" i="103"/>
  <c r="EL45" i="103"/>
  <c r="EN45" i="103"/>
  <c r="BE46" i="103"/>
  <c r="BF46" i="103"/>
  <c r="BG46" i="103"/>
  <c r="BH46" i="103"/>
  <c r="BI46" i="103"/>
  <c r="BJ46" i="103"/>
  <c r="BK46" i="103"/>
  <c r="BL46" i="103"/>
  <c r="BM46" i="103"/>
  <c r="BO46" i="103"/>
  <c r="BP46" i="103"/>
  <c r="BQ46" i="103"/>
  <c r="BR46" i="103"/>
  <c r="BT46" i="103"/>
  <c r="BU46" i="103"/>
  <c r="BV46" i="103"/>
  <c r="BW46" i="103"/>
  <c r="BY46" i="103"/>
  <c r="BZ46" i="103"/>
  <c r="CA46" i="103"/>
  <c r="CB46" i="103"/>
  <c r="CD46" i="103"/>
  <c r="CE46" i="103"/>
  <c r="CF46" i="103"/>
  <c r="CG46" i="103"/>
  <c r="CI46" i="103"/>
  <c r="CJ46" i="103"/>
  <c r="CK46" i="103"/>
  <c r="CL46" i="103"/>
  <c r="CN46" i="103"/>
  <c r="CO46" i="103"/>
  <c r="CP46" i="103"/>
  <c r="CQ46" i="103"/>
  <c r="CS46" i="103"/>
  <c r="CT46" i="103"/>
  <c r="CU46" i="103"/>
  <c r="CV46" i="103"/>
  <c r="CX46" i="103"/>
  <c r="CY46" i="103"/>
  <c r="CZ46" i="103"/>
  <c r="DA46" i="103"/>
  <c r="DC46" i="103"/>
  <c r="DD46" i="103"/>
  <c r="DE46" i="103"/>
  <c r="DF46" i="103"/>
  <c r="DH46" i="103"/>
  <c r="DI46" i="103"/>
  <c r="DJ46" i="103"/>
  <c r="DK46" i="103"/>
  <c r="DM46" i="103"/>
  <c r="DN46" i="103"/>
  <c r="DO46" i="103"/>
  <c r="DP46" i="103"/>
  <c r="DR46" i="103"/>
  <c r="DS46" i="103"/>
  <c r="DT46" i="103"/>
  <c r="DU46" i="103"/>
  <c r="DW46" i="103"/>
  <c r="DX46" i="103"/>
  <c r="DY46" i="103"/>
  <c r="DZ46" i="103"/>
  <c r="EB46" i="103"/>
  <c r="EC46" i="103"/>
  <c r="ED46" i="103"/>
  <c r="EE46" i="103"/>
  <c r="EH46" i="103"/>
  <c r="EI46" i="103"/>
  <c r="EJ46" i="103"/>
  <c r="EL46" i="103"/>
  <c r="ES46" i="103"/>
  <c r="FB46" i="103"/>
  <c r="FC46" i="103"/>
  <c r="FD46" i="103"/>
  <c r="M48" i="103"/>
  <c r="N48" i="103"/>
  <c r="O48" i="103"/>
  <c r="Q48" i="103"/>
  <c r="R48" i="103"/>
  <c r="S48" i="103"/>
  <c r="T48" i="103"/>
  <c r="V48" i="103"/>
  <c r="W48" i="103"/>
  <c r="X48" i="103"/>
  <c r="Y48" i="103"/>
  <c r="AA48" i="103"/>
  <c r="AB48" i="103"/>
  <c r="AC48" i="103"/>
  <c r="AD48" i="103"/>
  <c r="AF48" i="103"/>
  <c r="AG48" i="103"/>
  <c r="AH48" i="103"/>
  <c r="AI48" i="103"/>
  <c r="AK48" i="103"/>
  <c r="AL48" i="103"/>
  <c r="AM48" i="103"/>
  <c r="AN48" i="103"/>
  <c r="AP48" i="103"/>
  <c r="AQ48" i="103"/>
  <c r="AR48" i="103"/>
  <c r="AS48" i="103"/>
  <c r="AU48" i="103"/>
  <c r="AV48" i="103"/>
  <c r="AW48" i="103"/>
  <c r="AX48" i="103"/>
  <c r="AZ48" i="103"/>
  <c r="BA48" i="103"/>
  <c r="BB48" i="103"/>
  <c r="BC48" i="103"/>
  <c r="BE48" i="103"/>
  <c r="BF48" i="103"/>
  <c r="BG48" i="103"/>
  <c r="BH48" i="103"/>
  <c r="BJ48" i="103"/>
  <c r="BK48" i="103"/>
  <c r="BL48" i="103"/>
  <c r="BM48" i="103"/>
  <c r="BO48" i="103"/>
  <c r="BP48" i="103"/>
  <c r="BQ48" i="103"/>
  <c r="BR48" i="103"/>
  <c r="BT48" i="103"/>
  <c r="BU48" i="103"/>
  <c r="BV48" i="103"/>
  <c r="BW48" i="103"/>
  <c r="BY48" i="103"/>
  <c r="BZ48" i="103"/>
  <c r="CA48" i="103"/>
  <c r="CB48" i="103"/>
  <c r="CD48" i="103"/>
  <c r="CE48" i="103"/>
  <c r="CF48" i="103"/>
  <c r="CG48" i="103"/>
  <c r="CI48" i="103"/>
  <c r="CJ48" i="103"/>
  <c r="CK48" i="103"/>
  <c r="CL48" i="103"/>
  <c r="CN48" i="103"/>
  <c r="CO48" i="103"/>
  <c r="CP48" i="103"/>
  <c r="CQ48" i="103"/>
  <c r="CS48" i="103"/>
  <c r="CT48" i="103"/>
  <c r="CU48" i="103"/>
  <c r="CV48" i="103"/>
  <c r="CX48" i="103"/>
  <c r="CY48" i="103"/>
  <c r="CZ48" i="103"/>
  <c r="DA48" i="103"/>
  <c r="DC48" i="103"/>
  <c r="DD48" i="103"/>
  <c r="DE48" i="103"/>
  <c r="DF48" i="103"/>
  <c r="DH48" i="103"/>
  <c r="DI48" i="103"/>
  <c r="DJ48" i="103"/>
  <c r="DK48" i="103"/>
  <c r="DM48" i="103"/>
  <c r="DN48" i="103"/>
  <c r="DO48" i="103"/>
  <c r="DP48" i="103"/>
  <c r="DR48" i="103"/>
  <c r="DS48" i="103"/>
  <c r="DT48" i="103"/>
  <c r="DU48" i="103"/>
  <c r="DW48" i="103"/>
  <c r="DX48" i="103"/>
  <c r="DY48" i="103"/>
  <c r="DZ48" i="103"/>
  <c r="EB48" i="103"/>
  <c r="EC48" i="103"/>
  <c r="ED48" i="103"/>
  <c r="EH48" i="103"/>
  <c r="EI48" i="103"/>
  <c r="M50" i="103"/>
  <c r="N50" i="103"/>
  <c r="O50" i="103"/>
  <c r="Q50" i="103"/>
  <c r="R50" i="103"/>
  <c r="S50" i="103"/>
  <c r="T50" i="103"/>
  <c r="X50" i="103"/>
  <c r="Y50" i="103"/>
  <c r="AB50" i="103"/>
  <c r="AC50" i="103"/>
  <c r="AG50" i="103"/>
  <c r="AH50" i="103"/>
  <c r="AL50" i="103"/>
  <c r="AM50" i="103"/>
  <c r="AN50" i="103"/>
  <c r="AQ50" i="103"/>
  <c r="AS50" i="103"/>
  <c r="AU50" i="103"/>
  <c r="AV50" i="103"/>
  <c r="BA50" i="103"/>
  <c r="BB50" i="103"/>
  <c r="BF50" i="103"/>
  <c r="BG50" i="103"/>
  <c r="BK50" i="103"/>
  <c r="BO50" i="103"/>
  <c r="BP50" i="103"/>
  <c r="BT50" i="103"/>
  <c r="BU50" i="103"/>
  <c r="BV50" i="103"/>
  <c r="BW50" i="103"/>
  <c r="BY50" i="103"/>
  <c r="BZ50" i="103"/>
  <c r="CA50" i="103"/>
  <c r="CI50" i="103"/>
  <c r="CK50" i="103"/>
  <c r="CL50" i="103"/>
  <c r="DD50" i="103"/>
  <c r="DI50" i="103"/>
  <c r="DJ50" i="103"/>
  <c r="DK50" i="103"/>
  <c r="DR50" i="103"/>
  <c r="DW50" i="103"/>
  <c r="EG50" i="103"/>
  <c r="EI50" i="103"/>
  <c r="EM50" i="103"/>
  <c r="L51" i="103"/>
  <c r="M51" i="103"/>
  <c r="N51" i="103"/>
  <c r="O51" i="103"/>
  <c r="Q51" i="103"/>
  <c r="T51" i="103"/>
  <c r="V51" i="103"/>
  <c r="W51" i="103"/>
  <c r="X51" i="103"/>
  <c r="Y51" i="103"/>
  <c r="AA51" i="103"/>
  <c r="AB51" i="103"/>
  <c r="AC51" i="103"/>
  <c r="AG51" i="103"/>
  <c r="AH51" i="103"/>
  <c r="AI51" i="103"/>
  <c r="AL51" i="103"/>
  <c r="AM51" i="103"/>
  <c r="AN51" i="103"/>
  <c r="AP51" i="103"/>
  <c r="AQ51" i="103"/>
  <c r="AV51" i="103"/>
  <c r="AW51" i="103"/>
  <c r="AX51" i="103"/>
  <c r="AZ51" i="103"/>
  <c r="BA51" i="103"/>
  <c r="BB51" i="103"/>
  <c r="BC51" i="103"/>
  <c r="BG51" i="103"/>
  <c r="BH51" i="103"/>
  <c r="BK51" i="103"/>
  <c r="BP51" i="103"/>
  <c r="BQ51" i="103"/>
  <c r="BR51" i="103"/>
  <c r="BU51" i="103"/>
  <c r="BV51" i="103"/>
  <c r="BW51" i="103"/>
  <c r="CA51" i="103"/>
  <c r="CG51" i="103"/>
  <c r="CI51" i="103"/>
  <c r="CJ51" i="103"/>
  <c r="CK51" i="103"/>
  <c r="DC51" i="103"/>
  <c r="DE51" i="103"/>
  <c r="DF51" i="103"/>
  <c r="DK51" i="103"/>
  <c r="DM51" i="103"/>
  <c r="DX51" i="103"/>
  <c r="EH51" i="103"/>
  <c r="EI51" i="103"/>
  <c r="BF52" i="103"/>
  <c r="BG52" i="103"/>
  <c r="BG53" i="103" s="1"/>
  <c r="BJ52" i="103"/>
  <c r="BK52" i="103"/>
  <c r="BK54" i="103" s="1"/>
  <c r="BO52" i="103"/>
  <c r="BP52" i="103"/>
  <c r="BP53" i="103" s="1"/>
  <c r="BQ52" i="103"/>
  <c r="BT52" i="103"/>
  <c r="BU52" i="103"/>
  <c r="BV52" i="103"/>
  <c r="BW52" i="103"/>
  <c r="BW54" i="103" s="1"/>
  <c r="BZ52" i="103"/>
  <c r="BZ53" i="103" s="1"/>
  <c r="CA52" i="103"/>
  <c r="CA53" i="103" s="1"/>
  <c r="CB52" i="103"/>
  <c r="CD52" i="103"/>
  <c r="CG52" i="103"/>
  <c r="CG53" i="103" s="1"/>
  <c r="CI52" i="103"/>
  <c r="CJ52" i="103"/>
  <c r="CK52" i="103"/>
  <c r="CY52" i="103"/>
  <c r="DA52" i="103"/>
  <c r="DC52" i="103"/>
  <c r="DD52" i="103"/>
  <c r="DE52" i="103"/>
  <c r="DG64" i="103"/>
  <c r="DG61" i="103" s="1"/>
  <c r="DJ52" i="103"/>
  <c r="DK54" i="103" s="1"/>
  <c r="DK52" i="103"/>
  <c r="DL64" i="103"/>
  <c r="DM52" i="103"/>
  <c r="DQ64" i="103"/>
  <c r="DR52" i="103"/>
  <c r="DR53" i="103" s="1"/>
  <c r="DT52" i="103"/>
  <c r="DV64" i="103"/>
  <c r="DW52" i="103"/>
  <c r="DX54" i="103" s="1"/>
  <c r="DX52" i="103"/>
  <c r="EA64" i="103"/>
  <c r="EA61" i="103" s="1"/>
  <c r="EB52" i="103"/>
  <c r="EB53" i="103" s="1"/>
  <c r="ED52" i="103"/>
  <c r="EF64" i="103"/>
  <c r="EG52" i="103"/>
  <c r="EH52" i="103"/>
  <c r="EK64" i="103"/>
  <c r="EP64" i="103"/>
  <c r="O53" i="103"/>
  <c r="L53" i="103"/>
  <c r="M53" i="103"/>
  <c r="N53" i="103"/>
  <c r="Q53" i="103"/>
  <c r="R53" i="103"/>
  <c r="S53" i="103"/>
  <c r="T53" i="103"/>
  <c r="V53" i="103"/>
  <c r="W53" i="103"/>
  <c r="X53" i="103"/>
  <c r="Y53" i="103"/>
  <c r="AA53" i="103"/>
  <c r="AB53" i="103"/>
  <c r="AC53" i="103"/>
  <c r="AD53" i="103"/>
  <c r="AF53" i="103"/>
  <c r="AG53" i="103"/>
  <c r="AH53" i="103"/>
  <c r="AI53" i="103"/>
  <c r="AK53" i="103"/>
  <c r="AL53" i="103"/>
  <c r="AM53" i="103"/>
  <c r="AN53" i="103"/>
  <c r="AP53" i="103"/>
  <c r="AQ53" i="103"/>
  <c r="AR53" i="103"/>
  <c r="AS53" i="103"/>
  <c r="AU53" i="103"/>
  <c r="AV53" i="103"/>
  <c r="AW53" i="103"/>
  <c r="AX53" i="103"/>
  <c r="AZ53" i="103"/>
  <c r="BA53" i="103"/>
  <c r="BB53" i="103"/>
  <c r="BC53" i="103"/>
  <c r="BF53" i="103"/>
  <c r="BK53" i="103"/>
  <c r="BU53" i="103"/>
  <c r="BV53" i="103"/>
  <c r="DW53" i="103"/>
  <c r="EG53" i="103"/>
  <c r="L54" i="103"/>
  <c r="M54" i="103"/>
  <c r="N54" i="103"/>
  <c r="O54" i="103"/>
  <c r="Q54" i="103"/>
  <c r="R54" i="103"/>
  <c r="S54" i="103"/>
  <c r="T54" i="103"/>
  <c r="V54" i="103"/>
  <c r="W54" i="103"/>
  <c r="X54" i="103"/>
  <c r="Y54" i="103"/>
  <c r="AA54" i="103"/>
  <c r="AB54" i="103"/>
  <c r="AC54" i="103"/>
  <c r="AD54" i="103"/>
  <c r="AF54" i="103"/>
  <c r="AG54" i="103"/>
  <c r="AH54" i="103"/>
  <c r="AI54" i="103"/>
  <c r="AK54" i="103"/>
  <c r="AL54" i="103"/>
  <c r="AM54" i="103"/>
  <c r="AN54" i="103"/>
  <c r="AP54" i="103"/>
  <c r="AQ54" i="103"/>
  <c r="AR54" i="103"/>
  <c r="AS54" i="103"/>
  <c r="AU54" i="103"/>
  <c r="AV54" i="103"/>
  <c r="AW54" i="103"/>
  <c r="AX54" i="103"/>
  <c r="AZ54" i="103"/>
  <c r="BA54" i="103"/>
  <c r="BB54" i="103"/>
  <c r="BC54" i="103"/>
  <c r="BJ54" i="103"/>
  <c r="BQ54" i="103"/>
  <c r="BV54" i="103"/>
  <c r="CA54" i="103"/>
  <c r="CB54" i="103"/>
  <c r="CD54" i="103"/>
  <c r="DD54" i="103"/>
  <c r="DM54" i="103"/>
  <c r="P55" i="103"/>
  <c r="EF58" i="103"/>
  <c r="EK58" i="103"/>
  <c r="EK59" i="103" s="1"/>
  <c r="L56" i="103"/>
  <c r="M56" i="103"/>
  <c r="N56" i="103"/>
  <c r="O56" i="103"/>
  <c r="Q56" i="103"/>
  <c r="R56" i="103"/>
  <c r="S56" i="103"/>
  <c r="T56" i="103"/>
  <c r="V56" i="103"/>
  <c r="W56" i="103"/>
  <c r="X56" i="103"/>
  <c r="Y56" i="103"/>
  <c r="AA56" i="103"/>
  <c r="AB56" i="103"/>
  <c r="AC56" i="103"/>
  <c r="AD56" i="103"/>
  <c r="AF56" i="103"/>
  <c r="AG56" i="103"/>
  <c r="AH56" i="103"/>
  <c r="AI56" i="103"/>
  <c r="AK56" i="103"/>
  <c r="AL56" i="103"/>
  <c r="AM56" i="103"/>
  <c r="AN56" i="103"/>
  <c r="AP56" i="103"/>
  <c r="AQ56" i="103"/>
  <c r="AR56" i="103"/>
  <c r="AS56" i="103"/>
  <c r="AU56" i="103"/>
  <c r="AV56" i="103"/>
  <c r="AW56" i="103"/>
  <c r="AX56" i="103"/>
  <c r="AZ56" i="103"/>
  <c r="BA56" i="103"/>
  <c r="BB56" i="103"/>
  <c r="BC56" i="103"/>
  <c r="BE56" i="103"/>
  <c r="BF56" i="103"/>
  <c r="BG56" i="103"/>
  <c r="BH56" i="103"/>
  <c r="BJ56" i="103"/>
  <c r="BK56" i="103"/>
  <c r="BL56" i="103"/>
  <c r="BM56" i="103"/>
  <c r="BO56" i="103"/>
  <c r="BP56" i="103"/>
  <c r="BQ56" i="103"/>
  <c r="BR56" i="103"/>
  <c r="BT56" i="103"/>
  <c r="BU56" i="103"/>
  <c r="BV56" i="103"/>
  <c r="BW56" i="103"/>
  <c r="BY56" i="103"/>
  <c r="BZ56" i="103"/>
  <c r="CA56" i="103"/>
  <c r="CB56" i="103"/>
  <c r="CD56" i="103"/>
  <c r="CE56" i="103"/>
  <c r="CF56" i="103"/>
  <c r="CG56" i="103"/>
  <c r="CI56" i="103"/>
  <c r="CJ56" i="103"/>
  <c r="CK56" i="103"/>
  <c r="CL56" i="103"/>
  <c r="CN56" i="103"/>
  <c r="CO56" i="103"/>
  <c r="CP56" i="103"/>
  <c r="CQ56" i="103"/>
  <c r="CS56" i="103"/>
  <c r="CT56" i="103"/>
  <c r="CU56" i="103"/>
  <c r="CV56" i="103"/>
  <c r="CX56" i="103"/>
  <c r="CY56" i="103"/>
  <c r="CZ56" i="103"/>
  <c r="DA56" i="103"/>
  <c r="DC56" i="103"/>
  <c r="DD56" i="103"/>
  <c r="DE56" i="103"/>
  <c r="DF56" i="103"/>
  <c r="DH56" i="103"/>
  <c r="DI56" i="103"/>
  <c r="DJ56" i="103"/>
  <c r="DK56" i="103"/>
  <c r="DM56" i="103"/>
  <c r="DN56" i="103"/>
  <c r="DO56" i="103"/>
  <c r="DP56" i="103"/>
  <c r="DR56" i="103"/>
  <c r="DS56" i="103"/>
  <c r="DT56" i="103"/>
  <c r="DU56" i="103"/>
  <c r="DW56" i="103"/>
  <c r="DX56" i="103"/>
  <c r="DY56" i="103"/>
  <c r="DZ56" i="103"/>
  <c r="EB56" i="103"/>
  <c r="EC56" i="103"/>
  <c r="ED56" i="103"/>
  <c r="EG56" i="103"/>
  <c r="EH56" i="103"/>
  <c r="EI56" i="103"/>
  <c r="EL56" i="103"/>
  <c r="EM56" i="103"/>
  <c r="EN56" i="103"/>
  <c r="L57" i="103"/>
  <c r="M57" i="103"/>
  <c r="N57" i="103"/>
  <c r="O57" i="103"/>
  <c r="Q57" i="103"/>
  <c r="R57" i="103"/>
  <c r="S57" i="103"/>
  <c r="T57" i="103"/>
  <c r="V57" i="103"/>
  <c r="W57" i="103"/>
  <c r="X57" i="103"/>
  <c r="Y57" i="103"/>
  <c r="AA57" i="103"/>
  <c r="AB57" i="103"/>
  <c r="AC57" i="103"/>
  <c r="AD57" i="103"/>
  <c r="AF57" i="103"/>
  <c r="AG57" i="103"/>
  <c r="AH57" i="103"/>
  <c r="AI57" i="103"/>
  <c r="AK57" i="103"/>
  <c r="AL57" i="103"/>
  <c r="AM57" i="103"/>
  <c r="AN57" i="103"/>
  <c r="AP57" i="103"/>
  <c r="AQ57" i="103"/>
  <c r="AR57" i="103"/>
  <c r="AS57" i="103"/>
  <c r="AU57" i="103"/>
  <c r="AV57" i="103"/>
  <c r="AW57" i="103"/>
  <c r="AX57" i="103"/>
  <c r="AZ57" i="103"/>
  <c r="BA57" i="103"/>
  <c r="BB57" i="103"/>
  <c r="BC57" i="103"/>
  <c r="BE57" i="103"/>
  <c r="BF57" i="103"/>
  <c r="BG57" i="103"/>
  <c r="BH57" i="103"/>
  <c r="BJ57" i="103"/>
  <c r="BK57" i="103"/>
  <c r="BL57" i="103"/>
  <c r="BM57" i="103"/>
  <c r="BO57" i="103"/>
  <c r="BP57" i="103"/>
  <c r="BQ57" i="103"/>
  <c r="BR57" i="103"/>
  <c r="BT57" i="103"/>
  <c r="BU57" i="103"/>
  <c r="BV57" i="103"/>
  <c r="BW57" i="103"/>
  <c r="BY57" i="103"/>
  <c r="BZ57" i="103"/>
  <c r="CA57" i="103"/>
  <c r="CB57" i="103"/>
  <c r="CD57" i="103"/>
  <c r="CE57" i="103"/>
  <c r="CF57" i="103"/>
  <c r="CG57" i="103"/>
  <c r="CI57" i="103"/>
  <c r="CJ57" i="103"/>
  <c r="CK57" i="103"/>
  <c r="CL57" i="103"/>
  <c r="CN57" i="103"/>
  <c r="CO57" i="103"/>
  <c r="CP57" i="103"/>
  <c r="CQ57" i="103"/>
  <c r="CS57" i="103"/>
  <c r="CT57" i="103"/>
  <c r="CU57" i="103"/>
  <c r="CV57" i="103"/>
  <c r="CX57" i="103"/>
  <c r="CY57" i="103"/>
  <c r="CZ57" i="103"/>
  <c r="DA57" i="103"/>
  <c r="DC57" i="103"/>
  <c r="DD57" i="103"/>
  <c r="DE57" i="103"/>
  <c r="DF57" i="103"/>
  <c r="DH57" i="103"/>
  <c r="DI57" i="103"/>
  <c r="DJ57" i="103"/>
  <c r="DK57" i="103"/>
  <c r="DM57" i="103"/>
  <c r="DN57" i="103"/>
  <c r="DO57" i="103"/>
  <c r="DP57" i="103"/>
  <c r="DR57" i="103"/>
  <c r="DS57" i="103"/>
  <c r="DT57" i="103"/>
  <c r="DU57" i="103"/>
  <c r="DW57" i="103"/>
  <c r="DX57" i="103"/>
  <c r="DY57" i="103"/>
  <c r="DZ57" i="103"/>
  <c r="EB57" i="103"/>
  <c r="EC57" i="103"/>
  <c r="ED57" i="103"/>
  <c r="EE57" i="103"/>
  <c r="EG57" i="103"/>
  <c r="EH57" i="103"/>
  <c r="EI57" i="103"/>
  <c r="EJ57" i="103"/>
  <c r="EL57" i="103"/>
  <c r="EM57" i="103"/>
  <c r="EN57" i="103"/>
  <c r="EO57" i="103"/>
  <c r="L59" i="103"/>
  <c r="M59" i="103"/>
  <c r="N59" i="103"/>
  <c r="O59" i="103"/>
  <c r="Q59" i="103"/>
  <c r="R59" i="103"/>
  <c r="S59" i="103"/>
  <c r="T59" i="103"/>
  <c r="V59" i="103"/>
  <c r="W59" i="103"/>
  <c r="X59" i="103"/>
  <c r="Y59" i="103"/>
  <c r="AA59" i="103"/>
  <c r="AB59" i="103"/>
  <c r="AC59" i="103"/>
  <c r="AD59" i="103"/>
  <c r="AF59" i="103"/>
  <c r="AG59" i="103"/>
  <c r="AH59" i="103"/>
  <c r="AI59" i="103"/>
  <c r="AK59" i="103"/>
  <c r="AL59" i="103"/>
  <c r="AM59" i="103"/>
  <c r="AN59" i="103"/>
  <c r="AP59" i="103"/>
  <c r="AQ59" i="103"/>
  <c r="AR59" i="103"/>
  <c r="AS59" i="103"/>
  <c r="AU59" i="103"/>
  <c r="AV59" i="103"/>
  <c r="AW59" i="103"/>
  <c r="AX59" i="103"/>
  <c r="AZ59" i="103"/>
  <c r="BA59" i="103"/>
  <c r="BB59" i="103"/>
  <c r="BC59" i="103"/>
  <c r="BD59" i="103"/>
  <c r="BD60" i="103" s="1"/>
  <c r="BE59" i="103"/>
  <c r="BF59" i="103"/>
  <c r="BG59" i="103"/>
  <c r="BH59" i="103"/>
  <c r="BI59" i="103"/>
  <c r="BJ59" i="103"/>
  <c r="BK59" i="103"/>
  <c r="BL59" i="103"/>
  <c r="BM59" i="103"/>
  <c r="BN59" i="103"/>
  <c r="BO59" i="103"/>
  <c r="BP59" i="103"/>
  <c r="BQ59" i="103"/>
  <c r="BR59" i="103"/>
  <c r="BS59" i="103"/>
  <c r="BT59" i="103"/>
  <c r="BU59" i="103"/>
  <c r="BV59" i="103"/>
  <c r="BW59" i="103"/>
  <c r="BX59" i="103"/>
  <c r="BX60" i="103" s="1"/>
  <c r="BY59" i="103"/>
  <c r="BZ59" i="103"/>
  <c r="CA59" i="103"/>
  <c r="CB59" i="103"/>
  <c r="CC59" i="103"/>
  <c r="CD59" i="103"/>
  <c r="CE59" i="103"/>
  <c r="CF59" i="103"/>
  <c r="CI59" i="103"/>
  <c r="CK59" i="103"/>
  <c r="CN59" i="103"/>
  <c r="CO59" i="103"/>
  <c r="CP59" i="103"/>
  <c r="CQ59" i="103"/>
  <c r="CU59" i="103"/>
  <c r="CV59" i="103"/>
  <c r="CX59" i="103"/>
  <c r="CZ59" i="103"/>
  <c r="DC59" i="103"/>
  <c r="DD59" i="103"/>
  <c r="DF59" i="103"/>
  <c r="DI59" i="103"/>
  <c r="DJ59" i="103"/>
  <c r="DK59" i="103"/>
  <c r="DN59" i="103"/>
  <c r="DP59" i="103"/>
  <c r="DR59" i="103"/>
  <c r="DW59" i="103"/>
  <c r="DX59" i="103"/>
  <c r="DY59" i="103"/>
  <c r="EB59" i="103"/>
  <c r="EC59" i="103"/>
  <c r="ED59" i="103"/>
  <c r="EF59" i="103"/>
  <c r="EG59" i="103"/>
  <c r="EH59" i="103"/>
  <c r="EJ59" i="103"/>
  <c r="O60" i="103"/>
  <c r="L60" i="103"/>
  <c r="M60" i="103"/>
  <c r="N60" i="103"/>
  <c r="Q60" i="103"/>
  <c r="R60" i="103"/>
  <c r="S60" i="103"/>
  <c r="T60" i="103"/>
  <c r="V60" i="103"/>
  <c r="W60" i="103"/>
  <c r="X60" i="103"/>
  <c r="Y60" i="103"/>
  <c r="AA60" i="103"/>
  <c r="AB60" i="103"/>
  <c r="AC60" i="103"/>
  <c r="AD60" i="103"/>
  <c r="AF60" i="103"/>
  <c r="AG60" i="103"/>
  <c r="AH60" i="103"/>
  <c r="AI60" i="103"/>
  <c r="AK60" i="103"/>
  <c r="AL60" i="103"/>
  <c r="AM60" i="103"/>
  <c r="AN60" i="103"/>
  <c r="AP60" i="103"/>
  <c r="AQ60" i="103"/>
  <c r="AR60" i="103"/>
  <c r="AS60" i="103"/>
  <c r="AU60" i="103"/>
  <c r="AV60" i="103"/>
  <c r="AW60" i="103"/>
  <c r="AX60" i="103"/>
  <c r="AZ60" i="103"/>
  <c r="BA60" i="103"/>
  <c r="BB60" i="103"/>
  <c r="BC60" i="103"/>
  <c r="BE60" i="103"/>
  <c r="BF60" i="103"/>
  <c r="BG60" i="103"/>
  <c r="BH60" i="103"/>
  <c r="BI60" i="103"/>
  <c r="BJ60" i="103"/>
  <c r="BK60" i="103"/>
  <c r="BL60" i="103"/>
  <c r="BM60" i="103"/>
  <c r="BO60" i="103"/>
  <c r="BP60" i="103"/>
  <c r="BQ60" i="103"/>
  <c r="BR60" i="103"/>
  <c r="BT60" i="103"/>
  <c r="BU60" i="103"/>
  <c r="BV60" i="103"/>
  <c r="BW60" i="103"/>
  <c r="BY60" i="103"/>
  <c r="BZ60" i="103"/>
  <c r="CA60" i="103"/>
  <c r="CB60" i="103"/>
  <c r="CC60" i="103"/>
  <c r="CD60" i="103"/>
  <c r="CI60" i="103"/>
  <c r="CJ60" i="103"/>
  <c r="CK60" i="103"/>
  <c r="CL60" i="103"/>
  <c r="CN60" i="103"/>
  <c r="CO60" i="103"/>
  <c r="CP60" i="103"/>
  <c r="CQ60" i="103"/>
  <c r="CS60" i="103"/>
  <c r="CU60" i="103"/>
  <c r="DC60" i="103"/>
  <c r="DD60" i="103"/>
  <c r="DE60" i="103"/>
  <c r="DF60" i="103"/>
  <c r="DJ60" i="103"/>
  <c r="DK60" i="103"/>
  <c r="DM60" i="103"/>
  <c r="DN60" i="103"/>
  <c r="DP60" i="103"/>
  <c r="DX60" i="103"/>
  <c r="DY60" i="103"/>
  <c r="DZ60" i="103"/>
  <c r="EB60" i="103"/>
  <c r="EC60" i="103"/>
  <c r="ED60" i="103"/>
  <c r="EE60" i="103"/>
  <c r="EH60" i="103"/>
  <c r="K61" i="103"/>
  <c r="P61" i="103"/>
  <c r="P62" i="103" s="1"/>
  <c r="P63" i="103" s="1"/>
  <c r="U61" i="103"/>
  <c r="Z61" i="103"/>
  <c r="AE61" i="103"/>
  <c r="AJ61" i="103"/>
  <c r="AO61" i="103"/>
  <c r="AT61" i="103"/>
  <c r="AT62" i="103" s="1"/>
  <c r="AT63" i="103" s="1"/>
  <c r="AY61" i="103"/>
  <c r="BD61" i="103"/>
  <c r="BD62" i="103" s="1"/>
  <c r="BD63" i="103" s="1"/>
  <c r="BI61" i="103"/>
  <c r="BN61" i="103"/>
  <c r="BS62" i="103" s="1"/>
  <c r="BS61" i="103"/>
  <c r="BX61" i="103"/>
  <c r="CC61" i="103"/>
  <c r="CM61" i="103"/>
  <c r="EF61" i="103"/>
  <c r="EF62" i="103" s="1"/>
  <c r="L62" i="103"/>
  <c r="M62" i="103"/>
  <c r="N62" i="103"/>
  <c r="O62" i="103"/>
  <c r="Q62" i="103"/>
  <c r="R62" i="103"/>
  <c r="S62" i="103"/>
  <c r="T62" i="103"/>
  <c r="U62" i="103"/>
  <c r="V62" i="103"/>
  <c r="W62" i="103"/>
  <c r="X62" i="103"/>
  <c r="Y62" i="103"/>
  <c r="Z62" i="103"/>
  <c r="Z63" i="103" s="1"/>
  <c r="AA62" i="103"/>
  <c r="AB62" i="103"/>
  <c r="AC62" i="103"/>
  <c r="AD62" i="103"/>
  <c r="AE62" i="103"/>
  <c r="AF62" i="103"/>
  <c r="AG62" i="103"/>
  <c r="AH62" i="103"/>
  <c r="AI62" i="103"/>
  <c r="AK62" i="103"/>
  <c r="AL62" i="103"/>
  <c r="AM62" i="103"/>
  <c r="AN62" i="103"/>
  <c r="AP62" i="103"/>
  <c r="AQ62" i="103"/>
  <c r="AR62" i="103"/>
  <c r="AS62" i="103"/>
  <c r="AU62" i="103"/>
  <c r="AV62" i="103"/>
  <c r="AW62" i="103"/>
  <c r="AX62" i="103"/>
  <c r="AY62" i="103"/>
  <c r="AY63" i="103" s="1"/>
  <c r="AZ62" i="103"/>
  <c r="BA62" i="103"/>
  <c r="BB62" i="103"/>
  <c r="BC62" i="103"/>
  <c r="BE62" i="103"/>
  <c r="BF62" i="103"/>
  <c r="BG62" i="103"/>
  <c r="BH62" i="103"/>
  <c r="BI62" i="103"/>
  <c r="BI63" i="103" s="1"/>
  <c r="BJ62" i="103"/>
  <c r="BK62" i="103"/>
  <c r="BL62" i="103"/>
  <c r="BM62" i="103"/>
  <c r="BN62" i="103"/>
  <c r="BO62" i="103"/>
  <c r="BP62" i="103"/>
  <c r="BQ62" i="103"/>
  <c r="BR62" i="103"/>
  <c r="BT62" i="103"/>
  <c r="BU62" i="103"/>
  <c r="BV62" i="103"/>
  <c r="BW62" i="103"/>
  <c r="BY62" i="103"/>
  <c r="BZ62" i="103"/>
  <c r="CA62" i="103"/>
  <c r="CB62" i="103"/>
  <c r="CD62" i="103"/>
  <c r="CE62" i="103"/>
  <c r="CF62" i="103"/>
  <c r="CG62" i="103"/>
  <c r="CI62" i="103"/>
  <c r="CJ62" i="103"/>
  <c r="CK62" i="103"/>
  <c r="CL62" i="103"/>
  <c r="CN62" i="103"/>
  <c r="CO62" i="103"/>
  <c r="CP62" i="103"/>
  <c r="CQ62" i="103"/>
  <c r="CS62" i="103"/>
  <c r="CT62" i="103"/>
  <c r="CU62" i="103"/>
  <c r="CV62" i="103"/>
  <c r="CX62" i="103"/>
  <c r="CY62" i="103"/>
  <c r="CZ62" i="103"/>
  <c r="DA62" i="103"/>
  <c r="DC62" i="103"/>
  <c r="DD62" i="103"/>
  <c r="DE62" i="103"/>
  <c r="DF62" i="103"/>
  <c r="DH62" i="103"/>
  <c r="DI62" i="103"/>
  <c r="DJ62" i="103"/>
  <c r="DK62" i="103"/>
  <c r="DM62" i="103"/>
  <c r="DN62" i="103"/>
  <c r="DO62" i="103"/>
  <c r="DP62" i="103"/>
  <c r="DR62" i="103"/>
  <c r="DS62" i="103"/>
  <c r="DT62" i="103"/>
  <c r="DU62" i="103"/>
  <c r="DW62" i="103"/>
  <c r="DX62" i="103"/>
  <c r="DY62" i="103"/>
  <c r="DZ62" i="103"/>
  <c r="EB62" i="103"/>
  <c r="EC62" i="103"/>
  <c r="ED62" i="103"/>
  <c r="EG62" i="103"/>
  <c r="EH62" i="103"/>
  <c r="EI62" i="103"/>
  <c r="EJ62" i="103"/>
  <c r="EL62" i="103"/>
  <c r="EM62" i="103"/>
  <c r="EN62" i="103"/>
  <c r="L63" i="103"/>
  <c r="M63" i="103"/>
  <c r="N63" i="103"/>
  <c r="O63" i="103"/>
  <c r="Q63" i="103"/>
  <c r="R63" i="103"/>
  <c r="S63" i="103"/>
  <c r="T63" i="103"/>
  <c r="U63" i="103"/>
  <c r="V63" i="103"/>
  <c r="W63" i="103"/>
  <c r="X63" i="103"/>
  <c r="Y63" i="103"/>
  <c r="AA63" i="103"/>
  <c r="AB63" i="103"/>
  <c r="AC63" i="103"/>
  <c r="AD63" i="103"/>
  <c r="AE63" i="103"/>
  <c r="AF63" i="103"/>
  <c r="AG63" i="103"/>
  <c r="AH63" i="103"/>
  <c r="AI63" i="103"/>
  <c r="AK63" i="103"/>
  <c r="AL63" i="103"/>
  <c r="AM63" i="103"/>
  <c r="AN63" i="103"/>
  <c r="AP63" i="103"/>
  <c r="AQ63" i="103"/>
  <c r="AR63" i="103"/>
  <c r="AS63" i="103"/>
  <c r="AU63" i="103"/>
  <c r="AV63" i="103"/>
  <c r="AW63" i="103"/>
  <c r="AX63" i="103"/>
  <c r="AZ63" i="103"/>
  <c r="BA63" i="103"/>
  <c r="BB63" i="103"/>
  <c r="BC63" i="103"/>
  <c r="BE63" i="103"/>
  <c r="BF63" i="103"/>
  <c r="BG63" i="103"/>
  <c r="BH63" i="103"/>
  <c r="BJ63" i="103"/>
  <c r="BK63" i="103"/>
  <c r="BL63" i="103"/>
  <c r="BM63" i="103"/>
  <c r="BO63" i="103"/>
  <c r="BP63" i="103"/>
  <c r="BQ63" i="103"/>
  <c r="BR63" i="103"/>
  <c r="BT63" i="103"/>
  <c r="BU63" i="103"/>
  <c r="BV63" i="103"/>
  <c r="BW63" i="103"/>
  <c r="BY63" i="103"/>
  <c r="BZ63" i="103"/>
  <c r="CA63" i="103"/>
  <c r="CB63" i="103"/>
  <c r="CD63" i="103"/>
  <c r="CE63" i="103"/>
  <c r="CF63" i="103"/>
  <c r="CG63" i="103"/>
  <c r="CI63" i="103"/>
  <c r="CJ63" i="103"/>
  <c r="CK63" i="103"/>
  <c r="CL63" i="103"/>
  <c r="CN63" i="103"/>
  <c r="CO63" i="103"/>
  <c r="CP63" i="103"/>
  <c r="CQ63" i="103"/>
  <c r="CS63" i="103"/>
  <c r="CT63" i="103"/>
  <c r="CU63" i="103"/>
  <c r="CV63" i="103"/>
  <c r="CX63" i="103"/>
  <c r="CY63" i="103"/>
  <c r="CZ63" i="103"/>
  <c r="DA63" i="103"/>
  <c r="DC63" i="103"/>
  <c r="DD63" i="103"/>
  <c r="DE63" i="103"/>
  <c r="DF63" i="103"/>
  <c r="DH63" i="103"/>
  <c r="DI63" i="103"/>
  <c r="DJ63" i="103"/>
  <c r="DK63" i="103"/>
  <c r="DM63" i="103"/>
  <c r="DN63" i="103"/>
  <c r="DO63" i="103"/>
  <c r="DP63" i="103"/>
  <c r="DR63" i="103"/>
  <c r="DS63" i="103"/>
  <c r="DT63" i="103"/>
  <c r="DU63" i="103"/>
  <c r="DW63" i="103"/>
  <c r="DX63" i="103"/>
  <c r="DY63" i="103"/>
  <c r="DZ63" i="103"/>
  <c r="EB63" i="103"/>
  <c r="EC63" i="103"/>
  <c r="ED63" i="103"/>
  <c r="EE63" i="103"/>
  <c r="EH63" i="103"/>
  <c r="EI63" i="103"/>
  <c r="EJ63" i="103"/>
  <c r="EL63" i="103"/>
  <c r="EM63" i="103"/>
  <c r="EN63" i="103"/>
  <c r="EO63" i="103"/>
  <c r="BP65" i="103"/>
  <c r="BP66" i="103" s="1"/>
  <c r="BQ65" i="103"/>
  <c r="BQ66" i="103" s="1"/>
  <c r="BU65" i="103"/>
  <c r="BU66" i="103" s="1"/>
  <c r="BV65" i="103"/>
  <c r="BZ65" i="103"/>
  <c r="CA65" i="103"/>
  <c r="CA66" i="103" s="1"/>
  <c r="CI65" i="103"/>
  <c r="CI66" i="103" s="1"/>
  <c r="CJ65" i="103"/>
  <c r="CK65" i="103"/>
  <c r="CY65" i="103"/>
  <c r="DE65" i="103"/>
  <c r="DJ65" i="103"/>
  <c r="DK65" i="103"/>
  <c r="DM65" i="103"/>
  <c r="DM66" i="103" s="1"/>
  <c r="DW65" i="103"/>
  <c r="DX65" i="103"/>
  <c r="BV66" i="103"/>
  <c r="BZ66" i="103"/>
  <c r="CJ66" i="103"/>
  <c r="DE66" i="103"/>
  <c r="DJ66" i="103"/>
  <c r="DX66" i="103"/>
  <c r="BG68" i="103"/>
  <c r="BG70" i="103" s="1"/>
  <c r="BK68" i="103"/>
  <c r="BK74" i="103" s="1"/>
  <c r="BP68" i="103"/>
  <c r="BQ68" i="103"/>
  <c r="BU68" i="103"/>
  <c r="BU69" i="103" s="1"/>
  <c r="CA68" i="103"/>
  <c r="CJ68" i="103"/>
  <c r="CY68" i="103"/>
  <c r="DA68" i="103"/>
  <c r="DK68" i="103"/>
  <c r="DM68" i="103"/>
  <c r="DX68" i="103"/>
  <c r="BK70" i="103"/>
  <c r="CJ70" i="103"/>
  <c r="DX70" i="103"/>
  <c r="BJ72" i="103"/>
  <c r="BK72" i="103"/>
  <c r="BL72" i="103"/>
  <c r="BM72" i="103"/>
  <c r="BO72" i="103"/>
  <c r="BP72" i="103"/>
  <c r="BQ72" i="103"/>
  <c r="BR72" i="103"/>
  <c r="BS72" i="103"/>
  <c r="BT72" i="103"/>
  <c r="BU72" i="103"/>
  <c r="BV72" i="103"/>
  <c r="BW72" i="103"/>
  <c r="BX72" i="103"/>
  <c r="BY72" i="103"/>
  <c r="BZ72" i="103"/>
  <c r="CA72" i="103"/>
  <c r="CB72" i="103"/>
  <c r="CC72" i="103"/>
  <c r="CD72" i="103"/>
  <c r="CE72" i="103"/>
  <c r="CF72" i="103"/>
  <c r="CG72" i="103"/>
  <c r="CH72" i="103"/>
  <c r="CI72" i="103"/>
  <c r="CJ72" i="103"/>
  <c r="CK72" i="103"/>
  <c r="CL72" i="103"/>
  <c r="CM72" i="103"/>
  <c r="CN72" i="103"/>
  <c r="CO72" i="103"/>
  <c r="CP72" i="103"/>
  <c r="CQ72" i="103"/>
  <c r="CR72" i="103"/>
  <c r="CS72" i="103"/>
  <c r="CT72" i="103"/>
  <c r="CU72" i="103"/>
  <c r="CV72" i="103"/>
  <c r="CW72" i="103"/>
  <c r="CX72" i="103"/>
  <c r="CY72" i="103"/>
  <c r="CZ72" i="103"/>
  <c r="DA72" i="103"/>
  <c r="DB72" i="103"/>
  <c r="DC72" i="103"/>
  <c r="DD72" i="103"/>
  <c r="DE72" i="103"/>
  <c r="DF72" i="103"/>
  <c r="DG72" i="103"/>
  <c r="DH72" i="103"/>
  <c r="DI72" i="103"/>
  <c r="DJ72" i="103"/>
  <c r="DK72" i="103"/>
  <c r="DL72" i="103"/>
  <c r="DM72" i="103"/>
  <c r="DN72" i="103"/>
  <c r="DO72" i="103"/>
  <c r="DP72" i="103"/>
  <c r="DQ72" i="103"/>
  <c r="DR72" i="103"/>
  <c r="DS72" i="103"/>
  <c r="DT72" i="103"/>
  <c r="DU72" i="103"/>
  <c r="DV72" i="103"/>
  <c r="DW72" i="103"/>
  <c r="DX72" i="103"/>
  <c r="DY72" i="103"/>
  <c r="DZ72" i="103"/>
  <c r="EA72" i="103"/>
  <c r="EB72" i="103"/>
  <c r="EC72" i="103"/>
  <c r="ED72" i="103"/>
  <c r="CJ74" i="103"/>
  <c r="DX74" i="103"/>
  <c r="CH75" i="103"/>
  <c r="CM75" i="103"/>
  <c r="CQ75" i="103"/>
  <c r="CS75" i="103"/>
  <c r="CT75" i="103"/>
  <c r="CU75" i="103"/>
  <c r="CV75" i="103"/>
  <c r="CW80" i="103"/>
  <c r="CW103" i="103"/>
  <c r="CW108" i="103"/>
  <c r="CX75" i="103"/>
  <c r="CY75" i="103"/>
  <c r="CY76" i="103" s="1"/>
  <c r="CZ75" i="103"/>
  <c r="DA75" i="103"/>
  <c r="DA120" i="103" s="1"/>
  <c r="DB80" i="103"/>
  <c r="CX82" i="103" s="1"/>
  <c r="DB103" i="103"/>
  <c r="DB108" i="103"/>
  <c r="DC75" i="103"/>
  <c r="DD75" i="103"/>
  <c r="DE75" i="103"/>
  <c r="DF75" i="103"/>
  <c r="DG80" i="103"/>
  <c r="DG103" i="103"/>
  <c r="DG108" i="103"/>
  <c r="DH75" i="103"/>
  <c r="DI75" i="103"/>
  <c r="DI120" i="103" s="1"/>
  <c r="DJ75" i="103"/>
  <c r="DK75" i="103"/>
  <c r="DK109" i="103" s="1"/>
  <c r="DL80" i="103"/>
  <c r="DL103" i="103"/>
  <c r="DL108" i="103"/>
  <c r="DM75" i="103"/>
  <c r="DN75" i="103"/>
  <c r="DS76" i="103" s="1"/>
  <c r="DO75" i="103"/>
  <c r="DP75" i="103"/>
  <c r="DQ80" i="103"/>
  <c r="DQ103" i="103"/>
  <c r="DQ108" i="103"/>
  <c r="DV80" i="103"/>
  <c r="DV103" i="103"/>
  <c r="DV78" i="103" s="1"/>
  <c r="DV108" i="103"/>
  <c r="EA80" i="103"/>
  <c r="EA88" i="103" s="1"/>
  <c r="EA103" i="103"/>
  <c r="EA108" i="103"/>
  <c r="EE80" i="103"/>
  <c r="EE103" i="103"/>
  <c r="EE78" i="103" s="1"/>
  <c r="EC78" i="103"/>
  <c r="EC108" i="103"/>
  <c r="ED108" i="103" s="1"/>
  <c r="EE108" i="103"/>
  <c r="EE75" i="103"/>
  <c r="EF80" i="103"/>
  <c r="EB78" i="103"/>
  <c r="EJ80" i="103"/>
  <c r="EI105" i="103"/>
  <c r="EJ105" i="103"/>
  <c r="EH108" i="103"/>
  <c r="EG80" i="103"/>
  <c r="EH80" i="103"/>
  <c r="EI80" i="103"/>
  <c r="EG103" i="103"/>
  <c r="EG104" i="103" s="1"/>
  <c r="EH103" i="103"/>
  <c r="EI103" i="103"/>
  <c r="EU105" i="103"/>
  <c r="EZ105" i="103"/>
  <c r="FE105" i="103"/>
  <c r="CI76" i="103"/>
  <c r="CJ76" i="103"/>
  <c r="CK76" i="103"/>
  <c r="CL76" i="103"/>
  <c r="CN76" i="103"/>
  <c r="CO76" i="103"/>
  <c r="CP76" i="103"/>
  <c r="CS76" i="103"/>
  <c r="CU76" i="103"/>
  <c r="CV76" i="103"/>
  <c r="CX76" i="103"/>
  <c r="CZ76" i="103"/>
  <c r="DA76" i="103"/>
  <c r="DC76" i="103"/>
  <c r="DD76" i="103"/>
  <c r="DE76" i="103"/>
  <c r="DH76" i="103"/>
  <c r="DJ76" i="103"/>
  <c r="DK76" i="103"/>
  <c r="DM76" i="103"/>
  <c r="DO76" i="103"/>
  <c r="DR76" i="103"/>
  <c r="DT76" i="103"/>
  <c r="DU76" i="103"/>
  <c r="DW76" i="103"/>
  <c r="DX76" i="103"/>
  <c r="DY76" i="103"/>
  <c r="DZ76" i="103"/>
  <c r="EB76" i="103"/>
  <c r="EC76" i="103"/>
  <c r="ED76" i="103"/>
  <c r="EG76" i="103"/>
  <c r="EH76" i="103"/>
  <c r="EI76" i="103"/>
  <c r="CQ78" i="103"/>
  <c r="CS78" i="103"/>
  <c r="CX79" i="103" s="1"/>
  <c r="CT78" i="103"/>
  <c r="CT86" i="103" s="1"/>
  <c r="CU78" i="103"/>
  <c r="CU86" i="103" s="1"/>
  <c r="CV78" i="103"/>
  <c r="CX78" i="103"/>
  <c r="CY78" i="103"/>
  <c r="DD79" i="103" s="1"/>
  <c r="CZ78" i="103"/>
  <c r="DA78" i="103"/>
  <c r="DC78" i="103"/>
  <c r="DD78" i="103"/>
  <c r="DE78" i="103"/>
  <c r="DF78" i="103"/>
  <c r="DH78" i="103"/>
  <c r="DI78" i="103"/>
  <c r="DJ78" i="103"/>
  <c r="DK78" i="103"/>
  <c r="DM78" i="103"/>
  <c r="DN78" i="103"/>
  <c r="DN86" i="103" s="1"/>
  <c r="DO78" i="103"/>
  <c r="DT79" i="103" s="1"/>
  <c r="DP78" i="103"/>
  <c r="DR78" i="103"/>
  <c r="DS78" i="103"/>
  <c r="DT78" i="103"/>
  <c r="DU78" i="103"/>
  <c r="DW78" i="103"/>
  <c r="DX78" i="103"/>
  <c r="DY78" i="103"/>
  <c r="DZ78" i="103"/>
  <c r="EA78" i="103"/>
  <c r="EG78" i="103"/>
  <c r="EH78" i="103"/>
  <c r="EH79" i="103" s="1"/>
  <c r="CV79" i="103"/>
  <c r="CY79" i="103"/>
  <c r="DA79" i="103"/>
  <c r="DE79" i="103"/>
  <c r="DK79" i="103"/>
  <c r="DM79" i="103"/>
  <c r="DY79" i="103"/>
  <c r="EC79" i="103"/>
  <c r="EE79" i="103"/>
  <c r="EG79" i="103"/>
  <c r="CV81" i="103"/>
  <c r="CX81" i="103"/>
  <c r="CY81" i="103"/>
  <c r="CZ81" i="103"/>
  <c r="DA81" i="103"/>
  <c r="DB81" i="103"/>
  <c r="DC81" i="103"/>
  <c r="DD81" i="103"/>
  <c r="DE81" i="103"/>
  <c r="DF81" i="103"/>
  <c r="DG81" i="103"/>
  <c r="DH81" i="103"/>
  <c r="DI81" i="103"/>
  <c r="DJ81" i="103"/>
  <c r="DK81" i="103"/>
  <c r="DL81" i="103"/>
  <c r="DM81" i="103"/>
  <c r="DN81" i="103"/>
  <c r="DO81" i="103"/>
  <c r="DP81" i="103"/>
  <c r="DQ81" i="103"/>
  <c r="DR81" i="103"/>
  <c r="DS81" i="103"/>
  <c r="DT81" i="103"/>
  <c r="DU81" i="103"/>
  <c r="DV81" i="103"/>
  <c r="DW81" i="103"/>
  <c r="DX81" i="103"/>
  <c r="DY81" i="103"/>
  <c r="DZ81" i="103"/>
  <c r="EA81" i="103"/>
  <c r="EB81" i="103"/>
  <c r="EC81" i="103"/>
  <c r="ED81" i="103"/>
  <c r="CS82" i="103"/>
  <c r="CT82" i="103"/>
  <c r="CU82" i="103"/>
  <c r="CV82" i="103"/>
  <c r="CY82" i="103"/>
  <c r="CZ82" i="103"/>
  <c r="DA82" i="103"/>
  <c r="DC82" i="103"/>
  <c r="DD82" i="103"/>
  <c r="DE82" i="103"/>
  <c r="DF82" i="103"/>
  <c r="DI82" i="103"/>
  <c r="FI82" i="103" s="1"/>
  <c r="DJ82" i="103"/>
  <c r="DK82" i="103"/>
  <c r="DM82" i="103"/>
  <c r="DN82" i="103"/>
  <c r="DO82" i="103"/>
  <c r="DP82" i="103"/>
  <c r="FK82" i="103" s="1"/>
  <c r="DR82" i="103"/>
  <c r="DS82" i="103"/>
  <c r="DT82" i="103"/>
  <c r="DU82" i="103"/>
  <c r="DW82" i="103"/>
  <c r="DX82" i="103"/>
  <c r="DY82" i="103"/>
  <c r="DZ82" i="103"/>
  <c r="CQ99" i="103"/>
  <c r="CQ96" i="103"/>
  <c r="CQ83" i="103"/>
  <c r="CR99" i="103"/>
  <c r="CS96" i="103" s="1"/>
  <c r="CS99" i="103"/>
  <c r="CT99" i="103"/>
  <c r="CT96" i="103" s="1"/>
  <c r="CT83" i="103"/>
  <c r="CU99" i="103"/>
  <c r="CU96" i="103"/>
  <c r="CV99" i="103"/>
  <c r="CX99" i="103"/>
  <c r="CX100" i="103" s="1"/>
  <c r="CY99" i="103"/>
  <c r="CY96" i="103"/>
  <c r="CZ99" i="103"/>
  <c r="DE100" i="103" s="1"/>
  <c r="DA99" i="103"/>
  <c r="DB99" i="103"/>
  <c r="DC99" i="103"/>
  <c r="DD99" i="103"/>
  <c r="DD100" i="103" s="1"/>
  <c r="DE99" i="103"/>
  <c r="DE96" i="103"/>
  <c r="DE83" i="103"/>
  <c r="DF99" i="103"/>
  <c r="DH99" i="103"/>
  <c r="DI99" i="103"/>
  <c r="DI96" i="103"/>
  <c r="DJ99" i="103"/>
  <c r="DK99" i="103"/>
  <c r="DM99" i="103"/>
  <c r="DN83" i="103"/>
  <c r="DO83" i="103"/>
  <c r="DO99" i="103"/>
  <c r="DP96" i="103" s="1"/>
  <c r="DR98" i="103" s="1"/>
  <c r="DP99" i="103"/>
  <c r="DR83" i="103"/>
  <c r="DS83" i="103"/>
  <c r="DT83" i="103"/>
  <c r="DT84" i="103" s="1"/>
  <c r="DU83" i="103"/>
  <c r="DV96" i="103"/>
  <c r="DW83" i="103"/>
  <c r="DW85" i="103" s="1"/>
  <c r="DX83" i="103"/>
  <c r="DX84" i="103" s="1"/>
  <c r="DY83" i="103"/>
  <c r="DZ83" i="103"/>
  <c r="EA96" i="103"/>
  <c r="EB83" i="103"/>
  <c r="EC83" i="103"/>
  <c r="DS84" i="103"/>
  <c r="DZ84" i="103"/>
  <c r="EC84" i="103"/>
  <c r="DU85" i="103"/>
  <c r="CS86" i="103"/>
  <c r="DE86" i="103"/>
  <c r="DO86" i="103"/>
  <c r="DT86" i="103"/>
  <c r="DW86" i="103"/>
  <c r="DX86" i="103"/>
  <c r="DY86" i="103"/>
  <c r="EB86" i="103"/>
  <c r="EB87" i="103" s="1"/>
  <c r="EC86" i="103"/>
  <c r="EC87" i="103" s="1"/>
  <c r="DT87" i="103"/>
  <c r="DB88" i="103"/>
  <c r="CV89" i="103"/>
  <c r="CX89" i="103"/>
  <c r="CY89" i="103"/>
  <c r="CZ89" i="103"/>
  <c r="DA89" i="103"/>
  <c r="DC89" i="103"/>
  <c r="DD89" i="103"/>
  <c r="DE89" i="103"/>
  <c r="DF89" i="103"/>
  <c r="DH89" i="103"/>
  <c r="DI89" i="103"/>
  <c r="DJ89" i="103"/>
  <c r="DK89" i="103"/>
  <c r="DM89" i="103"/>
  <c r="DN89" i="103"/>
  <c r="DO89" i="103"/>
  <c r="DP89" i="103"/>
  <c r="DR89" i="103"/>
  <c r="DS89" i="103"/>
  <c r="DT89" i="103"/>
  <c r="DU89" i="103"/>
  <c r="DW89" i="103"/>
  <c r="DX89" i="103"/>
  <c r="DY89" i="103"/>
  <c r="DZ89" i="103"/>
  <c r="EB89" i="103"/>
  <c r="EC89" i="103"/>
  <c r="CV91" i="103"/>
  <c r="CY91" i="103"/>
  <c r="CZ91" i="103"/>
  <c r="DA91" i="103"/>
  <c r="DC91" i="103"/>
  <c r="DD91" i="103"/>
  <c r="DE91" i="103"/>
  <c r="DF91" i="103"/>
  <c r="DH91" i="103"/>
  <c r="DI91" i="103"/>
  <c r="DN91" i="103"/>
  <c r="DO91" i="103"/>
  <c r="DP91" i="103"/>
  <c r="DU91" i="103"/>
  <c r="DX91" i="103"/>
  <c r="DY91" i="103"/>
  <c r="DZ91" i="103"/>
  <c r="EB91" i="103"/>
  <c r="EC91" i="103"/>
  <c r="CR94" i="103"/>
  <c r="CW94" i="103"/>
  <c r="DB94" i="103"/>
  <c r="DB92" i="103"/>
  <c r="DG94" i="103"/>
  <c r="DL94" i="103"/>
  <c r="DQ94" i="103"/>
  <c r="DV94" i="103"/>
  <c r="EA94" i="103"/>
  <c r="EA95" i="103" s="1"/>
  <c r="EA92" i="103"/>
  <c r="CS93" i="103"/>
  <c r="CT93" i="103"/>
  <c r="CU93" i="103"/>
  <c r="CV93" i="103"/>
  <c r="CX93" i="103"/>
  <c r="CY93" i="103"/>
  <c r="CZ93" i="103"/>
  <c r="DA93" i="103"/>
  <c r="DC93" i="103"/>
  <c r="DD93" i="103"/>
  <c r="DE93" i="103"/>
  <c r="DF93" i="103"/>
  <c r="DH93" i="103"/>
  <c r="DI93" i="103"/>
  <c r="DJ93" i="103"/>
  <c r="DK93" i="103"/>
  <c r="DM93" i="103"/>
  <c r="DN93" i="103"/>
  <c r="DO93" i="103"/>
  <c r="DP93" i="103"/>
  <c r="DR93" i="103"/>
  <c r="DS93" i="103"/>
  <c r="DT93" i="103"/>
  <c r="DU93" i="103"/>
  <c r="DW93" i="103"/>
  <c r="DX93" i="103"/>
  <c r="DY93" i="103"/>
  <c r="DZ93" i="103"/>
  <c r="EB93" i="103"/>
  <c r="EC93" i="103"/>
  <c r="CV95" i="103"/>
  <c r="CX95" i="103"/>
  <c r="CY95" i="103"/>
  <c r="CZ95" i="103"/>
  <c r="DA95" i="103"/>
  <c r="DC95" i="103"/>
  <c r="DD95" i="103"/>
  <c r="DE95" i="103"/>
  <c r="DF95" i="103"/>
  <c r="DG95" i="103"/>
  <c r="DH95" i="103"/>
  <c r="DI95" i="103"/>
  <c r="DJ95" i="103"/>
  <c r="DK95" i="103"/>
  <c r="DL95" i="103"/>
  <c r="DM95" i="103"/>
  <c r="DN95" i="103"/>
  <c r="DO95" i="103"/>
  <c r="DP95" i="103"/>
  <c r="DR95" i="103"/>
  <c r="DS95" i="103"/>
  <c r="DT95" i="103"/>
  <c r="DU95" i="103"/>
  <c r="DW95" i="103"/>
  <c r="DX95" i="103"/>
  <c r="DY95" i="103"/>
  <c r="DZ95" i="103"/>
  <c r="EB95" i="103"/>
  <c r="EC95" i="103"/>
  <c r="CY97" i="103"/>
  <c r="DS97" i="103"/>
  <c r="DT97" i="103"/>
  <c r="DU97" i="103"/>
  <c r="DW97" i="103"/>
  <c r="DX97" i="103"/>
  <c r="DY97" i="103"/>
  <c r="DZ97" i="103"/>
  <c r="EB97" i="103"/>
  <c r="EC97" i="103"/>
  <c r="CN98" i="103"/>
  <c r="CO98" i="103"/>
  <c r="CP98" i="103"/>
  <c r="DO98" i="103"/>
  <c r="DP98" i="103"/>
  <c r="DS98" i="103"/>
  <c r="DT98" i="103"/>
  <c r="DU98" i="103"/>
  <c r="DW98" i="103"/>
  <c r="DX98" i="103"/>
  <c r="DY98" i="103"/>
  <c r="DZ98" i="103"/>
  <c r="EB98" i="103"/>
  <c r="EC98" i="103"/>
  <c r="DN99" i="103"/>
  <c r="DN100" i="103" s="1"/>
  <c r="DQ99" i="103"/>
  <c r="DR99" i="103"/>
  <c r="DR100" i="103" s="1"/>
  <c r="DS99" i="103"/>
  <c r="DT99" i="103"/>
  <c r="DU99" i="103"/>
  <c r="DV99" i="103"/>
  <c r="DW99" i="103"/>
  <c r="DX99" i="103"/>
  <c r="DY99" i="103"/>
  <c r="DZ99" i="103"/>
  <c r="EB99" i="103"/>
  <c r="EB100" i="103" s="1"/>
  <c r="EC99" i="103"/>
  <c r="DH100" i="103"/>
  <c r="DI100" i="103"/>
  <c r="DM100" i="103"/>
  <c r="DS100" i="103"/>
  <c r="DU100" i="103"/>
  <c r="DX100" i="103"/>
  <c r="EC100" i="103"/>
  <c r="CR101" i="103"/>
  <c r="CW101" i="103"/>
  <c r="DB101" i="103"/>
  <c r="DG101" i="103"/>
  <c r="DL101" i="103"/>
  <c r="DQ101" i="103"/>
  <c r="DV101" i="103"/>
  <c r="EA101" i="103"/>
  <c r="CR102" i="103"/>
  <c r="CW102" i="103"/>
  <c r="DB102" i="103"/>
  <c r="DG102" i="103"/>
  <c r="DL102" i="103"/>
  <c r="DQ102" i="103"/>
  <c r="DV102" i="103"/>
  <c r="EA102" i="103"/>
  <c r="CV104" i="103"/>
  <c r="CX104" i="103"/>
  <c r="CY104" i="103"/>
  <c r="CZ104" i="103"/>
  <c r="DA104" i="103"/>
  <c r="DC104" i="103"/>
  <c r="DD104" i="103"/>
  <c r="DE104" i="103"/>
  <c r="DF104" i="103"/>
  <c r="DH104" i="103"/>
  <c r="DI104" i="103"/>
  <c r="DJ104" i="103"/>
  <c r="DK104" i="103"/>
  <c r="DM104" i="103"/>
  <c r="DN104" i="103"/>
  <c r="DO104" i="103"/>
  <c r="DP104" i="103"/>
  <c r="DR104" i="103"/>
  <c r="DS104" i="103"/>
  <c r="DT104" i="103"/>
  <c r="DU104" i="103"/>
  <c r="DW104" i="103"/>
  <c r="DX104" i="103"/>
  <c r="DY104" i="103"/>
  <c r="DZ104" i="103"/>
  <c r="EB104" i="103"/>
  <c r="EC104" i="103"/>
  <c r="EE104" i="103"/>
  <c r="EH104" i="103"/>
  <c r="CQ105" i="103"/>
  <c r="CS105" i="103"/>
  <c r="CT105" i="103"/>
  <c r="CU105" i="103"/>
  <c r="CV105" i="103"/>
  <c r="CX105" i="103"/>
  <c r="CY105" i="103"/>
  <c r="CZ105" i="103"/>
  <c r="DA105" i="103"/>
  <c r="DC105" i="103"/>
  <c r="DD105" i="103"/>
  <c r="DE105" i="103"/>
  <c r="DF105" i="103"/>
  <c r="DH105" i="103"/>
  <c r="DI105" i="103"/>
  <c r="DJ105" i="103"/>
  <c r="DK105" i="103"/>
  <c r="DM105" i="103"/>
  <c r="DN105" i="103"/>
  <c r="DO105" i="103"/>
  <c r="DP105" i="103"/>
  <c r="DR105" i="103"/>
  <c r="DS105" i="103"/>
  <c r="DT105" i="103"/>
  <c r="DU105" i="103"/>
  <c r="DV105" i="103"/>
  <c r="DW105" i="103"/>
  <c r="DX105" i="103"/>
  <c r="DY105" i="103"/>
  <c r="DZ105" i="103"/>
  <c r="EB105" i="103"/>
  <c r="EC105" i="103"/>
  <c r="CQ106" i="103"/>
  <c r="CS106" i="103"/>
  <c r="CT106" i="103"/>
  <c r="CU106" i="103"/>
  <c r="CV106" i="103"/>
  <c r="DA107" i="103" s="1"/>
  <c r="CW106" i="103"/>
  <c r="DB107" i="103" s="1"/>
  <c r="CX106" i="103"/>
  <c r="CY106" i="103"/>
  <c r="CY107" i="103" s="1"/>
  <c r="CZ106" i="103"/>
  <c r="DA106" i="103"/>
  <c r="DB106" i="103"/>
  <c r="DC106" i="103"/>
  <c r="DC107" i="103" s="1"/>
  <c r="DD106" i="103"/>
  <c r="DE106" i="103"/>
  <c r="DF106" i="103"/>
  <c r="DG106" i="103"/>
  <c r="DG107" i="103" s="1"/>
  <c r="DH106" i="103"/>
  <c r="DI106" i="103"/>
  <c r="DJ106" i="103"/>
  <c r="DK106" i="103"/>
  <c r="DL106" i="103"/>
  <c r="DM106" i="103"/>
  <c r="DN106" i="103"/>
  <c r="DO106" i="103"/>
  <c r="DO107" i="103" s="1"/>
  <c r="DP106" i="103"/>
  <c r="DQ106" i="103"/>
  <c r="DQ107" i="103" s="1"/>
  <c r="DR106" i="103"/>
  <c r="DS106" i="103"/>
  <c r="DT106" i="103"/>
  <c r="DU106" i="103"/>
  <c r="DZ107" i="103" s="1"/>
  <c r="DV106" i="103"/>
  <c r="DW106" i="103"/>
  <c r="DW107" i="103" s="1"/>
  <c r="DX106" i="103"/>
  <c r="DY106" i="103"/>
  <c r="ED107" i="103" s="1"/>
  <c r="DZ106" i="103"/>
  <c r="EA106" i="103"/>
  <c r="EB106" i="103"/>
  <c r="EC106" i="103"/>
  <c r="EC107" i="103" s="1"/>
  <c r="ED106" i="103"/>
  <c r="CV107" i="103"/>
  <c r="CX107" i="103"/>
  <c r="DF107" i="103"/>
  <c r="DK107" i="103"/>
  <c r="DN107" i="103"/>
  <c r="DS107" i="103"/>
  <c r="DU107" i="103"/>
  <c r="DV107" i="103"/>
  <c r="EA107" i="103"/>
  <c r="CS109" i="103"/>
  <c r="CU109" i="103"/>
  <c r="CV109" i="103"/>
  <c r="CX109" i="103"/>
  <c r="CZ109" i="103"/>
  <c r="DC109" i="103"/>
  <c r="DD109" i="103"/>
  <c r="DE109" i="103"/>
  <c r="DH109" i="103"/>
  <c r="DJ109" i="103"/>
  <c r="DM109" i="103"/>
  <c r="DO109" i="103"/>
  <c r="DR109" i="103"/>
  <c r="DS109" i="103"/>
  <c r="DT109" i="103"/>
  <c r="DU109" i="103"/>
  <c r="DW109" i="103"/>
  <c r="DX109" i="103"/>
  <c r="DY109" i="103"/>
  <c r="DZ109" i="103"/>
  <c r="EC109" i="103"/>
  <c r="EG109" i="103"/>
  <c r="AT110" i="103"/>
  <c r="AY110" i="103"/>
  <c r="BD110" i="103"/>
  <c r="BD111" i="103" s="1"/>
  <c r="BI110" i="103"/>
  <c r="BN110" i="103"/>
  <c r="BS110" i="103"/>
  <c r="BX110" i="103"/>
  <c r="CC110" i="103"/>
  <c r="CH110" i="103"/>
  <c r="CH111" i="103" s="1"/>
  <c r="CM110" i="103"/>
  <c r="CR110" i="103"/>
  <c r="CR111" i="103" s="1"/>
  <c r="CW110" i="103"/>
  <c r="DB110" i="103"/>
  <c r="DG110" i="103"/>
  <c r="DL110" i="103"/>
  <c r="DQ110" i="103"/>
  <c r="DV110" i="103"/>
  <c r="DV111" i="103" s="1"/>
  <c r="EA110" i="103"/>
  <c r="EE110" i="103"/>
  <c r="EJ110" i="103" s="1"/>
  <c r="EF110" i="103"/>
  <c r="EG110" i="103"/>
  <c r="EH110" i="103"/>
  <c r="EI110" i="103"/>
  <c r="EL110" i="103"/>
  <c r="EQ110" i="103" s="1"/>
  <c r="EN110" i="103"/>
  <c r="ES110" i="103"/>
  <c r="EV110" i="103"/>
  <c r="FA110" i="103"/>
  <c r="AU111" i="103"/>
  <c r="AV111" i="103"/>
  <c r="AW111" i="103"/>
  <c r="AX111" i="103"/>
  <c r="AY111" i="103"/>
  <c r="AZ111" i="103"/>
  <c r="BA111" i="103"/>
  <c r="BB111" i="103"/>
  <c r="BC111" i="103"/>
  <c r="BE111" i="103"/>
  <c r="BF111" i="103"/>
  <c r="BG111" i="103"/>
  <c r="BH111" i="103"/>
  <c r="BJ111" i="103"/>
  <c r="BK111" i="103"/>
  <c r="BL111" i="103"/>
  <c r="BM111" i="103"/>
  <c r="BO111" i="103"/>
  <c r="BP111" i="103"/>
  <c r="BQ111" i="103"/>
  <c r="BR111" i="103"/>
  <c r="BT111" i="103"/>
  <c r="BU111" i="103"/>
  <c r="BV111" i="103"/>
  <c r="BW111" i="103"/>
  <c r="BX111" i="103"/>
  <c r="BY111" i="103"/>
  <c r="BZ111" i="103"/>
  <c r="CA111" i="103"/>
  <c r="CB111" i="103"/>
  <c r="CD111" i="103"/>
  <c r="CE111" i="103"/>
  <c r="CF111" i="103"/>
  <c r="CG111" i="103"/>
  <c r="CI111" i="103"/>
  <c r="CJ111" i="103"/>
  <c r="CK111" i="103"/>
  <c r="CL111" i="103"/>
  <c r="CM111" i="103"/>
  <c r="CN111" i="103"/>
  <c r="CO111" i="103"/>
  <c r="CP111" i="103"/>
  <c r="CQ111" i="103"/>
  <c r="CS111" i="103"/>
  <c r="CT111" i="103"/>
  <c r="CU111" i="103"/>
  <c r="CV111" i="103"/>
  <c r="CX111" i="103"/>
  <c r="CY111" i="103"/>
  <c r="CZ111" i="103"/>
  <c r="DA111" i="103"/>
  <c r="DC111" i="103"/>
  <c r="DD111" i="103"/>
  <c r="DE111" i="103"/>
  <c r="DF111" i="103"/>
  <c r="DG111" i="103"/>
  <c r="DH111" i="103"/>
  <c r="DI111" i="103"/>
  <c r="DJ111" i="103"/>
  <c r="DK111" i="103"/>
  <c r="DM111" i="103"/>
  <c r="DN111" i="103"/>
  <c r="DO111" i="103"/>
  <c r="DP111" i="103"/>
  <c r="DQ111" i="103"/>
  <c r="DR111" i="103"/>
  <c r="DS111" i="103"/>
  <c r="DT111" i="103"/>
  <c r="DU111" i="103"/>
  <c r="DW111" i="103"/>
  <c r="DX111" i="103"/>
  <c r="DY111" i="103"/>
  <c r="DZ111" i="103"/>
  <c r="EA111" i="103"/>
  <c r="EB111" i="103"/>
  <c r="EC111" i="103"/>
  <c r="ED111" i="103"/>
  <c r="BT112" i="103"/>
  <c r="BU112" i="103"/>
  <c r="BV112" i="103"/>
  <c r="BW112" i="103"/>
  <c r="BY112" i="103"/>
  <c r="CA112" i="103"/>
  <c r="CD112" i="103"/>
  <c r="CE112" i="103"/>
  <c r="CF112" i="103"/>
  <c r="CG112" i="103"/>
  <c r="CI112" i="103"/>
  <c r="CK112" i="103"/>
  <c r="CO112" i="103"/>
  <c r="CQ112" i="103"/>
  <c r="CX112" i="103"/>
  <c r="CY112" i="103"/>
  <c r="CZ112" i="103"/>
  <c r="DA112" i="103"/>
  <c r="DH112" i="103"/>
  <c r="DI112" i="103"/>
  <c r="DJ112" i="103"/>
  <c r="DK112" i="103"/>
  <c r="DM112" i="103"/>
  <c r="DO112" i="103"/>
  <c r="DR112" i="103"/>
  <c r="DS112" i="103"/>
  <c r="DT112" i="103"/>
  <c r="DU112" i="103"/>
  <c r="DW112" i="103"/>
  <c r="DY112" i="103"/>
  <c r="AT113" i="103"/>
  <c r="AY114" i="103" s="1"/>
  <c r="AY113" i="103"/>
  <c r="BD113" i="103"/>
  <c r="BI113" i="103"/>
  <c r="BN113" i="103"/>
  <c r="BS113" i="103"/>
  <c r="CH113" i="103"/>
  <c r="CH114" i="103" s="1"/>
  <c r="CM113" i="103"/>
  <c r="CR113" i="103"/>
  <c r="CW113" i="103"/>
  <c r="DB113" i="103"/>
  <c r="DG113" i="103"/>
  <c r="DL113" i="103"/>
  <c r="DQ113" i="103"/>
  <c r="DV113" i="103"/>
  <c r="EA113" i="103"/>
  <c r="ED115" i="103"/>
  <c r="EE115" i="103" s="1"/>
  <c r="AU114" i="103"/>
  <c r="AV114" i="103"/>
  <c r="AW114" i="103"/>
  <c r="AX114" i="103"/>
  <c r="AZ114" i="103"/>
  <c r="BA114" i="103"/>
  <c r="BB114" i="103"/>
  <c r="BC114" i="103"/>
  <c r="BD114" i="103"/>
  <c r="BE114" i="103"/>
  <c r="BF114" i="103"/>
  <c r="BG114" i="103"/>
  <c r="BH114" i="103"/>
  <c r="BI114" i="103"/>
  <c r="BJ114" i="103"/>
  <c r="BK114" i="103"/>
  <c r="BL114" i="103"/>
  <c r="BM114" i="103"/>
  <c r="BN114" i="103"/>
  <c r="BO114" i="103"/>
  <c r="BP114" i="103"/>
  <c r="BQ114" i="103"/>
  <c r="BR114" i="103"/>
  <c r="BS114" i="103"/>
  <c r="BY114" i="103"/>
  <c r="BZ114" i="103"/>
  <c r="CA114" i="103"/>
  <c r="CB114" i="103"/>
  <c r="CC114" i="103"/>
  <c r="CD114" i="103"/>
  <c r="CE114" i="103"/>
  <c r="CF114" i="103"/>
  <c r="CG114" i="103"/>
  <c r="CI114" i="103"/>
  <c r="CJ114" i="103"/>
  <c r="CK114" i="103"/>
  <c r="CL114" i="103"/>
  <c r="CM114" i="103"/>
  <c r="CN114" i="103"/>
  <c r="CO114" i="103"/>
  <c r="CP114" i="103"/>
  <c r="CQ114" i="103"/>
  <c r="CS114" i="103"/>
  <c r="CT114" i="103"/>
  <c r="CU114" i="103"/>
  <c r="CV114" i="103"/>
  <c r="CW114" i="103"/>
  <c r="CX114" i="103"/>
  <c r="CY114" i="103"/>
  <c r="CZ114" i="103"/>
  <c r="DA114" i="103"/>
  <c r="DB114" i="103"/>
  <c r="DC114" i="103"/>
  <c r="DD114" i="103"/>
  <c r="DE114" i="103"/>
  <c r="DF114" i="103"/>
  <c r="DG114" i="103"/>
  <c r="DH114" i="103"/>
  <c r="DI114" i="103"/>
  <c r="DJ114" i="103"/>
  <c r="DK114" i="103"/>
  <c r="DL114" i="103"/>
  <c r="DM114" i="103"/>
  <c r="DN114" i="103"/>
  <c r="DO114" i="103"/>
  <c r="DP114" i="103"/>
  <c r="DQ114" i="103"/>
  <c r="DR114" i="103"/>
  <c r="DS114" i="103"/>
  <c r="CD120" i="103"/>
  <c r="CE120" i="103"/>
  <c r="CE115" i="103"/>
  <c r="CF120" i="103"/>
  <c r="CF115" i="103"/>
  <c r="CG120" i="103"/>
  <c r="CG198" i="103" s="1"/>
  <c r="CG115" i="103"/>
  <c r="CH115" i="103"/>
  <c r="CI115" i="103"/>
  <c r="CJ115" i="103"/>
  <c r="CK115" i="103"/>
  <c r="CL115" i="103"/>
  <c r="CN115" i="103"/>
  <c r="CO115" i="103"/>
  <c r="CP115" i="103"/>
  <c r="CQ115" i="103"/>
  <c r="CS115" i="103"/>
  <c r="CT115" i="103"/>
  <c r="CU115" i="103"/>
  <c r="CV115" i="103"/>
  <c r="CX115" i="103"/>
  <c r="CY115" i="103"/>
  <c r="CZ115" i="103"/>
  <c r="DA115" i="103"/>
  <c r="DC115" i="103"/>
  <c r="DD115" i="103"/>
  <c r="DE115" i="103"/>
  <c r="DF115" i="103"/>
  <c r="DH115" i="103"/>
  <c r="DJ115" i="103"/>
  <c r="DK115" i="103"/>
  <c r="DM115" i="103"/>
  <c r="DN115" i="103"/>
  <c r="DO115" i="103"/>
  <c r="DR115" i="103"/>
  <c r="DS115" i="103"/>
  <c r="DT115" i="103"/>
  <c r="DU115" i="103"/>
  <c r="DW115" i="103"/>
  <c r="DX115" i="103"/>
  <c r="DY115" i="103"/>
  <c r="DZ115" i="103"/>
  <c r="EB115" i="103"/>
  <c r="EC115" i="103"/>
  <c r="BX116" i="103"/>
  <c r="CC116" i="103"/>
  <c r="CC117" i="103" s="1"/>
  <c r="CH116" i="103"/>
  <c r="CM116" i="103"/>
  <c r="CR116" i="103"/>
  <c r="CW116" i="103"/>
  <c r="DB116" i="103"/>
  <c r="DG116" i="103"/>
  <c r="DL116" i="103"/>
  <c r="DQ116" i="103"/>
  <c r="DV116" i="103"/>
  <c r="EA116" i="103"/>
  <c r="ED116" i="103"/>
  <c r="ED118" i="103" s="1"/>
  <c r="ED117" i="103"/>
  <c r="EE117" i="103" s="1"/>
  <c r="BT120" i="103"/>
  <c r="BU120" i="103"/>
  <c r="BV120" i="103"/>
  <c r="CA121" i="103" s="1"/>
  <c r="BW120" i="103"/>
  <c r="BW117" i="103"/>
  <c r="BX117" i="103"/>
  <c r="BY117" i="103"/>
  <c r="BZ117" i="103"/>
  <c r="CA117" i="103"/>
  <c r="CB117" i="103"/>
  <c r="CD117" i="103"/>
  <c r="CE117" i="103"/>
  <c r="CF117" i="103"/>
  <c r="CG117" i="103"/>
  <c r="CI117" i="103"/>
  <c r="CJ117" i="103"/>
  <c r="CK117" i="103"/>
  <c r="CL117" i="103"/>
  <c r="CN117" i="103"/>
  <c r="CO117" i="103"/>
  <c r="CP117" i="103"/>
  <c r="CS117" i="103"/>
  <c r="CU117" i="103"/>
  <c r="CV117" i="103"/>
  <c r="CX117" i="103"/>
  <c r="CY117" i="103"/>
  <c r="CZ117" i="103"/>
  <c r="DA117" i="103"/>
  <c r="DC117" i="103"/>
  <c r="DD117" i="103"/>
  <c r="DE117" i="103"/>
  <c r="DF117" i="103"/>
  <c r="DH117" i="103"/>
  <c r="DJ117" i="103"/>
  <c r="DK117" i="103"/>
  <c r="DM117" i="103"/>
  <c r="DN117" i="103"/>
  <c r="DO117" i="103"/>
  <c r="DP117" i="103"/>
  <c r="DR117" i="103"/>
  <c r="DS117" i="103"/>
  <c r="DT117" i="103"/>
  <c r="DU117" i="103"/>
  <c r="DW117" i="103"/>
  <c r="DX117" i="103"/>
  <c r="DY117" i="103"/>
  <c r="DZ117" i="103"/>
  <c r="EB117" i="103"/>
  <c r="EC117" i="103"/>
  <c r="AP118" i="103"/>
  <c r="AQ118" i="103"/>
  <c r="AR118" i="103"/>
  <c r="AS118" i="103"/>
  <c r="AU118" i="103"/>
  <c r="AV118" i="103"/>
  <c r="AW118" i="103"/>
  <c r="AX118" i="103"/>
  <c r="AY118" i="103"/>
  <c r="AZ118" i="103"/>
  <c r="BD118" i="103" s="1"/>
  <c r="BA118" i="103"/>
  <c r="BB118" i="103"/>
  <c r="BC118" i="103"/>
  <c r="BE118" i="103"/>
  <c r="BF118" i="103"/>
  <c r="BG118" i="103"/>
  <c r="BH118" i="103"/>
  <c r="BI118" i="103"/>
  <c r="BJ118" i="103"/>
  <c r="BK118" i="103"/>
  <c r="BL118" i="103"/>
  <c r="BM118" i="103"/>
  <c r="BN118" i="103"/>
  <c r="BO118" i="103"/>
  <c r="BP118" i="103"/>
  <c r="BQ118" i="103"/>
  <c r="BR118" i="103"/>
  <c r="BT118" i="103"/>
  <c r="BU118" i="103"/>
  <c r="BV118" i="103"/>
  <c r="BV119" i="103" s="1"/>
  <c r="BW118" i="103"/>
  <c r="BX118" i="103"/>
  <c r="BY118" i="103"/>
  <c r="BZ118" i="103"/>
  <c r="CA118" i="103"/>
  <c r="CB118" i="103"/>
  <c r="CD118" i="103"/>
  <c r="CE118" i="103"/>
  <c r="CE119" i="103" s="1"/>
  <c r="CF118" i="103"/>
  <c r="CF119" i="103" s="1"/>
  <c r="CG118" i="103"/>
  <c r="CG119" i="103" s="1"/>
  <c r="CI118" i="103"/>
  <c r="CJ118" i="103"/>
  <c r="CK118" i="103"/>
  <c r="CL118" i="103"/>
  <c r="CM118" i="103"/>
  <c r="CN118" i="103"/>
  <c r="CO118" i="103"/>
  <c r="CO119" i="103" s="1"/>
  <c r="CP118" i="103"/>
  <c r="CQ118" i="103"/>
  <c r="CS118" i="103"/>
  <c r="CT118" i="103"/>
  <c r="CU118" i="103"/>
  <c r="CV118" i="103"/>
  <c r="CV119" i="103" s="1"/>
  <c r="CW118" i="103"/>
  <c r="CX118" i="103"/>
  <c r="CY118" i="103"/>
  <c r="CZ118" i="103"/>
  <c r="DB118" i="103" s="1"/>
  <c r="DB119" i="103" s="1"/>
  <c r="DA118" i="103"/>
  <c r="DC118" i="103"/>
  <c r="DG118" i="103" s="1"/>
  <c r="DD118" i="103"/>
  <c r="DE118" i="103"/>
  <c r="DE119" i="103" s="1"/>
  <c r="DF118" i="103"/>
  <c r="DH118" i="103"/>
  <c r="DI118" i="103"/>
  <c r="DJ118" i="103"/>
  <c r="DJ119" i="103" s="1"/>
  <c r="DK118" i="103"/>
  <c r="DM118" i="103"/>
  <c r="DN118" i="103"/>
  <c r="DO118" i="103"/>
  <c r="DP118" i="103"/>
  <c r="DR118" i="103"/>
  <c r="DS118" i="103"/>
  <c r="DS119" i="103" s="1"/>
  <c r="DT118" i="103"/>
  <c r="DU118" i="103"/>
  <c r="DW118" i="103"/>
  <c r="DX118" i="103"/>
  <c r="DY118" i="103"/>
  <c r="DY120" i="103" s="1"/>
  <c r="DZ118" i="103"/>
  <c r="EB118" i="103"/>
  <c r="EB119" i="103" s="1"/>
  <c r="EC118" i="103"/>
  <c r="EC119" i="103" s="1"/>
  <c r="EG118" i="103"/>
  <c r="EI118" i="103"/>
  <c r="EG120" i="103"/>
  <c r="EH120" i="103"/>
  <c r="EI120" i="103"/>
  <c r="EJ120" i="103"/>
  <c r="BW119" i="103"/>
  <c r="BY120" i="103"/>
  <c r="BZ120" i="103"/>
  <c r="BZ119" i="103" s="1"/>
  <c r="CA120" i="103"/>
  <c r="CA119" i="103"/>
  <c r="CB120" i="103"/>
  <c r="CB119" i="103" s="1"/>
  <c r="CI120" i="103"/>
  <c r="CJ120" i="103"/>
  <c r="CJ119" i="103"/>
  <c r="CK120" i="103"/>
  <c r="CK119" i="103"/>
  <c r="CL120" i="103"/>
  <c r="CL119" i="103"/>
  <c r="CN120" i="103"/>
  <c r="CO120" i="103"/>
  <c r="CP120" i="103"/>
  <c r="CP119" i="103"/>
  <c r="CQ120" i="103"/>
  <c r="CQ119" i="103" s="1"/>
  <c r="CS120" i="103"/>
  <c r="CS119" i="103"/>
  <c r="CT120" i="103"/>
  <c r="CT119" i="103"/>
  <c r="CU120" i="103"/>
  <c r="CU119" i="103"/>
  <c r="CV120" i="103"/>
  <c r="CX120" i="103"/>
  <c r="DB120" i="103" s="1"/>
  <c r="CX119" i="103"/>
  <c r="CY120" i="103"/>
  <c r="CY121" i="103" s="1"/>
  <c r="CZ120" i="103"/>
  <c r="DE121" i="103" s="1"/>
  <c r="DA119" i="103"/>
  <c r="DC120" i="103"/>
  <c r="DC119" i="103"/>
  <c r="DD120" i="103"/>
  <c r="DE120" i="103"/>
  <c r="DF120" i="103"/>
  <c r="DF119" i="103"/>
  <c r="DH120" i="103"/>
  <c r="DH119" i="103"/>
  <c r="DI119" i="103"/>
  <c r="DJ120" i="103"/>
  <c r="DJ121" i="103" s="1"/>
  <c r="DK120" i="103"/>
  <c r="DM120" i="103"/>
  <c r="DN120" i="103"/>
  <c r="DN119" i="103" s="1"/>
  <c r="DO120" i="103"/>
  <c r="DO119" i="103"/>
  <c r="DP120" i="103"/>
  <c r="DP119" i="103"/>
  <c r="DR120" i="103"/>
  <c r="DR119" i="103"/>
  <c r="DS120" i="103"/>
  <c r="DU120" i="103"/>
  <c r="DU119" i="103"/>
  <c r="DW120" i="103"/>
  <c r="DX120" i="103"/>
  <c r="DX119" i="103"/>
  <c r="DY119" i="103"/>
  <c r="DZ120" i="103"/>
  <c r="EB120" i="103"/>
  <c r="EC120" i="103"/>
  <c r="ED120" i="103"/>
  <c r="BN120" i="103"/>
  <c r="BN198" i="103" s="1"/>
  <c r="BN201" i="103" s="1"/>
  <c r="BN202" i="103" s="1"/>
  <c r="BN203" i="103" s="1"/>
  <c r="BO120" i="103"/>
  <c r="BP120" i="103"/>
  <c r="BQ120" i="103"/>
  <c r="BR120" i="103"/>
  <c r="EL120" i="103"/>
  <c r="EM120" i="103"/>
  <c r="EN120" i="103"/>
  <c r="EN198" i="103" s="1"/>
  <c r="EN161" i="103" s="1"/>
  <c r="EN163" i="103" s="1"/>
  <c r="EV120" i="103"/>
  <c r="BU121" i="103"/>
  <c r="BV121" i="103"/>
  <c r="BW121" i="103"/>
  <c r="CE121" i="103"/>
  <c r="CF121" i="103"/>
  <c r="CG121" i="103"/>
  <c r="CJ121" i="103"/>
  <c r="CK121" i="103"/>
  <c r="CO121" i="103"/>
  <c r="CP121" i="103"/>
  <c r="CS121" i="103"/>
  <c r="CX121" i="103"/>
  <c r="DA121" i="103"/>
  <c r="DF121" i="103"/>
  <c r="DK121" i="103"/>
  <c r="DN121" i="103"/>
  <c r="DP121" i="103"/>
  <c r="DR121" i="103"/>
  <c r="DZ121" i="103"/>
  <c r="ED122" i="103"/>
  <c r="G123" i="103"/>
  <c r="H123" i="103"/>
  <c r="H125" i="103" s="1"/>
  <c r="I123" i="103"/>
  <c r="J123" i="103"/>
  <c r="K123" i="103"/>
  <c r="K124" i="103" s="1"/>
  <c r="L123" i="103"/>
  <c r="L124" i="103" s="1"/>
  <c r="M123" i="103"/>
  <c r="N123" i="103"/>
  <c r="N125" i="103" s="1"/>
  <c r="O123" i="103"/>
  <c r="P123" i="103"/>
  <c r="Q123" i="103"/>
  <c r="R123" i="103"/>
  <c r="S123" i="103"/>
  <c r="S124" i="103" s="1"/>
  <c r="T123" i="103"/>
  <c r="T124" i="103" s="1"/>
  <c r="U123" i="103"/>
  <c r="V123" i="103"/>
  <c r="V125" i="103" s="1"/>
  <c r="W123" i="103"/>
  <c r="X123" i="103"/>
  <c r="X125" i="103" s="1"/>
  <c r="Y123" i="103"/>
  <c r="Z123" i="103"/>
  <c r="AA123" i="103"/>
  <c r="AA124" i="103" s="1"/>
  <c r="AB123" i="103"/>
  <c r="AB124" i="103" s="1"/>
  <c r="AC123" i="103"/>
  <c r="AD123" i="103"/>
  <c r="AD125" i="103" s="1"/>
  <c r="AE123" i="103"/>
  <c r="AF123" i="103"/>
  <c r="AF125" i="103" s="1"/>
  <c r="AG123" i="103"/>
  <c r="AH123" i="103"/>
  <c r="AI123" i="103"/>
  <c r="AI124" i="103" s="1"/>
  <c r="AJ123" i="103"/>
  <c r="AJ124" i="103" s="1"/>
  <c r="AK123" i="103"/>
  <c r="AL123" i="103"/>
  <c r="AL125" i="103" s="1"/>
  <c r="AM123" i="103"/>
  <c r="AN123" i="103"/>
  <c r="AN125" i="103" s="1"/>
  <c r="AO123" i="103"/>
  <c r="AP123" i="103"/>
  <c r="AQ123" i="103"/>
  <c r="AQ124" i="103" s="1"/>
  <c r="AR123" i="103"/>
  <c r="AR124" i="103" s="1"/>
  <c r="AS123" i="103"/>
  <c r="AT123" i="103"/>
  <c r="AU123" i="103"/>
  <c r="AV123" i="103"/>
  <c r="AV125" i="103" s="1"/>
  <c r="AW123" i="103"/>
  <c r="BB124" i="103" s="1"/>
  <c r="AX123" i="103"/>
  <c r="AY123" i="103"/>
  <c r="AY124" i="103" s="1"/>
  <c r="AZ123" i="103"/>
  <c r="AZ124" i="103" s="1"/>
  <c r="BA123" i="103"/>
  <c r="BB123" i="103"/>
  <c r="BB125" i="103" s="1"/>
  <c r="BC123" i="103"/>
  <c r="BD123" i="103"/>
  <c r="BE123" i="103"/>
  <c r="BF123" i="103"/>
  <c r="BG123" i="103"/>
  <c r="BG124" i="103" s="1"/>
  <c r="BH123" i="103"/>
  <c r="BH124" i="103" s="1"/>
  <c r="BI123" i="103"/>
  <c r="BJ123" i="103"/>
  <c r="BJ125" i="103" s="1"/>
  <c r="BK123" i="103"/>
  <c r="BL123" i="103"/>
  <c r="BL125" i="103" s="1"/>
  <c r="BM123" i="103"/>
  <c r="BR124" i="103" s="1"/>
  <c r="BN123" i="103"/>
  <c r="BN124" i="103" s="1"/>
  <c r="BO123" i="103"/>
  <c r="BO124" i="103" s="1"/>
  <c r="BP123" i="103"/>
  <c r="BP124" i="103" s="1"/>
  <c r="BQ123" i="103"/>
  <c r="BR123" i="103"/>
  <c r="BR125" i="103" s="1"/>
  <c r="BS123" i="103"/>
  <c r="BT123" i="103"/>
  <c r="BT125" i="103" s="1"/>
  <c r="BU123" i="103"/>
  <c r="BV123" i="103"/>
  <c r="BW123" i="103"/>
  <c r="BW124" i="103" s="1"/>
  <c r="BX123" i="103"/>
  <c r="BX124" i="103" s="1"/>
  <c r="BY123" i="103"/>
  <c r="BZ123" i="103"/>
  <c r="BZ125" i="103" s="1"/>
  <c r="CA123" i="103"/>
  <c r="CB123" i="103"/>
  <c r="CB125" i="103" s="1"/>
  <c r="CC123" i="103"/>
  <c r="CC124" i="103" s="1"/>
  <c r="CC125" i="103" s="1"/>
  <c r="CD123" i="103"/>
  <c r="CE123" i="103"/>
  <c r="CE124" i="103" s="1"/>
  <c r="CF123" i="103"/>
  <c r="CF124" i="103" s="1"/>
  <c r="CG123" i="103"/>
  <c r="CH123" i="103"/>
  <c r="CI123" i="103"/>
  <c r="CJ123" i="103"/>
  <c r="CJ125" i="103" s="1"/>
  <c r="CK123" i="103"/>
  <c r="CL123" i="103"/>
  <c r="CM123" i="103"/>
  <c r="CM124" i="103" s="1"/>
  <c r="CN123" i="103"/>
  <c r="CN124" i="103" s="1"/>
  <c r="CO123" i="103"/>
  <c r="CP123" i="103"/>
  <c r="CP125" i="103" s="1"/>
  <c r="CQ123" i="103"/>
  <c r="CR123" i="103"/>
  <c r="CS123" i="103"/>
  <c r="CX124" i="103" s="1"/>
  <c r="CT123" i="103"/>
  <c r="CU123" i="103"/>
  <c r="CU124" i="103" s="1"/>
  <c r="CV123" i="103"/>
  <c r="CV124" i="103" s="1"/>
  <c r="CW123" i="103"/>
  <c r="CX123" i="103"/>
  <c r="CX125" i="103" s="1"/>
  <c r="CY123" i="103"/>
  <c r="CZ123" i="103"/>
  <c r="CZ125" i="103" s="1"/>
  <c r="DA123" i="103"/>
  <c r="DB126" i="103"/>
  <c r="DC123" i="103"/>
  <c r="DC124" i="103" s="1"/>
  <c r="DD123" i="103"/>
  <c r="DE126" i="103"/>
  <c r="DE123" i="103" s="1"/>
  <c r="DJ124" i="103" s="1"/>
  <c r="DF123" i="103"/>
  <c r="DG126" i="103"/>
  <c r="DG204" i="103" s="1"/>
  <c r="DG123" i="103"/>
  <c r="DH123" i="103"/>
  <c r="DI123" i="103"/>
  <c r="DJ123" i="103"/>
  <c r="DK123" i="103"/>
  <c r="DK124" i="103" s="1"/>
  <c r="DL126" i="103"/>
  <c r="DL123" i="103"/>
  <c r="DM123" i="103"/>
  <c r="DR124" i="103" s="1"/>
  <c r="DN123" i="103"/>
  <c r="DN125" i="103" s="1"/>
  <c r="DO123" i="103"/>
  <c r="DO124" i="103" s="1"/>
  <c r="DP123" i="103"/>
  <c r="DQ126" i="103"/>
  <c r="DR123" i="103"/>
  <c r="DS123" i="103"/>
  <c r="DT123" i="103"/>
  <c r="DU123" i="103"/>
  <c r="DZ124" i="103" s="1"/>
  <c r="DV126" i="103"/>
  <c r="DV123" i="103"/>
  <c r="DW123" i="103"/>
  <c r="DX123" i="103"/>
  <c r="DY123" i="103"/>
  <c r="DZ123" i="103"/>
  <c r="DZ125" i="103" s="1"/>
  <c r="EA126" i="103"/>
  <c r="EA123" i="103"/>
  <c r="EB123" i="103"/>
  <c r="EC123" i="103"/>
  <c r="EC124" i="103" s="1"/>
  <c r="ED123" i="103"/>
  <c r="EF126" i="103"/>
  <c r="EG123" i="103"/>
  <c r="EH123" i="103"/>
  <c r="EM124" i="103" s="1"/>
  <c r="EI123" i="103"/>
  <c r="EI124" i="103" s="1"/>
  <c r="EJ123" i="103"/>
  <c r="EK126" i="103"/>
  <c r="EL123" i="103"/>
  <c r="EM123" i="103"/>
  <c r="EM125" i="103" s="1"/>
  <c r="EN123" i="103"/>
  <c r="EN125" i="103" s="1"/>
  <c r="G124" i="103"/>
  <c r="H124" i="103"/>
  <c r="M124" i="103"/>
  <c r="U124" i="103"/>
  <c r="V124" i="103"/>
  <c r="W124" i="103"/>
  <c r="X124" i="103"/>
  <c r="AC124" i="103"/>
  <c r="AK124" i="103"/>
  <c r="AL124" i="103"/>
  <c r="AM124" i="103"/>
  <c r="AN124" i="103"/>
  <c r="AS124" i="103"/>
  <c r="BA124" i="103"/>
  <c r="BC124" i="103"/>
  <c r="BD124" i="103"/>
  <c r="BD125" i="103" s="1"/>
  <c r="BI124" i="103"/>
  <c r="BQ124" i="103"/>
  <c r="BS124" i="103"/>
  <c r="BS125" i="103" s="1"/>
  <c r="BT124" i="103"/>
  <c r="BY124" i="103"/>
  <c r="CG124" i="103"/>
  <c r="CH124" i="103"/>
  <c r="CH125" i="103" s="1"/>
  <c r="CI124" i="103"/>
  <c r="CJ124" i="103"/>
  <c r="CO124" i="103"/>
  <c r="CW124" i="103"/>
  <c r="CY124" i="103"/>
  <c r="CZ124" i="103"/>
  <c r="DD124" i="103"/>
  <c r="DM124" i="103"/>
  <c r="DN124" i="103"/>
  <c r="DW124" i="103"/>
  <c r="DX124" i="103"/>
  <c r="ED124" i="103"/>
  <c r="EL124" i="103"/>
  <c r="EN124" i="103"/>
  <c r="EQ124" i="103"/>
  <c r="ER124" i="103"/>
  <c r="ES124" i="103"/>
  <c r="ET124" i="103"/>
  <c r="EV124" i="103"/>
  <c r="EW124" i="103"/>
  <c r="EX124" i="103"/>
  <c r="EY124" i="103"/>
  <c r="FA124" i="103"/>
  <c r="FB124" i="103"/>
  <c r="FC124" i="103"/>
  <c r="FD124" i="103"/>
  <c r="FE124" i="103"/>
  <c r="G125" i="103"/>
  <c r="K125" i="103"/>
  <c r="L125" i="103"/>
  <c r="M125" i="103"/>
  <c r="O125" i="103"/>
  <c r="U125" i="103"/>
  <c r="W125" i="103"/>
  <c r="AJ125" i="103"/>
  <c r="AK125" i="103"/>
  <c r="AM125" i="103"/>
  <c r="AS125" i="103"/>
  <c r="AU125" i="103"/>
  <c r="AY125" i="103"/>
  <c r="AZ125" i="103"/>
  <c r="BA125" i="103"/>
  <c r="BC125" i="103"/>
  <c r="BI125" i="103"/>
  <c r="BK125" i="103"/>
  <c r="BN125" i="103"/>
  <c r="BX125" i="103"/>
  <c r="BY125" i="103"/>
  <c r="CA125" i="103"/>
  <c r="CG125" i="103"/>
  <c r="CI125" i="103"/>
  <c r="CM125" i="103"/>
  <c r="CN125" i="103"/>
  <c r="CO125" i="103"/>
  <c r="CQ125" i="103"/>
  <c r="CW125" i="103"/>
  <c r="CY125" i="103"/>
  <c r="DD125" i="103"/>
  <c r="DK125" i="103"/>
  <c r="DO125" i="103"/>
  <c r="DU125" i="103"/>
  <c r="DX125" i="103"/>
  <c r="DY125" i="103"/>
  <c r="EH125" i="103"/>
  <c r="EI125" i="103"/>
  <c r="EQ125" i="103"/>
  <c r="ER125" i="103"/>
  <c r="ES125" i="103"/>
  <c r="ET125" i="103"/>
  <c r="EV125" i="103"/>
  <c r="EW125" i="103"/>
  <c r="EX125" i="103"/>
  <c r="EY125" i="103"/>
  <c r="FA125" i="103"/>
  <c r="FB125" i="103"/>
  <c r="FC125" i="103"/>
  <c r="FD125" i="103"/>
  <c r="AU127" i="103"/>
  <c r="AV127" i="103"/>
  <c r="AW127" i="103"/>
  <c r="AX127" i="103"/>
  <c r="AY127" i="103"/>
  <c r="AZ127" i="103"/>
  <c r="BA127" i="103"/>
  <c r="BB127" i="103"/>
  <c r="BC127" i="103"/>
  <c r="BD127" i="103"/>
  <c r="BE127" i="103"/>
  <c r="BF127" i="103"/>
  <c r="BG127" i="103"/>
  <c r="BH127" i="103"/>
  <c r="BI127" i="103"/>
  <c r="BJ127" i="103"/>
  <c r="BK127" i="103"/>
  <c r="BL127" i="103"/>
  <c r="BM127" i="103"/>
  <c r="BN127" i="103"/>
  <c r="BS127" i="103"/>
  <c r="BT127" i="103"/>
  <c r="BU127" i="103"/>
  <c r="BV127" i="103"/>
  <c r="BW127" i="103"/>
  <c r="BX127" i="103"/>
  <c r="BY127" i="103"/>
  <c r="BZ127" i="103"/>
  <c r="CA127" i="103"/>
  <c r="CB127" i="103"/>
  <c r="CC127" i="103"/>
  <c r="CD127" i="103"/>
  <c r="CE127" i="103"/>
  <c r="CF127" i="103"/>
  <c r="CG127" i="103"/>
  <c r="CH127" i="103"/>
  <c r="CI127" i="103"/>
  <c r="CJ127" i="103"/>
  <c r="CK127" i="103"/>
  <c r="CL127" i="103"/>
  <c r="CM127" i="103"/>
  <c r="CN127" i="103"/>
  <c r="CO127" i="103"/>
  <c r="CP127" i="103"/>
  <c r="CQ127" i="103"/>
  <c r="CR127" i="103"/>
  <c r="CS127" i="103"/>
  <c r="CT127" i="103"/>
  <c r="CU127" i="103"/>
  <c r="CV127" i="103"/>
  <c r="CW127" i="103"/>
  <c r="CX127" i="103"/>
  <c r="CY127" i="103"/>
  <c r="CZ127" i="103"/>
  <c r="DA127" i="103"/>
  <c r="DC127" i="103"/>
  <c r="DD127" i="103"/>
  <c r="DE127" i="103"/>
  <c r="DF127" i="103"/>
  <c r="DH127" i="103"/>
  <c r="DI127" i="103"/>
  <c r="DJ127" i="103"/>
  <c r="DK127" i="103"/>
  <c r="DM127" i="103"/>
  <c r="DN127" i="103"/>
  <c r="DO127" i="103"/>
  <c r="DP127" i="103"/>
  <c r="DQ127" i="103"/>
  <c r="DR127" i="103"/>
  <c r="DS127" i="103"/>
  <c r="DT127" i="103"/>
  <c r="DU127" i="103"/>
  <c r="DW127" i="103"/>
  <c r="DX127" i="103"/>
  <c r="DY127" i="103"/>
  <c r="DZ127" i="103"/>
  <c r="EB127" i="103"/>
  <c r="EC127" i="103"/>
  <c r="ED127" i="103"/>
  <c r="EE127" i="103"/>
  <c r="EF127" i="103"/>
  <c r="EG127" i="103"/>
  <c r="EH127" i="103"/>
  <c r="EI127" i="103"/>
  <c r="EJ127" i="103"/>
  <c r="EK127" i="103"/>
  <c r="EL127" i="103"/>
  <c r="EM127" i="103"/>
  <c r="EN127" i="103"/>
  <c r="BE128" i="103"/>
  <c r="BF128" i="103"/>
  <c r="BG128" i="103"/>
  <c r="BH128" i="103"/>
  <c r="BJ128" i="103"/>
  <c r="BK128" i="103"/>
  <c r="BL128" i="103"/>
  <c r="BM128" i="103"/>
  <c r="BO128" i="103"/>
  <c r="BP128" i="103"/>
  <c r="BQ128" i="103"/>
  <c r="BR128" i="103"/>
  <c r="BS128" i="103"/>
  <c r="BT128" i="103"/>
  <c r="BU128" i="103"/>
  <c r="BV128" i="103"/>
  <c r="BW128" i="103"/>
  <c r="BX128" i="103"/>
  <c r="BY128" i="103"/>
  <c r="BZ128" i="103"/>
  <c r="CA128" i="103"/>
  <c r="CB128" i="103"/>
  <c r="CC128" i="103"/>
  <c r="CD128" i="103"/>
  <c r="CE128" i="103"/>
  <c r="CF128" i="103"/>
  <c r="CG128" i="103"/>
  <c r="CH128" i="103"/>
  <c r="CI128" i="103"/>
  <c r="CJ128" i="103"/>
  <c r="CK128" i="103"/>
  <c r="CL128" i="103"/>
  <c r="CM128" i="103"/>
  <c r="CN128" i="103"/>
  <c r="CO128" i="103"/>
  <c r="CP128" i="103"/>
  <c r="CQ128" i="103"/>
  <c r="CR128" i="103"/>
  <c r="CS128" i="103"/>
  <c r="CT128" i="103"/>
  <c r="CU128" i="103"/>
  <c r="CV128" i="103"/>
  <c r="CW128" i="103"/>
  <c r="CX128" i="103"/>
  <c r="CY128" i="103"/>
  <c r="CZ128" i="103"/>
  <c r="DA128" i="103"/>
  <c r="DB128" i="103"/>
  <c r="DC128" i="103"/>
  <c r="DD128" i="103"/>
  <c r="DF128" i="103"/>
  <c r="DH128" i="103"/>
  <c r="DI128" i="103"/>
  <c r="DJ128" i="103"/>
  <c r="DK128" i="103"/>
  <c r="DL128" i="103"/>
  <c r="DM128" i="103"/>
  <c r="DN128" i="103"/>
  <c r="DO128" i="103"/>
  <c r="DP128" i="103"/>
  <c r="DQ128" i="103"/>
  <c r="DR128" i="103"/>
  <c r="DS128" i="103"/>
  <c r="DT128" i="103"/>
  <c r="DU128" i="103"/>
  <c r="DW128" i="103"/>
  <c r="DX128" i="103"/>
  <c r="DY128" i="103"/>
  <c r="DZ128" i="103"/>
  <c r="EB128" i="103"/>
  <c r="EC128" i="103"/>
  <c r="ED128" i="103"/>
  <c r="EG128" i="103"/>
  <c r="EH128" i="103"/>
  <c r="EI128" i="103"/>
  <c r="EL128" i="103"/>
  <c r="EM128" i="103"/>
  <c r="EN128" i="103"/>
  <c r="CQ136" i="103"/>
  <c r="CR136" i="103" s="1"/>
  <c r="CS136" i="103"/>
  <c r="CS129" i="103" s="1"/>
  <c r="CT136" i="103"/>
  <c r="CT129" i="103" s="1"/>
  <c r="CT131" i="103" s="1"/>
  <c r="CU136" i="103"/>
  <c r="CU129" i="103"/>
  <c r="CU131" i="103" s="1"/>
  <c r="CV136" i="103"/>
  <c r="CV129" i="103"/>
  <c r="CX132" i="103"/>
  <c r="CX136" i="103" s="1"/>
  <c r="CY136" i="103"/>
  <c r="CY137" i="103" s="1"/>
  <c r="CY129" i="103"/>
  <c r="CY130" i="103" s="1"/>
  <c r="CZ136" i="103"/>
  <c r="DE137" i="103" s="1"/>
  <c r="CZ129" i="103"/>
  <c r="CZ130" i="103" s="1"/>
  <c r="DA136" i="103"/>
  <c r="DA129" i="103"/>
  <c r="DC136" i="103"/>
  <c r="DC129" i="103" s="1"/>
  <c r="DD136" i="103"/>
  <c r="DD137" i="103" s="1"/>
  <c r="DD129" i="103"/>
  <c r="DE136" i="103"/>
  <c r="DE129" i="103"/>
  <c r="DE131" i="103" s="1"/>
  <c r="DF136" i="103"/>
  <c r="DF129" i="103"/>
  <c r="DG136" i="103"/>
  <c r="DH136" i="103"/>
  <c r="DM137" i="103" s="1"/>
  <c r="DH129" i="103"/>
  <c r="DI136" i="103"/>
  <c r="DI129" i="103"/>
  <c r="DI130" i="103" s="1"/>
  <c r="DJ136" i="103"/>
  <c r="DJ129" i="103"/>
  <c r="DK136" i="103"/>
  <c r="DK129" i="103" s="1"/>
  <c r="DM136" i="103"/>
  <c r="DM129" i="103"/>
  <c r="DR130" i="103" s="1"/>
  <c r="DN136" i="103"/>
  <c r="DQ136" i="103" s="1"/>
  <c r="DN129" i="103"/>
  <c r="DN131" i="103" s="1"/>
  <c r="DO136" i="103"/>
  <c r="DO137" i="103" s="1"/>
  <c r="DP136" i="103"/>
  <c r="DP129" i="103"/>
  <c r="DU130" i="103" s="1"/>
  <c r="DR136" i="103"/>
  <c r="DR129" i="103"/>
  <c r="DS136" i="103"/>
  <c r="DS137" i="103" s="1"/>
  <c r="DS129" i="103"/>
  <c r="DT136" i="103"/>
  <c r="DT137" i="103" s="1"/>
  <c r="DU136" i="103"/>
  <c r="DU137" i="103" s="1"/>
  <c r="DW136" i="103"/>
  <c r="DW129" i="103"/>
  <c r="DW130" i="103" s="1"/>
  <c r="DX136" i="103"/>
  <c r="DX129" i="103"/>
  <c r="DY136" i="103"/>
  <c r="DY137" i="103" s="1"/>
  <c r="DY129" i="103"/>
  <c r="DZ136" i="103"/>
  <c r="DZ129" i="103"/>
  <c r="DZ130" i="103" s="1"/>
  <c r="EB136" i="103"/>
  <c r="EB137" i="103" s="1"/>
  <c r="EB129" i="103"/>
  <c r="EC136" i="103"/>
  <c r="EC137" i="103" s="1"/>
  <c r="EC129" i="103"/>
  <c r="EC130" i="103" s="1"/>
  <c r="DD130" i="103"/>
  <c r="DF130" i="103"/>
  <c r="DK130" i="103"/>
  <c r="DN130" i="103"/>
  <c r="EB130" i="103"/>
  <c r="EP130" i="103"/>
  <c r="EU130" i="103"/>
  <c r="EZ130" i="103"/>
  <c r="FE130" i="103"/>
  <c r="DI131" i="103"/>
  <c r="DJ131" i="103"/>
  <c r="DU131" i="103"/>
  <c r="DW131" i="103"/>
  <c r="EB131" i="103"/>
  <c r="EC131" i="103"/>
  <c r="DB132" i="103"/>
  <c r="DB133" i="103" s="1"/>
  <c r="DG132" i="103"/>
  <c r="DL132" i="103"/>
  <c r="DQ132" i="103"/>
  <c r="DV132" i="103"/>
  <c r="DV134" i="103" s="1"/>
  <c r="EA132" i="103"/>
  <c r="CR133" i="103"/>
  <c r="CS133" i="103"/>
  <c r="CT133" i="103"/>
  <c r="CU133" i="103"/>
  <c r="CV133" i="103"/>
  <c r="CW133" i="103"/>
  <c r="CX133" i="103"/>
  <c r="CY133" i="103"/>
  <c r="CZ133" i="103"/>
  <c r="DA133" i="103"/>
  <c r="DC133" i="103"/>
  <c r="DD133" i="103"/>
  <c r="DE133" i="103"/>
  <c r="DF133" i="103"/>
  <c r="DH133" i="103"/>
  <c r="DI133" i="103"/>
  <c r="DJ133" i="103"/>
  <c r="DK133" i="103"/>
  <c r="DL133" i="103"/>
  <c r="DM133" i="103"/>
  <c r="DN133" i="103"/>
  <c r="DO133" i="103"/>
  <c r="DP133" i="103"/>
  <c r="DR133" i="103"/>
  <c r="DS133" i="103"/>
  <c r="DT133" i="103"/>
  <c r="DU133" i="103"/>
  <c r="DV133" i="103"/>
  <c r="DW133" i="103"/>
  <c r="DX133" i="103"/>
  <c r="DY133" i="103"/>
  <c r="DZ133" i="103"/>
  <c r="EA133" i="103"/>
  <c r="EB133" i="103"/>
  <c r="EC133" i="103"/>
  <c r="ED133" i="103"/>
  <c r="FO133" i="103"/>
  <c r="FP133" i="103"/>
  <c r="FQ133" i="103"/>
  <c r="CS134" i="103"/>
  <c r="CT134" i="103"/>
  <c r="CU134" i="103"/>
  <c r="CV134" i="103"/>
  <c r="CW134" i="103"/>
  <c r="CY134" i="103"/>
  <c r="CZ134" i="103"/>
  <c r="DA134" i="103"/>
  <c r="DB134" i="103"/>
  <c r="DC134" i="103"/>
  <c r="DD134" i="103"/>
  <c r="DE134" i="103"/>
  <c r="DF134" i="103"/>
  <c r="DH134" i="103"/>
  <c r="DI134" i="103"/>
  <c r="DJ134" i="103"/>
  <c r="DK134" i="103"/>
  <c r="DL134" i="103"/>
  <c r="DM134" i="103"/>
  <c r="DN134" i="103"/>
  <c r="DO134" i="103"/>
  <c r="DP134" i="103"/>
  <c r="DR134" i="103"/>
  <c r="DS134" i="103"/>
  <c r="DT134" i="103"/>
  <c r="DU134" i="103"/>
  <c r="DW134" i="103"/>
  <c r="DX134" i="103"/>
  <c r="DY134" i="103"/>
  <c r="DZ134" i="103"/>
  <c r="EA134" i="103"/>
  <c r="EB134" i="103"/>
  <c r="EC134" i="103"/>
  <c r="ED134" i="103"/>
  <c r="CZ137" i="103"/>
  <c r="DC137" i="103"/>
  <c r="DF137" i="103"/>
  <c r="DH137" i="103"/>
  <c r="DI137" i="103"/>
  <c r="DJ137" i="103"/>
  <c r="DK137" i="103"/>
  <c r="DN137" i="103"/>
  <c r="DR137" i="103"/>
  <c r="DW137" i="103"/>
  <c r="DX137" i="103"/>
  <c r="DZ137" i="103"/>
  <c r="BT138" i="103"/>
  <c r="BU138" i="103"/>
  <c r="BV138" i="103"/>
  <c r="BW138" i="103"/>
  <c r="BX138" i="103"/>
  <c r="BY138" i="103"/>
  <c r="BZ138" i="103"/>
  <c r="CA138" i="103"/>
  <c r="CB138" i="103"/>
  <c r="CC138" i="103"/>
  <c r="CD138" i="103"/>
  <c r="CE138" i="103"/>
  <c r="CF138" i="103"/>
  <c r="CG140" i="103" s="1"/>
  <c r="CG138" i="103"/>
  <c r="CH138" i="103"/>
  <c r="CI138" i="103"/>
  <c r="CI140" i="103" s="1"/>
  <c r="CJ138" i="103"/>
  <c r="CJ139" i="103" s="1"/>
  <c r="CK138" i="103"/>
  <c r="CL138" i="103"/>
  <c r="CN138" i="103"/>
  <c r="CN139" i="103" s="1"/>
  <c r="CO138" i="103"/>
  <c r="CP138" i="103"/>
  <c r="CS138" i="103"/>
  <c r="CT138" i="103"/>
  <c r="CU138" i="103"/>
  <c r="CV138" i="103"/>
  <c r="CX138" i="103"/>
  <c r="CY138" i="103"/>
  <c r="CZ138" i="103"/>
  <c r="CZ140" i="103" s="1"/>
  <c r="DA138" i="103"/>
  <c r="DC138" i="103"/>
  <c r="DD138" i="103"/>
  <c r="DD139" i="103" s="1"/>
  <c r="DE138" i="103"/>
  <c r="DF138" i="103"/>
  <c r="DH138" i="103"/>
  <c r="DH140" i="103" s="1"/>
  <c r="DI138" i="103"/>
  <c r="DJ138" i="103"/>
  <c r="DK138" i="103"/>
  <c r="DM138" i="103"/>
  <c r="DN138" i="103"/>
  <c r="DO138" i="103"/>
  <c r="DP138" i="103"/>
  <c r="DR138" i="103"/>
  <c r="DS138" i="103"/>
  <c r="DW138" i="103"/>
  <c r="DX138" i="103"/>
  <c r="DY138" i="103"/>
  <c r="DY139" i="103" s="1"/>
  <c r="DZ138" i="103"/>
  <c r="EB138" i="103"/>
  <c r="EC138" i="103"/>
  <c r="ED138" i="103"/>
  <c r="CI139" i="103"/>
  <c r="CO139" i="103"/>
  <c r="CP139" i="103"/>
  <c r="CZ139" i="103"/>
  <c r="DE139" i="103"/>
  <c r="DF139" i="103"/>
  <c r="DH139" i="103"/>
  <c r="DM139" i="103"/>
  <c r="DN139" i="103"/>
  <c r="DT139" i="103"/>
  <c r="DU139" i="103"/>
  <c r="DW139" i="103"/>
  <c r="DZ139" i="103"/>
  <c r="CE140" i="103"/>
  <c r="CJ140" i="103"/>
  <c r="CN140" i="103"/>
  <c r="CP140" i="103"/>
  <c r="CV140" i="103"/>
  <c r="CX140" i="103"/>
  <c r="CY140" i="103"/>
  <c r="DF140" i="103"/>
  <c r="DN140" i="103"/>
  <c r="DO140" i="103"/>
  <c r="DP140" i="103"/>
  <c r="DU140" i="103"/>
  <c r="DW140" i="103"/>
  <c r="DX140" i="103"/>
  <c r="DY140" i="103"/>
  <c r="DZ140" i="103"/>
  <c r="BT141" i="103"/>
  <c r="BY142" i="103" s="1"/>
  <c r="BU141" i="103"/>
  <c r="BV141" i="103"/>
  <c r="BW141" i="103"/>
  <c r="BW143" i="103" s="1"/>
  <c r="BX141" i="103"/>
  <c r="BY141" i="103"/>
  <c r="BZ141" i="103"/>
  <c r="BZ142" i="103" s="1"/>
  <c r="CA141" i="103"/>
  <c r="CB141" i="103"/>
  <c r="CC141" i="103"/>
  <c r="CC142" i="103" s="1"/>
  <c r="CC143" i="103" s="1"/>
  <c r="CD141" i="103"/>
  <c r="CE141" i="103"/>
  <c r="CF141" i="103"/>
  <c r="CG141" i="103"/>
  <c r="CH141" i="103"/>
  <c r="CH142" i="103" s="1"/>
  <c r="CH143" i="103" s="1"/>
  <c r="CI141" i="103"/>
  <c r="CJ141" i="103"/>
  <c r="CK141" i="103"/>
  <c r="CL141" i="103"/>
  <c r="CM141" i="103"/>
  <c r="CN141" i="103"/>
  <c r="CO141" i="103"/>
  <c r="CP141" i="103"/>
  <c r="CP142" i="103" s="1"/>
  <c r="CQ141" i="103"/>
  <c r="CR141" i="103"/>
  <c r="CS141" i="103"/>
  <c r="CT141" i="103"/>
  <c r="CU141" i="103"/>
  <c r="CV141" i="103"/>
  <c r="CX141" i="103"/>
  <c r="CX142" i="103" s="1"/>
  <c r="CY141" i="103"/>
  <c r="CZ141" i="103"/>
  <c r="DA141" i="103"/>
  <c r="DB141" i="103"/>
  <c r="DC144" i="103"/>
  <c r="DD141" i="103"/>
  <c r="DI142" i="103" s="1"/>
  <c r="DE144" i="103"/>
  <c r="DE141" i="103"/>
  <c r="DF141" i="103"/>
  <c r="DG144" i="103"/>
  <c r="DH141" i="103"/>
  <c r="DI141" i="103"/>
  <c r="DJ141" i="103"/>
  <c r="DK144" i="103"/>
  <c r="DK141" i="103"/>
  <c r="DK143" i="103" s="1"/>
  <c r="DL144" i="103"/>
  <c r="DL141" i="103" s="1"/>
  <c r="DM141" i="103"/>
  <c r="DM143" i="103" s="1"/>
  <c r="DN141" i="103"/>
  <c r="DN142" i="103" s="1"/>
  <c r="DO141" i="103"/>
  <c r="DP141" i="103"/>
  <c r="DP142" i="103" s="1"/>
  <c r="DQ144" i="103"/>
  <c r="DQ141" i="103"/>
  <c r="DR141" i="103"/>
  <c r="DS141" i="103"/>
  <c r="DT141" i="103"/>
  <c r="DU141" i="103"/>
  <c r="DU142" i="103" s="1"/>
  <c r="DV144" i="103"/>
  <c r="DV141" i="103"/>
  <c r="DV142" i="103" s="1"/>
  <c r="DW141" i="103"/>
  <c r="DX141" i="103"/>
  <c r="DX142" i="103" s="1"/>
  <c r="DY141" i="103"/>
  <c r="DY142" i="103" s="1"/>
  <c r="DZ141" i="103"/>
  <c r="DZ142" i="103" s="1"/>
  <c r="EA144" i="103"/>
  <c r="EA141" i="103" s="1"/>
  <c r="EA142" i="103" s="1"/>
  <c r="EB141" i="103"/>
  <c r="EC141" i="103"/>
  <c r="EC143" i="103" s="1"/>
  <c r="ED141" i="103"/>
  <c r="EE146" i="103"/>
  <c r="EF146" i="103" s="1"/>
  <c r="EE144" i="103"/>
  <c r="EE141" i="103"/>
  <c r="CD142" i="103"/>
  <c r="CE142" i="103"/>
  <c r="CF142" i="103"/>
  <c r="CG142" i="103"/>
  <c r="CL142" i="103"/>
  <c r="CM142" i="103"/>
  <c r="CM143" i="103" s="1"/>
  <c r="CN142" i="103"/>
  <c r="CT142" i="103"/>
  <c r="CU142" i="103"/>
  <c r="CV142" i="103"/>
  <c r="DD142" i="103"/>
  <c r="DJ142" i="103"/>
  <c r="DM142" i="103"/>
  <c r="DO142" i="103"/>
  <c r="DR142" i="103"/>
  <c r="EB142" i="103"/>
  <c r="EC142" i="103"/>
  <c r="BY143" i="103"/>
  <c r="BZ143" i="103"/>
  <c r="CA143" i="103"/>
  <c r="CB143" i="103"/>
  <c r="CG143" i="103"/>
  <c r="CI143" i="103"/>
  <c r="CO143" i="103"/>
  <c r="CP143" i="103"/>
  <c r="CQ143" i="103"/>
  <c r="CX143" i="103"/>
  <c r="CY143" i="103"/>
  <c r="DE143" i="103"/>
  <c r="DH143" i="103"/>
  <c r="DJ143" i="103"/>
  <c r="DN143" i="103"/>
  <c r="DO143" i="103"/>
  <c r="DP143" i="103"/>
  <c r="DX143" i="103"/>
  <c r="DY143" i="103"/>
  <c r="EB143" i="103"/>
  <c r="ED143" i="103"/>
  <c r="BY145" i="103"/>
  <c r="BZ145" i="103"/>
  <c r="CA145" i="103"/>
  <c r="CB145" i="103"/>
  <c r="CC145" i="103"/>
  <c r="CD145" i="103"/>
  <c r="CE145" i="103"/>
  <c r="CF145" i="103"/>
  <c r="CG145" i="103"/>
  <c r="CH145" i="103"/>
  <c r="CI145" i="103"/>
  <c r="CJ145" i="103"/>
  <c r="CK145" i="103"/>
  <c r="CL145" i="103"/>
  <c r="CM145" i="103"/>
  <c r="CN145" i="103"/>
  <c r="CO145" i="103"/>
  <c r="CP145" i="103"/>
  <c r="CQ145" i="103"/>
  <c r="CR145" i="103"/>
  <c r="CS145" i="103"/>
  <c r="CT145" i="103"/>
  <c r="CU145" i="103"/>
  <c r="CV145" i="103"/>
  <c r="CW145" i="103"/>
  <c r="CX145" i="103"/>
  <c r="CY145" i="103"/>
  <c r="CZ145" i="103"/>
  <c r="DA145" i="103"/>
  <c r="DB145" i="103"/>
  <c r="DC145" i="103"/>
  <c r="DD145" i="103"/>
  <c r="DE145" i="103"/>
  <c r="DF145" i="103"/>
  <c r="DI145" i="103"/>
  <c r="DJ145" i="103"/>
  <c r="DK145" i="103"/>
  <c r="DM145" i="103"/>
  <c r="DN145" i="103"/>
  <c r="DO145" i="103"/>
  <c r="DP145" i="103"/>
  <c r="DR145" i="103"/>
  <c r="DS145" i="103"/>
  <c r="DT145" i="103"/>
  <c r="DU145" i="103"/>
  <c r="DV145" i="103"/>
  <c r="DW145" i="103"/>
  <c r="DX145" i="103"/>
  <c r="DY145" i="103"/>
  <c r="DZ145" i="103"/>
  <c r="EA145" i="103"/>
  <c r="EB145" i="103"/>
  <c r="EC145" i="103"/>
  <c r="ED145" i="103"/>
  <c r="BX146" i="103"/>
  <c r="CC146" i="103"/>
  <c r="CC154" i="103" s="1"/>
  <c r="CH146" i="103"/>
  <c r="CM146" i="103"/>
  <c r="CR146" i="103"/>
  <c r="CR147" i="103" s="1"/>
  <c r="CW146" i="103"/>
  <c r="DL146" i="103"/>
  <c r="DQ146" i="103"/>
  <c r="DV146" i="103"/>
  <c r="EA146" i="103"/>
  <c r="BY147" i="103"/>
  <c r="BZ147" i="103"/>
  <c r="CA147" i="103"/>
  <c r="CB147" i="103"/>
  <c r="CC147" i="103"/>
  <c r="CD147" i="103"/>
  <c r="CE147" i="103"/>
  <c r="CF147" i="103"/>
  <c r="CG147" i="103"/>
  <c r="CH147" i="103"/>
  <c r="CI147" i="103"/>
  <c r="CJ147" i="103"/>
  <c r="CK147" i="103"/>
  <c r="CL147" i="103"/>
  <c r="CM147" i="103"/>
  <c r="CN147" i="103"/>
  <c r="CO147" i="103"/>
  <c r="CP147" i="103"/>
  <c r="CQ147" i="103"/>
  <c r="CS147" i="103"/>
  <c r="CT147" i="103"/>
  <c r="CU147" i="103"/>
  <c r="CV147" i="103"/>
  <c r="CX147" i="103"/>
  <c r="CY147" i="103"/>
  <c r="CZ147" i="103"/>
  <c r="DA147" i="103"/>
  <c r="DC147" i="103"/>
  <c r="DD147" i="103"/>
  <c r="DE147" i="103"/>
  <c r="DF147" i="103"/>
  <c r="DG147" i="103"/>
  <c r="DH147" i="103"/>
  <c r="DI147" i="103"/>
  <c r="DJ147" i="103"/>
  <c r="DK147" i="103"/>
  <c r="DM147" i="103"/>
  <c r="DN147" i="103"/>
  <c r="DO147" i="103"/>
  <c r="DP147" i="103"/>
  <c r="DR147" i="103"/>
  <c r="DS147" i="103"/>
  <c r="DT147" i="103"/>
  <c r="DU147" i="103"/>
  <c r="DV147" i="103"/>
  <c r="DW147" i="103"/>
  <c r="DX147" i="103"/>
  <c r="DY147" i="103"/>
  <c r="DZ147" i="103"/>
  <c r="EA147" i="103"/>
  <c r="EB147" i="103"/>
  <c r="EC147" i="103"/>
  <c r="ED147" i="103"/>
  <c r="EE147" i="103"/>
  <c r="BT148" i="103"/>
  <c r="BU150" i="103" s="1"/>
  <c r="BU148" i="103"/>
  <c r="BV148" i="103"/>
  <c r="BW148" i="103"/>
  <c r="BW150" i="103" s="1"/>
  <c r="BX148" i="103"/>
  <c r="BY148" i="103"/>
  <c r="BZ148" i="103"/>
  <c r="CA148" i="103"/>
  <c r="CA150" i="103" s="1"/>
  <c r="CB148" i="103"/>
  <c r="CB150" i="103" s="1"/>
  <c r="CC148" i="103"/>
  <c r="CC149" i="103" s="1"/>
  <c r="CD148" i="103"/>
  <c r="CD149" i="103" s="1"/>
  <c r="CE148" i="103"/>
  <c r="CF148" i="103"/>
  <c r="CG148" i="103"/>
  <c r="CG150" i="103" s="1"/>
  <c r="CH148" i="103"/>
  <c r="CI148" i="103"/>
  <c r="CI150" i="103" s="1"/>
  <c r="CJ148" i="103"/>
  <c r="CJ150" i="103" s="1"/>
  <c r="CK148" i="103"/>
  <c r="CK149" i="103" s="1"/>
  <c r="CL148" i="103"/>
  <c r="CM148" i="103"/>
  <c r="CM149" i="103" s="1"/>
  <c r="CM150" i="103" s="1"/>
  <c r="CN148" i="103"/>
  <c r="CO148" i="103"/>
  <c r="CO150" i="103" s="1"/>
  <c r="CP148" i="103"/>
  <c r="CQ148" i="103"/>
  <c r="CQ150" i="103" s="1"/>
  <c r="CR148" i="103"/>
  <c r="CS148" i="103"/>
  <c r="CS149" i="103" s="1"/>
  <c r="CT148" i="103"/>
  <c r="CU148" i="103"/>
  <c r="CV148" i="103"/>
  <c r="CX148" i="103"/>
  <c r="CY148" i="103"/>
  <c r="CY150" i="103" s="1"/>
  <c r="CZ148" i="103"/>
  <c r="CZ150" i="103" s="1"/>
  <c r="DA148" i="103"/>
  <c r="DA149" i="103" s="1"/>
  <c r="DB148" i="103"/>
  <c r="DC148" i="103"/>
  <c r="DC149" i="103" s="1"/>
  <c r="DD148" i="103"/>
  <c r="DE148" i="103"/>
  <c r="DE150" i="103" s="1"/>
  <c r="DF148" i="103"/>
  <c r="DH148" i="103"/>
  <c r="DH150" i="103" s="1"/>
  <c r="DI148" i="103"/>
  <c r="DI149" i="103" s="1"/>
  <c r="DJ148" i="103"/>
  <c r="DJ149" i="103" s="1"/>
  <c r="DK148" i="103"/>
  <c r="DK149" i="103" s="1"/>
  <c r="DM148" i="103"/>
  <c r="DN148" i="103"/>
  <c r="DN150" i="103" s="1"/>
  <c r="DO148" i="103"/>
  <c r="DP148" i="103"/>
  <c r="DP150" i="103" s="1"/>
  <c r="DR148" i="103"/>
  <c r="DS148" i="103"/>
  <c r="DS149" i="103" s="1"/>
  <c r="DT148" i="103"/>
  <c r="DU148" i="103"/>
  <c r="DV148" i="103"/>
  <c r="DW148" i="103"/>
  <c r="DX148" i="103"/>
  <c r="DX150" i="103" s="1"/>
  <c r="DY148" i="103"/>
  <c r="ED149" i="103" s="1"/>
  <c r="DZ148" i="103"/>
  <c r="EA148" i="103"/>
  <c r="EA149" i="103" s="1"/>
  <c r="EB148" i="103"/>
  <c r="EC148" i="103"/>
  <c r="ED148" i="103"/>
  <c r="BY149" i="103"/>
  <c r="BZ149" i="103"/>
  <c r="CF149" i="103"/>
  <c r="CH149" i="103"/>
  <c r="CH150" i="103" s="1"/>
  <c r="CN149" i="103"/>
  <c r="CV149" i="103"/>
  <c r="CX149" i="103"/>
  <c r="DD149" i="103"/>
  <c r="DE149" i="103"/>
  <c r="DM149" i="103"/>
  <c r="DN149" i="103"/>
  <c r="DT149" i="103"/>
  <c r="DW149" i="103"/>
  <c r="DX149" i="103"/>
  <c r="EB149" i="103"/>
  <c r="EE149" i="103"/>
  <c r="EP149" i="103"/>
  <c r="EU149" i="103"/>
  <c r="EZ149" i="103"/>
  <c r="FE149" i="103"/>
  <c r="BZ150" i="103"/>
  <c r="CC150" i="103"/>
  <c r="CP150" i="103"/>
  <c r="CS150" i="103"/>
  <c r="CT150" i="103"/>
  <c r="CX150" i="103"/>
  <c r="DA150" i="103"/>
  <c r="DF150" i="103"/>
  <c r="DI150" i="103"/>
  <c r="DM150" i="103"/>
  <c r="DO150" i="103"/>
  <c r="DS150" i="103"/>
  <c r="DT150" i="103"/>
  <c r="DU150" i="103"/>
  <c r="DW150" i="103"/>
  <c r="EC150" i="103"/>
  <c r="ED150" i="103"/>
  <c r="EE150" i="103"/>
  <c r="BT151" i="103"/>
  <c r="BU151" i="103"/>
  <c r="BZ152" i="103" s="1"/>
  <c r="BV151" i="103"/>
  <c r="CA152" i="103" s="1"/>
  <c r="BW151" i="103"/>
  <c r="CB152" i="103" s="1"/>
  <c r="BX151" i="103"/>
  <c r="BY151" i="103"/>
  <c r="BZ151" i="103"/>
  <c r="CA151" i="103"/>
  <c r="CB151" i="103"/>
  <c r="CC151" i="103"/>
  <c r="CC152" i="103" s="1"/>
  <c r="CC153" i="103" s="1"/>
  <c r="CD151" i="103"/>
  <c r="CE151" i="103"/>
  <c r="CF151" i="103"/>
  <c r="CG151" i="103"/>
  <c r="CH151" i="103"/>
  <c r="CI151" i="103"/>
  <c r="CJ151" i="103"/>
  <c r="CK151" i="103"/>
  <c r="CL151" i="103"/>
  <c r="CM151" i="103"/>
  <c r="CM152" i="103" s="1"/>
  <c r="CM153" i="103" s="1"/>
  <c r="CN151" i="103"/>
  <c r="CO153" i="103" s="1"/>
  <c r="CO151" i="103"/>
  <c r="CP151" i="103"/>
  <c r="CQ151" i="103"/>
  <c r="CS151" i="103"/>
  <c r="CT151" i="103"/>
  <c r="CU151" i="103"/>
  <c r="CV151" i="103"/>
  <c r="CX151" i="103"/>
  <c r="CY151" i="103"/>
  <c r="CZ151" i="103"/>
  <c r="DA151" i="103"/>
  <c r="DA153" i="103" s="1"/>
  <c r="DB151" i="103"/>
  <c r="DC151" i="103"/>
  <c r="DD151" i="103"/>
  <c r="DE151" i="103"/>
  <c r="DF151" i="103"/>
  <c r="DH151" i="103"/>
  <c r="DI151" i="103"/>
  <c r="DI153" i="103" s="1"/>
  <c r="DJ151" i="103"/>
  <c r="DK151" i="103"/>
  <c r="DL151" i="103"/>
  <c r="DM151" i="103"/>
  <c r="DN151" i="103"/>
  <c r="DO151" i="103"/>
  <c r="DP151" i="103"/>
  <c r="DR151" i="103"/>
  <c r="DR152" i="103" s="1"/>
  <c r="DS151" i="103"/>
  <c r="DT151" i="103"/>
  <c r="DU151" i="103"/>
  <c r="DV151" i="103"/>
  <c r="DW151" i="103"/>
  <c r="DX151" i="103"/>
  <c r="DY151" i="103"/>
  <c r="DZ151" i="103"/>
  <c r="DZ152" i="103" s="1"/>
  <c r="EA151" i="103"/>
  <c r="EA152" i="103" s="1"/>
  <c r="EB151" i="103"/>
  <c r="EC151" i="103"/>
  <c r="ED151" i="103"/>
  <c r="EE153" i="103" s="1"/>
  <c r="BY152" i="103"/>
  <c r="CG152" i="103"/>
  <c r="CO152" i="103"/>
  <c r="CQ152" i="103"/>
  <c r="DA152" i="103"/>
  <c r="DE152" i="103"/>
  <c r="DF152" i="103"/>
  <c r="DM152" i="103"/>
  <c r="DO152" i="103"/>
  <c r="DU152" i="103"/>
  <c r="DW152" i="103"/>
  <c r="EC152" i="103"/>
  <c r="EE152" i="103"/>
  <c r="EP152" i="103"/>
  <c r="EU152" i="103"/>
  <c r="EZ152" i="103"/>
  <c r="FE152" i="103"/>
  <c r="BZ153" i="103"/>
  <c r="CA153" i="103"/>
  <c r="CB153" i="103"/>
  <c r="CG153" i="103"/>
  <c r="CI153" i="103"/>
  <c r="CJ153" i="103"/>
  <c r="CP153" i="103"/>
  <c r="CQ153" i="103"/>
  <c r="CY153" i="103"/>
  <c r="CZ153" i="103"/>
  <c r="DF153" i="103"/>
  <c r="DH153" i="103"/>
  <c r="DN153" i="103"/>
  <c r="DO153" i="103"/>
  <c r="DP153" i="103"/>
  <c r="DR153" i="103"/>
  <c r="DW153" i="103"/>
  <c r="DX153" i="103"/>
  <c r="DY153" i="103"/>
  <c r="DZ153" i="103"/>
  <c r="ED153" i="103"/>
  <c r="BY154" i="103"/>
  <c r="BZ154" i="103"/>
  <c r="CA154" i="103"/>
  <c r="CB154" i="103"/>
  <c r="CD154" i="103"/>
  <c r="CE154" i="103"/>
  <c r="CF154" i="103"/>
  <c r="CG154" i="103"/>
  <c r="CI154" i="103"/>
  <c r="CJ154" i="103"/>
  <c r="CK154" i="103"/>
  <c r="CL154" i="103"/>
  <c r="CM154" i="103"/>
  <c r="CN154" i="103"/>
  <c r="CO154" i="103"/>
  <c r="CP154" i="103"/>
  <c r="CQ154" i="103"/>
  <c r="CS154" i="103"/>
  <c r="CT154" i="103"/>
  <c r="CU154" i="103"/>
  <c r="CV154" i="103"/>
  <c r="CX154" i="103"/>
  <c r="CY154" i="103"/>
  <c r="CZ154" i="103"/>
  <c r="DA154" i="103"/>
  <c r="DB154" i="103"/>
  <c r="DC154" i="103"/>
  <c r="DD154" i="103"/>
  <c r="DE154" i="103"/>
  <c r="DF154" i="103"/>
  <c r="DI154" i="103"/>
  <c r="DJ154" i="103"/>
  <c r="DK154" i="103"/>
  <c r="DL154" i="103"/>
  <c r="DM154" i="103"/>
  <c r="DN154" i="103"/>
  <c r="DO154" i="103"/>
  <c r="DP154" i="103"/>
  <c r="DR154" i="103"/>
  <c r="DS154" i="103"/>
  <c r="DT154" i="103"/>
  <c r="DU154" i="103"/>
  <c r="DW154" i="103"/>
  <c r="DX154" i="103"/>
  <c r="DY154" i="103"/>
  <c r="DZ154" i="103"/>
  <c r="EB154" i="103"/>
  <c r="EC154" i="103"/>
  <c r="ED154" i="103"/>
  <c r="CD155" i="103"/>
  <c r="CE155" i="103"/>
  <c r="CE204" i="103" s="1"/>
  <c r="CF155" i="103"/>
  <c r="CG155" i="103"/>
  <c r="CG204" i="103" s="1"/>
  <c r="CH155" i="103"/>
  <c r="CH204" i="103" s="1"/>
  <c r="CI155" i="103"/>
  <c r="CN156" i="103" s="1"/>
  <c r="CJ155" i="103"/>
  <c r="CJ204" i="103" s="1"/>
  <c r="CK155" i="103"/>
  <c r="CK156" i="103" s="1"/>
  <c r="CL155" i="103"/>
  <c r="CM155" i="103"/>
  <c r="CM156" i="103" s="1"/>
  <c r="CN155" i="103"/>
  <c r="CS156" i="103" s="1"/>
  <c r="CR155" i="103"/>
  <c r="DB155" i="103"/>
  <c r="DB156" i="103" s="1"/>
  <c r="DE155" i="103"/>
  <c r="DF155" i="103"/>
  <c r="DG155" i="103"/>
  <c r="DL156" i="103" s="1"/>
  <c r="DL155" i="103"/>
  <c r="DQ155" i="103"/>
  <c r="DV155" i="103"/>
  <c r="EA155" i="103"/>
  <c r="EE155" i="103"/>
  <c r="EF155" i="103" s="1"/>
  <c r="EF156" i="103" s="1"/>
  <c r="CJ156" i="103"/>
  <c r="CL156" i="103"/>
  <c r="CO156" i="103"/>
  <c r="CP156" i="103"/>
  <c r="CQ156" i="103"/>
  <c r="CR156" i="103"/>
  <c r="CT156" i="103"/>
  <c r="CU156" i="103"/>
  <c r="CV156" i="103"/>
  <c r="CW156" i="103"/>
  <c r="CX156" i="103"/>
  <c r="CY156" i="103"/>
  <c r="CZ156" i="103"/>
  <c r="DA156" i="103"/>
  <c r="DC156" i="103"/>
  <c r="DD156" i="103"/>
  <c r="DE156" i="103"/>
  <c r="DF156" i="103"/>
  <c r="DG156" i="103"/>
  <c r="DH156" i="103"/>
  <c r="DI156" i="103"/>
  <c r="DP156" i="103"/>
  <c r="DQ156" i="103"/>
  <c r="DV156" i="103"/>
  <c r="EA156" i="103"/>
  <c r="BT204" i="103"/>
  <c r="BU204" i="103"/>
  <c r="BU198" i="103"/>
  <c r="BZ199" i="103" s="1"/>
  <c r="BU157" i="103"/>
  <c r="BZ158" i="103" s="1"/>
  <c r="BV204" i="103"/>
  <c r="BV198" i="103"/>
  <c r="BW204" i="103"/>
  <c r="BW198" i="103"/>
  <c r="BW157" i="103"/>
  <c r="BX204" i="103"/>
  <c r="BY204" i="103"/>
  <c r="BZ204" i="103"/>
  <c r="BZ198" i="103"/>
  <c r="BZ157" i="103"/>
  <c r="CA204" i="103"/>
  <c r="CA198" i="103"/>
  <c r="CB204" i="103"/>
  <c r="CC204" i="103"/>
  <c r="CH205" i="103" s="1"/>
  <c r="CH206" i="103" s="1"/>
  <c r="CD204" i="103"/>
  <c r="CE198" i="103"/>
  <c r="CF204" i="103"/>
  <c r="CF198" i="103"/>
  <c r="CI198" i="103"/>
  <c r="CJ198" i="103"/>
  <c r="CK204" i="103"/>
  <c r="CK198" i="103"/>
  <c r="CK157" i="103"/>
  <c r="CL204" i="103"/>
  <c r="CN204" i="103"/>
  <c r="CN198" i="103"/>
  <c r="CN157" i="103" s="1"/>
  <c r="CO204" i="103"/>
  <c r="CO198" i="103"/>
  <c r="CO157" i="103" s="1"/>
  <c r="CP204" i="103"/>
  <c r="CP198" i="103"/>
  <c r="CP200" i="103" s="1"/>
  <c r="CQ204" i="103"/>
  <c r="CR204" i="103"/>
  <c r="CS204" i="103"/>
  <c r="CS157" i="103" s="1"/>
  <c r="CS198" i="103"/>
  <c r="CT204" i="103"/>
  <c r="CU204" i="103"/>
  <c r="CV204" i="103"/>
  <c r="CV206" i="103" s="1"/>
  <c r="CV198" i="103"/>
  <c r="CV157" i="103"/>
  <c r="CW204" i="103"/>
  <c r="CX204" i="103"/>
  <c r="CX207" i="103" s="1"/>
  <c r="CX198" i="103"/>
  <c r="CX200" i="103" s="1"/>
  <c r="CY204" i="103"/>
  <c r="CY198" i="103"/>
  <c r="CY200" i="103" s="1"/>
  <c r="CZ204" i="103"/>
  <c r="DA204" i="103"/>
  <c r="DA207" i="103" s="1"/>
  <c r="DA198" i="103"/>
  <c r="DD204" i="103"/>
  <c r="DE198" i="103"/>
  <c r="DF198" i="103"/>
  <c r="DH204" i="103"/>
  <c r="DI204" i="103"/>
  <c r="DI198" i="103"/>
  <c r="DI157" i="103"/>
  <c r="DJ204" i="103"/>
  <c r="DJ198" i="103"/>
  <c r="DK204" i="103"/>
  <c r="DK198" i="103"/>
  <c r="DK157" i="103"/>
  <c r="DM204" i="103"/>
  <c r="DM198" i="103"/>
  <c r="DM157" i="103" s="1"/>
  <c r="DN204" i="103"/>
  <c r="DS160" i="103" s="1"/>
  <c r="DN198" i="103"/>
  <c r="DS199" i="103" s="1"/>
  <c r="DO204" i="103"/>
  <c r="DP206" i="103" s="1"/>
  <c r="DO198" i="103"/>
  <c r="DP204" i="103"/>
  <c r="DQ204" i="103"/>
  <c r="DR204" i="103"/>
  <c r="DR198" i="103"/>
  <c r="DS204" i="103"/>
  <c r="DS198" i="103"/>
  <c r="DS157" i="103"/>
  <c r="DT204" i="103"/>
  <c r="DT205" i="103" s="1"/>
  <c r="DU204" i="103"/>
  <c r="DU198" i="103"/>
  <c r="DU157" i="103" s="1"/>
  <c r="DW204" i="103"/>
  <c r="DW198" i="103"/>
  <c r="DX204" i="103"/>
  <c r="DY204" i="103"/>
  <c r="DY198" i="103"/>
  <c r="DZ204" i="103"/>
  <c r="EB204" i="103"/>
  <c r="EB198" i="103"/>
  <c r="EC204" i="103"/>
  <c r="EC198" i="103"/>
  <c r="EC157" i="103" s="1"/>
  <c r="ED204" i="103"/>
  <c r="ED207" i="103" s="1"/>
  <c r="BS204" i="103"/>
  <c r="BS207" i="103" s="1"/>
  <c r="CA160" i="103"/>
  <c r="DA160" i="103"/>
  <c r="DR160" i="103"/>
  <c r="DW160" i="103"/>
  <c r="BW207" i="103"/>
  <c r="BW161" i="103" s="1"/>
  <c r="BY207" i="103"/>
  <c r="BY209" i="103" s="1"/>
  <c r="BZ207" i="103"/>
  <c r="BZ161" i="103" s="1"/>
  <c r="CB189" i="103"/>
  <c r="CB207" i="103"/>
  <c r="CB208" i="103" s="1"/>
  <c r="CF207" i="103"/>
  <c r="CF161" i="103"/>
  <c r="CG189" i="103"/>
  <c r="CJ207" i="103"/>
  <c r="CJ161" i="103"/>
  <c r="CN207" i="103"/>
  <c r="CN161" i="103"/>
  <c r="CO207" i="103"/>
  <c r="CP207" i="103"/>
  <c r="CQ189" i="103"/>
  <c r="CQ207" i="103"/>
  <c r="CR207" i="103"/>
  <c r="CU207" i="103"/>
  <c r="CW207" i="103"/>
  <c r="CY207" i="103"/>
  <c r="CY161" i="103"/>
  <c r="CZ207" i="103"/>
  <c r="DA189" i="103"/>
  <c r="DD207" i="103"/>
  <c r="DG189" i="103"/>
  <c r="DG190" i="103" s="1"/>
  <c r="DK207" i="103"/>
  <c r="DK161" i="103" s="1"/>
  <c r="DL189" i="103"/>
  <c r="DM207" i="103"/>
  <c r="DM161" i="103"/>
  <c r="DN207" i="103"/>
  <c r="DN209" i="103" s="1"/>
  <c r="DP207" i="103"/>
  <c r="DQ189" i="103"/>
  <c r="DR207" i="103"/>
  <c r="DS207" i="103"/>
  <c r="DS161" i="103"/>
  <c r="DU207" i="103"/>
  <c r="DV189" i="103"/>
  <c r="DY207" i="103"/>
  <c r="DY161" i="103" s="1"/>
  <c r="EA189" i="103"/>
  <c r="EC207" i="103"/>
  <c r="EC161" i="103"/>
  <c r="EF189" i="103"/>
  <c r="EH189" i="103"/>
  <c r="EH207" i="103" s="1"/>
  <c r="EI189" i="103"/>
  <c r="EI207" i="103"/>
  <c r="EI161" i="103" s="1"/>
  <c r="EI198" i="103"/>
  <c r="EJ189" i="103"/>
  <c r="EJ207" i="103" s="1"/>
  <c r="EJ161" i="103" s="1"/>
  <c r="EJ198" i="103"/>
  <c r="EK207" i="103"/>
  <c r="EL189" i="103"/>
  <c r="EL207" i="103"/>
  <c r="EL198" i="103"/>
  <c r="EM207" i="103"/>
  <c r="EM161" i="103" s="1"/>
  <c r="EM198" i="103"/>
  <c r="EN207" i="103"/>
  <c r="ER189" i="103"/>
  <c r="ES189" i="103" s="1"/>
  <c r="ET189" i="103" s="1"/>
  <c r="EV189" i="103" s="1"/>
  <c r="EV198" i="103"/>
  <c r="CB165" i="103"/>
  <c r="CB166" i="103" s="1"/>
  <c r="CG165" i="103"/>
  <c r="CQ165" i="103"/>
  <c r="CV166" i="103" s="1"/>
  <c r="DA165" i="103"/>
  <c r="DA167" i="103" s="1"/>
  <c r="DE165" i="103"/>
  <c r="DJ166" i="103" s="1"/>
  <c r="DG165" i="103"/>
  <c r="DE168" i="103" s="1"/>
  <c r="DL165" i="103"/>
  <c r="DQ165" i="103"/>
  <c r="DV165" i="103"/>
  <c r="DZ165" i="103"/>
  <c r="EA165" i="103"/>
  <c r="BX166" i="103"/>
  <c r="BY166" i="103"/>
  <c r="BZ166" i="103"/>
  <c r="CA166" i="103"/>
  <c r="CC166" i="103"/>
  <c r="CD166" i="103"/>
  <c r="CE166" i="103"/>
  <c r="CF166" i="103"/>
  <c r="CH166" i="103"/>
  <c r="CI166" i="103"/>
  <c r="CJ166" i="103"/>
  <c r="CK166" i="103"/>
  <c r="CL166" i="103"/>
  <c r="CM166" i="103"/>
  <c r="CN166" i="103"/>
  <c r="CO166" i="103"/>
  <c r="CP166" i="103"/>
  <c r="CQ166" i="103"/>
  <c r="CR166" i="103"/>
  <c r="CS166" i="103"/>
  <c r="CT166" i="103"/>
  <c r="CU166" i="103"/>
  <c r="CW166" i="103"/>
  <c r="CX166" i="103"/>
  <c r="CY166" i="103"/>
  <c r="CZ166" i="103"/>
  <c r="DA166" i="103"/>
  <c r="DB166" i="103"/>
  <c r="DC166" i="103"/>
  <c r="DD166" i="103"/>
  <c r="DE166" i="103"/>
  <c r="DF166" i="103"/>
  <c r="DH166" i="103"/>
  <c r="DI166" i="103"/>
  <c r="DK166" i="103"/>
  <c r="DM166" i="103"/>
  <c r="DN166" i="103"/>
  <c r="DO166" i="103"/>
  <c r="DP166" i="103"/>
  <c r="DR166" i="103"/>
  <c r="DS166" i="103"/>
  <c r="DT166" i="103"/>
  <c r="DU166" i="103"/>
  <c r="DV166" i="103"/>
  <c r="DW166" i="103"/>
  <c r="DX166" i="103"/>
  <c r="DY166" i="103"/>
  <c r="DZ166" i="103"/>
  <c r="EB166" i="103"/>
  <c r="EC166" i="103"/>
  <c r="BZ167" i="103"/>
  <c r="CA167" i="103"/>
  <c r="CE167" i="103"/>
  <c r="CF167" i="103"/>
  <c r="CG167" i="103"/>
  <c r="CI167" i="103"/>
  <c r="CJ167" i="103"/>
  <c r="CK167" i="103"/>
  <c r="CN167" i="103"/>
  <c r="CO167" i="103"/>
  <c r="CP167" i="103"/>
  <c r="CQ167" i="103"/>
  <c r="CS167" i="103"/>
  <c r="CV167" i="103"/>
  <c r="CX167" i="103"/>
  <c r="CY167" i="103"/>
  <c r="CZ167" i="103"/>
  <c r="DE167" i="103"/>
  <c r="DF167" i="103"/>
  <c r="DI167" i="103"/>
  <c r="DJ167" i="103"/>
  <c r="DK167" i="103"/>
  <c r="DM167" i="103"/>
  <c r="DN167" i="103"/>
  <c r="DO167" i="103"/>
  <c r="DP167" i="103"/>
  <c r="DR167" i="103"/>
  <c r="DS167" i="103"/>
  <c r="DU167" i="103"/>
  <c r="DW167" i="103"/>
  <c r="DX167" i="103"/>
  <c r="DY167" i="103"/>
  <c r="EB167" i="103"/>
  <c r="EC167" i="103"/>
  <c r="BY168" i="103"/>
  <c r="BZ168" i="103"/>
  <c r="CA168" i="103"/>
  <c r="CI168" i="103"/>
  <c r="CJ168" i="103"/>
  <c r="CK168" i="103"/>
  <c r="CL168" i="103"/>
  <c r="CN168" i="103"/>
  <c r="CO168" i="103"/>
  <c r="CP168" i="103"/>
  <c r="CQ168" i="103"/>
  <c r="CS168" i="103"/>
  <c r="CT168" i="103"/>
  <c r="CU168" i="103"/>
  <c r="CV168" i="103"/>
  <c r="CX168" i="103"/>
  <c r="CY168" i="103"/>
  <c r="CZ168" i="103"/>
  <c r="DA168" i="103"/>
  <c r="DO168" i="103"/>
  <c r="DR168" i="103"/>
  <c r="DS168" i="103"/>
  <c r="DY168" i="103"/>
  <c r="DZ168" i="103"/>
  <c r="CQ169" i="103"/>
  <c r="DA169" i="103"/>
  <c r="DG169" i="103"/>
  <c r="DL169" i="103"/>
  <c r="DH172" i="103" s="1"/>
  <c r="DQ169" i="103"/>
  <c r="DN172" i="103" s="1"/>
  <c r="DV169" i="103"/>
  <c r="EA169" i="103"/>
  <c r="BY170" i="103"/>
  <c r="BZ170" i="103"/>
  <c r="CA170" i="103"/>
  <c r="CB170" i="103"/>
  <c r="CC170" i="103"/>
  <c r="CD170" i="103"/>
  <c r="CE170" i="103"/>
  <c r="CF170" i="103"/>
  <c r="CG170" i="103"/>
  <c r="CH170" i="103"/>
  <c r="CI170" i="103"/>
  <c r="CJ170" i="103"/>
  <c r="CK170" i="103"/>
  <c r="CL170" i="103"/>
  <c r="CM170" i="103"/>
  <c r="CN170" i="103"/>
  <c r="CO170" i="103"/>
  <c r="CP170" i="103"/>
  <c r="CR170" i="103"/>
  <c r="CS170" i="103"/>
  <c r="CT170" i="103"/>
  <c r="CU170" i="103"/>
  <c r="CV170" i="103"/>
  <c r="CW170" i="103"/>
  <c r="CX170" i="103"/>
  <c r="CY170" i="103"/>
  <c r="CZ170" i="103"/>
  <c r="DB170" i="103"/>
  <c r="DC170" i="103"/>
  <c r="DD170" i="103"/>
  <c r="DE170" i="103"/>
  <c r="DG170" i="103"/>
  <c r="DH170" i="103"/>
  <c r="DI170" i="103"/>
  <c r="DJ170" i="103"/>
  <c r="DK170" i="103"/>
  <c r="DL170" i="103"/>
  <c r="DM170" i="103"/>
  <c r="DN170" i="103"/>
  <c r="DO170" i="103"/>
  <c r="DP170" i="103"/>
  <c r="DQ170" i="103"/>
  <c r="DR170" i="103"/>
  <c r="DS170" i="103"/>
  <c r="DT170" i="103"/>
  <c r="DU170" i="103"/>
  <c r="DV170" i="103"/>
  <c r="DW170" i="103"/>
  <c r="DX170" i="103"/>
  <c r="DY170" i="103"/>
  <c r="DZ170" i="103"/>
  <c r="EB170" i="103"/>
  <c r="EC170" i="103"/>
  <c r="CJ171" i="103"/>
  <c r="CK171" i="103"/>
  <c r="CN171" i="103"/>
  <c r="CO171" i="103"/>
  <c r="CP171" i="103"/>
  <c r="CS171" i="103"/>
  <c r="CV171" i="103"/>
  <c r="CX171" i="103"/>
  <c r="CY171" i="103"/>
  <c r="DE171" i="103"/>
  <c r="DF171" i="103"/>
  <c r="DI171" i="103"/>
  <c r="DJ171" i="103"/>
  <c r="DK171" i="103"/>
  <c r="DM171" i="103"/>
  <c r="DN171" i="103"/>
  <c r="DO171" i="103"/>
  <c r="DR171" i="103"/>
  <c r="DS171" i="103"/>
  <c r="DU171" i="103"/>
  <c r="DW171" i="103"/>
  <c r="DY171" i="103"/>
  <c r="EB171" i="103"/>
  <c r="EC171" i="103"/>
  <c r="CI172" i="103"/>
  <c r="CJ172" i="103"/>
  <c r="CK172" i="103"/>
  <c r="CL172" i="103"/>
  <c r="CN172" i="103"/>
  <c r="CO172" i="103"/>
  <c r="CP172" i="103"/>
  <c r="CS172" i="103"/>
  <c r="CT172" i="103"/>
  <c r="CU172" i="103"/>
  <c r="CV172" i="103"/>
  <c r="CX172" i="103"/>
  <c r="CY172" i="103"/>
  <c r="CZ172" i="103"/>
  <c r="DC172" i="103"/>
  <c r="DD172" i="103"/>
  <c r="DE172" i="103"/>
  <c r="DF172" i="103"/>
  <c r="DI172" i="103"/>
  <c r="DJ172" i="103"/>
  <c r="DK172" i="103"/>
  <c r="DM172" i="103"/>
  <c r="DO172" i="103"/>
  <c r="DP172" i="103"/>
  <c r="DR172" i="103"/>
  <c r="DS172" i="103"/>
  <c r="DT172" i="103"/>
  <c r="DU172" i="103"/>
  <c r="DW172" i="103"/>
  <c r="FH172" i="103"/>
  <c r="CQ173" i="103"/>
  <c r="CQ174" i="103" s="1"/>
  <c r="CV173" i="103"/>
  <c r="DA173" i="103"/>
  <c r="DG173" i="103"/>
  <c r="DL173" i="103"/>
  <c r="DQ173" i="103"/>
  <c r="DV173" i="103"/>
  <c r="EA173" i="103"/>
  <c r="DW176" i="103" s="1"/>
  <c r="EC175" i="103"/>
  <c r="ED175" i="103"/>
  <c r="ED173" i="103" s="1"/>
  <c r="EE175" i="103"/>
  <c r="BY174" i="103"/>
  <c r="BZ174" i="103"/>
  <c r="CA174" i="103"/>
  <c r="CB174" i="103"/>
  <c r="CC174" i="103"/>
  <c r="CD174" i="103"/>
  <c r="CE174" i="103"/>
  <c r="CF174" i="103"/>
  <c r="CG174" i="103"/>
  <c r="CH174" i="103"/>
  <c r="CI174" i="103"/>
  <c r="CJ174" i="103"/>
  <c r="CK174" i="103"/>
  <c r="CL174" i="103"/>
  <c r="CM174" i="103"/>
  <c r="CN174" i="103"/>
  <c r="CO174" i="103"/>
  <c r="CP174" i="103"/>
  <c r="CR174" i="103"/>
  <c r="CS174" i="103"/>
  <c r="CT174" i="103"/>
  <c r="CU174" i="103"/>
  <c r="CV174" i="103"/>
  <c r="CW174" i="103"/>
  <c r="CX174" i="103"/>
  <c r="CY174" i="103"/>
  <c r="CZ174" i="103"/>
  <c r="DB174" i="103"/>
  <c r="DC174" i="103"/>
  <c r="DD174" i="103"/>
  <c r="DE174" i="103"/>
  <c r="DF174" i="103"/>
  <c r="DH174" i="103"/>
  <c r="DI174" i="103"/>
  <c r="DJ174" i="103"/>
  <c r="DK174" i="103"/>
  <c r="DL174" i="103"/>
  <c r="DM174" i="103"/>
  <c r="DN174" i="103"/>
  <c r="DO174" i="103"/>
  <c r="DP174" i="103"/>
  <c r="DR174" i="103"/>
  <c r="DS174" i="103"/>
  <c r="DT174" i="103"/>
  <c r="DU174" i="103"/>
  <c r="DV174" i="103"/>
  <c r="DW174" i="103"/>
  <c r="DX174" i="103"/>
  <c r="DY174" i="103"/>
  <c r="DZ174" i="103"/>
  <c r="EA174" i="103"/>
  <c r="EB174" i="103"/>
  <c r="EC174" i="103"/>
  <c r="CK175" i="103"/>
  <c r="CN175" i="103"/>
  <c r="CO175" i="103"/>
  <c r="CP175" i="103"/>
  <c r="CS175" i="103"/>
  <c r="CX175" i="103"/>
  <c r="CY175" i="103"/>
  <c r="DA175" i="103"/>
  <c r="DE175" i="103"/>
  <c r="DF175" i="103"/>
  <c r="DI175" i="103"/>
  <c r="DJ175" i="103"/>
  <c r="DK175" i="103"/>
  <c r="DM175" i="103"/>
  <c r="DN175" i="103"/>
  <c r="DO175" i="103"/>
  <c r="DP175" i="103"/>
  <c r="DR175" i="103"/>
  <c r="DS175" i="103"/>
  <c r="DU175" i="103"/>
  <c r="DW175" i="103"/>
  <c r="DY175" i="103"/>
  <c r="EB175" i="103"/>
  <c r="CN176" i="103"/>
  <c r="CO176" i="103"/>
  <c r="CP176" i="103"/>
  <c r="CQ176" i="103"/>
  <c r="CS176" i="103"/>
  <c r="CT176" i="103"/>
  <c r="CU176" i="103"/>
  <c r="CX176" i="103"/>
  <c r="CY176" i="103"/>
  <c r="CZ176" i="103"/>
  <c r="DA176" i="103"/>
  <c r="DI176" i="103"/>
  <c r="DJ176" i="103"/>
  <c r="DK176" i="103"/>
  <c r="DM176" i="103"/>
  <c r="DN176" i="103"/>
  <c r="DO176" i="103"/>
  <c r="DP176" i="103"/>
  <c r="DR176" i="103"/>
  <c r="DS176" i="103"/>
  <c r="DT176" i="103"/>
  <c r="DU176" i="103"/>
  <c r="DX176" i="103"/>
  <c r="DY176" i="103"/>
  <c r="DZ176" i="103"/>
  <c r="EK177" i="103"/>
  <c r="EK178" i="103" s="1"/>
  <c r="EP177" i="103"/>
  <c r="EP178" i="103" s="1"/>
  <c r="EU177" i="103"/>
  <c r="CD178" i="103"/>
  <c r="CE178" i="103"/>
  <c r="CF178" i="103"/>
  <c r="CG178" i="103"/>
  <c r="CH178" i="103"/>
  <c r="CI178" i="103"/>
  <c r="CJ178" i="103"/>
  <c r="CK178" i="103"/>
  <c r="CL178" i="103"/>
  <c r="CM178" i="103"/>
  <c r="CN178" i="103"/>
  <c r="CO178" i="103"/>
  <c r="CP178" i="103"/>
  <c r="CQ178" i="103"/>
  <c r="CR178" i="103"/>
  <c r="CS178" i="103"/>
  <c r="CT178" i="103"/>
  <c r="CU178" i="103"/>
  <c r="CV178" i="103"/>
  <c r="CW178" i="103"/>
  <c r="CX178" i="103"/>
  <c r="CY178" i="103"/>
  <c r="CZ178" i="103"/>
  <c r="DA178" i="103"/>
  <c r="DB178" i="103"/>
  <c r="DC178" i="103"/>
  <c r="DD178" i="103"/>
  <c r="DE178" i="103"/>
  <c r="DF178" i="103"/>
  <c r="DG178" i="103"/>
  <c r="DH178" i="103"/>
  <c r="DI178" i="103"/>
  <c r="DJ178" i="103"/>
  <c r="DK178" i="103"/>
  <c r="DL178" i="103"/>
  <c r="DM178" i="103"/>
  <c r="DN178" i="103"/>
  <c r="DO178" i="103"/>
  <c r="DP178" i="103"/>
  <c r="DQ178" i="103"/>
  <c r="DR178" i="103"/>
  <c r="DS178" i="103"/>
  <c r="DT178" i="103"/>
  <c r="DU178" i="103"/>
  <c r="DV178" i="103"/>
  <c r="DW178" i="103"/>
  <c r="DX178" i="103"/>
  <c r="DY178" i="103"/>
  <c r="DZ178" i="103"/>
  <c r="EA178" i="103"/>
  <c r="EB178" i="103"/>
  <c r="EC178" i="103"/>
  <c r="ED178" i="103"/>
  <c r="EE178" i="103"/>
  <c r="EF178" i="103"/>
  <c r="CC179" i="103"/>
  <c r="CG179" i="103"/>
  <c r="CH179" i="103"/>
  <c r="CI179" i="103"/>
  <c r="CJ179" i="103"/>
  <c r="CK188" i="103"/>
  <c r="CK179" i="103"/>
  <c r="CK194" i="103" s="1"/>
  <c r="CM179" i="103"/>
  <c r="CM194" i="103" s="1"/>
  <c r="CN179" i="103"/>
  <c r="CO179" i="103"/>
  <c r="CP179" i="103"/>
  <c r="CQ184" i="103"/>
  <c r="CQ185" i="103"/>
  <c r="CQ186" i="103"/>
  <c r="CQ187" i="103"/>
  <c r="CR188" i="103"/>
  <c r="CR179" i="103" s="1"/>
  <c r="CS179" i="103"/>
  <c r="CS194" i="103" s="1"/>
  <c r="CT179" i="103"/>
  <c r="CT180" i="103" s="1"/>
  <c r="CU179" i="103"/>
  <c r="CU194" i="103" s="1"/>
  <c r="CU195" i="103" s="1"/>
  <c r="CW188" i="103"/>
  <c r="CX179" i="103"/>
  <c r="CY179" i="103"/>
  <c r="CY181" i="103" s="1"/>
  <c r="CZ187" i="103"/>
  <c r="CZ179" i="103"/>
  <c r="DA184" i="103"/>
  <c r="DA179" i="103" s="1"/>
  <c r="DA185" i="103"/>
  <c r="DA186" i="103"/>
  <c r="DA187" i="103"/>
  <c r="DC179" i="103"/>
  <c r="DD179" i="103"/>
  <c r="DD180" i="103" s="1"/>
  <c r="DE179" i="103"/>
  <c r="DF187" i="103"/>
  <c r="DF188" i="103"/>
  <c r="DG184" i="103"/>
  <c r="DG185" i="103"/>
  <c r="DG186" i="103"/>
  <c r="DG188" i="103"/>
  <c r="DH179" i="103"/>
  <c r="DI179" i="103"/>
  <c r="DJ179" i="103"/>
  <c r="DK179" i="103"/>
  <c r="DK194" i="103" s="1"/>
  <c r="DM179" i="103"/>
  <c r="DN187" i="103"/>
  <c r="DQ187" i="103" s="1"/>
  <c r="DO179" i="103"/>
  <c r="DP179" i="103"/>
  <c r="DR179" i="103"/>
  <c r="DR180" i="103" s="1"/>
  <c r="DS187" i="103"/>
  <c r="DS179" i="103"/>
  <c r="DT179" i="103"/>
  <c r="DU179" i="103"/>
  <c r="DW179" i="103"/>
  <c r="DX187" i="103"/>
  <c r="DX179" i="103"/>
  <c r="DX181" i="103" s="1"/>
  <c r="DY179" i="103"/>
  <c r="DZ179" i="103"/>
  <c r="EB187" i="103"/>
  <c r="EC179" i="103"/>
  <c r="BE180" i="103"/>
  <c r="BF180" i="103"/>
  <c r="BG180" i="103"/>
  <c r="BH180" i="103"/>
  <c r="BI180" i="103"/>
  <c r="BJ180" i="103"/>
  <c r="BK180" i="103"/>
  <c r="BL180" i="103"/>
  <c r="BM180" i="103"/>
  <c r="BY180" i="103"/>
  <c r="BZ180" i="103"/>
  <c r="CA180" i="103"/>
  <c r="CB180" i="103"/>
  <c r="CH180" i="103"/>
  <c r="CM180" i="103"/>
  <c r="CR180" i="103"/>
  <c r="CS180" i="103"/>
  <c r="CU180" i="103"/>
  <c r="CX180" i="103"/>
  <c r="CY180" i="103"/>
  <c r="CZ180" i="103"/>
  <c r="DC180" i="103"/>
  <c r="DP180" i="103"/>
  <c r="DX180" i="103"/>
  <c r="DY180" i="103"/>
  <c r="CN181" i="103"/>
  <c r="CS181" i="103"/>
  <c r="CT181" i="103"/>
  <c r="CU181" i="103"/>
  <c r="CX181" i="103"/>
  <c r="DJ181" i="103"/>
  <c r="DK181" i="103"/>
  <c r="DR181" i="103"/>
  <c r="DS181" i="103"/>
  <c r="DY181" i="103"/>
  <c r="DZ181" i="103"/>
  <c r="CL184" i="103"/>
  <c r="DL184" i="103"/>
  <c r="DQ184" i="103"/>
  <c r="DV184" i="103"/>
  <c r="EA184" i="103"/>
  <c r="CL185" i="103"/>
  <c r="DL185" i="103"/>
  <c r="DQ185" i="103"/>
  <c r="DV185" i="103"/>
  <c r="EA185" i="103"/>
  <c r="CL186" i="103"/>
  <c r="DL186" i="103"/>
  <c r="DQ186" i="103"/>
  <c r="DV186" i="103"/>
  <c r="EA186" i="103"/>
  <c r="CL187" i="103"/>
  <c r="DL187" i="103"/>
  <c r="DV187" i="103"/>
  <c r="EA187" i="103"/>
  <c r="CL188" i="103"/>
  <c r="DB188" i="103"/>
  <c r="DL188" i="103"/>
  <c r="DQ188" i="103"/>
  <c r="DV188" i="103"/>
  <c r="EA188" i="103"/>
  <c r="BY190" i="103"/>
  <c r="BZ190" i="103"/>
  <c r="CA190" i="103"/>
  <c r="CB190" i="103"/>
  <c r="CC190" i="103"/>
  <c r="CD190" i="103"/>
  <c r="CE190" i="103"/>
  <c r="CF190" i="103"/>
  <c r="CH190" i="103"/>
  <c r="CI190" i="103"/>
  <c r="CJ190" i="103"/>
  <c r="CK190" i="103"/>
  <c r="CM190" i="103"/>
  <c r="CN190" i="103"/>
  <c r="CO190" i="103"/>
  <c r="CP190" i="103"/>
  <c r="CQ190" i="103"/>
  <c r="CR190" i="103"/>
  <c r="CS190" i="103"/>
  <c r="CT190" i="103"/>
  <c r="CU190" i="103"/>
  <c r="CV190" i="103"/>
  <c r="CW190" i="103"/>
  <c r="CX190" i="103"/>
  <c r="CY190" i="103"/>
  <c r="CZ190" i="103"/>
  <c r="DA190" i="103"/>
  <c r="DB190" i="103"/>
  <c r="DC190" i="103"/>
  <c r="DD190" i="103"/>
  <c r="DE190" i="103"/>
  <c r="DF190" i="103"/>
  <c r="DH190" i="103"/>
  <c r="DI190" i="103"/>
  <c r="DJ190" i="103"/>
  <c r="DK190" i="103"/>
  <c r="DM190" i="103"/>
  <c r="DN190" i="103"/>
  <c r="DO190" i="103"/>
  <c r="DP190" i="103"/>
  <c r="DQ190" i="103"/>
  <c r="DR190" i="103"/>
  <c r="DS190" i="103"/>
  <c r="DT190" i="103"/>
  <c r="DU190" i="103"/>
  <c r="DW190" i="103"/>
  <c r="DX190" i="103"/>
  <c r="DY190" i="103"/>
  <c r="DZ190" i="103"/>
  <c r="EB190" i="103"/>
  <c r="EC190" i="103"/>
  <c r="ED190" i="103"/>
  <c r="EE190" i="103"/>
  <c r="EK190" i="103"/>
  <c r="BZ191" i="103"/>
  <c r="CA191" i="103"/>
  <c r="CE191" i="103"/>
  <c r="CF191" i="103"/>
  <c r="CI191" i="103"/>
  <c r="CJ191" i="103"/>
  <c r="CK191" i="103"/>
  <c r="CN191" i="103"/>
  <c r="CO191" i="103"/>
  <c r="CS191" i="103"/>
  <c r="CT191" i="103"/>
  <c r="CV191" i="103"/>
  <c r="CX191" i="103"/>
  <c r="CY191" i="103"/>
  <c r="DA191" i="103"/>
  <c r="DE191" i="103"/>
  <c r="DF191" i="103"/>
  <c r="DI191" i="103"/>
  <c r="DJ191" i="103"/>
  <c r="DK191" i="103"/>
  <c r="DM191" i="103"/>
  <c r="DN191" i="103"/>
  <c r="DO191" i="103"/>
  <c r="DP191" i="103"/>
  <c r="DR191" i="103"/>
  <c r="DS191" i="103"/>
  <c r="DU191" i="103"/>
  <c r="DW191" i="103"/>
  <c r="DX191" i="103"/>
  <c r="DY191" i="103"/>
  <c r="DZ191" i="103"/>
  <c r="EB191" i="103"/>
  <c r="EC191" i="103"/>
  <c r="CC260" i="103"/>
  <c r="CC262" i="103"/>
  <c r="CC192" i="103" s="1"/>
  <c r="CH262" i="103"/>
  <c r="CH192" i="103"/>
  <c r="CM262" i="103"/>
  <c r="CM192" i="103"/>
  <c r="CR262" i="103"/>
  <c r="CR192" i="103"/>
  <c r="CW262" i="103"/>
  <c r="CW192" i="103" s="1"/>
  <c r="DB262" i="103"/>
  <c r="DB192" i="103"/>
  <c r="DG260" i="103"/>
  <c r="DG261" i="103"/>
  <c r="DG262" i="103" s="1"/>
  <c r="DL260" i="103"/>
  <c r="DL262" i="103"/>
  <c r="DL192" i="103" s="1"/>
  <c r="DQ260" i="103"/>
  <c r="DQ262" i="103" s="1"/>
  <c r="DQ192" i="103" s="1"/>
  <c r="DV260" i="103"/>
  <c r="DV262" i="103"/>
  <c r="EA260" i="103"/>
  <c r="EA262" i="103"/>
  <c r="EA192" i="103" s="1"/>
  <c r="EF262" i="103"/>
  <c r="EK262" i="103"/>
  <c r="EK192" i="103"/>
  <c r="EP262" i="103"/>
  <c r="EU262" i="103"/>
  <c r="EZ262" i="103"/>
  <c r="FE262" i="103"/>
  <c r="CD193" i="103"/>
  <c r="CE193" i="103"/>
  <c r="CF193" i="103"/>
  <c r="CG193" i="103"/>
  <c r="CH193" i="103"/>
  <c r="CI193" i="103"/>
  <c r="CJ193" i="103"/>
  <c r="CK193" i="103"/>
  <c r="CL193" i="103"/>
  <c r="CM193" i="103"/>
  <c r="CN193" i="103"/>
  <c r="CO193" i="103"/>
  <c r="CP193" i="103"/>
  <c r="CQ193" i="103"/>
  <c r="CR193" i="103"/>
  <c r="CS193" i="103"/>
  <c r="CT193" i="103"/>
  <c r="CU193" i="103"/>
  <c r="CV193" i="103"/>
  <c r="CW193" i="103"/>
  <c r="CX193" i="103"/>
  <c r="CY193" i="103"/>
  <c r="CZ193" i="103"/>
  <c r="DA193" i="103"/>
  <c r="DB193" i="103"/>
  <c r="DC193" i="103"/>
  <c r="DD193" i="103"/>
  <c r="DE193" i="103"/>
  <c r="DF193" i="103"/>
  <c r="DH193" i="103"/>
  <c r="DI193" i="103"/>
  <c r="DJ193" i="103"/>
  <c r="DK193" i="103"/>
  <c r="DL193" i="103"/>
  <c r="DM193" i="103"/>
  <c r="DN193" i="103"/>
  <c r="DO193" i="103"/>
  <c r="DP193" i="103"/>
  <c r="DQ193" i="103"/>
  <c r="DR193" i="103"/>
  <c r="DS193" i="103"/>
  <c r="DT193" i="103"/>
  <c r="DU193" i="103"/>
  <c r="DW193" i="103"/>
  <c r="DX193" i="103"/>
  <c r="DY193" i="103"/>
  <c r="DZ193" i="103"/>
  <c r="EA193" i="103"/>
  <c r="EB193" i="103"/>
  <c r="EC193" i="103"/>
  <c r="ED193" i="103"/>
  <c r="EE193" i="103"/>
  <c r="EK255" i="103"/>
  <c r="BT194" i="103"/>
  <c r="BU194" i="103"/>
  <c r="BV194" i="103"/>
  <c r="BW194" i="103"/>
  <c r="BX194" i="103"/>
  <c r="BY194" i="103"/>
  <c r="CD195" i="103" s="1"/>
  <c r="BZ194" i="103"/>
  <c r="CA194" i="103"/>
  <c r="CH194" i="103"/>
  <c r="CE196" i="103" s="1"/>
  <c r="CI194" i="103"/>
  <c r="CJ194" i="103"/>
  <c r="CJ196" i="103" s="1"/>
  <c r="CP194" i="103"/>
  <c r="CR194" i="103"/>
  <c r="CR195" i="103" s="1"/>
  <c r="CT194" i="103"/>
  <c r="CX194" i="103"/>
  <c r="CY194" i="103"/>
  <c r="CZ194" i="103"/>
  <c r="DC194" i="103"/>
  <c r="DD194" i="103"/>
  <c r="DH194" i="103"/>
  <c r="DH195" i="103" s="1"/>
  <c r="DJ194" i="103"/>
  <c r="DM194" i="103"/>
  <c r="DR194" i="103"/>
  <c r="DU194" i="103"/>
  <c r="DX194" i="103"/>
  <c r="DY194" i="103"/>
  <c r="DZ194" i="103"/>
  <c r="BY195" i="103"/>
  <c r="BZ195" i="103"/>
  <c r="CE195" i="103"/>
  <c r="CF195" i="103"/>
  <c r="CM195" i="103"/>
  <c r="CX195" i="103"/>
  <c r="DM195" i="103"/>
  <c r="CD196" i="103"/>
  <c r="CP196" i="103"/>
  <c r="EA197" i="103"/>
  <c r="BO198" i="103"/>
  <c r="BQ198" i="103"/>
  <c r="BQ201" i="103" s="1"/>
  <c r="BR198" i="103"/>
  <c r="BR201" i="103" s="1"/>
  <c r="EG198" i="103"/>
  <c r="CA199" i="103"/>
  <c r="CJ199" i="103"/>
  <c r="CO199" i="103"/>
  <c r="CX199" i="103"/>
  <c r="DJ199" i="103"/>
  <c r="DN199" i="103"/>
  <c r="DO199" i="103"/>
  <c r="DR199" i="103"/>
  <c r="DW199" i="103"/>
  <c r="BE200" i="103"/>
  <c r="BF200" i="103"/>
  <c r="BG200" i="103"/>
  <c r="BH200" i="103"/>
  <c r="BI200" i="103"/>
  <c r="BJ200" i="103"/>
  <c r="BK200" i="103"/>
  <c r="BL200" i="103"/>
  <c r="BM200" i="103"/>
  <c r="BN200" i="103"/>
  <c r="BO200" i="103"/>
  <c r="BS200" i="103"/>
  <c r="BV200" i="103"/>
  <c r="BW200" i="103"/>
  <c r="CJ200" i="103"/>
  <c r="DJ200" i="103"/>
  <c r="DK200" i="103"/>
  <c r="DM200" i="103"/>
  <c r="DN200" i="103"/>
  <c r="DS200" i="103"/>
  <c r="BN204" i="103"/>
  <c r="BN207" i="103" s="1"/>
  <c r="BO204" i="103"/>
  <c r="BO201" i="103" s="1"/>
  <c r="BO203" i="103" s="1"/>
  <c r="BP204" i="103"/>
  <c r="BQ204" i="103"/>
  <c r="BR204" i="103"/>
  <c r="BR207" i="103" s="1"/>
  <c r="BV201" i="103"/>
  <c r="BW201" i="103"/>
  <c r="BZ201" i="103"/>
  <c r="CF201" i="103"/>
  <c r="CJ201" i="103"/>
  <c r="CO201" i="103"/>
  <c r="CP201" i="103"/>
  <c r="CY201" i="103"/>
  <c r="DJ201" i="103"/>
  <c r="DK201" i="103"/>
  <c r="DK203" i="103" s="1"/>
  <c r="DM201" i="103"/>
  <c r="DN201" i="103"/>
  <c r="DR201" i="103"/>
  <c r="DS201" i="103"/>
  <c r="DU201" i="103"/>
  <c r="EC201" i="103"/>
  <c r="DS202" i="103"/>
  <c r="BE203" i="103"/>
  <c r="BF203" i="103"/>
  <c r="BG203" i="103"/>
  <c r="BH203" i="103"/>
  <c r="BI203" i="103"/>
  <c r="BJ203" i="103"/>
  <c r="BK203" i="103"/>
  <c r="BL203" i="103"/>
  <c r="BM203" i="103"/>
  <c r="DM203" i="103"/>
  <c r="DS203" i="103"/>
  <c r="BV205" i="103"/>
  <c r="BX205" i="103"/>
  <c r="BY205" i="103"/>
  <c r="BZ205" i="103"/>
  <c r="CA205" i="103"/>
  <c r="CB205" i="103"/>
  <c r="CD205" i="103"/>
  <c r="CQ205" i="103"/>
  <c r="CS205" i="103"/>
  <c r="CT205" i="103"/>
  <c r="CU205" i="103"/>
  <c r="CW205" i="103"/>
  <c r="CY205" i="103"/>
  <c r="CZ205" i="103"/>
  <c r="DD205" i="103"/>
  <c r="DM205" i="103"/>
  <c r="DP205" i="103"/>
  <c r="DR205" i="103"/>
  <c r="DS205" i="103"/>
  <c r="DU205" i="103"/>
  <c r="DX205" i="103"/>
  <c r="EB205" i="103"/>
  <c r="EC205" i="103"/>
  <c r="ED205" i="103"/>
  <c r="BE206" i="103"/>
  <c r="BF206" i="103"/>
  <c r="BG206" i="103"/>
  <c r="BH206" i="103"/>
  <c r="BI206" i="103"/>
  <c r="BJ206" i="103"/>
  <c r="BK206" i="103"/>
  <c r="BL206" i="103"/>
  <c r="BM206" i="103"/>
  <c r="BN206" i="103"/>
  <c r="BO206" i="103"/>
  <c r="BQ206" i="103"/>
  <c r="BS206" i="103"/>
  <c r="BW206" i="103"/>
  <c r="BX206" i="103"/>
  <c r="BY206" i="103"/>
  <c r="BZ206" i="103"/>
  <c r="CA206" i="103"/>
  <c r="CD206" i="103"/>
  <c r="CF206" i="103"/>
  <c r="CN206" i="103"/>
  <c r="CO206" i="103"/>
  <c r="CP206" i="103"/>
  <c r="CQ206" i="103"/>
  <c r="CS206" i="103"/>
  <c r="CU206" i="103"/>
  <c r="CW206" i="103"/>
  <c r="CY206" i="103"/>
  <c r="DI206" i="103"/>
  <c r="DK206" i="103"/>
  <c r="DM206" i="103"/>
  <c r="DN206" i="103"/>
  <c r="DS206" i="103"/>
  <c r="DX206" i="103"/>
  <c r="DZ206" i="103"/>
  <c r="EC206" i="103"/>
  <c r="ED206" i="103"/>
  <c r="BO207" i="103"/>
  <c r="BO209" i="103" s="1"/>
  <c r="BP207" i="103"/>
  <c r="BP209" i="103" s="1"/>
  <c r="BQ207" i="103"/>
  <c r="BQ209" i="103" s="1"/>
  <c r="CO208" i="103"/>
  <c r="CU208" i="103"/>
  <c r="CW208" i="103"/>
  <c r="CW209" i="103" s="1"/>
  <c r="DD208" i="103"/>
  <c r="DS208" i="103"/>
  <c r="ED208" i="103"/>
  <c r="BE209" i="103"/>
  <c r="BF209" i="103"/>
  <c r="BG209" i="103"/>
  <c r="BH209" i="103"/>
  <c r="BI209" i="103"/>
  <c r="BJ209" i="103"/>
  <c r="BK209" i="103"/>
  <c r="BL209" i="103"/>
  <c r="BM209" i="103"/>
  <c r="BN209" i="103"/>
  <c r="BS209" i="103"/>
  <c r="CP209" i="103"/>
  <c r="DR209" i="103"/>
  <c r="ED209" i="103"/>
  <c r="BS211" i="103"/>
  <c r="BX211" i="103"/>
  <c r="CC211" i="103"/>
  <c r="CC217" i="103" s="1"/>
  <c r="CM211" i="103"/>
  <c r="CR211" i="103"/>
  <c r="CW211" i="103"/>
  <c r="DG211" i="103"/>
  <c r="DL211" i="103"/>
  <c r="DQ211" i="103"/>
  <c r="DV211" i="103"/>
  <c r="EA211" i="103"/>
  <c r="EA217" i="103" s="1"/>
  <c r="ED211" i="103"/>
  <c r="EE211" i="103"/>
  <c r="EF211" i="103" s="1"/>
  <c r="EK211" i="103" s="1"/>
  <c r="BO212" i="103"/>
  <c r="BP212" i="103"/>
  <c r="BQ212" i="103"/>
  <c r="BR212" i="103"/>
  <c r="BS212" i="103"/>
  <c r="BX212" i="103"/>
  <c r="CC212" i="103"/>
  <c r="CM212" i="103"/>
  <c r="CR212" i="103"/>
  <c r="CW212" i="103"/>
  <c r="CW215" i="103" s="1"/>
  <c r="DG212" i="103"/>
  <c r="DL212" i="103"/>
  <c r="DQ212" i="103"/>
  <c r="DQ215" i="103" s="1"/>
  <c r="DV212" i="103"/>
  <c r="EA212" i="103"/>
  <c r="ED212" i="103"/>
  <c r="EE212" i="103" s="1"/>
  <c r="EE217" i="103" s="1"/>
  <c r="EA289" i="103"/>
  <c r="EF289" i="103" s="1"/>
  <c r="EK289" i="103" s="1"/>
  <c r="EA295" i="103"/>
  <c r="EA297" i="103" s="1"/>
  <c r="CH214" i="103"/>
  <c r="CH215" i="103" s="1"/>
  <c r="CM214" i="103"/>
  <c r="CR214" i="103"/>
  <c r="CW214" i="103"/>
  <c r="DB289" i="103"/>
  <c r="DB295" i="103"/>
  <c r="DB214" i="103"/>
  <c r="DG289" i="103"/>
  <c r="DG295" i="103"/>
  <c r="DL289" i="103"/>
  <c r="DL295" i="103"/>
  <c r="DQ289" i="103"/>
  <c r="DQ295" i="103"/>
  <c r="DQ214" i="103" s="1"/>
  <c r="DV289" i="103"/>
  <c r="DV295" i="103"/>
  <c r="CR215" i="103"/>
  <c r="DB215" i="103"/>
  <c r="BS216" i="103"/>
  <c r="BX216" i="103"/>
  <c r="BX217" i="103" s="1"/>
  <c r="CC216" i="103"/>
  <c r="CM216" i="103"/>
  <c r="CR216" i="103"/>
  <c r="CR217" i="103" s="1"/>
  <c r="CW216" i="103"/>
  <c r="CW217" i="103" s="1"/>
  <c r="DG216" i="103"/>
  <c r="DL216" i="103"/>
  <c r="DQ216" i="103"/>
  <c r="DR216" i="103"/>
  <c r="DV216" i="103" s="1"/>
  <c r="DV217" i="103" s="1"/>
  <c r="EA216" i="103"/>
  <c r="EE216" i="103"/>
  <c r="EF216" i="103"/>
  <c r="EK216" i="103" s="1"/>
  <c r="EP216" i="103" s="1"/>
  <c r="EU216" i="103" s="1"/>
  <c r="EZ216" i="103" s="1"/>
  <c r="FE216" i="103" s="1"/>
  <c r="BO217" i="103"/>
  <c r="BP217" i="103"/>
  <c r="BP219" i="103" s="1"/>
  <c r="BQ217" i="103"/>
  <c r="BQ219" i="103" s="1"/>
  <c r="BR217" i="103"/>
  <c r="BT217" i="103"/>
  <c r="BT219" i="103" s="1"/>
  <c r="BU217" i="103"/>
  <c r="BV217" i="103"/>
  <c r="BW217" i="103"/>
  <c r="BW219" i="103" s="1"/>
  <c r="BY217" i="103"/>
  <c r="BZ217" i="103"/>
  <c r="BZ219" i="103" s="1"/>
  <c r="CA217" i="103"/>
  <c r="CB217" i="103"/>
  <c r="CB219" i="103" s="1"/>
  <c r="CD217" i="103"/>
  <c r="CE217" i="103"/>
  <c r="CF217" i="103"/>
  <c r="CG217" i="103"/>
  <c r="CH217" i="103"/>
  <c r="CH219" i="103" s="1"/>
  <c r="CI217" i="103"/>
  <c r="CJ217" i="103"/>
  <c r="CK217" i="103"/>
  <c r="CL217" i="103"/>
  <c r="CN217" i="103"/>
  <c r="CO217" i="103"/>
  <c r="CO219" i="103" s="1"/>
  <c r="CP217" i="103"/>
  <c r="CQ217" i="103"/>
  <c r="CS217" i="103"/>
  <c r="CT217" i="103"/>
  <c r="CU217" i="103"/>
  <c r="CU219" i="103" s="1"/>
  <c r="CV217" i="103"/>
  <c r="CX217" i="103"/>
  <c r="CX219" i="103" s="1"/>
  <c r="CX222" i="103" s="1"/>
  <c r="CX224" i="103" s="1"/>
  <c r="CY217" i="103"/>
  <c r="CZ217" i="103"/>
  <c r="DA217" i="103"/>
  <c r="DB217" i="103"/>
  <c r="DC217" i="103"/>
  <c r="DD217" i="103"/>
  <c r="DE217" i="103"/>
  <c r="DF217" i="103"/>
  <c r="DH217" i="103"/>
  <c r="DI217" i="103"/>
  <c r="DJ217" i="103"/>
  <c r="DK217" i="103"/>
  <c r="DL217" i="103"/>
  <c r="DM217" i="103"/>
  <c r="DN217" i="103"/>
  <c r="DN219" i="103" s="1"/>
  <c r="DO217" i="103"/>
  <c r="DP217" i="103"/>
  <c r="DP219" i="103" s="1"/>
  <c r="DS217" i="103"/>
  <c r="DT217" i="103"/>
  <c r="DU217" i="103"/>
  <c r="DU219" i="103" s="1"/>
  <c r="DZ217" i="103"/>
  <c r="ED217" i="103"/>
  <c r="ED219" i="103" s="1"/>
  <c r="BY219" i="103"/>
  <c r="CA219" i="103"/>
  <c r="CA220" i="103" s="1"/>
  <c r="CJ219" i="103"/>
  <c r="CN219" i="103"/>
  <c r="CN222" i="103" s="1"/>
  <c r="CN224" i="103" s="1"/>
  <c r="CN230" i="103" s="1"/>
  <c r="CP219" i="103"/>
  <c r="CQ219" i="103"/>
  <c r="CQ222" i="103" s="1"/>
  <c r="CY219" i="103"/>
  <c r="CY222" i="103" s="1"/>
  <c r="CZ219" i="103"/>
  <c r="DD219" i="103"/>
  <c r="DD230" i="103" s="1"/>
  <c r="DD231" i="103" s="1"/>
  <c r="DH219" i="103"/>
  <c r="DH230" i="103" s="1"/>
  <c r="DI219" i="103"/>
  <c r="DI230" i="103" s="1"/>
  <c r="DK219" i="103"/>
  <c r="DM219" i="103"/>
  <c r="DM222" i="103" s="1"/>
  <c r="DM224" i="103" s="1"/>
  <c r="DO219" i="103"/>
  <c r="DO222" i="103" s="1"/>
  <c r="DS219" i="103"/>
  <c r="DX219" i="103"/>
  <c r="DX230" i="103" s="1"/>
  <c r="DX234" i="103" s="1"/>
  <c r="DY219" i="103"/>
  <c r="EB219" i="103"/>
  <c r="EC219" i="103"/>
  <c r="EC222" i="103" s="1"/>
  <c r="BS221" i="103"/>
  <c r="BT220" i="103"/>
  <c r="BX221" i="103"/>
  <c r="CB220" i="103"/>
  <c r="CC221" i="103"/>
  <c r="CJ220" i="103"/>
  <c r="CM221" i="103"/>
  <c r="CR221" i="103"/>
  <c r="CW221" i="103"/>
  <c r="CX220" i="103"/>
  <c r="CY220" i="103"/>
  <c r="CZ221" i="103"/>
  <c r="CZ220" i="103" s="1"/>
  <c r="DA221" i="103"/>
  <c r="DB221" i="103"/>
  <c r="DC221" i="103"/>
  <c r="DD220" i="103"/>
  <c r="DE221" i="103"/>
  <c r="DF221" i="103"/>
  <c r="DG221" i="103"/>
  <c r="DH221" i="103"/>
  <c r="DL221" i="103" s="1"/>
  <c r="DI221" i="103"/>
  <c r="DK221" i="103"/>
  <c r="DK220" i="103"/>
  <c r="DM221" i="103"/>
  <c r="DM220" i="103" s="1"/>
  <c r="DO220" i="103"/>
  <c r="DQ221" i="103"/>
  <c r="DV221" i="103"/>
  <c r="DX220" i="103"/>
  <c r="DY221" i="103"/>
  <c r="EC220" i="103"/>
  <c r="EE220" i="103"/>
  <c r="BT222" i="103"/>
  <c r="CB222" i="103"/>
  <c r="CJ222" i="103"/>
  <c r="CJ224" i="103" s="1"/>
  <c r="CJ230" i="103" s="1"/>
  <c r="CZ222" i="103"/>
  <c r="CZ224" i="103" s="1"/>
  <c r="CZ230" i="103" s="1"/>
  <c r="DD222" i="103"/>
  <c r="DD224" i="103" s="1"/>
  <c r="DP222" i="103"/>
  <c r="DX222" i="103"/>
  <c r="DY222" i="103"/>
  <c r="BS223" i="103"/>
  <c r="BX223" i="103"/>
  <c r="CC223" i="103"/>
  <c r="CM223" i="103"/>
  <c r="CR223" i="103"/>
  <c r="CW223" i="103"/>
  <c r="BT224" i="103"/>
  <c r="BT230" i="103" s="1"/>
  <c r="CB224" i="103"/>
  <c r="CB230" i="103" s="1"/>
  <c r="CB234" i="103" s="1"/>
  <c r="CQ224" i="103"/>
  <c r="CQ230" i="103" s="1"/>
  <c r="CY224" i="103"/>
  <c r="CY230" i="103" s="1"/>
  <c r="DO224" i="103"/>
  <c r="DP224" i="103"/>
  <c r="BO226" i="103"/>
  <c r="BP226" i="103"/>
  <c r="BR226" i="103"/>
  <c r="BS226" i="103"/>
  <c r="BX226" i="103"/>
  <c r="CC226" i="103"/>
  <c r="CH226" i="103"/>
  <c r="CM226" i="103"/>
  <c r="CR226" i="103"/>
  <c r="CW226" i="103"/>
  <c r="BS227" i="103"/>
  <c r="BX227" i="103"/>
  <c r="CC227" i="103"/>
  <c r="CH227" i="103"/>
  <c r="CM227" i="103"/>
  <c r="CR227" i="103"/>
  <c r="CW227" i="103"/>
  <c r="BS228" i="103"/>
  <c r="BX228" i="103"/>
  <c r="CC228" i="103"/>
  <c r="CH228" i="103"/>
  <c r="CM228" i="103"/>
  <c r="CR228" i="103"/>
  <c r="CW228" i="103"/>
  <c r="BO229" i="103"/>
  <c r="BP229" i="103"/>
  <c r="BQ229" i="103"/>
  <c r="BR229" i="103"/>
  <c r="BS229" i="103"/>
  <c r="BT229" i="103"/>
  <c r="BU229" i="103"/>
  <c r="BV229" i="103"/>
  <c r="BW229" i="103"/>
  <c r="BX229" i="103" s="1"/>
  <c r="BY229" i="103"/>
  <c r="BZ229" i="103"/>
  <c r="CA229" i="103"/>
  <c r="CB229" i="103"/>
  <c r="CC229" i="103" s="1"/>
  <c r="CD229" i="103"/>
  <c r="CE229" i="103"/>
  <c r="CF229" i="103"/>
  <c r="CG229" i="103"/>
  <c r="CH229" i="103"/>
  <c r="CI229" i="103"/>
  <c r="CM229" i="103" s="1"/>
  <c r="CJ229" i="103"/>
  <c r="CK229" i="103"/>
  <c r="CL229" i="103"/>
  <c r="CN229" i="103"/>
  <c r="CO229" i="103"/>
  <c r="CP229" i="103"/>
  <c r="CQ229" i="103"/>
  <c r="CR229" i="103" s="1"/>
  <c r="CS229" i="103"/>
  <c r="CT229" i="103"/>
  <c r="CU229" i="103"/>
  <c r="CV229" i="103"/>
  <c r="CW229" i="103"/>
  <c r="CX229" i="103"/>
  <c r="CY229" i="103"/>
  <c r="CZ229" i="103"/>
  <c r="DA229" i="103"/>
  <c r="DB229" i="103"/>
  <c r="CX230" i="103"/>
  <c r="CX231" i="103" s="1"/>
  <c r="DM230" i="103"/>
  <c r="DM231" i="103" s="1"/>
  <c r="DN230" i="103"/>
  <c r="DO230" i="103"/>
  <c r="EC230" i="103"/>
  <c r="BS239" i="103"/>
  <c r="BX239" i="103"/>
  <c r="CC239" i="103"/>
  <c r="CC238" i="103" s="1"/>
  <c r="CH239" i="103"/>
  <c r="CM239" i="103"/>
  <c r="CR239" i="103"/>
  <c r="CW239" i="103"/>
  <c r="CW238" i="103" s="1"/>
  <c r="DL239" i="103"/>
  <c r="DL238" i="103" s="1"/>
  <c r="DQ239" i="103"/>
  <c r="DV239" i="103"/>
  <c r="EA239" i="103"/>
  <c r="ED237" i="103"/>
  <c r="ED239" i="103"/>
  <c r="EE240" i="103"/>
  <c r="EE237" i="103" s="1"/>
  <c r="EE239" i="103" s="1"/>
  <c r="EE238" i="103"/>
  <c r="EF237" i="103"/>
  <c r="EK237" i="103"/>
  <c r="BE233" i="103"/>
  <c r="BF233" i="103"/>
  <c r="BG233" i="103"/>
  <c r="BH233" i="103"/>
  <c r="BI233" i="103"/>
  <c r="BJ233" i="103"/>
  <c r="BK233" i="103"/>
  <c r="BL233" i="103"/>
  <c r="BM233" i="103"/>
  <c r="BN233" i="103"/>
  <c r="BS233" i="103"/>
  <c r="EF245" i="103"/>
  <c r="EA279" i="103"/>
  <c r="EA272" i="103"/>
  <c r="DV272" i="103"/>
  <c r="DQ272" i="103"/>
  <c r="DL272" i="103"/>
  <c r="DG272" i="103"/>
  <c r="DB272" i="103"/>
  <c r="CW272" i="103"/>
  <c r="CR272" i="103"/>
  <c r="CM272" i="103"/>
  <c r="CH272" i="103"/>
  <c r="CH275" i="103" s="1"/>
  <c r="CM273" i="103" s="1"/>
  <c r="DV274" i="103"/>
  <c r="EA274" i="103"/>
  <c r="EF274" i="103" s="1"/>
  <c r="EF267" i="103"/>
  <c r="EF250" i="103"/>
  <c r="ED241" i="103"/>
  <c r="EE241" i="103"/>
  <c r="BS237" i="103"/>
  <c r="BX237" i="103"/>
  <c r="BX240" i="103" s="1"/>
  <c r="CC237" i="103"/>
  <c r="CH237" i="103"/>
  <c r="CM237" i="103"/>
  <c r="CM240" i="103" s="1"/>
  <c r="CR237" i="103"/>
  <c r="CW237" i="103"/>
  <c r="DB240" i="103" s="1"/>
  <c r="CX234" i="103"/>
  <c r="DL237" i="103"/>
  <c r="DM234" i="103"/>
  <c r="DQ237" i="103"/>
  <c r="DQ238" i="103" s="1"/>
  <c r="DV237" i="103"/>
  <c r="EA237" i="103"/>
  <c r="BO238" i="103"/>
  <c r="BP238" i="103"/>
  <c r="BQ238" i="103"/>
  <c r="BR238" i="103"/>
  <c r="BS238" i="103"/>
  <c r="BT238" i="103"/>
  <c r="BU238" i="103"/>
  <c r="BV238" i="103"/>
  <c r="BW238" i="103"/>
  <c r="BY238" i="103"/>
  <c r="BZ238" i="103"/>
  <c r="CA238" i="103"/>
  <c r="CB238" i="103"/>
  <c r="CD238" i="103"/>
  <c r="CE238" i="103"/>
  <c r="CF238" i="103"/>
  <c r="CG238" i="103"/>
  <c r="CH238" i="103"/>
  <c r="CI238" i="103"/>
  <c r="CJ238" i="103"/>
  <c r="CK238" i="103"/>
  <c r="CL238" i="103"/>
  <c r="CM238" i="103"/>
  <c r="CN238" i="103"/>
  <c r="CO238" i="103"/>
  <c r="CP238" i="103"/>
  <c r="CQ238" i="103"/>
  <c r="CS238" i="103"/>
  <c r="CT238" i="103"/>
  <c r="CU238" i="103"/>
  <c r="CV238" i="103"/>
  <c r="CX238" i="103"/>
  <c r="CY238" i="103"/>
  <c r="CZ238" i="103"/>
  <c r="DA238" i="103"/>
  <c r="DB238" i="103"/>
  <c r="DC238" i="103"/>
  <c r="DD238" i="103"/>
  <c r="DE238" i="103"/>
  <c r="DF238" i="103"/>
  <c r="DG238" i="103"/>
  <c r="DH238" i="103"/>
  <c r="DI238" i="103"/>
  <c r="DJ238" i="103"/>
  <c r="DK238" i="103"/>
  <c r="DM238" i="103"/>
  <c r="DN238" i="103"/>
  <c r="DO238" i="103"/>
  <c r="DP238" i="103"/>
  <c r="DR238" i="103"/>
  <c r="DS238" i="103"/>
  <c r="DT238" i="103"/>
  <c r="DU238" i="103"/>
  <c r="DV238" i="103"/>
  <c r="DW238" i="103"/>
  <c r="DX238" i="103"/>
  <c r="DY238" i="103"/>
  <c r="DZ238" i="103"/>
  <c r="EB238" i="103"/>
  <c r="EC238" i="103"/>
  <c r="BP240" i="103"/>
  <c r="BQ240" i="103"/>
  <c r="BR240" i="103"/>
  <c r="BT240" i="103"/>
  <c r="BU240" i="103"/>
  <c r="BV240" i="103"/>
  <c r="BW240" i="103"/>
  <c r="BY240" i="103"/>
  <c r="BZ240" i="103"/>
  <c r="CA240" i="103"/>
  <c r="CB240" i="103"/>
  <c r="CD240" i="103"/>
  <c r="CE240" i="103"/>
  <c r="CF240" i="103"/>
  <c r="CG240" i="103"/>
  <c r="CH240" i="103"/>
  <c r="CI240" i="103"/>
  <c r="CJ240" i="103"/>
  <c r="CK240" i="103"/>
  <c r="CL240" i="103"/>
  <c r="CN240" i="103"/>
  <c r="CO240" i="103"/>
  <c r="CP240" i="103"/>
  <c r="CQ240" i="103"/>
  <c r="CS240" i="103"/>
  <c r="CT240" i="103"/>
  <c r="CU240" i="103"/>
  <c r="CV240" i="103"/>
  <c r="CX240" i="103"/>
  <c r="CY240" i="103"/>
  <c r="CZ240" i="103"/>
  <c r="DA240" i="103"/>
  <c r="DC240" i="103"/>
  <c r="DD240" i="103"/>
  <c r="DE240" i="103"/>
  <c r="DF240" i="103"/>
  <c r="DG240" i="103"/>
  <c r="DH240" i="103"/>
  <c r="DI240" i="103"/>
  <c r="DJ240" i="103"/>
  <c r="DK240" i="103"/>
  <c r="DL240" i="103"/>
  <c r="DM240" i="103"/>
  <c r="DN240" i="103"/>
  <c r="DO240" i="103"/>
  <c r="DP240" i="103"/>
  <c r="DR240" i="103"/>
  <c r="DS240" i="103"/>
  <c r="DT240" i="103"/>
  <c r="DU240" i="103"/>
  <c r="DV240" i="103"/>
  <c r="DW240" i="103"/>
  <c r="DX240" i="103"/>
  <c r="DY240" i="103"/>
  <c r="DZ240" i="103"/>
  <c r="EB240" i="103"/>
  <c r="EC240" i="103"/>
  <c r="EF240" i="103"/>
  <c r="DL241" i="103"/>
  <c r="DQ241" i="103"/>
  <c r="DV241" i="103"/>
  <c r="EA241" i="103"/>
  <c r="B60" i="103"/>
  <c r="B53" i="103"/>
  <c r="EC241" i="103"/>
  <c r="H903" i="104" l="1"/>
  <c r="I902" i="104" s="1"/>
  <c r="FD61" i="103"/>
  <c r="FD58" i="103" s="1"/>
  <c r="EY58" i="103"/>
  <c r="ES63" i="103"/>
  <c r="EQ63" i="103"/>
  <c r="ER63" i="103"/>
  <c r="EV61" i="103"/>
  <c r="EV63" i="103" s="1"/>
  <c r="J871" i="104"/>
  <c r="K870" i="104" s="1"/>
  <c r="EV55" i="103"/>
  <c r="EQ57" i="103"/>
  <c r="FD55" i="103"/>
  <c r="BM222" i="8"/>
  <c r="CL222" i="8" s="1"/>
  <c r="BM225" i="8"/>
  <c r="CL225" i="8" s="1"/>
  <c r="BM231" i="8"/>
  <c r="CL231" i="8" s="1"/>
  <c r="J919" i="104"/>
  <c r="K918" i="104" s="1"/>
  <c r="J887" i="104"/>
  <c r="K886" i="104" s="1"/>
  <c r="H935" i="104"/>
  <c r="I934" i="104" s="1"/>
  <c r="CQ234" i="103"/>
  <c r="CQ231" i="103"/>
  <c r="EM163" i="103"/>
  <c r="CR222" i="103"/>
  <c r="CR224" i="103" s="1"/>
  <c r="BP222" i="103"/>
  <c r="BP224" i="103" s="1"/>
  <c r="BP230" i="103" s="1"/>
  <c r="BP220" i="103"/>
  <c r="CH222" i="103"/>
  <c r="CH224" i="103" s="1"/>
  <c r="CH230" i="103" s="1"/>
  <c r="CH220" i="103"/>
  <c r="DD232" i="103"/>
  <c r="CS158" i="103"/>
  <c r="BQ220" i="103"/>
  <c r="BQ222" i="103"/>
  <c r="BQ224" i="103" s="1"/>
  <c r="BQ230" i="103" s="1"/>
  <c r="CY163" i="103"/>
  <c r="DQ142" i="103"/>
  <c r="DL142" i="103"/>
  <c r="CZ234" i="103"/>
  <c r="CZ231" i="103"/>
  <c r="BZ220" i="103"/>
  <c r="BZ222" i="103"/>
  <c r="BZ224" i="103" s="1"/>
  <c r="BZ230" i="103" s="1"/>
  <c r="CJ234" i="103"/>
  <c r="CJ231" i="103"/>
  <c r="CY231" i="103"/>
  <c r="CY234" i="103"/>
  <c r="CP220" i="103"/>
  <c r="CP222" i="103"/>
  <c r="CP224" i="103" s="1"/>
  <c r="CP230" i="103" s="1"/>
  <c r="DU220" i="103"/>
  <c r="DU222" i="103"/>
  <c r="EK217" i="103"/>
  <c r="EP211" i="103"/>
  <c r="DU195" i="103"/>
  <c r="DA170" i="103"/>
  <c r="DA171" i="103"/>
  <c r="DA194" i="103"/>
  <c r="DA172" i="103"/>
  <c r="DF170" i="103"/>
  <c r="DQ205" i="103"/>
  <c r="DA161" i="103"/>
  <c r="DA208" i="103"/>
  <c r="DA209" i="103"/>
  <c r="CG157" i="103"/>
  <c r="CG205" i="103"/>
  <c r="CL205" i="103"/>
  <c r="CG207" i="103"/>
  <c r="DC152" i="103"/>
  <c r="DC153" i="103"/>
  <c r="CK153" i="103"/>
  <c r="CK152" i="103"/>
  <c r="CP152" i="103"/>
  <c r="DK139" i="103"/>
  <c r="DK140" i="103"/>
  <c r="DP139" i="103"/>
  <c r="CS139" i="103"/>
  <c r="CX139" i="103"/>
  <c r="DK119" i="103"/>
  <c r="DL118" i="103"/>
  <c r="DL119" i="103" s="1"/>
  <c r="CI77" i="103"/>
  <c r="CM76" i="103"/>
  <c r="CJ77" i="103"/>
  <c r="CL77" i="103"/>
  <c r="CK77" i="103"/>
  <c r="CM138" i="103"/>
  <c r="CM117" i="103"/>
  <c r="CG206" i="103"/>
  <c r="DU160" i="103"/>
  <c r="CK199" i="103"/>
  <c r="CK201" i="103"/>
  <c r="CP199" i="103"/>
  <c r="EB152" i="103"/>
  <c r="EC153" i="103"/>
  <c r="EB153" i="103"/>
  <c r="DK152" i="103"/>
  <c r="DK153" i="103"/>
  <c r="DM153" i="103"/>
  <c r="DP152" i="103"/>
  <c r="CS153" i="103"/>
  <c r="CX152" i="103"/>
  <c r="CU149" i="103"/>
  <c r="CZ149" i="103"/>
  <c r="CV150" i="103"/>
  <c r="CU150" i="103"/>
  <c r="CE149" i="103"/>
  <c r="CF150" i="103"/>
  <c r="ED140" i="103"/>
  <c r="ED139" i="103"/>
  <c r="DY130" i="103"/>
  <c r="DY131" i="103"/>
  <c r="DZ131" i="103"/>
  <c r="DQ129" i="103"/>
  <c r="CC118" i="103"/>
  <c r="BY119" i="103"/>
  <c r="AT118" i="103"/>
  <c r="CD167" i="103"/>
  <c r="CD198" i="103"/>
  <c r="CI199" i="103" s="1"/>
  <c r="CD121" i="103"/>
  <c r="CD191" i="103"/>
  <c r="CD115" i="103"/>
  <c r="DN79" i="103"/>
  <c r="DI86" i="103"/>
  <c r="DI220" i="103"/>
  <c r="DT219" i="103"/>
  <c r="DG214" i="103"/>
  <c r="DG215" i="103" s="1"/>
  <c r="DL214" i="103"/>
  <c r="DL215" i="103" s="1"/>
  <c r="CY195" i="103"/>
  <c r="DD195" i="103"/>
  <c r="EU178" i="103"/>
  <c r="EZ177" i="103"/>
  <c r="CP160" i="103"/>
  <c r="CL206" i="103"/>
  <c r="CK219" i="103"/>
  <c r="CK207" i="103"/>
  <c r="CK205" i="103"/>
  <c r="CK206" i="103"/>
  <c r="CP205" i="103"/>
  <c r="DH152" i="103"/>
  <c r="DS152" i="103"/>
  <c r="DS153" i="103"/>
  <c r="DX152" i="103"/>
  <c r="CT149" i="103"/>
  <c r="CY149" i="103"/>
  <c r="DH198" i="103"/>
  <c r="DM121" i="103"/>
  <c r="DH171" i="103"/>
  <c r="DH167" i="103"/>
  <c r="DL120" i="103"/>
  <c r="DH121" i="103"/>
  <c r="DH191" i="103"/>
  <c r="EA83" i="103"/>
  <c r="EA84" i="103" s="1"/>
  <c r="EA97" i="103"/>
  <c r="DI79" i="103"/>
  <c r="DR86" i="103"/>
  <c r="DR79" i="103"/>
  <c r="DW79" i="103"/>
  <c r="DB104" i="103"/>
  <c r="DB75" i="103"/>
  <c r="DB109" i="103" s="1"/>
  <c r="DB78" i="103"/>
  <c r="DB105" i="103"/>
  <c r="CK66" i="103"/>
  <c r="CM275" i="103"/>
  <c r="CR273" i="103" s="1"/>
  <c r="CR275" i="103" s="1"/>
  <c r="CW273" i="103" s="1"/>
  <c r="DX231" i="103"/>
  <c r="DU230" i="103"/>
  <c r="BT234" i="103"/>
  <c r="BT231" i="103"/>
  <c r="DA219" i="103"/>
  <c r="DG187" i="103"/>
  <c r="DG179" i="103" s="1"/>
  <c r="DF179" i="103"/>
  <c r="ED269" i="103"/>
  <c r="EF239" i="103"/>
  <c r="BX238" i="103"/>
  <c r="DH222" i="103"/>
  <c r="DH224" i="103" s="1"/>
  <c r="CR219" i="103"/>
  <c r="CR220" i="103" s="1"/>
  <c r="ED221" i="103"/>
  <c r="ED230" i="103" s="1"/>
  <c r="ED222" i="103"/>
  <c r="ED224" i="103" s="1"/>
  <c r="CW240" i="103"/>
  <c r="DD234" i="103"/>
  <c r="DK230" i="103"/>
  <c r="DK222" i="103"/>
  <c r="CU220" i="103"/>
  <c r="CU222" i="103"/>
  <c r="CU224" i="103" s="1"/>
  <c r="CU230" i="103" s="1"/>
  <c r="DA206" i="103"/>
  <c r="CP202" i="103"/>
  <c r="CP203" i="103"/>
  <c r="BV202" i="103"/>
  <c r="DW181" i="103"/>
  <c r="EA179" i="103"/>
  <c r="DW180" i="103"/>
  <c r="DW194" i="103"/>
  <c r="CW179" i="103"/>
  <c r="CV188" i="103"/>
  <c r="CV179" i="103" s="1"/>
  <c r="DR208" i="103"/>
  <c r="DR161" i="103"/>
  <c r="DS209" i="103"/>
  <c r="CZ208" i="103"/>
  <c r="CZ209" i="103"/>
  <c r="CG191" i="103"/>
  <c r="CG190" i="103"/>
  <c r="CL190" i="103"/>
  <c r="EB160" i="103"/>
  <c r="EB206" i="103"/>
  <c r="EB207" i="103"/>
  <c r="DA199" i="103"/>
  <c r="DA201" i="103"/>
  <c r="CF160" i="103"/>
  <c r="CF205" i="103"/>
  <c r="CF219" i="103"/>
  <c r="CS152" i="103"/>
  <c r="DD152" i="103"/>
  <c r="DD153" i="103"/>
  <c r="DE153" i="103"/>
  <c r="CU152" i="103"/>
  <c r="CU153" i="103"/>
  <c r="CZ152" i="103"/>
  <c r="CL153" i="103"/>
  <c r="CL152" i="103"/>
  <c r="CD153" i="103"/>
  <c r="CD152" i="103"/>
  <c r="CI152" i="103"/>
  <c r="DZ143" i="103"/>
  <c r="EE145" i="103"/>
  <c r="EE154" i="103"/>
  <c r="FR142" i="103"/>
  <c r="EF144" i="103"/>
  <c r="DC139" i="103"/>
  <c r="DC140" i="103"/>
  <c r="DD140" i="103"/>
  <c r="CT139" i="103"/>
  <c r="CT140" i="103"/>
  <c r="CY139" i="103"/>
  <c r="EB125" i="103"/>
  <c r="EB124" i="103"/>
  <c r="DV128" i="103"/>
  <c r="DV127" i="103"/>
  <c r="DV204" i="103"/>
  <c r="EA128" i="103"/>
  <c r="EA127" i="103"/>
  <c r="DL124" i="103"/>
  <c r="DC96" i="103"/>
  <c r="EF81" i="103"/>
  <c r="ED82" i="103"/>
  <c r="EB82" i="103"/>
  <c r="EC82" i="103"/>
  <c r="EE82" i="103"/>
  <c r="EA104" i="103"/>
  <c r="EA105" i="103"/>
  <c r="EA75" i="103"/>
  <c r="EK61" i="103"/>
  <c r="EK62" i="103" s="1"/>
  <c r="EV44" i="103"/>
  <c r="EQ46" i="103"/>
  <c r="EQ42" i="103"/>
  <c r="Z7" i="103"/>
  <c r="AE59" i="103"/>
  <c r="AE60" i="103" s="1"/>
  <c r="Z59" i="103"/>
  <c r="Z60" i="103" s="1"/>
  <c r="DU9" i="103"/>
  <c r="DU49" i="103"/>
  <c r="DW60" i="103"/>
  <c r="DU59" i="103"/>
  <c r="DU60" i="103"/>
  <c r="DZ59" i="103"/>
  <c r="EC180" i="103"/>
  <c r="EC181" i="103"/>
  <c r="EC194" i="103"/>
  <c r="CQ170" i="103"/>
  <c r="CQ171" i="103"/>
  <c r="CQ172" i="103"/>
  <c r="CF209" i="103"/>
  <c r="EF268" i="103"/>
  <c r="CG201" i="103"/>
  <c r="DL190" i="103"/>
  <c r="DG192" i="103"/>
  <c r="DG193" i="103"/>
  <c r="DC131" i="103"/>
  <c r="DC130" i="103"/>
  <c r="DC195" i="103"/>
  <c r="DI182" i="103"/>
  <c r="DI194" i="103"/>
  <c r="DI180" i="103"/>
  <c r="DI181" i="103"/>
  <c r="DC168" i="103"/>
  <c r="DD168" i="103"/>
  <c r="DG166" i="103"/>
  <c r="DG167" i="103"/>
  <c r="DF168" i="103"/>
  <c r="CU161" i="103"/>
  <c r="BU201" i="103"/>
  <c r="BU200" i="103"/>
  <c r="DA130" i="103"/>
  <c r="BX62" i="103"/>
  <c r="BX63" i="103" s="1"/>
  <c r="CC62" i="103"/>
  <c r="CC63" i="103" s="1"/>
  <c r="CJ54" i="103"/>
  <c r="AR40" i="103"/>
  <c r="AR50" i="103"/>
  <c r="AR51" i="103"/>
  <c r="AW50" i="103"/>
  <c r="DO234" i="103"/>
  <c r="DO231" i="103"/>
  <c r="CO220" i="103"/>
  <c r="CO222" i="103"/>
  <c r="CO224" i="103" s="1"/>
  <c r="CO230" i="103" s="1"/>
  <c r="DA205" i="103"/>
  <c r="DL179" i="103"/>
  <c r="DH182" i="103" s="1"/>
  <c r="DM180" i="103"/>
  <c r="DH181" i="103"/>
  <c r="DH180" i="103"/>
  <c r="DE180" i="103"/>
  <c r="DJ180" i="103"/>
  <c r="DE181" i="103"/>
  <c r="DE182" i="103"/>
  <c r="DE194" i="103"/>
  <c r="CK195" i="103"/>
  <c r="CP195" i="103"/>
  <c r="CK196" i="103"/>
  <c r="DH175" i="103"/>
  <c r="ED174" i="103"/>
  <c r="DW200" i="103"/>
  <c r="DW201" i="103"/>
  <c r="CA200" i="103"/>
  <c r="CA201" i="103"/>
  <c r="CF202" i="103" s="1"/>
  <c r="BX207" i="103"/>
  <c r="BZ160" i="103"/>
  <c r="BU206" i="103"/>
  <c r="BU219" i="103"/>
  <c r="BV206" i="103"/>
  <c r="BU207" i="103"/>
  <c r="BU205" i="103"/>
  <c r="DY152" i="103"/>
  <c r="CE150" i="103"/>
  <c r="DH149" i="103"/>
  <c r="CJ149" i="103"/>
  <c r="CR149" i="103"/>
  <c r="CR150" i="103" s="1"/>
  <c r="DG145" i="103"/>
  <c r="DG154" i="103"/>
  <c r="DG151" i="103"/>
  <c r="DG152" i="103" s="1"/>
  <c r="DG153" i="103" s="1"/>
  <c r="DG141" i="103"/>
  <c r="DG142" i="103" s="1"/>
  <c r="DG143" i="103" s="1"/>
  <c r="CZ142" i="103"/>
  <c r="DE142" i="103"/>
  <c r="CZ143" i="103"/>
  <c r="DM140" i="103"/>
  <c r="DM131" i="103"/>
  <c r="DK131" i="103"/>
  <c r="CL167" i="103"/>
  <c r="CL171" i="103"/>
  <c r="CL121" i="103"/>
  <c r="CL198" i="103"/>
  <c r="CL160" i="103" s="1"/>
  <c r="CL175" i="103"/>
  <c r="CM120" i="103"/>
  <c r="CL191" i="103"/>
  <c r="BT119" i="103"/>
  <c r="BT198" i="103"/>
  <c r="BT121" i="103"/>
  <c r="BX120" i="103"/>
  <c r="BT117" i="103"/>
  <c r="CG199" i="103"/>
  <c r="EX110" i="103"/>
  <c r="EO110" i="103"/>
  <c r="DL104" i="103"/>
  <c r="DL75" i="103"/>
  <c r="DL105" i="103"/>
  <c r="CY74" i="103"/>
  <c r="CY70" i="103"/>
  <c r="EH54" i="103"/>
  <c r="EM53" i="103"/>
  <c r="CI54" i="103"/>
  <c r="CI53" i="103"/>
  <c r="BV68" i="103"/>
  <c r="BV43" i="103"/>
  <c r="CA43" i="103"/>
  <c r="AW10" i="103"/>
  <c r="AW5" i="103"/>
  <c r="AW6" i="103" s="1"/>
  <c r="BB10" i="103"/>
  <c r="EP237" i="103"/>
  <c r="EC231" i="103"/>
  <c r="EC234" i="103"/>
  <c r="EC235" i="103" s="1"/>
  <c r="DI234" i="103"/>
  <c r="DI231" i="103"/>
  <c r="BY220" i="103"/>
  <c r="CC219" i="103"/>
  <c r="CC220" i="103" s="1"/>
  <c r="BY222" i="103"/>
  <c r="BY224" i="103" s="1"/>
  <c r="BY230" i="103" s="1"/>
  <c r="CO202" i="103"/>
  <c r="DL152" i="103"/>
  <c r="CT153" i="103"/>
  <c r="FI153" i="103" s="1"/>
  <c r="CT152" i="103"/>
  <c r="CY152" i="103"/>
  <c r="EF148" i="103"/>
  <c r="EF147" i="103"/>
  <c r="BY198" i="103"/>
  <c r="BY191" i="103"/>
  <c r="BY121" i="103"/>
  <c r="BY167" i="103"/>
  <c r="CC120" i="103"/>
  <c r="EE132" i="103"/>
  <c r="EE136" i="103" s="1"/>
  <c r="EE137" i="103" s="1"/>
  <c r="EE76" i="103"/>
  <c r="EY49" i="103"/>
  <c r="DO42" i="103"/>
  <c r="DO40" i="103"/>
  <c r="DO50" i="103"/>
  <c r="DO52" i="103"/>
  <c r="DI17" i="103"/>
  <c r="DI41" i="103"/>
  <c r="CN234" i="103"/>
  <c r="CN231" i="103"/>
  <c r="CR230" i="103"/>
  <c r="DR195" i="103"/>
  <c r="EW189" i="103"/>
  <c r="FA189" i="103"/>
  <c r="DQ207" i="103"/>
  <c r="DT207" i="103"/>
  <c r="DT206" i="103"/>
  <c r="DU206" i="103"/>
  <c r="DY205" i="103"/>
  <c r="DB152" i="103"/>
  <c r="DB153" i="103" s="1"/>
  <c r="DS140" i="103"/>
  <c r="DS139" i="103"/>
  <c r="DT140" i="103"/>
  <c r="DX139" i="103"/>
  <c r="DS131" i="103"/>
  <c r="DS130" i="103"/>
  <c r="DT131" i="103"/>
  <c r="DT120" i="103"/>
  <c r="DS79" i="103"/>
  <c r="DX79" i="103"/>
  <c r="DS86" i="103"/>
  <c r="CW78" i="103"/>
  <c r="CW105" i="103"/>
  <c r="FP104" i="103" s="1"/>
  <c r="CW75" i="103"/>
  <c r="ET57" i="103"/>
  <c r="EX55" i="103"/>
  <c r="ES57" i="103"/>
  <c r="EB19" i="103"/>
  <c r="EB43" i="103"/>
  <c r="EB15" i="103"/>
  <c r="EG43" i="103"/>
  <c r="BM15" i="103"/>
  <c r="BM19" i="103"/>
  <c r="DZ40" i="103"/>
  <c r="DZ52" i="103"/>
  <c r="EB51" i="103"/>
  <c r="DZ51" i="103"/>
  <c r="DZ50" i="103"/>
  <c r="DZ42" i="103"/>
  <c r="BR209" i="103"/>
  <c r="BW208" i="103"/>
  <c r="DB179" i="103"/>
  <c r="DA181" i="103"/>
  <c r="DA182" i="103"/>
  <c r="DK168" i="103"/>
  <c r="DL166" i="103"/>
  <c r="DJ168" i="103"/>
  <c r="DH168" i="103"/>
  <c r="DI168" i="103"/>
  <c r="DS158" i="103"/>
  <c r="DS159" i="103"/>
  <c r="CE207" i="103"/>
  <c r="CE201" i="103"/>
  <c r="CF203" i="103" s="1"/>
  <c r="CE160" i="103"/>
  <c r="CE205" i="103"/>
  <c r="CE157" i="103"/>
  <c r="CJ160" i="103"/>
  <c r="CE206" i="103"/>
  <c r="CE219" i="103"/>
  <c r="CL149" i="103"/>
  <c r="CL150" i="103"/>
  <c r="CQ149" i="103"/>
  <c r="CN150" i="103"/>
  <c r="CA149" i="103"/>
  <c r="BV150" i="103"/>
  <c r="EC140" i="103"/>
  <c r="EC139" i="103"/>
  <c r="CV131" i="103"/>
  <c r="EA86" i="103"/>
  <c r="ES58" i="103"/>
  <c r="EX61" i="103"/>
  <c r="EY63" i="103" s="1"/>
  <c r="ET63" i="103"/>
  <c r="EB17" i="103"/>
  <c r="EB41" i="103"/>
  <c r="EB65" i="103"/>
  <c r="EB68" i="103"/>
  <c r="DY42" i="103"/>
  <c r="ED43" i="103" s="1"/>
  <c r="DY40" i="103"/>
  <c r="DY51" i="103"/>
  <c r="DY50" i="103"/>
  <c r="DY52" i="103"/>
  <c r="AD51" i="103"/>
  <c r="AF51" i="103"/>
  <c r="AI50" i="103"/>
  <c r="AD50" i="103"/>
  <c r="CR240" i="103"/>
  <c r="CR238" i="103"/>
  <c r="BW220" i="103"/>
  <c r="BW222" i="103"/>
  <c r="DG191" i="103"/>
  <c r="EA190" i="103"/>
  <c r="DV193" i="103"/>
  <c r="DV190" i="103"/>
  <c r="CK160" i="103"/>
  <c r="DK199" i="103"/>
  <c r="DF200" i="103"/>
  <c r="DF199" i="103"/>
  <c r="CH152" i="103"/>
  <c r="CH153" i="103" s="1"/>
  <c r="CV137" i="103"/>
  <c r="DA137" i="103"/>
  <c r="CW136" i="103"/>
  <c r="CW129" i="103" s="1"/>
  <c r="CH120" i="103"/>
  <c r="CH263" i="103" s="1"/>
  <c r="DV115" i="103"/>
  <c r="EC112" i="103"/>
  <c r="ED112" i="103"/>
  <c r="EE112" i="103"/>
  <c r="EB112" i="103"/>
  <c r="EF111" i="103"/>
  <c r="CV112" i="103"/>
  <c r="CT112" i="103"/>
  <c r="DB111" i="103"/>
  <c r="CW141" i="103"/>
  <c r="CW111" i="103"/>
  <c r="CS112" i="103"/>
  <c r="BN111" i="103"/>
  <c r="BI111" i="103"/>
  <c r="DQ95" i="103"/>
  <c r="DV95" i="103"/>
  <c r="DW84" i="103"/>
  <c r="DS85" i="103"/>
  <c r="DG105" i="103"/>
  <c r="DG78" i="103"/>
  <c r="DG75" i="103"/>
  <c r="DG138" i="103" s="1"/>
  <c r="DG104" i="103"/>
  <c r="DA74" i="103"/>
  <c r="DA70" i="103"/>
  <c r="AJ62" i="103"/>
  <c r="AJ63" i="103" s="1"/>
  <c r="AO62" i="103"/>
  <c r="AO63" i="103" s="1"/>
  <c r="BZ19" i="103"/>
  <c r="BZ20" i="103" s="1"/>
  <c r="BZ15" i="103"/>
  <c r="BZ16" i="103" s="1"/>
  <c r="BZ43" i="103"/>
  <c r="BZ68" i="103"/>
  <c r="EE269" i="103"/>
  <c r="DQ219" i="103"/>
  <c r="BO219" i="103"/>
  <c r="EP289" i="103"/>
  <c r="CC240" i="103"/>
  <c r="CW275" i="103"/>
  <c r="DB273" i="103" s="1"/>
  <c r="DB275" i="103" s="1"/>
  <c r="CB231" i="103"/>
  <c r="DN231" i="103"/>
  <c r="DN234" i="103"/>
  <c r="DI222" i="103"/>
  <c r="DI224" i="103" s="1"/>
  <c r="DY230" i="103"/>
  <c r="EA221" i="103"/>
  <c r="DY220" i="103"/>
  <c r="CQ220" i="103"/>
  <c r="CG219" i="103"/>
  <c r="DN220" i="103"/>
  <c r="DN222" i="103"/>
  <c r="DV214" i="103"/>
  <c r="DV215" i="103" s="1"/>
  <c r="EF212" i="103"/>
  <c r="BZ209" i="103"/>
  <c r="CJ205" i="103"/>
  <c r="CY203" i="103"/>
  <c r="DG194" i="103"/>
  <c r="DP181" i="103"/>
  <c r="DP194" i="103"/>
  <c r="DM163" i="103"/>
  <c r="CO159" i="103"/>
  <c r="EB157" i="103"/>
  <c r="DW207" i="103"/>
  <c r="DW157" i="103"/>
  <c r="DW205" i="103"/>
  <c r="DW219" i="103"/>
  <c r="DW206" i="103"/>
  <c r="DJ157" i="103"/>
  <c r="DJ219" i="103"/>
  <c r="DJ207" i="103"/>
  <c r="DJ160" i="103"/>
  <c r="DO160" i="103"/>
  <c r="DJ206" i="103"/>
  <c r="CX161" i="103"/>
  <c r="CY209" i="103"/>
  <c r="CS199" i="103"/>
  <c r="CS201" i="103"/>
  <c r="CS200" i="103"/>
  <c r="CF157" i="103"/>
  <c r="DD150" i="103"/>
  <c r="CD150" i="103"/>
  <c r="CI149" i="103"/>
  <c r="DV154" i="103"/>
  <c r="DQ148" i="103"/>
  <c r="DQ151" i="103"/>
  <c r="DQ147" i="103"/>
  <c r="DS143" i="103"/>
  <c r="DS142" i="103"/>
  <c r="DF142" i="103"/>
  <c r="DK142" i="103"/>
  <c r="DF143" i="103"/>
  <c r="DB127" i="103"/>
  <c r="DB123" i="103"/>
  <c r="DB204" i="103"/>
  <c r="DG205" i="103" s="1"/>
  <c r="DG206" i="103" s="1"/>
  <c r="CT124" i="103"/>
  <c r="CT125" i="103"/>
  <c r="CU125" i="103"/>
  <c r="CL124" i="103"/>
  <c r="CQ124" i="103"/>
  <c r="CL125" i="103"/>
  <c r="CD124" i="103"/>
  <c r="CD125" i="103"/>
  <c r="BV124" i="103"/>
  <c r="CA124" i="103"/>
  <c r="BV125" i="103"/>
  <c r="BF124" i="103"/>
  <c r="BF125" i="103"/>
  <c r="BG125" i="103"/>
  <c r="BK124" i="103"/>
  <c r="AX124" i="103"/>
  <c r="AX125" i="103"/>
  <c r="AP124" i="103"/>
  <c r="AU124" i="103"/>
  <c r="AP125" i="103"/>
  <c r="AH124" i="103"/>
  <c r="AH125" i="103"/>
  <c r="Z124" i="103"/>
  <c r="Z125" i="103" s="1"/>
  <c r="AE124" i="103"/>
  <c r="AE125" i="103" s="1"/>
  <c r="R124" i="103"/>
  <c r="S125" i="103"/>
  <c r="R125" i="103"/>
  <c r="J124" i="103"/>
  <c r="O124" i="103"/>
  <c r="J125" i="103"/>
  <c r="DB167" i="103"/>
  <c r="DB171" i="103"/>
  <c r="DB198" i="103"/>
  <c r="DB175" i="103"/>
  <c r="DB191" i="103"/>
  <c r="CU112" i="103"/>
  <c r="CW99" i="103"/>
  <c r="CX96" i="103" s="1"/>
  <c r="CY98" i="103" s="1"/>
  <c r="DA100" i="103"/>
  <c r="CV100" i="103"/>
  <c r="CQ86" i="103"/>
  <c r="CQ98" i="103"/>
  <c r="DQ105" i="103"/>
  <c r="DQ104" i="103"/>
  <c r="DQ78" i="103"/>
  <c r="DV79" i="103" s="1"/>
  <c r="DQ75" i="103"/>
  <c r="DQ117" i="103" s="1"/>
  <c r="DV104" i="103"/>
  <c r="DL78" i="103"/>
  <c r="DC17" i="103"/>
  <c r="DC65" i="103"/>
  <c r="DC68" i="103"/>
  <c r="BM40" i="103"/>
  <c r="BO51" i="103"/>
  <c r="BM50" i="103"/>
  <c r="BM51" i="103"/>
  <c r="BM52" i="103"/>
  <c r="BI49" i="103"/>
  <c r="BE40" i="103"/>
  <c r="BJ50" i="103"/>
  <c r="BE42" i="103"/>
  <c r="BF51" i="103"/>
  <c r="BE51" i="103"/>
  <c r="BE50" i="103"/>
  <c r="BE52" i="103"/>
  <c r="BJ53" i="103" s="1"/>
  <c r="BA6" i="103"/>
  <c r="BD5" i="103"/>
  <c r="AH9" i="103"/>
  <c r="AH14" i="103"/>
  <c r="AB9" i="103"/>
  <c r="AG14" i="103"/>
  <c r="DH234" i="103"/>
  <c r="DM235" i="103" s="1"/>
  <c r="DH231" i="103"/>
  <c r="CZ195" i="103"/>
  <c r="EL161" i="103"/>
  <c r="DG207" i="103"/>
  <c r="DT153" i="103"/>
  <c r="DT152" i="103"/>
  <c r="DU153" i="103"/>
  <c r="EA238" i="103"/>
  <c r="EA240" i="103"/>
  <c r="BW202" i="103"/>
  <c r="BR203" i="103"/>
  <c r="CI196" i="103"/>
  <c r="CI195" i="103"/>
  <c r="CC207" i="103"/>
  <c r="CC205" i="103"/>
  <c r="CC206" i="103" s="1"/>
  <c r="DW66" i="103"/>
  <c r="DH220" i="103"/>
  <c r="DS230" i="103"/>
  <c r="DS220" i="103"/>
  <c r="DS222" i="103"/>
  <c r="DS224" i="103" s="1"/>
  <c r="DP220" i="103"/>
  <c r="DP230" i="103"/>
  <c r="EB222" i="103"/>
  <c r="EB220" i="103"/>
  <c r="EB230" i="103"/>
  <c r="CM215" i="103"/>
  <c r="CM217" i="103"/>
  <c r="BT205" i="103"/>
  <c r="BP206" i="103"/>
  <c r="CK200" i="103"/>
  <c r="CJ195" i="103"/>
  <c r="DV192" i="103"/>
  <c r="DA180" i="103"/>
  <c r="DO181" i="103"/>
  <c r="DO180" i="103"/>
  <c r="DO194" i="103"/>
  <c r="EU189" i="103"/>
  <c r="EB199" i="103"/>
  <c r="EB201" i="103"/>
  <c r="EC200" i="103"/>
  <c r="DM159" i="103"/>
  <c r="DA157" i="103"/>
  <c r="CX160" i="103"/>
  <c r="CS207" i="103"/>
  <c r="CX208" i="103" s="1"/>
  <c r="CS160" i="103"/>
  <c r="CT206" i="103"/>
  <c r="CS219" i="103"/>
  <c r="CX205" i="103"/>
  <c r="CF199" i="103"/>
  <c r="CF200" i="103"/>
  <c r="DC150" i="103"/>
  <c r="DL147" i="103"/>
  <c r="DL148" i="103"/>
  <c r="EE142" i="103"/>
  <c r="EE143" i="103"/>
  <c r="DW142" i="103"/>
  <c r="DR143" i="103"/>
  <c r="DQ145" i="103"/>
  <c r="DQ154" i="103"/>
  <c r="DL145" i="103"/>
  <c r="DL204" i="103"/>
  <c r="EC125" i="103"/>
  <c r="ED125" i="103"/>
  <c r="DH125" i="103"/>
  <c r="DH124" i="103"/>
  <c r="DA125" i="103"/>
  <c r="DA124" i="103"/>
  <c r="DF124" i="103"/>
  <c r="DC125" i="103"/>
  <c r="CS125" i="103"/>
  <c r="CS124" i="103"/>
  <c r="CK125" i="103"/>
  <c r="CK124" i="103"/>
  <c r="CP124" i="103"/>
  <c r="BU125" i="103"/>
  <c r="BU124" i="103"/>
  <c r="BZ124" i="103"/>
  <c r="BM125" i="103"/>
  <c r="BM124" i="103"/>
  <c r="BO125" i="103"/>
  <c r="BE125" i="103"/>
  <c r="BE124" i="103"/>
  <c r="BJ124" i="103"/>
  <c r="AW125" i="103"/>
  <c r="AW124" i="103"/>
  <c r="AO124" i="103"/>
  <c r="AO125" i="103" s="1"/>
  <c r="AT124" i="103"/>
  <c r="AT125" i="103" s="1"/>
  <c r="AG125" i="103"/>
  <c r="AG124" i="103"/>
  <c r="Y125" i="103"/>
  <c r="Y124" i="103"/>
  <c r="AD124" i="103"/>
  <c r="AA125" i="103"/>
  <c r="Q125" i="103"/>
  <c r="Q124" i="103"/>
  <c r="I125" i="103"/>
  <c r="I124" i="103"/>
  <c r="N124" i="103"/>
  <c r="DD191" i="103"/>
  <c r="DD175" i="103"/>
  <c r="DD121" i="103"/>
  <c r="DD167" i="103"/>
  <c r="DI121" i="103"/>
  <c r="DD119" i="103"/>
  <c r="DD171" i="103"/>
  <c r="DD198" i="103"/>
  <c r="DD181" i="103"/>
  <c r="CQ121" i="103"/>
  <c r="CQ175" i="103"/>
  <c r="CV121" i="103"/>
  <c r="CQ198" i="103"/>
  <c r="CQ161" i="103" s="1"/>
  <c r="CQ191" i="103"/>
  <c r="CH117" i="103"/>
  <c r="DD96" i="103"/>
  <c r="DC100" i="103"/>
  <c r="EA79" i="103"/>
  <c r="DI65" i="103"/>
  <c r="EN60" i="103"/>
  <c r="EN49" i="103"/>
  <c r="EN59" i="103"/>
  <c r="EO60" i="103"/>
  <c r="CR26" i="103"/>
  <c r="CR88" i="103"/>
  <c r="CR92" i="103"/>
  <c r="DJ139" i="103"/>
  <c r="DJ140" i="103"/>
  <c r="DX130" i="103"/>
  <c r="DX131" i="103"/>
  <c r="DU180" i="103"/>
  <c r="DU181" i="103"/>
  <c r="CO182" i="103"/>
  <c r="CO181" i="103"/>
  <c r="FJ172" i="103"/>
  <c r="FH168" i="103"/>
  <c r="DU209" i="103"/>
  <c r="DZ219" i="103"/>
  <c r="DI207" i="103"/>
  <c r="DN160" i="103"/>
  <c r="DH130" i="103"/>
  <c r="BR219" i="103"/>
  <c r="DQ217" i="103"/>
  <c r="DN205" i="103"/>
  <c r="BW203" i="103"/>
  <c r="CF196" i="103"/>
  <c r="DJ195" i="103"/>
  <c r="CO194" i="103"/>
  <c r="CB191" i="103"/>
  <c r="DU182" i="103"/>
  <c r="DM168" i="103"/>
  <c r="DN168" i="103"/>
  <c r="DQ167" i="103"/>
  <c r="EJ163" i="103"/>
  <c r="EF193" i="103"/>
  <c r="EF255" i="103"/>
  <c r="EF284" i="103" s="1"/>
  <c r="CO209" i="103"/>
  <c r="CO161" i="103"/>
  <c r="ED160" i="103"/>
  <c r="DY206" i="103"/>
  <c r="CT157" i="103"/>
  <c r="CT207" i="103"/>
  <c r="CT219" i="103"/>
  <c r="CL207" i="103"/>
  <c r="CN209" i="103" s="1"/>
  <c r="CL219" i="103"/>
  <c r="BV157" i="103"/>
  <c r="BV219" i="103"/>
  <c r="CH207" i="103"/>
  <c r="DI152" i="103"/>
  <c r="CV152" i="103"/>
  <c r="CV153" i="103"/>
  <c r="CE152" i="103"/>
  <c r="CE153" i="103"/>
  <c r="BY150" i="103"/>
  <c r="DT143" i="103"/>
  <c r="DA142" i="103"/>
  <c r="DA143" i="103"/>
  <c r="CR142" i="103"/>
  <c r="CR143" i="103" s="1"/>
  <c r="CJ142" i="103"/>
  <c r="CB142" i="103"/>
  <c r="CF140" i="103"/>
  <c r="CU139" i="103"/>
  <c r="CU140" i="103"/>
  <c r="CK139" i="103"/>
  <c r="CK140" i="103"/>
  <c r="DR131" i="103"/>
  <c r="CZ131" i="103"/>
  <c r="DM130" i="103"/>
  <c r="DG137" i="103"/>
  <c r="DW125" i="103"/>
  <c r="DR125" i="103"/>
  <c r="DP125" i="103"/>
  <c r="DI125" i="103"/>
  <c r="DJ125" i="103"/>
  <c r="DI124" i="103"/>
  <c r="CZ121" i="103"/>
  <c r="BS120" i="103"/>
  <c r="BS198" i="103" s="1"/>
  <c r="BS201" i="103" s="1"/>
  <c r="BS202" i="103" s="1"/>
  <c r="BS203" i="103" s="1"/>
  <c r="BP198" i="103"/>
  <c r="DZ167" i="103"/>
  <c r="DZ171" i="103"/>
  <c r="DZ119" i="103"/>
  <c r="DZ198" i="103"/>
  <c r="DZ157" i="103" s="1"/>
  <c r="DZ175" i="103"/>
  <c r="CI121" i="103"/>
  <c r="EA115" i="103"/>
  <c r="CM115" i="103"/>
  <c r="EB107" i="103"/>
  <c r="DT107" i="103"/>
  <c r="DL107" i="103"/>
  <c r="DD107" i="103"/>
  <c r="EA99" i="103"/>
  <c r="EA100" i="103" s="1"/>
  <c r="DZ100" i="103"/>
  <c r="CW95" i="103"/>
  <c r="DB95" i="103"/>
  <c r="EB84" i="103"/>
  <c r="EB85" i="103"/>
  <c r="EC85" i="103"/>
  <c r="CS83" i="103"/>
  <c r="CS85" i="103" s="1"/>
  <c r="CW96" i="103"/>
  <c r="CW83" i="103" s="1"/>
  <c r="CS98" i="103"/>
  <c r="FJ82" i="103"/>
  <c r="DJ79" i="103"/>
  <c r="DF79" i="103"/>
  <c r="CQ109" i="103"/>
  <c r="CQ77" i="103"/>
  <c r="CQ138" i="103"/>
  <c r="CS140" i="103" s="1"/>
  <c r="CQ117" i="103"/>
  <c r="EI52" i="103"/>
  <c r="DE54" i="103"/>
  <c r="CK54" i="103"/>
  <c r="BY52" i="103"/>
  <c r="EL49" i="103"/>
  <c r="EL60" i="103"/>
  <c r="EL59" i="103"/>
  <c r="EP58" i="103"/>
  <c r="EI60" i="103"/>
  <c r="EJ60" i="103"/>
  <c r="EI59" i="103"/>
  <c r="EG39" i="103"/>
  <c r="EJ39" i="103"/>
  <c r="EI39" i="103"/>
  <c r="EH39" i="103"/>
  <c r="EK123" i="103"/>
  <c r="DX29" i="103"/>
  <c r="DM39" i="103"/>
  <c r="DQ37" i="103"/>
  <c r="DQ23" i="103"/>
  <c r="DQ24" i="103" s="1"/>
  <c r="DO39" i="103"/>
  <c r="DQ123" i="103"/>
  <c r="DQ124" i="103" s="1"/>
  <c r="DN39" i="103"/>
  <c r="DP39" i="103"/>
  <c r="DP42" i="103"/>
  <c r="DP40" i="103"/>
  <c r="DP50" i="103"/>
  <c r="DR51" i="103"/>
  <c r="DP52" i="103"/>
  <c r="AU51" i="103"/>
  <c r="AS40" i="103"/>
  <c r="AS41" i="103" s="1"/>
  <c r="AS51" i="103"/>
  <c r="AO49" i="103"/>
  <c r="AK40" i="103"/>
  <c r="AK51" i="103"/>
  <c r="AK50" i="103"/>
  <c r="EB5" i="103"/>
  <c r="EB6" i="103" s="1"/>
  <c r="EB10" i="103"/>
  <c r="DS14" i="103"/>
  <c r="DN14" i="103"/>
  <c r="EB139" i="103"/>
  <c r="EB140" i="103"/>
  <c r="DG128" i="103"/>
  <c r="DG127" i="103"/>
  <c r="DL127" i="103"/>
  <c r="ED121" i="103"/>
  <c r="ED165" i="103"/>
  <c r="ED191" i="103"/>
  <c r="ED119" i="103"/>
  <c r="EA120" i="103"/>
  <c r="EC121" i="103"/>
  <c r="DX198" i="103"/>
  <c r="DX171" i="103"/>
  <c r="DC175" i="103"/>
  <c r="DC121" i="103"/>
  <c r="DC167" i="103"/>
  <c r="DC198" i="103"/>
  <c r="DC171" i="103"/>
  <c r="DC191" i="103"/>
  <c r="EK120" i="103"/>
  <c r="EH198" i="103"/>
  <c r="BS118" i="103"/>
  <c r="DY85" i="103"/>
  <c r="DZ85" i="103"/>
  <c r="DY84" i="103"/>
  <c r="DL99" i="103"/>
  <c r="DP100" i="103"/>
  <c r="DK100" i="103"/>
  <c r="DG99" i="103"/>
  <c r="DF100" i="103"/>
  <c r="CU98" i="103"/>
  <c r="CU83" i="103"/>
  <c r="CU85" i="103" s="1"/>
  <c r="EI108" i="103"/>
  <c r="EH109" i="103"/>
  <c r="EE109" i="103"/>
  <c r="CA70" i="103"/>
  <c r="CA74" i="103"/>
  <c r="BG54" i="103"/>
  <c r="BH54" i="103"/>
  <c r="EO42" i="103"/>
  <c r="EO52" i="103"/>
  <c r="EO50" i="103"/>
  <c r="DM28" i="103"/>
  <c r="DQ90" i="103"/>
  <c r="DA17" i="103"/>
  <c r="DA65" i="103"/>
  <c r="BS40" i="103"/>
  <c r="DE15" i="103"/>
  <c r="DE19" i="103"/>
  <c r="DE68" i="103"/>
  <c r="CK15" i="103"/>
  <c r="CK19" i="103"/>
  <c r="BL42" i="103"/>
  <c r="BL40" i="103"/>
  <c r="BL51" i="103"/>
  <c r="BL50" i="103"/>
  <c r="BL52" i="103"/>
  <c r="AX40" i="103"/>
  <c r="AX50" i="103"/>
  <c r="U59" i="103"/>
  <c r="U60" i="103" s="1"/>
  <c r="U7" i="103"/>
  <c r="U8" i="103" s="1"/>
  <c r="CT9" i="103"/>
  <c r="CT49" i="103"/>
  <c r="CY59" i="103"/>
  <c r="CT60" i="103"/>
  <c r="CT59" i="103"/>
  <c r="BO14" i="103"/>
  <c r="BJ9" i="103"/>
  <c r="BJ14" i="103"/>
  <c r="BF10" i="103"/>
  <c r="BI9" i="103"/>
  <c r="P4" i="105"/>
  <c r="EA292" i="103"/>
  <c r="CA222" i="103"/>
  <c r="DM209" i="103"/>
  <c r="CQ209" i="103"/>
  <c r="DZ205" i="103"/>
  <c r="DI205" i="103"/>
  <c r="DR202" i="103"/>
  <c r="CX201" i="103"/>
  <c r="CN201" i="103"/>
  <c r="CG200" i="103"/>
  <c r="BV199" i="103"/>
  <c r="CH195" i="103"/>
  <c r="CG194" i="103"/>
  <c r="EF190" i="103"/>
  <c r="EB179" i="103"/>
  <c r="DV179" i="103"/>
  <c r="DT182" i="103" s="1"/>
  <c r="DN179" i="103"/>
  <c r="DQ179" i="103" s="1"/>
  <c r="CS195" i="103"/>
  <c r="DX175" i="103"/>
  <c r="DQ174" i="103"/>
  <c r="CI171" i="103"/>
  <c r="ED169" i="103"/>
  <c r="DP168" i="103"/>
  <c r="FI168" i="103"/>
  <c r="CB167" i="103"/>
  <c r="EP189" i="103"/>
  <c r="DU161" i="103"/>
  <c r="DO200" i="103"/>
  <c r="DI201" i="103"/>
  <c r="CZ157" i="103"/>
  <c r="CA207" i="103"/>
  <c r="CF208" i="103" s="1"/>
  <c r="CB206" i="103"/>
  <c r="CA157" i="103"/>
  <c r="BY160" i="103"/>
  <c r="EA154" i="103"/>
  <c r="BY153" i="103"/>
  <c r="ED152" i="103"/>
  <c r="DJ153" i="103"/>
  <c r="DJ152" i="103"/>
  <c r="DU149" i="103"/>
  <c r="DF149" i="103"/>
  <c r="CG149" i="103"/>
  <c r="DB149" i="103"/>
  <c r="DB150" i="103" s="1"/>
  <c r="CW148" i="103"/>
  <c r="CW149" i="103" s="1"/>
  <c r="CW150" i="103" s="1"/>
  <c r="CW147" i="103"/>
  <c r="DB147" i="103"/>
  <c r="CW151" i="103"/>
  <c r="ED142" i="103"/>
  <c r="DE140" i="103"/>
  <c r="CO140" i="103"/>
  <c r="DI140" i="103"/>
  <c r="DI139" i="103"/>
  <c r="DQ133" i="103"/>
  <c r="DQ134" i="103"/>
  <c r="DH131" i="103"/>
  <c r="DE130" i="103"/>
  <c r="EA136" i="103"/>
  <c r="DV136" i="103"/>
  <c r="DM125" i="103"/>
  <c r="CV125" i="103"/>
  <c r="BW125" i="103"/>
  <c r="BH125" i="103"/>
  <c r="AI125" i="103"/>
  <c r="T125" i="103"/>
  <c r="CR124" i="103"/>
  <c r="CR125" i="103" s="1"/>
  <c r="CB124" i="103"/>
  <c r="BL124" i="103"/>
  <c r="AV124" i="103"/>
  <c r="AF124" i="103"/>
  <c r="P124" i="103"/>
  <c r="P125" i="103" s="1"/>
  <c r="EA204" i="103"/>
  <c r="DT124" i="103"/>
  <c r="DT125" i="103"/>
  <c r="DY124" i="103"/>
  <c r="DF125" i="103"/>
  <c r="DG120" i="103"/>
  <c r="CU175" i="103"/>
  <c r="CU167" i="103"/>
  <c r="CU121" i="103"/>
  <c r="CU198" i="103"/>
  <c r="CU160" i="103" s="1"/>
  <c r="CU171" i="103"/>
  <c r="CU191" i="103"/>
  <c r="CP181" i="103"/>
  <c r="CP191" i="103"/>
  <c r="CR120" i="103"/>
  <c r="DW100" i="103"/>
  <c r="DM91" i="103"/>
  <c r="DT85" i="103"/>
  <c r="CV96" i="103"/>
  <c r="CZ79" i="103"/>
  <c r="EJ103" i="103"/>
  <c r="EP105" i="103"/>
  <c r="CY66" i="103"/>
  <c r="BO65" i="103"/>
  <c r="BO66" i="103" s="1"/>
  <c r="EJ51" i="103"/>
  <c r="EK42" i="103"/>
  <c r="ER46" i="103"/>
  <c r="DS28" i="103"/>
  <c r="DS29" i="103" s="1"/>
  <c r="DS91" i="103"/>
  <c r="DN29" i="103"/>
  <c r="DI29" i="103"/>
  <c r="DG28" i="103"/>
  <c r="BF19" i="103"/>
  <c r="BF68" i="103"/>
  <c r="BF43" i="103"/>
  <c r="BF15" i="103"/>
  <c r="DK14" i="103"/>
  <c r="DP14" i="103"/>
  <c r="DK9" i="103"/>
  <c r="DL58" i="103"/>
  <c r="DH9" i="103"/>
  <c r="DH49" i="103"/>
  <c r="DM59" i="103"/>
  <c r="DH60" i="103"/>
  <c r="DI60" i="103"/>
  <c r="DH59" i="103"/>
  <c r="DB58" i="103"/>
  <c r="CX9" i="103"/>
  <c r="CX60" i="103"/>
  <c r="CY60" i="103"/>
  <c r="CX49" i="103"/>
  <c r="CH58" i="103"/>
  <c r="CE49" i="103"/>
  <c r="CE9" i="103"/>
  <c r="CF60" i="103"/>
  <c r="CE60" i="103"/>
  <c r="CJ59" i="103"/>
  <c r="CA10" i="103"/>
  <c r="H940" i="104"/>
  <c r="I939" i="104" s="1"/>
  <c r="J940" i="104"/>
  <c r="K939" i="104" s="1"/>
  <c r="DA140" i="103"/>
  <c r="DA139" i="103"/>
  <c r="EL125" i="103"/>
  <c r="EJ125" i="103"/>
  <c r="EA124" i="103"/>
  <c r="EF295" i="103"/>
  <c r="DD176" i="103"/>
  <c r="FI176" i="103" s="1"/>
  <c r="DE176" i="103"/>
  <c r="DF176" i="103"/>
  <c r="FK176" i="103" s="1"/>
  <c r="DG174" i="103"/>
  <c r="DC176" i="103"/>
  <c r="FH176" i="103" s="1"/>
  <c r="EA191" i="103"/>
  <c r="DP208" i="103"/>
  <c r="BW162" i="103"/>
  <c r="DO157" i="103"/>
  <c r="DO206" i="103"/>
  <c r="CN199" i="103"/>
  <c r="CN200" i="103"/>
  <c r="CU143" i="103"/>
  <c r="CV143" i="103"/>
  <c r="CE143" i="103"/>
  <c r="CF143" i="103"/>
  <c r="DG134" i="103"/>
  <c r="DG133" i="103"/>
  <c r="EH124" i="103"/>
  <c r="DX121" i="103"/>
  <c r="CR118" i="103"/>
  <c r="CR119" i="103" s="1"/>
  <c r="CN119" i="103"/>
  <c r="DP86" i="103"/>
  <c r="DP83" i="103"/>
  <c r="DR85" i="103" s="1"/>
  <c r="DP97" i="103"/>
  <c r="DJ96" i="103"/>
  <c r="DJ100" i="103"/>
  <c r="DK96" i="103"/>
  <c r="CZ100" i="103"/>
  <c r="DA96" i="103"/>
  <c r="DA86" i="103" s="1"/>
  <c r="CZ96" i="103"/>
  <c r="CT85" i="103"/>
  <c r="CT77" i="103"/>
  <c r="DM70" i="103"/>
  <c r="DM74" i="103"/>
  <c r="AU41" i="103"/>
  <c r="EX46" i="103"/>
  <c r="DV90" i="103"/>
  <c r="DR28" i="103"/>
  <c r="DR91" i="103"/>
  <c r="DW91" i="103"/>
  <c r="DH29" i="103"/>
  <c r="BW68" i="103"/>
  <c r="BW65" i="103"/>
  <c r="BW66" i="103" s="1"/>
  <c r="K47" i="103"/>
  <c r="K17" i="103" s="1"/>
  <c r="K19" i="103" s="1"/>
  <c r="K55" i="103"/>
  <c r="CU42" i="103"/>
  <c r="CU50" i="103"/>
  <c r="CC49" i="103"/>
  <c r="BY40" i="103"/>
  <c r="BY42" i="103"/>
  <c r="CD50" i="103"/>
  <c r="BZ51" i="103"/>
  <c r="DF5" i="103"/>
  <c r="DF6" i="103" s="1"/>
  <c r="DF10" i="103"/>
  <c r="CN5" i="103"/>
  <c r="CN10" i="103"/>
  <c r="BT10" i="103"/>
  <c r="BX9" i="103"/>
  <c r="BT5" i="103"/>
  <c r="BY10" i="103"/>
  <c r="AV10" i="103"/>
  <c r="AQ5" i="103"/>
  <c r="AQ10" i="103"/>
  <c r="AT9" i="103"/>
  <c r="DQ240" i="103"/>
  <c r="CN220" i="103"/>
  <c r="CV219" i="103"/>
  <c r="DO201" i="103"/>
  <c r="CV201" i="103"/>
  <c r="CJ202" i="103"/>
  <c r="CA195" i="103"/>
  <c r="EF192" i="103"/>
  <c r="CZ191" i="103"/>
  <c r="DC181" i="103"/>
  <c r="DT180" i="103"/>
  <c r="DT194" i="103"/>
  <c r="CQ188" i="103"/>
  <c r="CQ179" i="103" s="1"/>
  <c r="CN182" i="103"/>
  <c r="CN194" i="103"/>
  <c r="DH176" i="103"/>
  <c r="DA174" i="103"/>
  <c r="DZ207" i="103"/>
  <c r="DO207" i="103"/>
  <c r="CJ208" i="103"/>
  <c r="BV207" i="103"/>
  <c r="DZ160" i="103"/>
  <c r="ED161" i="103"/>
  <c r="DY157" i="103"/>
  <c r="DU158" i="103"/>
  <c r="DN157" i="103"/>
  <c r="DK159" i="103"/>
  <c r="DM160" i="103"/>
  <c r="CZ206" i="103"/>
  <c r="CY157" i="103"/>
  <c r="CQ157" i="103"/>
  <c r="CN160" i="103"/>
  <c r="CI204" i="103"/>
  <c r="CD207" i="103"/>
  <c r="CD219" i="103"/>
  <c r="CE199" i="103"/>
  <c r="BZ200" i="103"/>
  <c r="CI156" i="103"/>
  <c r="DK156" i="103"/>
  <c r="DF204" i="103"/>
  <c r="CO160" i="103"/>
  <c r="CO205" i="103"/>
  <c r="CJ206" i="103"/>
  <c r="CJ157" i="103"/>
  <c r="CO158" i="103" s="1"/>
  <c r="CW154" i="103"/>
  <c r="FH153" i="103"/>
  <c r="DN152" i="103"/>
  <c r="DK150" i="103"/>
  <c r="DP149" i="103"/>
  <c r="CP149" i="103"/>
  <c r="CB149" i="103"/>
  <c r="DZ149" i="103"/>
  <c r="DZ150" i="103"/>
  <c r="EB150" i="103"/>
  <c r="DR149" i="103"/>
  <c r="DR150" i="103"/>
  <c r="CJ143" i="103"/>
  <c r="DH145" i="103"/>
  <c r="DH154" i="103"/>
  <c r="DC204" i="103"/>
  <c r="DC141" i="103"/>
  <c r="CY142" i="103"/>
  <c r="CT143" i="103"/>
  <c r="CQ142" i="103"/>
  <c r="CL143" i="103"/>
  <c r="CN143" i="103"/>
  <c r="CI142" i="103"/>
  <c r="CD143" i="103"/>
  <c r="CA142" i="103"/>
  <c r="BV143" i="103"/>
  <c r="DO139" i="103"/>
  <c r="DP137" i="103"/>
  <c r="DL136" i="103"/>
  <c r="DE125" i="103"/>
  <c r="CF125" i="103"/>
  <c r="BQ125" i="103"/>
  <c r="AR125" i="103"/>
  <c r="AC125" i="103"/>
  <c r="DU124" i="103"/>
  <c r="DE124" i="103"/>
  <c r="EG124" i="103"/>
  <c r="DU121" i="103"/>
  <c r="DP198" i="103"/>
  <c r="DP171" i="103"/>
  <c r="CY119" i="103"/>
  <c r="CW120" i="103"/>
  <c r="CT167" i="103"/>
  <c r="CT121" i="103"/>
  <c r="CT171" i="103"/>
  <c r="CT198" i="103"/>
  <c r="CT175" i="103"/>
  <c r="CH118" i="103"/>
  <c r="CD119" i="103"/>
  <c r="DI107" i="103"/>
  <c r="DT100" i="103"/>
  <c r="DY100" i="103"/>
  <c r="DI83" i="103"/>
  <c r="DN97" i="103"/>
  <c r="CY83" i="103"/>
  <c r="CY86" i="103"/>
  <c r="CY87" i="103" s="1"/>
  <c r="CT98" i="103"/>
  <c r="DO79" i="103"/>
  <c r="DH79" i="103"/>
  <c r="DC79" i="103"/>
  <c r="CQ76" i="103"/>
  <c r="BQ70" i="103"/>
  <c r="BQ74" i="103"/>
  <c r="EM60" i="103"/>
  <c r="DJ53" i="103"/>
  <c r="CK53" i="103"/>
  <c r="CU52" i="103"/>
  <c r="EI42" i="103"/>
  <c r="DU29" i="103"/>
  <c r="DK28" i="103"/>
  <c r="DK29" i="103" s="1"/>
  <c r="DK91" i="103"/>
  <c r="DE28" i="103"/>
  <c r="DJ91" i="103"/>
  <c r="CU40" i="103"/>
  <c r="CI68" i="103"/>
  <c r="S51" i="103"/>
  <c r="W50" i="103"/>
  <c r="R51" i="103"/>
  <c r="CP40" i="103"/>
  <c r="CP50" i="103"/>
  <c r="CP42" i="103"/>
  <c r="CP52" i="103"/>
  <c r="CP51" i="103"/>
  <c r="CG42" i="103"/>
  <c r="CG50" i="103"/>
  <c r="DO14" i="103"/>
  <c r="DJ14" i="103"/>
  <c r="DC10" i="103"/>
  <c r="CZ9" i="103"/>
  <c r="CZ49" i="103"/>
  <c r="DE59" i="103"/>
  <c r="CZ60" i="103"/>
  <c r="DA60" i="103"/>
  <c r="CW58" i="103"/>
  <c r="CS9" i="103"/>
  <c r="CS49" i="103"/>
  <c r="CS59" i="103"/>
  <c r="CG9" i="103"/>
  <c r="CG59" i="103"/>
  <c r="CL59" i="103"/>
  <c r="CG60" i="103"/>
  <c r="CE14" i="103"/>
  <c r="BZ9" i="103"/>
  <c r="V18" i="104"/>
  <c r="V19" i="104" s="1"/>
  <c r="V20" i="104" s="1"/>
  <c r="L241" i="104"/>
  <c r="M240" i="104" s="1"/>
  <c r="DR139" i="103"/>
  <c r="DR140" i="103"/>
  <c r="BS217" i="103"/>
  <c r="BT206" i="103"/>
  <c r="BW205" i="103"/>
  <c r="BR206" i="103"/>
  <c r="DZ195" i="103"/>
  <c r="DY172" i="103"/>
  <c r="DZ172" i="103"/>
  <c r="EA170" i="103"/>
  <c r="EA171" i="103"/>
  <c r="DX172" i="103"/>
  <c r="FI172" i="103" s="1"/>
  <c r="EA167" i="103"/>
  <c r="EH161" i="103"/>
  <c r="EI163" i="103" s="1"/>
  <c r="ED198" i="103"/>
  <c r="CX206" i="103"/>
  <c r="CI200" i="103"/>
  <c r="FI150" i="103"/>
  <c r="CR154" i="103"/>
  <c r="CR151" i="103"/>
  <c r="CR152" i="103" s="1"/>
  <c r="CR153" i="103" s="1"/>
  <c r="DP130" i="103"/>
  <c r="DD131" i="103"/>
  <c r="DS124" i="103"/>
  <c r="CZ198" i="103"/>
  <c r="DA200" i="103" s="1"/>
  <c r="CZ181" i="103"/>
  <c r="CZ171" i="103"/>
  <c r="CB121" i="103"/>
  <c r="CB198" i="103"/>
  <c r="BQ53" i="103"/>
  <c r="EA214" i="103"/>
  <c r="EA215" i="103" s="1"/>
  <c r="DG217" i="103"/>
  <c r="DG219" i="103" s="1"/>
  <c r="DU208" i="103"/>
  <c r="DO205" i="103"/>
  <c r="CV205" i="103"/>
  <c r="DN203" i="103"/>
  <c r="CI201" i="103"/>
  <c r="CO200" i="103"/>
  <c r="BQ200" i="103"/>
  <c r="BW199" i="103"/>
  <c r="BR200" i="103"/>
  <c r="CM181" i="103"/>
  <c r="DZ180" i="103"/>
  <c r="CR181" i="103"/>
  <c r="CP182" i="103"/>
  <c r="CL179" i="103"/>
  <c r="CL194" i="103" s="1"/>
  <c r="CC180" i="103"/>
  <c r="CC194" i="103"/>
  <c r="CC195" i="103" s="1"/>
  <c r="FJ176" i="103"/>
  <c r="CZ175" i="103"/>
  <c r="CV175" i="103"/>
  <c r="CV176" i="103"/>
  <c r="CV194" i="103"/>
  <c r="DQ166" i="103"/>
  <c r="EA166" i="103"/>
  <c r="DU168" i="103"/>
  <c r="DT168" i="103"/>
  <c r="CB168" i="103"/>
  <c r="CB194" i="103"/>
  <c r="CB195" i="103" s="1"/>
  <c r="CG166" i="103"/>
  <c r="DN161" i="103"/>
  <c r="CV207" i="103"/>
  <c r="CX209" i="103" s="1"/>
  <c r="CP161" i="103"/>
  <c r="EC159" i="103"/>
  <c r="DY200" i="103"/>
  <c r="DY201" i="103"/>
  <c r="DR157" i="103"/>
  <c r="DR206" i="103"/>
  <c r="DR219" i="103"/>
  <c r="CX157" i="103"/>
  <c r="CP157" i="103"/>
  <c r="DJ156" i="103"/>
  <c r="DE204" i="103"/>
  <c r="CX153" i="103"/>
  <c r="CJ152" i="103"/>
  <c r="CN152" i="103"/>
  <c r="CN153" i="103"/>
  <c r="CF152" i="103"/>
  <c r="CF153" i="103"/>
  <c r="DJ150" i="103"/>
  <c r="CK150" i="103"/>
  <c r="EC149" i="103"/>
  <c r="DO149" i="103"/>
  <c r="CO149" i="103"/>
  <c r="DY150" i="103"/>
  <c r="DY149" i="103"/>
  <c r="DT142" i="103"/>
  <c r="CO142" i="103"/>
  <c r="DU143" i="103"/>
  <c r="DW143" i="103"/>
  <c r="DI143" i="103"/>
  <c r="CS142" i="103"/>
  <c r="CS143" i="103"/>
  <c r="CK142" i="103"/>
  <c r="CK143" i="103"/>
  <c r="BU143" i="103"/>
  <c r="CL139" i="103"/>
  <c r="CL140" i="103"/>
  <c r="DA131" i="103"/>
  <c r="DO129" i="103"/>
  <c r="DG129" i="103"/>
  <c r="DB136" i="103"/>
  <c r="CX137" i="103"/>
  <c r="CX129" i="103"/>
  <c r="CQ129" i="103"/>
  <c r="CS131" i="103" s="1"/>
  <c r="CE125" i="103"/>
  <c r="BP125" i="103"/>
  <c r="AQ125" i="103"/>
  <c r="AB125" i="103"/>
  <c r="DP124" i="103"/>
  <c r="CN121" i="103"/>
  <c r="CI119" i="103"/>
  <c r="EA118" i="103"/>
  <c r="EA119" i="103" s="1"/>
  <c r="DW119" i="103"/>
  <c r="DQ118" i="103"/>
  <c r="DQ119" i="103" s="1"/>
  <c r="DM119" i="103"/>
  <c r="BZ121" i="103"/>
  <c r="BU119" i="103"/>
  <c r="BU117" i="103"/>
  <c r="CR115" i="103"/>
  <c r="CR114" i="103"/>
  <c r="FH112" i="103"/>
  <c r="EH112" i="103"/>
  <c r="EK110" i="103"/>
  <c r="EJ112" i="103" s="1"/>
  <c r="EH118" i="103"/>
  <c r="EM110" i="103"/>
  <c r="DF112" i="103"/>
  <c r="DD112" i="103"/>
  <c r="DC112" i="103"/>
  <c r="DL111" i="103"/>
  <c r="DE112" i="103"/>
  <c r="DG148" i="103"/>
  <c r="DG149" i="103" s="1"/>
  <c r="DG150" i="103" s="1"/>
  <c r="BR112" i="103"/>
  <c r="BP112" i="103"/>
  <c r="BO112" i="103"/>
  <c r="BQ112" i="103"/>
  <c r="BS111" i="103"/>
  <c r="DR107" i="103"/>
  <c r="DM107" i="103"/>
  <c r="DJ107" i="103"/>
  <c r="DE107" i="103"/>
  <c r="DO85" i="103"/>
  <c r="DU79" i="103"/>
  <c r="DU86" i="103"/>
  <c r="DU87" i="103" s="1"/>
  <c r="DK86" i="103"/>
  <c r="DP79" i="103"/>
  <c r="CR75" i="103"/>
  <c r="DK70" i="103"/>
  <c r="DK74" i="103"/>
  <c r="CK68" i="103"/>
  <c r="BP69" i="103"/>
  <c r="BP70" i="103"/>
  <c r="BP74" i="103"/>
  <c r="DK66" i="103"/>
  <c r="DR54" i="103"/>
  <c r="BP54" i="103"/>
  <c r="BO53" i="103"/>
  <c r="BC50" i="103"/>
  <c r="AP41" i="103"/>
  <c r="EK52" i="103"/>
  <c r="EK55" i="103"/>
  <c r="DV23" i="103"/>
  <c r="DS39" i="103"/>
  <c r="DU39" i="103"/>
  <c r="DV37" i="103"/>
  <c r="CG17" i="103"/>
  <c r="CG41" i="103"/>
  <c r="CG68" i="103"/>
  <c r="CG65" i="103"/>
  <c r="CG66" i="103" s="1"/>
  <c r="DF40" i="103"/>
  <c r="DF50" i="103"/>
  <c r="DF52" i="103"/>
  <c r="DF42" i="103"/>
  <c r="CN42" i="103"/>
  <c r="CN40" i="103"/>
  <c r="CR49" i="103"/>
  <c r="CN52" i="103"/>
  <c r="CN51" i="103"/>
  <c r="CN50" i="103"/>
  <c r="CD6" i="103"/>
  <c r="DV58" i="103"/>
  <c r="DS49" i="103"/>
  <c r="DS9" i="103"/>
  <c r="DT60" i="103"/>
  <c r="DS59" i="103"/>
  <c r="DS60" i="103"/>
  <c r="DO9" i="103"/>
  <c r="DO59" i="103"/>
  <c r="DT59" i="103"/>
  <c r="AD10" i="103"/>
  <c r="AD5" i="103"/>
  <c r="DZ182" i="103"/>
  <c r="DM181" i="103"/>
  <c r="DH207" i="103"/>
  <c r="CH154" i="103"/>
  <c r="CX134" i="103"/>
  <c r="EE130" i="103"/>
  <c r="DE128" i="103"/>
  <c r="EB121" i="103"/>
  <c r="DS121" i="103"/>
  <c r="CZ119" i="103"/>
  <c r="DI117" i="103"/>
  <c r="DI115" i="103"/>
  <c r="CN112" i="103"/>
  <c r="DP112" i="103"/>
  <c r="DN112" i="103"/>
  <c r="CB112" i="103"/>
  <c r="BZ112" i="103"/>
  <c r="DI109" i="103"/>
  <c r="CY109" i="103"/>
  <c r="DY107" i="103"/>
  <c r="DX107" i="103"/>
  <c r="DP107" i="103"/>
  <c r="DH107" i="103"/>
  <c r="CZ107" i="103"/>
  <c r="CY100" i="103"/>
  <c r="DV100" i="103"/>
  <c r="DX85" i="103"/>
  <c r="EB79" i="103"/>
  <c r="EB108" i="103"/>
  <c r="DT53" i="103"/>
  <c r="CB53" i="103"/>
  <c r="EX65" i="103"/>
  <c r="ET58" i="103"/>
  <c r="EY59" i="103" s="1"/>
  <c r="DT91" i="103"/>
  <c r="DF29" i="103"/>
  <c r="DW39" i="103"/>
  <c r="DX39" i="103"/>
  <c r="DY39" i="103"/>
  <c r="EA37" i="103"/>
  <c r="P19" i="103"/>
  <c r="CD15" i="103"/>
  <c r="CR12" i="103"/>
  <c r="BI12" i="103"/>
  <c r="BD12" i="103"/>
  <c r="DW10" i="103"/>
  <c r="DP9" i="103"/>
  <c r="DR60" i="103"/>
  <c r="DM14" i="103"/>
  <c r="DH14" i="103"/>
  <c r="CM9" i="103"/>
  <c r="CI10" i="103"/>
  <c r="BV9" i="103"/>
  <c r="BV15" i="103" s="1"/>
  <c r="BV16" i="103" s="1"/>
  <c r="BV14" i="103"/>
  <c r="BP14" i="103"/>
  <c r="BP9" i="103"/>
  <c r="AL5" i="103"/>
  <c r="AL6" i="103" s="1"/>
  <c r="AL10" i="103"/>
  <c r="AF10" i="103"/>
  <c r="AF5" i="103"/>
  <c r="DX168" i="103"/>
  <c r="DX207" i="103"/>
  <c r="BT207" i="103"/>
  <c r="DX157" i="103"/>
  <c r="DP157" i="103"/>
  <c r="DH157" i="103"/>
  <c r="DM158" i="103" s="1"/>
  <c r="DF131" i="103"/>
  <c r="DJ130" i="103"/>
  <c r="DO121" i="103"/>
  <c r="DV118" i="103"/>
  <c r="DY87" i="103"/>
  <c r="DZ86" i="103"/>
  <c r="DZ79" i="103"/>
  <c r="EI78" i="103"/>
  <c r="ED78" i="103"/>
  <c r="ED109" i="103"/>
  <c r="DV75" i="103"/>
  <c r="DV109" i="103" s="1"/>
  <c r="DP76" i="103"/>
  <c r="DP109" i="103"/>
  <c r="DP115" i="103"/>
  <c r="DF76" i="103"/>
  <c r="DF109" i="103"/>
  <c r="DD53" i="103"/>
  <c r="EJ50" i="103"/>
  <c r="EJ52" i="103"/>
  <c r="ED40" i="103"/>
  <c r="ED50" i="103"/>
  <c r="ED51" i="103"/>
  <c r="EN46" i="103"/>
  <c r="EM46" i="103"/>
  <c r="EQ51" i="103"/>
  <c r="EA28" i="103"/>
  <c r="DC39" i="103"/>
  <c r="DD39" i="103"/>
  <c r="DG23" i="103"/>
  <c r="DG37" i="103"/>
  <c r="DG38" i="103" s="1"/>
  <c r="CH23" i="103"/>
  <c r="CH24" i="103" s="1"/>
  <c r="CE39" i="103"/>
  <c r="CH37" i="103"/>
  <c r="CH38" i="103" s="1"/>
  <c r="CD39" i="103"/>
  <c r="BU17" i="103"/>
  <c r="BU18" i="103" s="1"/>
  <c r="BZ41" i="103"/>
  <c r="BU41" i="103"/>
  <c r="BP18" i="103"/>
  <c r="BK18" i="103"/>
  <c r="DM15" i="103"/>
  <c r="DM19" i="103"/>
  <c r="DG49" i="103"/>
  <c r="DC42" i="103"/>
  <c r="DD51" i="103"/>
  <c r="CF42" i="103"/>
  <c r="CK43" i="103" s="1"/>
  <c r="CF40" i="103"/>
  <c r="CF52" i="103"/>
  <c r="CG54" i="103" s="1"/>
  <c r="CF50" i="103"/>
  <c r="BR40" i="103"/>
  <c r="BR50" i="103"/>
  <c r="BR52" i="103"/>
  <c r="BT51" i="103"/>
  <c r="Z49" i="103"/>
  <c r="AA50" i="103"/>
  <c r="V50" i="103"/>
  <c r="CV9" i="103"/>
  <c r="CV49" i="103"/>
  <c r="DA59" i="103"/>
  <c r="CV60" i="103"/>
  <c r="CF6" i="103"/>
  <c r="BY5" i="103"/>
  <c r="CC9" i="103"/>
  <c r="BR5" i="103"/>
  <c r="BR6" i="103" s="1"/>
  <c r="BR10" i="103"/>
  <c r="AZ6" i="103"/>
  <c r="DS194" i="103"/>
  <c r="DW168" i="103"/>
  <c r="CM204" i="103"/>
  <c r="DS125" i="103"/>
  <c r="DW121" i="103"/>
  <c r="BV117" i="103"/>
  <c r="DB117" i="103"/>
  <c r="CP112" i="103"/>
  <c r="FJ112" i="103" s="1"/>
  <c r="CC111" i="103"/>
  <c r="DZ112" i="103"/>
  <c r="DX112" i="103"/>
  <c r="CL112" i="103"/>
  <c r="CJ112" i="103"/>
  <c r="DA109" i="103"/>
  <c r="DO100" i="103"/>
  <c r="DF96" i="103"/>
  <c r="DI76" i="103"/>
  <c r="DJ54" i="103"/>
  <c r="DC54" i="103"/>
  <c r="BU54" i="103"/>
  <c r="EM45" i="103"/>
  <c r="DL37" i="103"/>
  <c r="EW55" i="103"/>
  <c r="ER57" i="103"/>
  <c r="EA26" i="103"/>
  <c r="DT28" i="103"/>
  <c r="DT29" i="103" s="1"/>
  <c r="CX28" i="103"/>
  <c r="CX91" i="103"/>
  <c r="CS28" i="103"/>
  <c r="CW28" i="103" s="1"/>
  <c r="CW90" i="103"/>
  <c r="DB23" i="103"/>
  <c r="DB24" i="103" s="1"/>
  <c r="DB37" i="103"/>
  <c r="DB38" i="103" s="1"/>
  <c r="CY39" i="103"/>
  <c r="CX39" i="103"/>
  <c r="CZ39" i="103"/>
  <c r="DW17" i="103"/>
  <c r="DW41" i="103"/>
  <c r="BC41" i="103"/>
  <c r="DB12" i="103"/>
  <c r="BN12" i="103"/>
  <c r="DZ14" i="103"/>
  <c r="DZ9" i="103"/>
  <c r="DT10" i="103"/>
  <c r="CL14" i="103"/>
  <c r="CL9" i="103"/>
  <c r="BC5" i="103"/>
  <c r="BC10" i="103"/>
  <c r="AY9" i="103"/>
  <c r="AU10" i="103"/>
  <c r="AU5" i="103"/>
  <c r="AM10" i="103"/>
  <c r="L4" i="104"/>
  <c r="L5" i="104"/>
  <c r="M4" i="104" s="1"/>
  <c r="L6" i="104"/>
  <c r="M5" i="104" s="1"/>
  <c r="L8" i="104"/>
  <c r="M7" i="104" s="1"/>
  <c r="L11" i="104"/>
  <c r="M10" i="104" s="1"/>
  <c r="L7" i="104"/>
  <c r="M6" i="104" s="1"/>
  <c r="L12" i="104"/>
  <c r="M11" i="104" s="1"/>
  <c r="L29" i="104"/>
  <c r="M28" i="104" s="1"/>
  <c r="L37" i="104"/>
  <c r="M36" i="104" s="1"/>
  <c r="L45" i="104"/>
  <c r="M44" i="104" s="1"/>
  <c r="L53" i="104"/>
  <c r="M52" i="104" s="1"/>
  <c r="L61" i="104"/>
  <c r="M60" i="104" s="1"/>
  <c r="L69" i="104"/>
  <c r="M68" i="104" s="1"/>
  <c r="L77" i="104"/>
  <c r="M76" i="104" s="1"/>
  <c r="L85" i="104"/>
  <c r="M84" i="104" s="1"/>
  <c r="L93" i="104"/>
  <c r="M92" i="104" s="1"/>
  <c r="L101" i="104"/>
  <c r="M100" i="104" s="1"/>
  <c r="L109" i="104"/>
  <c r="M108" i="104" s="1"/>
  <c r="L117" i="104"/>
  <c r="M116" i="104" s="1"/>
  <c r="L125" i="104"/>
  <c r="M124" i="104" s="1"/>
  <c r="L133" i="104"/>
  <c r="M132" i="104" s="1"/>
  <c r="L141" i="104"/>
  <c r="M140" i="104" s="1"/>
  <c r="L149" i="104"/>
  <c r="M148" i="104" s="1"/>
  <c r="L157" i="104"/>
  <c r="M156" i="104" s="1"/>
  <c r="L165" i="104"/>
  <c r="M164" i="104" s="1"/>
  <c r="L173" i="104"/>
  <c r="M172" i="104" s="1"/>
  <c r="L181" i="104"/>
  <c r="M180" i="104" s="1"/>
  <c r="L189" i="104"/>
  <c r="M188" i="104" s="1"/>
  <c r="L197" i="104"/>
  <c r="M196" i="104" s="1"/>
  <c r="L205" i="104"/>
  <c r="M204" i="104" s="1"/>
  <c r="L213" i="104"/>
  <c r="M212" i="104" s="1"/>
  <c r="L221" i="104"/>
  <c r="M220" i="104" s="1"/>
  <c r="L229" i="104"/>
  <c r="M228" i="104" s="1"/>
  <c r="L237" i="104"/>
  <c r="M236" i="104" s="1"/>
  <c r="L245" i="104"/>
  <c r="M244" i="104" s="1"/>
  <c r="T53" i="104"/>
  <c r="T54" i="104" s="1"/>
  <c r="T55" i="104" s="1"/>
  <c r="T56" i="104" s="1"/>
  <c r="T57" i="104" s="1"/>
  <c r="T58" i="104" s="1"/>
  <c r="T59" i="104" s="1"/>
  <c r="T60" i="104" s="1"/>
  <c r="T61" i="104" s="1"/>
  <c r="T62" i="104" s="1"/>
  <c r="T63" i="104" s="1"/>
  <c r="T64" i="104" s="1"/>
  <c r="T65" i="104" s="1"/>
  <c r="T66" i="104" s="1"/>
  <c r="T67" i="104" s="1"/>
  <c r="T68" i="104" s="1"/>
  <c r="T69" i="104" s="1"/>
  <c r="T70" i="104" s="1"/>
  <c r="T71" i="104" s="1"/>
  <c r="T72" i="104" s="1"/>
  <c r="T73" i="104" s="1"/>
  <c r="T74" i="104" s="1"/>
  <c r="T75" i="104" s="1"/>
  <c r="T76" i="104" s="1"/>
  <c r="L22" i="104"/>
  <c r="M21" i="104" s="1"/>
  <c r="L30" i="104"/>
  <c r="M29" i="104" s="1"/>
  <c r="L38" i="104"/>
  <c r="M37" i="104" s="1"/>
  <c r="L46" i="104"/>
  <c r="M45" i="104" s="1"/>
  <c r="L54" i="104"/>
  <c r="M53" i="104" s="1"/>
  <c r="L62" i="104"/>
  <c r="M61" i="104" s="1"/>
  <c r="L70" i="104"/>
  <c r="M69" i="104" s="1"/>
  <c r="L78" i="104"/>
  <c r="M77" i="104" s="1"/>
  <c r="L86" i="104"/>
  <c r="M85" i="104" s="1"/>
  <c r="L94" i="104"/>
  <c r="M93" i="104" s="1"/>
  <c r="L102" i="104"/>
  <c r="M101" i="104" s="1"/>
  <c r="L110" i="104"/>
  <c r="M109" i="104" s="1"/>
  <c r="L118" i="104"/>
  <c r="M117" i="104" s="1"/>
  <c r="L126" i="104"/>
  <c r="M125" i="104" s="1"/>
  <c r="L134" i="104"/>
  <c r="M133" i="104" s="1"/>
  <c r="L142" i="104"/>
  <c r="M141" i="104" s="1"/>
  <c r="L150" i="104"/>
  <c r="M149" i="104" s="1"/>
  <c r="L158" i="104"/>
  <c r="M157" i="104" s="1"/>
  <c r="L166" i="104"/>
  <c r="M165" i="104" s="1"/>
  <c r="L174" i="104"/>
  <c r="M173" i="104" s="1"/>
  <c r="L182" i="104"/>
  <c r="M181" i="104" s="1"/>
  <c r="L190" i="104"/>
  <c r="M189" i="104" s="1"/>
  <c r="L198" i="104"/>
  <c r="M197" i="104" s="1"/>
  <c r="L206" i="104"/>
  <c r="M205" i="104" s="1"/>
  <c r="L214" i="104"/>
  <c r="M213" i="104" s="1"/>
  <c r="L13" i="104"/>
  <c r="M12" i="104" s="1"/>
  <c r="L15" i="104"/>
  <c r="M14" i="104" s="1"/>
  <c r="L19" i="104"/>
  <c r="M18" i="104" s="1"/>
  <c r="L23" i="104"/>
  <c r="M22" i="104" s="1"/>
  <c r="L31" i="104"/>
  <c r="M30" i="104" s="1"/>
  <c r="L39" i="104"/>
  <c r="M38" i="104" s="1"/>
  <c r="L47" i="104"/>
  <c r="M46" i="104" s="1"/>
  <c r="L55" i="104"/>
  <c r="M54" i="104" s="1"/>
  <c r="L63" i="104"/>
  <c r="M62" i="104" s="1"/>
  <c r="L71" i="104"/>
  <c r="M70" i="104" s="1"/>
  <c r="L79" i="104"/>
  <c r="M78" i="104" s="1"/>
  <c r="L87" i="104"/>
  <c r="M86" i="104" s="1"/>
  <c r="L95" i="104"/>
  <c r="M94" i="104" s="1"/>
  <c r="L103" i="104"/>
  <c r="M102" i="104" s="1"/>
  <c r="L111" i="104"/>
  <c r="M110" i="104" s="1"/>
  <c r="L119" i="104"/>
  <c r="M118" i="104" s="1"/>
  <c r="L127" i="104"/>
  <c r="M126" i="104" s="1"/>
  <c r="L135" i="104"/>
  <c r="M134" i="104" s="1"/>
  <c r="L143" i="104"/>
  <c r="M142" i="104" s="1"/>
  <c r="L151" i="104"/>
  <c r="M150" i="104" s="1"/>
  <c r="L159" i="104"/>
  <c r="M158" i="104" s="1"/>
  <c r="L167" i="104"/>
  <c r="M166" i="104" s="1"/>
  <c r="L175" i="104"/>
  <c r="M174" i="104" s="1"/>
  <c r="L183" i="104"/>
  <c r="M182" i="104" s="1"/>
  <c r="L191" i="104"/>
  <c r="M190" i="104" s="1"/>
  <c r="L199" i="104"/>
  <c r="M198" i="104" s="1"/>
  <c r="L207" i="104"/>
  <c r="M206" i="104" s="1"/>
  <c r="L215" i="104"/>
  <c r="M214" i="104" s="1"/>
  <c r="L223" i="104"/>
  <c r="M222" i="104" s="1"/>
  <c r="L231" i="104"/>
  <c r="M230" i="104" s="1"/>
  <c r="L239" i="104"/>
  <c r="M238" i="104" s="1"/>
  <c r="L247" i="104"/>
  <c r="M246" i="104" s="1"/>
  <c r="L10" i="104"/>
  <c r="M9" i="104" s="1"/>
  <c r="L16" i="104"/>
  <c r="M15" i="104" s="1"/>
  <c r="L17" i="104"/>
  <c r="M16" i="104" s="1"/>
  <c r="L28" i="104"/>
  <c r="M27" i="104" s="1"/>
  <c r="L36" i="104"/>
  <c r="M35" i="104" s="1"/>
  <c r="L44" i="104"/>
  <c r="M43" i="104" s="1"/>
  <c r="L52" i="104"/>
  <c r="M51" i="104" s="1"/>
  <c r="L60" i="104"/>
  <c r="M59" i="104" s="1"/>
  <c r="L68" i="104"/>
  <c r="M67" i="104" s="1"/>
  <c r="L76" i="104"/>
  <c r="M75" i="104" s="1"/>
  <c r="L84" i="104"/>
  <c r="M83" i="104" s="1"/>
  <c r="L92" i="104"/>
  <c r="M91" i="104" s="1"/>
  <c r="L100" i="104"/>
  <c r="M99" i="104" s="1"/>
  <c r="L108" i="104"/>
  <c r="M107" i="104" s="1"/>
  <c r="L116" i="104"/>
  <c r="M115" i="104" s="1"/>
  <c r="L124" i="104"/>
  <c r="M123" i="104" s="1"/>
  <c r="L132" i="104"/>
  <c r="M131" i="104" s="1"/>
  <c r="L140" i="104"/>
  <c r="M139" i="104" s="1"/>
  <c r="L148" i="104"/>
  <c r="M147" i="104" s="1"/>
  <c r="L156" i="104"/>
  <c r="M155" i="104" s="1"/>
  <c r="L164" i="104"/>
  <c r="M163" i="104" s="1"/>
  <c r="L172" i="104"/>
  <c r="M171" i="104" s="1"/>
  <c r="L180" i="104"/>
  <c r="M179" i="104" s="1"/>
  <c r="L188" i="104"/>
  <c r="M187" i="104" s="1"/>
  <c r="L196" i="104"/>
  <c r="M195" i="104" s="1"/>
  <c r="L204" i="104"/>
  <c r="M203" i="104" s="1"/>
  <c r="L212" i="104"/>
  <c r="M211" i="104" s="1"/>
  <c r="L220" i="104"/>
  <c r="M219" i="104" s="1"/>
  <c r="L228" i="104"/>
  <c r="M227" i="104" s="1"/>
  <c r="L236" i="104"/>
  <c r="M235" i="104" s="1"/>
  <c r="L244" i="104"/>
  <c r="M243" i="104" s="1"/>
  <c r="L20" i="104"/>
  <c r="M19" i="104" s="1"/>
  <c r="L26" i="104"/>
  <c r="M25" i="104" s="1"/>
  <c r="L42" i="104"/>
  <c r="M41" i="104" s="1"/>
  <c r="L58" i="104"/>
  <c r="M57" i="104" s="1"/>
  <c r="L74" i="104"/>
  <c r="M73" i="104" s="1"/>
  <c r="L90" i="104"/>
  <c r="M89" i="104" s="1"/>
  <c r="L106" i="104"/>
  <c r="M105" i="104" s="1"/>
  <c r="L122" i="104"/>
  <c r="M121" i="104" s="1"/>
  <c r="L138" i="104"/>
  <c r="M137" i="104" s="1"/>
  <c r="L154" i="104"/>
  <c r="M153" i="104" s="1"/>
  <c r="L186" i="104"/>
  <c r="M185" i="104" s="1"/>
  <c r="L202" i="104"/>
  <c r="M201" i="104" s="1"/>
  <c r="L218" i="104"/>
  <c r="M217" i="104" s="1"/>
  <c r="L232" i="104"/>
  <c r="M231" i="104" s="1"/>
  <c r="L243" i="104"/>
  <c r="M242" i="104" s="1"/>
  <c r="L9" i="104"/>
  <c r="M8" i="104" s="1"/>
  <c r="L27" i="104"/>
  <c r="M26" i="104" s="1"/>
  <c r="L43" i="104"/>
  <c r="M42" i="104" s="1"/>
  <c r="L59" i="104"/>
  <c r="M58" i="104" s="1"/>
  <c r="L75" i="104"/>
  <c r="M74" i="104" s="1"/>
  <c r="L91" i="104"/>
  <c r="M90" i="104" s="1"/>
  <c r="L107" i="104"/>
  <c r="M106" i="104" s="1"/>
  <c r="L123" i="104"/>
  <c r="M122" i="104" s="1"/>
  <c r="L139" i="104"/>
  <c r="M138" i="104" s="1"/>
  <c r="L155" i="104"/>
  <c r="M154" i="104" s="1"/>
  <c r="L171" i="104"/>
  <c r="M170" i="104" s="1"/>
  <c r="L187" i="104"/>
  <c r="M186" i="104" s="1"/>
  <c r="L203" i="104"/>
  <c r="M202" i="104" s="1"/>
  <c r="L219" i="104"/>
  <c r="M218" i="104" s="1"/>
  <c r="L233" i="104"/>
  <c r="M232" i="104" s="1"/>
  <c r="L246" i="104"/>
  <c r="M245" i="104" s="1"/>
  <c r="L18" i="104"/>
  <c r="M17" i="104" s="1"/>
  <c r="L34" i="104"/>
  <c r="M33" i="104" s="1"/>
  <c r="L50" i="104"/>
  <c r="M49" i="104" s="1"/>
  <c r="L66" i="104"/>
  <c r="M65" i="104" s="1"/>
  <c r="L82" i="104"/>
  <c r="M81" i="104" s="1"/>
  <c r="L98" i="104"/>
  <c r="M97" i="104" s="1"/>
  <c r="L114" i="104"/>
  <c r="M113" i="104" s="1"/>
  <c r="L130" i="104"/>
  <c r="M129" i="104" s="1"/>
  <c r="L146" i="104"/>
  <c r="M145" i="104" s="1"/>
  <c r="L162" i="104"/>
  <c r="M161" i="104" s="1"/>
  <c r="L178" i="104"/>
  <c r="M177" i="104" s="1"/>
  <c r="L194" i="104"/>
  <c r="M193" i="104" s="1"/>
  <c r="L210" i="104"/>
  <c r="M209" i="104" s="1"/>
  <c r="L225" i="104"/>
  <c r="M224" i="104" s="1"/>
  <c r="L238" i="104"/>
  <c r="M237" i="104" s="1"/>
  <c r="L250" i="104"/>
  <c r="M249" i="104" s="1"/>
  <c r="L14" i="104"/>
  <c r="M13" i="104" s="1"/>
  <c r="L25" i="104"/>
  <c r="M24" i="104" s="1"/>
  <c r="L41" i="104"/>
  <c r="M40" i="104" s="1"/>
  <c r="L57" i="104"/>
  <c r="M56" i="104" s="1"/>
  <c r="L73" i="104"/>
  <c r="M72" i="104" s="1"/>
  <c r="L89" i="104"/>
  <c r="M88" i="104" s="1"/>
  <c r="L105" i="104"/>
  <c r="M104" i="104" s="1"/>
  <c r="L121" i="104"/>
  <c r="M120" i="104" s="1"/>
  <c r="L137" i="104"/>
  <c r="M136" i="104" s="1"/>
  <c r="L153" i="104"/>
  <c r="M152" i="104" s="1"/>
  <c r="L169" i="104"/>
  <c r="M168" i="104" s="1"/>
  <c r="L185" i="104"/>
  <c r="M184" i="104" s="1"/>
  <c r="L201" i="104"/>
  <c r="M200" i="104" s="1"/>
  <c r="L217" i="104"/>
  <c r="M216" i="104" s="1"/>
  <c r="L230" i="104"/>
  <c r="M229" i="104" s="1"/>
  <c r="L242" i="104"/>
  <c r="M241" i="104" s="1"/>
  <c r="L49" i="104"/>
  <c r="M48" i="104" s="1"/>
  <c r="L81" i="104"/>
  <c r="M80" i="104" s="1"/>
  <c r="L113" i="104"/>
  <c r="M112" i="104" s="1"/>
  <c r="L145" i="104"/>
  <c r="M144" i="104" s="1"/>
  <c r="L177" i="104"/>
  <c r="M176" i="104" s="1"/>
  <c r="L209" i="104"/>
  <c r="M208" i="104" s="1"/>
  <c r="L235" i="104"/>
  <c r="M234" i="104" s="1"/>
  <c r="L51" i="104"/>
  <c r="M50" i="104" s="1"/>
  <c r="L83" i="104"/>
  <c r="M82" i="104" s="1"/>
  <c r="L115" i="104"/>
  <c r="M114" i="104" s="1"/>
  <c r="L147" i="104"/>
  <c r="M146" i="104" s="1"/>
  <c r="L179" i="104"/>
  <c r="M178" i="104" s="1"/>
  <c r="L211" i="104"/>
  <c r="M210" i="104" s="1"/>
  <c r="L240" i="104"/>
  <c r="M239" i="104" s="1"/>
  <c r="L32" i="104"/>
  <c r="M31" i="104" s="1"/>
  <c r="L64" i="104"/>
  <c r="M63" i="104" s="1"/>
  <c r="L96" i="104"/>
  <c r="M95" i="104" s="1"/>
  <c r="L128" i="104"/>
  <c r="M127" i="104" s="1"/>
  <c r="L160" i="104"/>
  <c r="M159" i="104" s="1"/>
  <c r="L192" i="104"/>
  <c r="M191" i="104" s="1"/>
  <c r="L222" i="104"/>
  <c r="M221" i="104" s="1"/>
  <c r="L248" i="104"/>
  <c r="M247" i="104" s="1"/>
  <c r="L21" i="104"/>
  <c r="M20" i="104" s="1"/>
  <c r="L48" i="104"/>
  <c r="M47" i="104" s="1"/>
  <c r="L80" i="104"/>
  <c r="M79" i="104" s="1"/>
  <c r="L112" i="104"/>
  <c r="M111" i="104" s="1"/>
  <c r="L144" i="104"/>
  <c r="M143" i="104" s="1"/>
  <c r="L176" i="104"/>
  <c r="M175" i="104" s="1"/>
  <c r="L208" i="104"/>
  <c r="M207" i="104" s="1"/>
  <c r="DQ120" i="103"/>
  <c r="FP106" i="103"/>
  <c r="DW87" i="103"/>
  <c r="DV83" i="103"/>
  <c r="EK80" i="103"/>
  <c r="EG82" i="103"/>
  <c r="DV86" i="103"/>
  <c r="DN76" i="103"/>
  <c r="DN109" i="103"/>
  <c r="CT76" i="103"/>
  <c r="CT109" i="103"/>
  <c r="CT117" i="103"/>
  <c r="BU74" i="103"/>
  <c r="BU70" i="103"/>
  <c r="ED53" i="103"/>
  <c r="BT53" i="103"/>
  <c r="EW61" i="103"/>
  <c r="ER58" i="103"/>
  <c r="EO59" i="103"/>
  <c r="EQ60" i="103"/>
  <c r="EE59" i="103"/>
  <c r="EE49" i="103"/>
  <c r="EG60" i="103"/>
  <c r="BY39" i="103"/>
  <c r="BZ39" i="103"/>
  <c r="CA39" i="103"/>
  <c r="CC37" i="103"/>
  <c r="CC38" i="103" s="1"/>
  <c r="BR15" i="103"/>
  <c r="BR16" i="103" s="1"/>
  <c r="BR19" i="103"/>
  <c r="BR20" i="103" s="1"/>
  <c r="BR43" i="103"/>
  <c r="CL40" i="103"/>
  <c r="CL51" i="103"/>
  <c r="CL42" i="103"/>
  <c r="CL52" i="103"/>
  <c r="BW43" i="103"/>
  <c r="BW19" i="103"/>
  <c r="BW20" i="103" s="1"/>
  <c r="Y9" i="103"/>
  <c r="AD14" i="103"/>
  <c r="DW6" i="103"/>
  <c r="DI42" i="103"/>
  <c r="DI52" i="103"/>
  <c r="CP5" i="103"/>
  <c r="CP6" i="103" s="1"/>
  <c r="CP10" i="103"/>
  <c r="CI6" i="103"/>
  <c r="BQ9" i="103"/>
  <c r="BQ14" i="103"/>
  <c r="BL10" i="103"/>
  <c r="BL5" i="103"/>
  <c r="BL6" i="103" s="1"/>
  <c r="AQ14" i="103"/>
  <c r="AV14" i="103"/>
  <c r="AM14" i="103"/>
  <c r="DH82" i="103"/>
  <c r="FH82" i="103" s="1"/>
  <c r="CB51" i="103"/>
  <c r="EB50" i="103"/>
  <c r="DT50" i="103"/>
  <c r="BH50" i="103"/>
  <c r="L50" i="103"/>
  <c r="EP34" i="103"/>
  <c r="DR40" i="103"/>
  <c r="CQ49" i="103"/>
  <c r="CM49" i="103"/>
  <c r="CI42" i="103"/>
  <c r="CA15" i="103"/>
  <c r="CA19" i="103"/>
  <c r="CA20" i="103" s="1"/>
  <c r="BT42" i="103"/>
  <c r="BT40" i="103"/>
  <c r="BX49" i="103"/>
  <c r="BG15" i="103"/>
  <c r="AZ40" i="103"/>
  <c r="BD49" i="103"/>
  <c r="AJ49" i="103"/>
  <c r="DL12" i="103"/>
  <c r="DG12" i="103"/>
  <c r="BX12" i="103"/>
  <c r="BS12" i="103"/>
  <c r="AJ12" i="103"/>
  <c r="AE12" i="103"/>
  <c r="DM9" i="103"/>
  <c r="DQ58" i="103"/>
  <c r="CU9" i="103"/>
  <c r="CB10" i="103"/>
  <c r="BW14" i="103"/>
  <c r="BW9" i="103"/>
  <c r="AI14" i="103"/>
  <c r="AI9" i="103"/>
  <c r="EG63" i="103"/>
  <c r="CB50" i="103"/>
  <c r="BJ43" i="103"/>
  <c r="BR39" i="103"/>
  <c r="ET44" i="103"/>
  <c r="CW37" i="103"/>
  <c r="CW38" i="103" s="1"/>
  <c r="CS39" i="103"/>
  <c r="BY14" i="103"/>
  <c r="EA49" i="103"/>
  <c r="DW42" i="103"/>
  <c r="CD40" i="103"/>
  <c r="CI41" i="103" s="1"/>
  <c r="BJ40" i="103"/>
  <c r="BN49" i="103"/>
  <c r="AT49" i="103"/>
  <c r="EC49" i="103"/>
  <c r="EC9" i="103"/>
  <c r="CR58" i="103"/>
  <c r="CO49" i="103"/>
  <c r="CO9" i="103"/>
  <c r="CD14" i="103"/>
  <c r="BH10" i="103"/>
  <c r="BE5" i="103"/>
  <c r="BE10" i="103"/>
  <c r="EM59" i="103"/>
  <c r="DJ51" i="103"/>
  <c r="EI45" i="103"/>
  <c r="BK41" i="103"/>
  <c r="BP39" i="103"/>
  <c r="BS37" i="103"/>
  <c r="BS38" i="103" s="1"/>
  <c r="DL90" i="103"/>
  <c r="BS23" i="103"/>
  <c r="U49" i="103"/>
  <c r="DJ42" i="103"/>
  <c r="BQ15" i="103"/>
  <c r="BT14" i="103"/>
  <c r="DK15" i="103"/>
  <c r="BV18" i="103"/>
  <c r="BS49" i="103"/>
  <c r="BO42" i="103"/>
  <c r="AY49" i="103"/>
  <c r="AE49" i="103"/>
  <c r="BG10" i="103"/>
  <c r="DN9" i="103"/>
  <c r="DN49" i="103"/>
  <c r="DO51" i="103" s="1"/>
  <c r="DJ9" i="103"/>
  <c r="DD42" i="103"/>
  <c r="DD40" i="103"/>
  <c r="DG40" i="103" s="1"/>
  <c r="CV14" i="103"/>
  <c r="CQ14" i="103"/>
  <c r="AK9" i="103"/>
  <c r="DG90" i="103"/>
  <c r="DT42" i="103"/>
  <c r="DT40" i="103"/>
  <c r="CB42" i="103"/>
  <c r="CB40" i="103"/>
  <c r="BH42" i="103"/>
  <c r="BM43" i="103" s="1"/>
  <c r="BH40" i="103"/>
  <c r="DX5" i="103"/>
  <c r="DI10" i="103"/>
  <c r="DI5" i="103"/>
  <c r="DI6" i="103" s="1"/>
  <c r="DC5" i="103"/>
  <c r="DG9" i="103"/>
  <c r="CU14" i="103"/>
  <c r="CQ5" i="103"/>
  <c r="CQ10" i="103"/>
  <c r="CJ10" i="103"/>
  <c r="CJ5" i="103"/>
  <c r="BK14" i="103"/>
  <c r="BK9" i="103"/>
  <c r="BH14" i="103"/>
  <c r="BC14" i="103"/>
  <c r="BD9" i="103"/>
  <c r="BD10" i="103" s="1"/>
  <c r="AZ10" i="103"/>
  <c r="AR10" i="103"/>
  <c r="AR5" i="103"/>
  <c r="AR6" i="103" s="1"/>
  <c r="AE9" i="103"/>
  <c r="H4" i="104"/>
  <c r="H6" i="104"/>
  <c r="I5" i="104" s="1"/>
  <c r="H5" i="104"/>
  <c r="I4" i="104" s="1"/>
  <c r="H11" i="104"/>
  <c r="I10" i="104" s="1"/>
  <c r="H14" i="104"/>
  <c r="I13" i="104" s="1"/>
  <c r="H22" i="104"/>
  <c r="I21" i="104" s="1"/>
  <c r="H30" i="104"/>
  <c r="I29" i="104" s="1"/>
  <c r="H38" i="104"/>
  <c r="I37" i="104" s="1"/>
  <c r="H46" i="104"/>
  <c r="I45" i="104" s="1"/>
  <c r="H54" i="104"/>
  <c r="I53" i="104" s="1"/>
  <c r="H501" i="104"/>
  <c r="I500" i="104" s="1"/>
  <c r="H509" i="104"/>
  <c r="I508" i="104" s="1"/>
  <c r="H517" i="104"/>
  <c r="I516" i="104" s="1"/>
  <c r="H525" i="104"/>
  <c r="I524" i="104" s="1"/>
  <c r="H533" i="104"/>
  <c r="I532" i="104" s="1"/>
  <c r="H541" i="104"/>
  <c r="I540" i="104" s="1"/>
  <c r="H549" i="104"/>
  <c r="I548" i="104" s="1"/>
  <c r="H557" i="104"/>
  <c r="I556" i="104" s="1"/>
  <c r="H565" i="104"/>
  <c r="I564" i="104" s="1"/>
  <c r="H573" i="104"/>
  <c r="I572" i="104" s="1"/>
  <c r="H581" i="104"/>
  <c r="I580" i="104" s="1"/>
  <c r="H589" i="104"/>
  <c r="I588" i="104" s="1"/>
  <c r="H597" i="104"/>
  <c r="I596" i="104" s="1"/>
  <c r="H605" i="104"/>
  <c r="I604" i="104" s="1"/>
  <c r="H613" i="104"/>
  <c r="I612" i="104" s="1"/>
  <c r="H621" i="104"/>
  <c r="I620" i="104" s="1"/>
  <c r="H629" i="104"/>
  <c r="I628" i="104" s="1"/>
  <c r="H637" i="104"/>
  <c r="I636" i="104" s="1"/>
  <c r="H645" i="104"/>
  <c r="I644" i="104" s="1"/>
  <c r="H653" i="104"/>
  <c r="I652" i="104" s="1"/>
  <c r="H661" i="104"/>
  <c r="I660" i="104" s="1"/>
  <c r="H669" i="104"/>
  <c r="I668" i="104" s="1"/>
  <c r="H677" i="104"/>
  <c r="I676" i="104" s="1"/>
  <c r="H685" i="104"/>
  <c r="I684" i="104" s="1"/>
  <c r="H693" i="104"/>
  <c r="I692" i="104" s="1"/>
  <c r="H701" i="104"/>
  <c r="I700" i="104" s="1"/>
  <c r="H709" i="104"/>
  <c r="I708" i="104" s="1"/>
  <c r="H717" i="104"/>
  <c r="I716" i="104" s="1"/>
  <c r="H725" i="104"/>
  <c r="I724" i="104" s="1"/>
  <c r="H733" i="104"/>
  <c r="I732" i="104" s="1"/>
  <c r="H741" i="104"/>
  <c r="I740" i="104" s="1"/>
  <c r="H749" i="104"/>
  <c r="I748" i="104" s="1"/>
  <c r="H757" i="104"/>
  <c r="I756" i="104" s="1"/>
  <c r="H765" i="104"/>
  <c r="I764" i="104" s="1"/>
  <c r="H773" i="104"/>
  <c r="I772" i="104" s="1"/>
  <c r="H781" i="104"/>
  <c r="I780" i="104" s="1"/>
  <c r="H789" i="104"/>
  <c r="I788" i="104" s="1"/>
  <c r="H797" i="104"/>
  <c r="I796" i="104" s="1"/>
  <c r="H805" i="104"/>
  <c r="I804" i="104" s="1"/>
  <c r="H813" i="104"/>
  <c r="I812" i="104" s="1"/>
  <c r="H821" i="104"/>
  <c r="I820" i="104" s="1"/>
  <c r="H829" i="104"/>
  <c r="I828" i="104" s="1"/>
  <c r="H837" i="104"/>
  <c r="I836" i="104" s="1"/>
  <c r="H845" i="104"/>
  <c r="I844" i="104" s="1"/>
  <c r="H853" i="104"/>
  <c r="I852" i="104" s="1"/>
  <c r="H861" i="104"/>
  <c r="I860" i="104" s="1"/>
  <c r="H869" i="104"/>
  <c r="I868" i="104" s="1"/>
  <c r="H877" i="104"/>
  <c r="I876" i="104" s="1"/>
  <c r="H885" i="104"/>
  <c r="I884" i="104" s="1"/>
  <c r="H893" i="104"/>
  <c r="I892" i="104" s="1"/>
  <c r="H901" i="104"/>
  <c r="I900" i="104" s="1"/>
  <c r="H909" i="104"/>
  <c r="I908" i="104" s="1"/>
  <c r="H917" i="104"/>
  <c r="I916" i="104" s="1"/>
  <c r="H925" i="104"/>
  <c r="I924" i="104" s="1"/>
  <c r="H933" i="104"/>
  <c r="I932" i="104" s="1"/>
  <c r="H10" i="104"/>
  <c r="I9" i="104" s="1"/>
  <c r="H15" i="104"/>
  <c r="I14" i="104" s="1"/>
  <c r="H23" i="104"/>
  <c r="I22" i="104" s="1"/>
  <c r="H31" i="104"/>
  <c r="I30" i="104" s="1"/>
  <c r="H39" i="104"/>
  <c r="I38" i="104" s="1"/>
  <c r="H47" i="104"/>
  <c r="I46" i="104" s="1"/>
  <c r="H55" i="104"/>
  <c r="I54" i="104" s="1"/>
  <c r="H502" i="104"/>
  <c r="I501" i="104" s="1"/>
  <c r="H510" i="104"/>
  <c r="I509" i="104" s="1"/>
  <c r="H518" i="104"/>
  <c r="I517" i="104" s="1"/>
  <c r="H526" i="104"/>
  <c r="I525" i="104" s="1"/>
  <c r="H534" i="104"/>
  <c r="I533" i="104" s="1"/>
  <c r="H542" i="104"/>
  <c r="I541" i="104" s="1"/>
  <c r="H550" i="104"/>
  <c r="I549" i="104" s="1"/>
  <c r="H558" i="104"/>
  <c r="I557" i="104" s="1"/>
  <c r="H566" i="104"/>
  <c r="I565" i="104" s="1"/>
  <c r="H574" i="104"/>
  <c r="I573" i="104" s="1"/>
  <c r="H582" i="104"/>
  <c r="I581" i="104" s="1"/>
  <c r="H590" i="104"/>
  <c r="I589" i="104" s="1"/>
  <c r="H598" i="104"/>
  <c r="I597" i="104" s="1"/>
  <c r="H606" i="104"/>
  <c r="I605" i="104" s="1"/>
  <c r="H614" i="104"/>
  <c r="I613" i="104" s="1"/>
  <c r="H622" i="104"/>
  <c r="I621" i="104" s="1"/>
  <c r="H630" i="104"/>
  <c r="I629" i="104" s="1"/>
  <c r="H638" i="104"/>
  <c r="I637" i="104" s="1"/>
  <c r="H646" i="104"/>
  <c r="I645" i="104" s="1"/>
  <c r="H654" i="104"/>
  <c r="I653" i="104" s="1"/>
  <c r="H662" i="104"/>
  <c r="I661" i="104" s="1"/>
  <c r="H670" i="104"/>
  <c r="I669" i="104" s="1"/>
  <c r="H678" i="104"/>
  <c r="I677" i="104" s="1"/>
  <c r="H686" i="104"/>
  <c r="I685" i="104" s="1"/>
  <c r="H694" i="104"/>
  <c r="I693" i="104" s="1"/>
  <c r="H702" i="104"/>
  <c r="I701" i="104" s="1"/>
  <c r="H710" i="104"/>
  <c r="I709" i="104" s="1"/>
  <c r="H718" i="104"/>
  <c r="I717" i="104" s="1"/>
  <c r="H726" i="104"/>
  <c r="I725" i="104" s="1"/>
  <c r="H734" i="104"/>
  <c r="I733" i="104" s="1"/>
  <c r="H742" i="104"/>
  <c r="I741" i="104" s="1"/>
  <c r="H750" i="104"/>
  <c r="I749" i="104" s="1"/>
  <c r="H758" i="104"/>
  <c r="I757" i="104" s="1"/>
  <c r="H766" i="104"/>
  <c r="I765" i="104" s="1"/>
  <c r="H774" i="104"/>
  <c r="I773" i="104" s="1"/>
  <c r="H782" i="104"/>
  <c r="I781" i="104" s="1"/>
  <c r="H790" i="104"/>
  <c r="I789" i="104" s="1"/>
  <c r="H798" i="104"/>
  <c r="I797" i="104" s="1"/>
  <c r="H806" i="104"/>
  <c r="I805" i="104" s="1"/>
  <c r="H814" i="104"/>
  <c r="I813" i="104" s="1"/>
  <c r="H822" i="104"/>
  <c r="I821" i="104" s="1"/>
  <c r="H830" i="104"/>
  <c r="I829" i="104" s="1"/>
  <c r="H838" i="104"/>
  <c r="I837" i="104" s="1"/>
  <c r="H846" i="104"/>
  <c r="I845" i="104" s="1"/>
  <c r="H854" i="104"/>
  <c r="I853" i="104" s="1"/>
  <c r="H862" i="104"/>
  <c r="I861" i="104" s="1"/>
  <c r="H8" i="104"/>
  <c r="I7" i="104" s="1"/>
  <c r="H9" i="104"/>
  <c r="I8" i="104" s="1"/>
  <c r="H17" i="104"/>
  <c r="I16" i="104" s="1"/>
  <c r="H25" i="104"/>
  <c r="I24" i="104" s="1"/>
  <c r="H33" i="104"/>
  <c r="I32" i="104" s="1"/>
  <c r="H41" i="104"/>
  <c r="I40" i="104" s="1"/>
  <c r="H49" i="104"/>
  <c r="I48" i="104" s="1"/>
  <c r="H504" i="104"/>
  <c r="I503" i="104" s="1"/>
  <c r="H512" i="104"/>
  <c r="I511" i="104" s="1"/>
  <c r="H520" i="104"/>
  <c r="I519" i="104" s="1"/>
  <c r="H528" i="104"/>
  <c r="I527" i="104" s="1"/>
  <c r="H536" i="104"/>
  <c r="I535" i="104" s="1"/>
  <c r="H544" i="104"/>
  <c r="I543" i="104" s="1"/>
  <c r="H552" i="104"/>
  <c r="I551" i="104" s="1"/>
  <c r="H560" i="104"/>
  <c r="I559" i="104" s="1"/>
  <c r="H568" i="104"/>
  <c r="I567" i="104" s="1"/>
  <c r="H576" i="104"/>
  <c r="I575" i="104" s="1"/>
  <c r="H584" i="104"/>
  <c r="I583" i="104" s="1"/>
  <c r="H592" i="104"/>
  <c r="I591" i="104" s="1"/>
  <c r="H600" i="104"/>
  <c r="I599" i="104" s="1"/>
  <c r="H608" i="104"/>
  <c r="I607" i="104" s="1"/>
  <c r="H616" i="104"/>
  <c r="I615" i="104" s="1"/>
  <c r="H624" i="104"/>
  <c r="I623" i="104" s="1"/>
  <c r="H632" i="104"/>
  <c r="I631" i="104" s="1"/>
  <c r="H640" i="104"/>
  <c r="I639" i="104" s="1"/>
  <c r="H648" i="104"/>
  <c r="I647" i="104" s="1"/>
  <c r="H656" i="104"/>
  <c r="I655" i="104" s="1"/>
  <c r="H664" i="104"/>
  <c r="I663" i="104" s="1"/>
  <c r="H672" i="104"/>
  <c r="I671" i="104" s="1"/>
  <c r="H680" i="104"/>
  <c r="I679" i="104" s="1"/>
  <c r="H688" i="104"/>
  <c r="I687" i="104" s="1"/>
  <c r="H696" i="104"/>
  <c r="I695" i="104" s="1"/>
  <c r="H704" i="104"/>
  <c r="I703" i="104" s="1"/>
  <c r="H712" i="104"/>
  <c r="I711" i="104" s="1"/>
  <c r="H720" i="104"/>
  <c r="I719" i="104" s="1"/>
  <c r="H728" i="104"/>
  <c r="I727" i="104" s="1"/>
  <c r="H736" i="104"/>
  <c r="I735" i="104" s="1"/>
  <c r="H744" i="104"/>
  <c r="I743" i="104" s="1"/>
  <c r="H752" i="104"/>
  <c r="I751" i="104" s="1"/>
  <c r="H760" i="104"/>
  <c r="I759" i="104" s="1"/>
  <c r="H768" i="104"/>
  <c r="I767" i="104" s="1"/>
  <c r="H776" i="104"/>
  <c r="I775" i="104" s="1"/>
  <c r="H784" i="104"/>
  <c r="I783" i="104" s="1"/>
  <c r="H792" i="104"/>
  <c r="I791" i="104" s="1"/>
  <c r="H800" i="104"/>
  <c r="I799" i="104" s="1"/>
  <c r="H808" i="104"/>
  <c r="I807" i="104" s="1"/>
  <c r="H816" i="104"/>
  <c r="I815" i="104" s="1"/>
  <c r="H824" i="104"/>
  <c r="I823" i="104" s="1"/>
  <c r="H832" i="104"/>
  <c r="I831" i="104" s="1"/>
  <c r="H840" i="104"/>
  <c r="I839" i="104" s="1"/>
  <c r="H848" i="104"/>
  <c r="I847" i="104" s="1"/>
  <c r="H856" i="104"/>
  <c r="I855" i="104" s="1"/>
  <c r="H864" i="104"/>
  <c r="I863" i="104" s="1"/>
  <c r="H872" i="104"/>
  <c r="I871" i="104" s="1"/>
  <c r="H880" i="104"/>
  <c r="I879" i="104" s="1"/>
  <c r="H888" i="104"/>
  <c r="I887" i="104" s="1"/>
  <c r="H896" i="104"/>
  <c r="I895" i="104" s="1"/>
  <c r="H904" i="104"/>
  <c r="I903" i="104" s="1"/>
  <c r="H912" i="104"/>
  <c r="I911" i="104" s="1"/>
  <c r="H920" i="104"/>
  <c r="I919" i="104" s="1"/>
  <c r="H928" i="104"/>
  <c r="I927" i="104" s="1"/>
  <c r="H936" i="104"/>
  <c r="I935" i="104" s="1"/>
  <c r="H13" i="104"/>
  <c r="I12" i="104" s="1"/>
  <c r="H21" i="104"/>
  <c r="I20" i="104" s="1"/>
  <c r="H29" i="104"/>
  <c r="I28" i="104" s="1"/>
  <c r="H37" i="104"/>
  <c r="I36" i="104" s="1"/>
  <c r="H45" i="104"/>
  <c r="I44" i="104" s="1"/>
  <c r="H53" i="104"/>
  <c r="I52" i="104" s="1"/>
  <c r="H500" i="104"/>
  <c r="I499" i="104" s="1"/>
  <c r="H508" i="104"/>
  <c r="I507" i="104" s="1"/>
  <c r="H516" i="104"/>
  <c r="I515" i="104" s="1"/>
  <c r="H524" i="104"/>
  <c r="I523" i="104" s="1"/>
  <c r="H532" i="104"/>
  <c r="I531" i="104" s="1"/>
  <c r="H540" i="104"/>
  <c r="I539" i="104" s="1"/>
  <c r="H548" i="104"/>
  <c r="I547" i="104" s="1"/>
  <c r="H556" i="104"/>
  <c r="I555" i="104" s="1"/>
  <c r="H564" i="104"/>
  <c r="I563" i="104" s="1"/>
  <c r="H572" i="104"/>
  <c r="I571" i="104" s="1"/>
  <c r="H580" i="104"/>
  <c r="I579" i="104" s="1"/>
  <c r="H588" i="104"/>
  <c r="I587" i="104" s="1"/>
  <c r="H596" i="104"/>
  <c r="I595" i="104" s="1"/>
  <c r="H604" i="104"/>
  <c r="I603" i="104" s="1"/>
  <c r="H612" i="104"/>
  <c r="I611" i="104" s="1"/>
  <c r="H620" i="104"/>
  <c r="I619" i="104" s="1"/>
  <c r="H628" i="104"/>
  <c r="I627" i="104" s="1"/>
  <c r="H636" i="104"/>
  <c r="I635" i="104" s="1"/>
  <c r="H644" i="104"/>
  <c r="I643" i="104" s="1"/>
  <c r="H652" i="104"/>
  <c r="I651" i="104" s="1"/>
  <c r="H660" i="104"/>
  <c r="I659" i="104" s="1"/>
  <c r="H668" i="104"/>
  <c r="I667" i="104" s="1"/>
  <c r="H676" i="104"/>
  <c r="I675" i="104" s="1"/>
  <c r="H684" i="104"/>
  <c r="I683" i="104" s="1"/>
  <c r="H692" i="104"/>
  <c r="I691" i="104" s="1"/>
  <c r="H700" i="104"/>
  <c r="I699" i="104" s="1"/>
  <c r="H708" i="104"/>
  <c r="I707" i="104" s="1"/>
  <c r="H716" i="104"/>
  <c r="I715" i="104" s="1"/>
  <c r="H724" i="104"/>
  <c r="I723" i="104" s="1"/>
  <c r="H732" i="104"/>
  <c r="I731" i="104" s="1"/>
  <c r="H740" i="104"/>
  <c r="I739" i="104" s="1"/>
  <c r="H748" i="104"/>
  <c r="I747" i="104" s="1"/>
  <c r="H756" i="104"/>
  <c r="I755" i="104" s="1"/>
  <c r="H764" i="104"/>
  <c r="I763" i="104" s="1"/>
  <c r="H772" i="104"/>
  <c r="I771" i="104" s="1"/>
  <c r="H780" i="104"/>
  <c r="I779" i="104" s="1"/>
  <c r="H788" i="104"/>
  <c r="I787" i="104" s="1"/>
  <c r="H796" i="104"/>
  <c r="I795" i="104" s="1"/>
  <c r="H804" i="104"/>
  <c r="I803" i="104" s="1"/>
  <c r="H812" i="104"/>
  <c r="I811" i="104" s="1"/>
  <c r="H820" i="104"/>
  <c r="I819" i="104" s="1"/>
  <c r="H828" i="104"/>
  <c r="I827" i="104" s="1"/>
  <c r="H836" i="104"/>
  <c r="I835" i="104" s="1"/>
  <c r="H844" i="104"/>
  <c r="I843" i="104" s="1"/>
  <c r="H852" i="104"/>
  <c r="I851" i="104" s="1"/>
  <c r="H860" i="104"/>
  <c r="I859" i="104" s="1"/>
  <c r="H868" i="104"/>
  <c r="I867" i="104" s="1"/>
  <c r="H876" i="104"/>
  <c r="I875" i="104" s="1"/>
  <c r="H884" i="104"/>
  <c r="I883" i="104" s="1"/>
  <c r="H892" i="104"/>
  <c r="I891" i="104" s="1"/>
  <c r="H900" i="104"/>
  <c r="I899" i="104" s="1"/>
  <c r="H908" i="104"/>
  <c r="I907" i="104" s="1"/>
  <c r="H916" i="104"/>
  <c r="I915" i="104" s="1"/>
  <c r="H924" i="104"/>
  <c r="I923" i="104" s="1"/>
  <c r="H932" i="104"/>
  <c r="I931" i="104" s="1"/>
  <c r="H20" i="104"/>
  <c r="I19" i="104" s="1"/>
  <c r="H36" i="104"/>
  <c r="I35" i="104" s="1"/>
  <c r="H52" i="104"/>
  <c r="I51" i="104" s="1"/>
  <c r="H506" i="104"/>
  <c r="I505" i="104" s="1"/>
  <c r="H522" i="104"/>
  <c r="I521" i="104" s="1"/>
  <c r="H538" i="104"/>
  <c r="I537" i="104" s="1"/>
  <c r="H554" i="104"/>
  <c r="I553" i="104" s="1"/>
  <c r="H570" i="104"/>
  <c r="I569" i="104" s="1"/>
  <c r="H586" i="104"/>
  <c r="I585" i="104" s="1"/>
  <c r="H602" i="104"/>
  <c r="I601" i="104" s="1"/>
  <c r="H618" i="104"/>
  <c r="I617" i="104" s="1"/>
  <c r="H634" i="104"/>
  <c r="I633" i="104" s="1"/>
  <c r="H650" i="104"/>
  <c r="I649" i="104" s="1"/>
  <c r="H666" i="104"/>
  <c r="I665" i="104" s="1"/>
  <c r="H682" i="104"/>
  <c r="I681" i="104" s="1"/>
  <c r="H698" i="104"/>
  <c r="I697" i="104" s="1"/>
  <c r="H714" i="104"/>
  <c r="I713" i="104" s="1"/>
  <c r="H730" i="104"/>
  <c r="I729" i="104" s="1"/>
  <c r="H746" i="104"/>
  <c r="I745" i="104" s="1"/>
  <c r="H762" i="104"/>
  <c r="I761" i="104" s="1"/>
  <c r="H778" i="104"/>
  <c r="I777" i="104" s="1"/>
  <c r="H794" i="104"/>
  <c r="I793" i="104" s="1"/>
  <c r="H810" i="104"/>
  <c r="I809" i="104" s="1"/>
  <c r="H826" i="104"/>
  <c r="I825" i="104" s="1"/>
  <c r="H842" i="104"/>
  <c r="I841" i="104" s="1"/>
  <c r="H858" i="104"/>
  <c r="I857" i="104" s="1"/>
  <c r="H874" i="104"/>
  <c r="I873" i="104" s="1"/>
  <c r="H890" i="104"/>
  <c r="I889" i="104" s="1"/>
  <c r="H906" i="104"/>
  <c r="I905" i="104" s="1"/>
  <c r="H922" i="104"/>
  <c r="I921" i="104" s="1"/>
  <c r="H938" i="104"/>
  <c r="I937" i="104" s="1"/>
  <c r="J794" i="104"/>
  <c r="K793" i="104" s="1"/>
  <c r="J802" i="104"/>
  <c r="K801" i="104" s="1"/>
  <c r="J810" i="104"/>
  <c r="K809" i="104" s="1"/>
  <c r="J818" i="104"/>
  <c r="K817" i="104" s="1"/>
  <c r="J826" i="104"/>
  <c r="K825" i="104" s="1"/>
  <c r="J834" i="104"/>
  <c r="K833" i="104" s="1"/>
  <c r="J842" i="104"/>
  <c r="K841" i="104" s="1"/>
  <c r="J850" i="104"/>
  <c r="K849" i="104" s="1"/>
  <c r="J858" i="104"/>
  <c r="K857" i="104" s="1"/>
  <c r="J866" i="104"/>
  <c r="K865" i="104" s="1"/>
  <c r="J874" i="104"/>
  <c r="K873" i="104" s="1"/>
  <c r="J882" i="104"/>
  <c r="K881" i="104" s="1"/>
  <c r="J890" i="104"/>
  <c r="K889" i="104" s="1"/>
  <c r="J898" i="104"/>
  <c r="K897" i="104" s="1"/>
  <c r="J906" i="104"/>
  <c r="K905" i="104" s="1"/>
  <c r="J914" i="104"/>
  <c r="K913" i="104" s="1"/>
  <c r="J922" i="104"/>
  <c r="K921" i="104" s="1"/>
  <c r="J930" i="104"/>
  <c r="K929" i="104" s="1"/>
  <c r="J938" i="104"/>
  <c r="K937" i="104" s="1"/>
  <c r="H24" i="104"/>
  <c r="I23" i="104" s="1"/>
  <c r="H40" i="104"/>
  <c r="I39" i="104" s="1"/>
  <c r="H56" i="104"/>
  <c r="I55" i="104" s="1"/>
  <c r="H507" i="104"/>
  <c r="I506" i="104" s="1"/>
  <c r="H523" i="104"/>
  <c r="I522" i="104" s="1"/>
  <c r="H539" i="104"/>
  <c r="I538" i="104" s="1"/>
  <c r="H555" i="104"/>
  <c r="I554" i="104" s="1"/>
  <c r="H571" i="104"/>
  <c r="I570" i="104" s="1"/>
  <c r="H587" i="104"/>
  <c r="I586" i="104" s="1"/>
  <c r="H603" i="104"/>
  <c r="I602" i="104" s="1"/>
  <c r="H619" i="104"/>
  <c r="I618" i="104" s="1"/>
  <c r="H635" i="104"/>
  <c r="I634" i="104" s="1"/>
  <c r="H651" i="104"/>
  <c r="I650" i="104" s="1"/>
  <c r="H667" i="104"/>
  <c r="I666" i="104" s="1"/>
  <c r="H683" i="104"/>
  <c r="I682" i="104" s="1"/>
  <c r="H699" i="104"/>
  <c r="I698" i="104" s="1"/>
  <c r="H715" i="104"/>
  <c r="I714" i="104" s="1"/>
  <c r="H731" i="104"/>
  <c r="I730" i="104" s="1"/>
  <c r="H747" i="104"/>
  <c r="I746" i="104" s="1"/>
  <c r="H763" i="104"/>
  <c r="I762" i="104" s="1"/>
  <c r="H779" i="104"/>
  <c r="I778" i="104" s="1"/>
  <c r="H795" i="104"/>
  <c r="I794" i="104" s="1"/>
  <c r="H811" i="104"/>
  <c r="I810" i="104" s="1"/>
  <c r="H827" i="104"/>
  <c r="I826" i="104" s="1"/>
  <c r="H843" i="104"/>
  <c r="I842" i="104" s="1"/>
  <c r="H859" i="104"/>
  <c r="I858" i="104" s="1"/>
  <c r="H875" i="104"/>
  <c r="I874" i="104" s="1"/>
  <c r="H891" i="104"/>
  <c r="I890" i="104" s="1"/>
  <c r="H907" i="104"/>
  <c r="I906" i="104" s="1"/>
  <c r="H923" i="104"/>
  <c r="I922" i="104" s="1"/>
  <c r="H939" i="104"/>
  <c r="I938" i="104" s="1"/>
  <c r="J795" i="104"/>
  <c r="K794" i="104" s="1"/>
  <c r="J803" i="104"/>
  <c r="K802" i="104" s="1"/>
  <c r="J811" i="104"/>
  <c r="K810" i="104" s="1"/>
  <c r="J819" i="104"/>
  <c r="K818" i="104" s="1"/>
  <c r="J827" i="104"/>
  <c r="K826" i="104" s="1"/>
  <c r="J835" i="104"/>
  <c r="K834" i="104" s="1"/>
  <c r="J843" i="104"/>
  <c r="K842" i="104" s="1"/>
  <c r="J851" i="104"/>
  <c r="K850" i="104" s="1"/>
  <c r="J859" i="104"/>
  <c r="K858" i="104" s="1"/>
  <c r="J867" i="104"/>
  <c r="K866" i="104" s="1"/>
  <c r="J875" i="104"/>
  <c r="K874" i="104" s="1"/>
  <c r="J883" i="104"/>
  <c r="K882" i="104" s="1"/>
  <c r="J891" i="104"/>
  <c r="K890" i="104" s="1"/>
  <c r="J899" i="104"/>
  <c r="K898" i="104" s="1"/>
  <c r="J907" i="104"/>
  <c r="K906" i="104" s="1"/>
  <c r="J915" i="104"/>
  <c r="K914" i="104" s="1"/>
  <c r="J923" i="104"/>
  <c r="K922" i="104" s="1"/>
  <c r="J931" i="104"/>
  <c r="K930" i="104" s="1"/>
  <c r="J939" i="104"/>
  <c r="K938" i="104" s="1"/>
  <c r="H26" i="104"/>
  <c r="I25" i="104" s="1"/>
  <c r="H42" i="104"/>
  <c r="I41" i="104" s="1"/>
  <c r="H511" i="104"/>
  <c r="I510" i="104" s="1"/>
  <c r="H527" i="104"/>
  <c r="I526" i="104" s="1"/>
  <c r="H543" i="104"/>
  <c r="I542" i="104" s="1"/>
  <c r="H559" i="104"/>
  <c r="I558" i="104" s="1"/>
  <c r="H575" i="104"/>
  <c r="I574" i="104" s="1"/>
  <c r="H591" i="104"/>
  <c r="I590" i="104" s="1"/>
  <c r="H607" i="104"/>
  <c r="I606" i="104" s="1"/>
  <c r="H623" i="104"/>
  <c r="I622" i="104" s="1"/>
  <c r="H639" i="104"/>
  <c r="I638" i="104" s="1"/>
  <c r="H655" i="104"/>
  <c r="I654" i="104" s="1"/>
  <c r="H671" i="104"/>
  <c r="I670" i="104" s="1"/>
  <c r="H687" i="104"/>
  <c r="I686" i="104" s="1"/>
  <c r="H703" i="104"/>
  <c r="I702" i="104" s="1"/>
  <c r="H719" i="104"/>
  <c r="I718" i="104" s="1"/>
  <c r="H735" i="104"/>
  <c r="I734" i="104" s="1"/>
  <c r="H751" i="104"/>
  <c r="I750" i="104" s="1"/>
  <c r="H767" i="104"/>
  <c r="I766" i="104" s="1"/>
  <c r="H783" i="104"/>
  <c r="I782" i="104" s="1"/>
  <c r="H799" i="104"/>
  <c r="I798" i="104" s="1"/>
  <c r="H815" i="104"/>
  <c r="I814" i="104" s="1"/>
  <c r="H831" i="104"/>
  <c r="I830" i="104" s="1"/>
  <c r="H847" i="104"/>
  <c r="I846" i="104" s="1"/>
  <c r="H863" i="104"/>
  <c r="I862" i="104" s="1"/>
  <c r="H879" i="104"/>
  <c r="I878" i="104" s="1"/>
  <c r="H895" i="104"/>
  <c r="I894" i="104" s="1"/>
  <c r="H911" i="104"/>
  <c r="I910" i="104" s="1"/>
  <c r="H927" i="104"/>
  <c r="I926" i="104" s="1"/>
  <c r="J796" i="104"/>
  <c r="K795" i="104" s="1"/>
  <c r="J804" i="104"/>
  <c r="K803" i="104" s="1"/>
  <c r="J812" i="104"/>
  <c r="K811" i="104" s="1"/>
  <c r="J820" i="104"/>
  <c r="K819" i="104" s="1"/>
  <c r="J828" i="104"/>
  <c r="K827" i="104" s="1"/>
  <c r="J836" i="104"/>
  <c r="K835" i="104" s="1"/>
  <c r="J844" i="104"/>
  <c r="K843" i="104" s="1"/>
  <c r="J852" i="104"/>
  <c r="K851" i="104" s="1"/>
  <c r="J860" i="104"/>
  <c r="K859" i="104" s="1"/>
  <c r="J868" i="104"/>
  <c r="K867" i="104" s="1"/>
  <c r="J876" i="104"/>
  <c r="K875" i="104" s="1"/>
  <c r="J884" i="104"/>
  <c r="K883" i="104" s="1"/>
  <c r="J892" i="104"/>
  <c r="K891" i="104" s="1"/>
  <c r="J900" i="104"/>
  <c r="K899" i="104" s="1"/>
  <c r="J908" i="104"/>
  <c r="K907" i="104" s="1"/>
  <c r="J916" i="104"/>
  <c r="K915" i="104" s="1"/>
  <c r="J924" i="104"/>
  <c r="K923" i="104" s="1"/>
  <c r="J932" i="104"/>
  <c r="K931" i="104" s="1"/>
  <c r="H19" i="104"/>
  <c r="I18" i="104" s="1"/>
  <c r="H35" i="104"/>
  <c r="I34" i="104" s="1"/>
  <c r="H51" i="104"/>
  <c r="I50" i="104" s="1"/>
  <c r="H505" i="104"/>
  <c r="I504" i="104" s="1"/>
  <c r="H521" i="104"/>
  <c r="I520" i="104" s="1"/>
  <c r="H537" i="104"/>
  <c r="I536" i="104" s="1"/>
  <c r="H553" i="104"/>
  <c r="I552" i="104" s="1"/>
  <c r="H569" i="104"/>
  <c r="I568" i="104" s="1"/>
  <c r="H585" i="104"/>
  <c r="I584" i="104" s="1"/>
  <c r="H601" i="104"/>
  <c r="I600" i="104" s="1"/>
  <c r="H617" i="104"/>
  <c r="I616" i="104" s="1"/>
  <c r="H633" i="104"/>
  <c r="I632" i="104" s="1"/>
  <c r="H649" i="104"/>
  <c r="I648" i="104" s="1"/>
  <c r="H665" i="104"/>
  <c r="I664" i="104" s="1"/>
  <c r="H681" i="104"/>
  <c r="I680" i="104" s="1"/>
  <c r="H697" i="104"/>
  <c r="I696" i="104" s="1"/>
  <c r="H713" i="104"/>
  <c r="I712" i="104" s="1"/>
  <c r="H729" i="104"/>
  <c r="I728" i="104" s="1"/>
  <c r="H745" i="104"/>
  <c r="I744" i="104" s="1"/>
  <c r="H761" i="104"/>
  <c r="I760" i="104" s="1"/>
  <c r="H777" i="104"/>
  <c r="I776" i="104" s="1"/>
  <c r="H793" i="104"/>
  <c r="I792" i="104" s="1"/>
  <c r="H809" i="104"/>
  <c r="I808" i="104" s="1"/>
  <c r="H825" i="104"/>
  <c r="I824" i="104" s="1"/>
  <c r="H841" i="104"/>
  <c r="I840" i="104" s="1"/>
  <c r="H857" i="104"/>
  <c r="I856" i="104" s="1"/>
  <c r="H873" i="104"/>
  <c r="I872" i="104" s="1"/>
  <c r="H889" i="104"/>
  <c r="I888" i="104" s="1"/>
  <c r="H905" i="104"/>
  <c r="I904" i="104" s="1"/>
  <c r="H921" i="104"/>
  <c r="I920" i="104" s="1"/>
  <c r="H937" i="104"/>
  <c r="I936" i="104" s="1"/>
  <c r="J793" i="104"/>
  <c r="K792" i="104" s="1"/>
  <c r="J801" i="104"/>
  <c r="K800" i="104" s="1"/>
  <c r="J809" i="104"/>
  <c r="K808" i="104" s="1"/>
  <c r="J817" i="104"/>
  <c r="K816" i="104" s="1"/>
  <c r="J825" i="104"/>
  <c r="K824" i="104" s="1"/>
  <c r="J833" i="104"/>
  <c r="K832" i="104" s="1"/>
  <c r="J841" i="104"/>
  <c r="K840" i="104" s="1"/>
  <c r="J849" i="104"/>
  <c r="K848" i="104" s="1"/>
  <c r="J857" i="104"/>
  <c r="K856" i="104" s="1"/>
  <c r="J865" i="104"/>
  <c r="K864" i="104" s="1"/>
  <c r="J873" i="104"/>
  <c r="K872" i="104" s="1"/>
  <c r="J881" i="104"/>
  <c r="K880" i="104" s="1"/>
  <c r="J889" i="104"/>
  <c r="K888" i="104" s="1"/>
  <c r="J897" i="104"/>
  <c r="K896" i="104" s="1"/>
  <c r="J905" i="104"/>
  <c r="K904" i="104" s="1"/>
  <c r="J913" i="104"/>
  <c r="K912" i="104" s="1"/>
  <c r="J921" i="104"/>
  <c r="K920" i="104" s="1"/>
  <c r="J929" i="104"/>
  <c r="K928" i="104" s="1"/>
  <c r="J937" i="104"/>
  <c r="K936" i="104" s="1"/>
  <c r="E7" i="104"/>
  <c r="C6" i="104"/>
  <c r="H934" i="104"/>
  <c r="I933" i="104" s="1"/>
  <c r="H926" i="104"/>
  <c r="I925" i="104" s="1"/>
  <c r="H918" i="104"/>
  <c r="I917" i="104" s="1"/>
  <c r="H910" i="104"/>
  <c r="I909" i="104" s="1"/>
  <c r="H902" i="104"/>
  <c r="I901" i="104" s="1"/>
  <c r="H894" i="104"/>
  <c r="I893" i="104" s="1"/>
  <c r="H886" i="104"/>
  <c r="I885" i="104" s="1"/>
  <c r="H878" i="104"/>
  <c r="I877" i="104" s="1"/>
  <c r="H870" i="104"/>
  <c r="I869" i="104" s="1"/>
  <c r="K4" i="104"/>
  <c r="J4" i="104"/>
  <c r="A5" i="104"/>
  <c r="B5" i="104" s="1"/>
  <c r="D6" i="104"/>
  <c r="C4" i="104"/>
  <c r="EF241" i="103"/>
  <c r="EF242" i="103" s="1"/>
  <c r="BT242" i="103"/>
  <c r="BU242" i="103"/>
  <c r="BV242" i="103"/>
  <c r="BW242" i="103"/>
  <c r="BX242" i="103"/>
  <c r="BY242" i="103"/>
  <c r="BZ242" i="103"/>
  <c r="CA242" i="103"/>
  <c r="CB242" i="103"/>
  <c r="CC242" i="103"/>
  <c r="CD242" i="103"/>
  <c r="CE242" i="103"/>
  <c r="CF242" i="103"/>
  <c r="CG242" i="103"/>
  <c r="CH242" i="103"/>
  <c r="CI242" i="103"/>
  <c r="CJ242" i="103"/>
  <c r="CK242" i="103"/>
  <c r="CL242" i="103"/>
  <c r="CM242" i="103"/>
  <c r="CN242" i="103"/>
  <c r="CO242" i="103"/>
  <c r="CP242" i="103"/>
  <c r="CQ242" i="103"/>
  <c r="CR242" i="103"/>
  <c r="CS242" i="103"/>
  <c r="CT242" i="103"/>
  <c r="CU242" i="103"/>
  <c r="CV242" i="103"/>
  <c r="CW242" i="103"/>
  <c r="CX242" i="103"/>
  <c r="CY242" i="103"/>
  <c r="CZ242" i="103"/>
  <c r="DA242" i="103"/>
  <c r="DB242" i="103"/>
  <c r="DC242" i="103"/>
  <c r="DD242" i="103"/>
  <c r="DE242" i="103"/>
  <c r="DF242" i="103"/>
  <c r="DG242" i="103"/>
  <c r="DH242" i="103"/>
  <c r="DI242" i="103"/>
  <c r="DJ242" i="103"/>
  <c r="DK242" i="103"/>
  <c r="DL242" i="103"/>
  <c r="DM242" i="103"/>
  <c r="DN242" i="103"/>
  <c r="DO242" i="103"/>
  <c r="DP242" i="103"/>
  <c r="DQ242" i="103"/>
  <c r="DR242" i="103"/>
  <c r="DS242" i="103"/>
  <c r="DT242" i="103"/>
  <c r="DU242" i="103"/>
  <c r="DV242" i="103"/>
  <c r="DW242" i="103"/>
  <c r="DX242" i="103"/>
  <c r="DY242" i="103"/>
  <c r="DZ242" i="103"/>
  <c r="EA242" i="103"/>
  <c r="EB242" i="103"/>
  <c r="EC242" i="103"/>
  <c r="BS244" i="103"/>
  <c r="BX244" i="103"/>
  <c r="CC244" i="103"/>
  <c r="CH244" i="103"/>
  <c r="CM244" i="103"/>
  <c r="CR244" i="103"/>
  <c r="CW244" i="103"/>
  <c r="DB244" i="103"/>
  <c r="DG244" i="103"/>
  <c r="BS245" i="103"/>
  <c r="BX245" i="103"/>
  <c r="CC245" i="103"/>
  <c r="CH245" i="103"/>
  <c r="CM245" i="103"/>
  <c r="CR245" i="103"/>
  <c r="CR246" i="103" s="1"/>
  <c r="CR247" i="103" s="1"/>
  <c r="CW245" i="103"/>
  <c r="CZ245" i="103"/>
  <c r="CZ246" i="103" s="1"/>
  <c r="CZ247" i="103" s="1"/>
  <c r="DA245" i="103"/>
  <c r="DB245" i="103"/>
  <c r="DE245" i="103"/>
  <c r="DF245" i="103"/>
  <c r="DG245" i="103"/>
  <c r="DL245" i="103"/>
  <c r="DQ245" i="103"/>
  <c r="DV245" i="103"/>
  <c r="EA245" i="103"/>
  <c r="BQ246" i="103"/>
  <c r="BQ247" i="103" s="1"/>
  <c r="BT246" i="103"/>
  <c r="BY246" i="103"/>
  <c r="BY247" i="103" s="1"/>
  <c r="BY248" i="103" s="1"/>
  <c r="BZ246" i="103"/>
  <c r="CB246" i="103"/>
  <c r="CJ246" i="103"/>
  <c r="CN246" i="103"/>
  <c r="CN247" i="103" s="1"/>
  <c r="CO246" i="103"/>
  <c r="CO247" i="103" s="1"/>
  <c r="CO248" i="103" s="1"/>
  <c r="CP246" i="103"/>
  <c r="CQ246" i="103"/>
  <c r="CU246" i="103"/>
  <c r="CX246" i="103"/>
  <c r="CY246" i="103"/>
  <c r="DD246" i="103"/>
  <c r="DD247" i="103" s="1"/>
  <c r="DH246" i="103"/>
  <c r="DI246" i="103"/>
  <c r="DK246" i="103"/>
  <c r="DM246" i="103"/>
  <c r="DN246" i="103"/>
  <c r="DO246" i="103"/>
  <c r="DS246" i="103"/>
  <c r="DU246" i="103"/>
  <c r="DU247" i="103" s="1"/>
  <c r="DX246" i="103"/>
  <c r="DY246" i="103"/>
  <c r="EB246" i="103"/>
  <c r="EB247" i="103" s="1"/>
  <c r="EC246" i="103"/>
  <c r="EC247" i="103" s="1"/>
  <c r="EC248" i="103" s="1"/>
  <c r="BT247" i="103"/>
  <c r="BZ247" i="103"/>
  <c r="CB247" i="103"/>
  <c r="CJ247" i="103"/>
  <c r="CP247" i="103"/>
  <c r="CQ247" i="103"/>
  <c r="CU247" i="103"/>
  <c r="CX247" i="103"/>
  <c r="CY247" i="103"/>
  <c r="DH247" i="103"/>
  <c r="DI247" i="103"/>
  <c r="DN248" i="103" s="1"/>
  <c r="DK247" i="103"/>
  <c r="DN247" i="103"/>
  <c r="DO247" i="103"/>
  <c r="DS247" i="103"/>
  <c r="DS248" i="103" s="1"/>
  <c r="DX247" i="103"/>
  <c r="DX248" i="103" s="1"/>
  <c r="DY247" i="103"/>
  <c r="BS250" i="103"/>
  <c r="BX251" i="103" s="1"/>
  <c r="BX250" i="103"/>
  <c r="CC250" i="103"/>
  <c r="CE250" i="103"/>
  <c r="CF250" i="103"/>
  <c r="CG250" i="103"/>
  <c r="CH250" i="103"/>
  <c r="CH251" i="103" s="1"/>
  <c r="CL250" i="103"/>
  <c r="CL251" i="103" s="1"/>
  <c r="CM250" i="103"/>
  <c r="CR250" i="103"/>
  <c r="CW250" i="103"/>
  <c r="DB250" i="103"/>
  <c r="DG250" i="103"/>
  <c r="DG251" i="103" s="1"/>
  <c r="DL250" i="103"/>
  <c r="DQ250" i="103"/>
  <c r="DV250" i="103"/>
  <c r="DV251" i="103" s="1"/>
  <c r="EA250" i="103"/>
  <c r="BT251" i="103"/>
  <c r="BU251" i="103"/>
  <c r="BV251" i="103"/>
  <c r="BW251" i="103"/>
  <c r="BY251" i="103"/>
  <c r="BZ251" i="103"/>
  <c r="CA251" i="103"/>
  <c r="CB251" i="103"/>
  <c r="CC251" i="103"/>
  <c r="CD251" i="103"/>
  <c r="CE251" i="103"/>
  <c r="CF251" i="103"/>
  <c r="CG251" i="103"/>
  <c r="CI251" i="103"/>
  <c r="CJ251" i="103"/>
  <c r="CK251" i="103"/>
  <c r="CN251" i="103"/>
  <c r="CO251" i="103"/>
  <c r="CP251" i="103"/>
  <c r="CS251" i="103"/>
  <c r="CT251" i="103"/>
  <c r="CU251" i="103"/>
  <c r="CV251" i="103"/>
  <c r="CW251" i="103"/>
  <c r="CX251" i="103"/>
  <c r="CY251" i="103"/>
  <c r="CZ251" i="103"/>
  <c r="DA251" i="103"/>
  <c r="DB251" i="103"/>
  <c r="DC251" i="103"/>
  <c r="DD251" i="103"/>
  <c r="DE251" i="103"/>
  <c r="DF251" i="103"/>
  <c r="DH251" i="103"/>
  <c r="DI251" i="103"/>
  <c r="DJ251" i="103"/>
  <c r="DK251" i="103"/>
  <c r="DL251" i="103"/>
  <c r="DM251" i="103"/>
  <c r="DN251" i="103"/>
  <c r="DO251" i="103"/>
  <c r="DP251" i="103"/>
  <c r="DR251" i="103"/>
  <c r="DS251" i="103"/>
  <c r="DT251" i="103"/>
  <c r="DU251" i="103"/>
  <c r="DW251" i="103"/>
  <c r="DX251" i="103"/>
  <c r="DY251" i="103"/>
  <c r="DZ251" i="103"/>
  <c r="EB251" i="103"/>
  <c r="EC251" i="103"/>
  <c r="ED251" i="103"/>
  <c r="EE251" i="103"/>
  <c r="BT252" i="103"/>
  <c r="CN252" i="103"/>
  <c r="CQ252" i="103"/>
  <c r="CX252" i="103"/>
  <c r="CY252" i="103"/>
  <c r="CZ252" i="103"/>
  <c r="DD252" i="103"/>
  <c r="DM252" i="103"/>
  <c r="EC252" i="103"/>
  <c r="EE253" i="103"/>
  <c r="DN254" i="103"/>
  <c r="DO254" i="103"/>
  <c r="DS254" i="103"/>
  <c r="DU254" i="103"/>
  <c r="DX254" i="103"/>
  <c r="DY254" i="103"/>
  <c r="DN255" i="103"/>
  <c r="DS255" i="103"/>
  <c r="DU255" i="103" s="1"/>
  <c r="DX255" i="103"/>
  <c r="DY255" i="103" s="1"/>
  <c r="DZ255" i="103" s="1"/>
  <c r="BS256" i="103"/>
  <c r="BX256" i="103"/>
  <c r="CC256" i="103"/>
  <c r="CH256" i="103"/>
  <c r="CM256" i="103"/>
  <c r="CR256" i="103"/>
  <c r="CW256" i="103"/>
  <c r="DB256" i="103"/>
  <c r="DG256" i="103"/>
  <c r="DL256" i="103"/>
  <c r="DQ256" i="103"/>
  <c r="DV256" i="103"/>
  <c r="EA256" i="103"/>
  <c r="EF256" i="103"/>
  <c r="EK256" i="103"/>
  <c r="DS257" i="103"/>
  <c r="DX257" i="103"/>
  <c r="DY257" i="103" s="1"/>
  <c r="DZ257" i="103" s="1"/>
  <c r="BN258" i="103"/>
  <c r="BS258" i="103"/>
  <c r="BX258" i="103"/>
  <c r="CC258" i="103"/>
  <c r="CH258" i="103"/>
  <c r="CM258" i="103"/>
  <c r="CR258" i="103"/>
  <c r="CW258" i="103"/>
  <c r="DB258" i="103"/>
  <c r="DQ258" i="103"/>
  <c r="DR258" i="103"/>
  <c r="DS259" i="103"/>
  <c r="DV258" i="103"/>
  <c r="DW258" i="103"/>
  <c r="DX259" i="103"/>
  <c r="DZ259" i="103" s="1"/>
  <c r="DX258" i="103"/>
  <c r="DY259" i="103"/>
  <c r="EA258" i="103"/>
  <c r="EB258" i="103"/>
  <c r="DN259" i="103"/>
  <c r="DN265" i="103" s="1"/>
  <c r="DU259" i="103"/>
  <c r="BN260" i="103"/>
  <c r="BS260" i="103"/>
  <c r="DM260" i="103"/>
  <c r="DM262" i="103" s="1"/>
  <c r="DN260" i="103"/>
  <c r="DN262" i="103" s="1"/>
  <c r="DO260" i="103"/>
  <c r="DO262" i="103" s="1"/>
  <c r="DO265" i="103" s="1"/>
  <c r="DR260" i="103"/>
  <c r="DS260" i="103"/>
  <c r="DU260" i="103"/>
  <c r="DW260" i="103"/>
  <c r="DW262" i="103" s="1"/>
  <c r="DW265" i="103" s="1"/>
  <c r="DX260" i="103"/>
  <c r="DX262" i="103" s="1"/>
  <c r="DY260" i="103"/>
  <c r="DY262" i="103" s="1"/>
  <c r="DZ260" i="103"/>
  <c r="DZ262" i="103" s="1"/>
  <c r="EB260" i="103"/>
  <c r="EB262" i="103" s="1"/>
  <c r="EB265" i="103" s="1"/>
  <c r="DN261" i="103"/>
  <c r="DS261" i="103"/>
  <c r="DU261" i="103"/>
  <c r="DX261" i="103"/>
  <c r="DY261" i="103"/>
  <c r="DZ261" i="103"/>
  <c r="BN262" i="103"/>
  <c r="BN266" i="103" s="1"/>
  <c r="BS262" i="103"/>
  <c r="BX262" i="103"/>
  <c r="DR262" i="103"/>
  <c r="DR265" i="103" s="1"/>
  <c r="DS262" i="103"/>
  <c r="DS265" i="103" s="1"/>
  <c r="DT262" i="103"/>
  <c r="DT265" i="103" s="1"/>
  <c r="DU262" i="103"/>
  <c r="DU265" i="103" s="1"/>
  <c r="BX263" i="103"/>
  <c r="CC263" i="103"/>
  <c r="CM263" i="103"/>
  <c r="CR263" i="103"/>
  <c r="DB263" i="103"/>
  <c r="DG263" i="103"/>
  <c r="DL263" i="103"/>
  <c r="EA263" i="103"/>
  <c r="EK263" i="103"/>
  <c r="BX264" i="103"/>
  <c r="CC264" i="103"/>
  <c r="CH264" i="103"/>
  <c r="CM264" i="103"/>
  <c r="CR264" i="103"/>
  <c r="CW264" i="103"/>
  <c r="DB264" i="103"/>
  <c r="DG264" i="103"/>
  <c r="DL264" i="103"/>
  <c r="DQ264" i="103"/>
  <c r="DV264" i="103"/>
  <c r="EA264" i="103"/>
  <c r="EF264" i="103"/>
  <c r="EK264" i="103"/>
  <c r="BX265" i="103"/>
  <c r="CC265" i="103"/>
  <c r="CH265" i="103"/>
  <c r="CM265" i="103"/>
  <c r="CR265" i="103"/>
  <c r="CW265" i="103"/>
  <c r="DB265" i="103"/>
  <c r="DG265" i="103"/>
  <c r="DL265" i="103"/>
  <c r="DM265" i="103"/>
  <c r="DQ265" i="103"/>
  <c r="DV265" i="103"/>
  <c r="EA265" i="103"/>
  <c r="BX266" i="103"/>
  <c r="CC266" i="103"/>
  <c r="CH266" i="103"/>
  <c r="CM266" i="103"/>
  <c r="CR266" i="103"/>
  <c r="CW266" i="103"/>
  <c r="DB266" i="103"/>
  <c r="DG266" i="103"/>
  <c r="DL266" i="103"/>
  <c r="DQ266" i="103"/>
  <c r="DV266" i="103"/>
  <c r="EA266" i="103"/>
  <c r="EK266" i="103"/>
  <c r="EP266" i="103"/>
  <c r="EU266" i="103"/>
  <c r="EZ266" i="103"/>
  <c r="EZ267" i="103" s="1"/>
  <c r="FE266" i="103"/>
  <c r="FE267" i="103" s="1"/>
  <c r="DN267" i="103"/>
  <c r="DS267" i="103"/>
  <c r="DU267" i="103"/>
  <c r="DX267" i="103"/>
  <c r="DY267" i="103"/>
  <c r="DZ267" i="103"/>
  <c r="EK267" i="103"/>
  <c r="EP267" i="103"/>
  <c r="EU267" i="103"/>
  <c r="BN268" i="103"/>
  <c r="BS268" i="103"/>
  <c r="BS270" i="103" s="1"/>
  <c r="CC268" i="103"/>
  <c r="CC317" i="103" s="1"/>
  <c r="DN268" i="103"/>
  <c r="DS268" i="103"/>
  <c r="DU268" i="103"/>
  <c r="EA268" i="103"/>
  <c r="DN269" i="103"/>
  <c r="DN270" i="103" s="1"/>
  <c r="DS269" i="103"/>
  <c r="DU269" i="103" s="1"/>
  <c r="EA269" i="103"/>
  <c r="BN270" i="103"/>
  <c r="BX270" i="103"/>
  <c r="CH270" i="103"/>
  <c r="CM270" i="103"/>
  <c r="CR270" i="103"/>
  <c r="CW270" i="103"/>
  <c r="DB270" i="103"/>
  <c r="DG270" i="103"/>
  <c r="DL270" i="103"/>
  <c r="DM270" i="103"/>
  <c r="DN271" i="103"/>
  <c r="DO270" i="103"/>
  <c r="DQ270" i="103"/>
  <c r="DR270" i="103"/>
  <c r="DU270" i="103" s="1"/>
  <c r="DS271" i="103"/>
  <c r="DS270" i="103" s="1"/>
  <c r="DV270" i="103"/>
  <c r="EA270" i="103"/>
  <c r="DU271" i="103"/>
  <c r="DX271" i="103"/>
  <c r="DY271" i="103"/>
  <c r="BN272" i="103"/>
  <c r="BS272" i="103"/>
  <c r="BS275" i="103" s="1"/>
  <c r="BS278" i="103" s="1"/>
  <c r="BS281" i="103" s="1"/>
  <c r="BS282" i="103" s="1"/>
  <c r="BX272" i="103"/>
  <c r="CC272" i="103"/>
  <c r="BN273" i="103"/>
  <c r="BI278" i="103" s="1"/>
  <c r="BS273" i="103"/>
  <c r="EK274" i="103"/>
  <c r="EP274" i="103"/>
  <c r="EU274" i="103" s="1"/>
  <c r="EZ274" i="103" s="1"/>
  <c r="FE274" i="103" s="1"/>
  <c r="BX274" i="103"/>
  <c r="CC274" i="103"/>
  <c r="CC275" i="103"/>
  <c r="BN278" i="103"/>
  <c r="BX278" i="103"/>
  <c r="BX281" i="103" s="1"/>
  <c r="CC278" i="103"/>
  <c r="CH278" i="103"/>
  <c r="CR278" i="103"/>
  <c r="CW278" i="103"/>
  <c r="CW312" i="103" s="1"/>
  <c r="DP278" i="103"/>
  <c r="DY278" i="103"/>
  <c r="BN279" i="103"/>
  <c r="BS279" i="103"/>
  <c r="BX279" i="103"/>
  <c r="CC279" i="103"/>
  <c r="CC281" i="103" s="1"/>
  <c r="DG279" i="103"/>
  <c r="DL279" i="103"/>
  <c r="DL281" i="103" s="1"/>
  <c r="DM279" i="103"/>
  <c r="DM281" i="103" s="1"/>
  <c r="DN279" i="103"/>
  <c r="DN281" i="103" s="1"/>
  <c r="DQ279" i="103"/>
  <c r="DS279" i="103"/>
  <c r="DT279" i="103"/>
  <c r="DV279" i="103"/>
  <c r="DU279" i="103"/>
  <c r="DW279" i="103"/>
  <c r="DW281" i="103" s="1"/>
  <c r="DX279" i="103"/>
  <c r="DX281" i="103" s="1"/>
  <c r="DY279" i="103"/>
  <c r="DY281" i="103" s="1"/>
  <c r="DZ279" i="103"/>
  <c r="EB279" i="103"/>
  <c r="DB280" i="103"/>
  <c r="BN281" i="103"/>
  <c r="CH281" i="103"/>
  <c r="CR281" i="103"/>
  <c r="CW281" i="103"/>
  <c r="DG281" i="103"/>
  <c r="DQ281" i="103"/>
  <c r="DP281" i="103"/>
  <c r="DR281" i="103"/>
  <c r="DS281" i="103"/>
  <c r="DT281" i="103"/>
  <c r="EB281" i="103"/>
  <c r="DP283" i="103"/>
  <c r="DU283" i="103"/>
  <c r="DZ283" i="103"/>
  <c r="DP284" i="103"/>
  <c r="DU284" i="103"/>
  <c r="DZ284" i="103"/>
  <c r="BN285" i="103"/>
  <c r="BS285" i="103"/>
  <c r="BX285" i="103"/>
  <c r="CC285" i="103"/>
  <c r="CH285" i="103"/>
  <c r="CM285" i="103"/>
  <c r="CR285" i="103"/>
  <c r="CW285" i="103"/>
  <c r="DB285" i="103"/>
  <c r="DG285" i="103"/>
  <c r="DL285" i="103"/>
  <c r="DM285" i="103"/>
  <c r="DN285" i="103"/>
  <c r="DO285" i="103"/>
  <c r="DQ285" i="103"/>
  <c r="DP285" i="103"/>
  <c r="DR285" i="103"/>
  <c r="DS285" i="103"/>
  <c r="DT285" i="103"/>
  <c r="DV285" i="103"/>
  <c r="DU285" i="103"/>
  <c r="DW285" i="103"/>
  <c r="DX285" i="103"/>
  <c r="DY285" i="103"/>
  <c r="EA285" i="103"/>
  <c r="DZ285" i="103" s="1"/>
  <c r="EB285" i="103"/>
  <c r="BS286" i="103"/>
  <c r="DB286" i="103"/>
  <c r="DP287" i="103"/>
  <c r="DU287" i="103"/>
  <c r="DZ287" i="103"/>
  <c r="DM289" i="103"/>
  <c r="DM292" i="103" s="1"/>
  <c r="DN289" i="103"/>
  <c r="DP289" i="103"/>
  <c r="DR289" i="103"/>
  <c r="DS289" i="103"/>
  <c r="DS292" i="103" s="1"/>
  <c r="DT289" i="103"/>
  <c r="DT292" i="103" s="1"/>
  <c r="DU289" i="103"/>
  <c r="DW289" i="103"/>
  <c r="DW292" i="103" s="1"/>
  <c r="DX289" i="103"/>
  <c r="DX292" i="103" s="1"/>
  <c r="DZ289" i="103"/>
  <c r="EB289" i="103"/>
  <c r="DP290" i="103"/>
  <c r="DU290" i="103"/>
  <c r="DZ290" i="103"/>
  <c r="BS291" i="103"/>
  <c r="BN292" i="103"/>
  <c r="BS292" i="103"/>
  <c r="BX292" i="103"/>
  <c r="CC292" i="103"/>
  <c r="CH292" i="103"/>
  <c r="CM292" i="103"/>
  <c r="CR292" i="103"/>
  <c r="CW292" i="103"/>
  <c r="DB292" i="103"/>
  <c r="DG292" i="103"/>
  <c r="DL292" i="103"/>
  <c r="DN292" i="103"/>
  <c r="DQ292" i="103"/>
  <c r="DP292" i="103"/>
  <c r="DR292" i="103"/>
  <c r="DV292" i="103"/>
  <c r="DU292" i="103"/>
  <c r="DY292" i="103"/>
  <c r="EB292" i="103"/>
  <c r="DB293" i="103"/>
  <c r="DP294" i="103"/>
  <c r="DU294" i="103"/>
  <c r="DZ294" i="103"/>
  <c r="BN295" i="103"/>
  <c r="BN297" i="103" s="1"/>
  <c r="BS295" i="103"/>
  <c r="DN295" i="103"/>
  <c r="DP295" i="103"/>
  <c r="DT295" i="103"/>
  <c r="DU295" i="103"/>
  <c r="DW295" i="103"/>
  <c r="DW297" i="103" s="1"/>
  <c r="DX295" i="103"/>
  <c r="DX297" i="103" s="1"/>
  <c r="DY295" i="103"/>
  <c r="DY297" i="103" s="1"/>
  <c r="DZ295" i="103"/>
  <c r="EB295" i="103"/>
  <c r="DP296" i="103"/>
  <c r="DU296" i="103"/>
  <c r="DZ296" i="103"/>
  <c r="BS297" i="103"/>
  <c r="BS298" i="103" s="1"/>
  <c r="BX297" i="103"/>
  <c r="CC297" i="103"/>
  <c r="CH297" i="103"/>
  <c r="CM297" i="103"/>
  <c r="CR297" i="103"/>
  <c r="CW297" i="103"/>
  <c r="DB297" i="103"/>
  <c r="DG297" i="103"/>
  <c r="DL297" i="103"/>
  <c r="DM297" i="103"/>
  <c r="DN297" i="103"/>
  <c r="DQ297" i="103"/>
  <c r="DP297" i="103"/>
  <c r="DR297" i="103"/>
  <c r="DS297" i="103"/>
  <c r="DT299" i="103"/>
  <c r="DT308" i="103" s="1"/>
  <c r="DT309" i="103" s="1"/>
  <c r="DT297" i="103"/>
  <c r="DV297" i="103"/>
  <c r="DU297" i="103"/>
  <c r="DZ297" i="103"/>
  <c r="EB297" i="103"/>
  <c r="BN298" i="103"/>
  <c r="DB298" i="103"/>
  <c r="DP299" i="103"/>
  <c r="DU299" i="103"/>
  <c r="DZ299" i="103"/>
  <c r="BN301" i="103"/>
  <c r="BN316" i="103" s="1"/>
  <c r="BS301" i="103"/>
  <c r="BS307" i="103" s="1"/>
  <c r="EF301" i="103"/>
  <c r="EF302" i="103"/>
  <c r="EK302" i="103"/>
  <c r="EP302" i="103"/>
  <c r="EU302" i="103" s="1"/>
  <c r="EZ302" i="103" s="1"/>
  <c r="FE302" i="103" s="1"/>
  <c r="EF303" i="103"/>
  <c r="EK303" i="103"/>
  <c r="EP303" i="103"/>
  <c r="EU303" i="103"/>
  <c r="EZ303" i="103"/>
  <c r="FE303" i="103" s="1"/>
  <c r="BN306" i="103"/>
  <c r="BS306" i="103"/>
  <c r="BX306" i="103"/>
  <c r="BX307" i="103" s="1"/>
  <c r="CC306" i="103"/>
  <c r="CH306" i="103"/>
  <c r="CC307" i="103"/>
  <c r="CC308" i="103" s="1"/>
  <c r="CC309" i="103" s="1"/>
  <c r="CH307" i="103"/>
  <c r="CH308" i="103" s="1"/>
  <c r="CH309" i="103" s="1"/>
  <c r="CM307" i="103"/>
  <c r="CR307" i="103"/>
  <c r="CW307" i="103"/>
  <c r="DB307" i="103"/>
  <c r="DG307" i="103"/>
  <c r="DG308" i="103" s="1"/>
  <c r="DG309" i="103" s="1"/>
  <c r="DL307" i="103"/>
  <c r="DL308" i="103" s="1"/>
  <c r="DL309" i="103" s="1"/>
  <c r="DQ307" i="103"/>
  <c r="DP307" i="103"/>
  <c r="DV307" i="103"/>
  <c r="EA307" i="103"/>
  <c r="DZ307" i="103" s="1"/>
  <c r="CR308" i="103"/>
  <c r="CR309" i="103" s="1"/>
  <c r="CW308" i="103"/>
  <c r="DB308" i="103"/>
  <c r="DM308" i="103"/>
  <c r="DM309" i="103" s="1"/>
  <c r="DN308" i="103"/>
  <c r="DN309" i="103" s="1"/>
  <c r="DO308" i="103"/>
  <c r="DO309" i="103" s="1"/>
  <c r="DQ308" i="103"/>
  <c r="DP308" i="103" s="1"/>
  <c r="DP309" i="103" s="1"/>
  <c r="DW308" i="103"/>
  <c r="DX308" i="103"/>
  <c r="DY308" i="103"/>
  <c r="EA308" i="103"/>
  <c r="EB308" i="103"/>
  <c r="CW309" i="103"/>
  <c r="DB309" i="103"/>
  <c r="DR309" i="103"/>
  <c r="DS309" i="103"/>
  <c r="DW309" i="103"/>
  <c r="DX309" i="103"/>
  <c r="DY309" i="103"/>
  <c r="EB309" i="103"/>
  <c r="CC311" i="103"/>
  <c r="CH311" i="103"/>
  <c r="CR311" i="103"/>
  <c r="CH312" i="103"/>
  <c r="DL312" i="103"/>
  <c r="DQ312" i="103"/>
  <c r="BN317" i="103"/>
  <c r="BS317" i="103"/>
  <c r="BX317" i="103"/>
  <c r="CH317" i="103"/>
  <c r="CM317" i="103"/>
  <c r="CR317" i="103"/>
  <c r="CW317" i="103"/>
  <c r="DG317" i="103"/>
  <c r="DL316" i="103"/>
  <c r="DQ316" i="103"/>
  <c r="DV316" i="103"/>
  <c r="EA316" i="103"/>
  <c r="DB317" i="103"/>
  <c r="DL317" i="103"/>
  <c r="DQ317" i="103"/>
  <c r="DV317" i="103"/>
  <c r="EA317" i="103"/>
  <c r="BS319" i="103"/>
  <c r="AT320" i="103"/>
  <c r="AY320" i="103"/>
  <c r="BD320" i="103"/>
  <c r="BI320" i="103"/>
  <c r="BN320" i="103"/>
  <c r="BS320" i="103"/>
  <c r="BX320" i="103"/>
  <c r="CC320" i="103"/>
  <c r="CH320" i="103"/>
  <c r="CM320" i="103"/>
  <c r="CR320" i="103"/>
  <c r="CW320" i="103"/>
  <c r="DB320" i="103"/>
  <c r="DG320" i="103"/>
  <c r="DK320" i="103"/>
  <c r="DL320" i="103"/>
  <c r="DM320" i="103"/>
  <c r="DP320" i="103"/>
  <c r="DQ320" i="103"/>
  <c r="DR320" i="103"/>
  <c r="DU320" i="103"/>
  <c r="DV320" i="103"/>
  <c r="EA320" i="103"/>
  <c r="EF320" i="103"/>
  <c r="EK320" i="103"/>
  <c r="EP320" i="103"/>
  <c r="FP105" i="103"/>
  <c r="CW30" i="103"/>
  <c r="EV58" i="103" l="1"/>
  <c r="EV60" i="103" s="1"/>
  <c r="FA61" i="103"/>
  <c r="FA55" i="103"/>
  <c r="EV57" i="103"/>
  <c r="EV46" i="103"/>
  <c r="DI15" i="103"/>
  <c r="DI16" i="103" s="1"/>
  <c r="DI43" i="103"/>
  <c r="DI19" i="103"/>
  <c r="DI20" i="103" s="1"/>
  <c r="DO233" i="103"/>
  <c r="EA180" i="103"/>
  <c r="DX182" i="103"/>
  <c r="DY182" i="103"/>
  <c r="EA181" i="103"/>
  <c r="EA194" i="103"/>
  <c r="DW182" i="103"/>
  <c r="CM312" i="103"/>
  <c r="CM308" i="103"/>
  <c r="CM309" i="103" s="1"/>
  <c r="CM10" i="103"/>
  <c r="DN163" i="103"/>
  <c r="DS162" i="103"/>
  <c r="EJ75" i="103"/>
  <c r="DZ271" i="103"/>
  <c r="BS308" i="103"/>
  <c r="BS309" i="103" s="1"/>
  <c r="EK44" i="103"/>
  <c r="BE17" i="103"/>
  <c r="BE18" i="103" s="1"/>
  <c r="BE41" i="103"/>
  <c r="BI40" i="103"/>
  <c r="BE68" i="103"/>
  <c r="BE70" i="103" s="1"/>
  <c r="DT121" i="103"/>
  <c r="DT191" i="103"/>
  <c r="DT175" i="103"/>
  <c r="DT167" i="103"/>
  <c r="DV120" i="103"/>
  <c r="DT181" i="103"/>
  <c r="DY121" i="103"/>
  <c r="DT198" i="103"/>
  <c r="DT171" i="103"/>
  <c r="DT119" i="103"/>
  <c r="BS265" i="103"/>
  <c r="BS264" i="103"/>
  <c r="BS266" i="103"/>
  <c r="BS263" i="103"/>
  <c r="DZ254" i="103"/>
  <c r="DK87" i="103"/>
  <c r="CG15" i="103"/>
  <c r="CG16" i="103" s="1"/>
  <c r="CG19" i="103"/>
  <c r="CG20" i="103" s="1"/>
  <c r="CG43" i="103"/>
  <c r="BT6" i="103"/>
  <c r="DG29" i="103"/>
  <c r="DQ181" i="103"/>
  <c r="DQ180" i="103"/>
  <c r="DM182" i="103"/>
  <c r="DP182" i="103"/>
  <c r="DQ194" i="103"/>
  <c r="DO182" i="103"/>
  <c r="FJ182" i="103" s="1"/>
  <c r="DN233" i="103"/>
  <c r="DN232" i="103"/>
  <c r="DN252" i="103"/>
  <c r="DZ19" i="103"/>
  <c r="DZ15" i="103"/>
  <c r="DZ43" i="103"/>
  <c r="DL282" i="103"/>
  <c r="DT19" i="103"/>
  <c r="DT43" i="103"/>
  <c r="DT15" i="103"/>
  <c r="DT16" i="103" s="1"/>
  <c r="EO53" i="103"/>
  <c r="EQ54" i="103"/>
  <c r="CQ163" i="103"/>
  <c r="CQ162" i="103"/>
  <c r="CG220" i="103"/>
  <c r="CG222" i="103"/>
  <c r="CG224" i="103" s="1"/>
  <c r="CG230" i="103" s="1"/>
  <c r="DY17" i="103"/>
  <c r="DY41" i="103"/>
  <c r="EA40" i="103"/>
  <c r="DY65" i="103"/>
  <c r="DY68" i="103"/>
  <c r="DQ282" i="103"/>
  <c r="CR55" i="103"/>
  <c r="CR50" i="103"/>
  <c r="CR51" i="103" s="1"/>
  <c r="CR52" i="103"/>
  <c r="CW198" i="103"/>
  <c r="CW191" i="103"/>
  <c r="CW175" i="103"/>
  <c r="CW167" i="103"/>
  <c r="CW121" i="103"/>
  <c r="CW171" i="103"/>
  <c r="CW119" i="103"/>
  <c r="CW263" i="103"/>
  <c r="CT5" i="103"/>
  <c r="CT10" i="103"/>
  <c r="CY10" i="103"/>
  <c r="CE220" i="103"/>
  <c r="CE222" i="103"/>
  <c r="CE224" i="103" s="1"/>
  <c r="CE230" i="103" s="1"/>
  <c r="DB79" i="103"/>
  <c r="DS258" i="103"/>
  <c r="CM251" i="103"/>
  <c r="CR251" i="103"/>
  <c r="CY85" i="103"/>
  <c r="CY84" i="103"/>
  <c r="K52" i="103"/>
  <c r="P56" i="103"/>
  <c r="P57" i="103" s="1"/>
  <c r="DC70" i="103"/>
  <c r="DC74" i="103"/>
  <c r="DQ230" i="103"/>
  <c r="DQ220" i="103"/>
  <c r="DQ311" i="103" s="1"/>
  <c r="DQ313" i="103" s="1"/>
  <c r="Z47" i="103"/>
  <c r="Z17" i="103" s="1"/>
  <c r="Z19" i="103" s="1"/>
  <c r="Z55" i="103"/>
  <c r="Z50" i="103"/>
  <c r="Z51" i="103" s="1"/>
  <c r="DZ158" i="103"/>
  <c r="DZ159" i="103"/>
  <c r="BD7" i="103"/>
  <c r="FQ107" i="103"/>
  <c r="FP107" i="103"/>
  <c r="CR316" i="103"/>
  <c r="DZ308" i="103"/>
  <c r="DZ309" i="103" s="1"/>
  <c r="EA309" i="103"/>
  <c r="AT55" i="103"/>
  <c r="AT47" i="103"/>
  <c r="AT17" i="103" s="1"/>
  <c r="AT50" i="103"/>
  <c r="AT51" i="103" s="1"/>
  <c r="CV222" i="103"/>
  <c r="CV220" i="103"/>
  <c r="DJ77" i="103"/>
  <c r="DH77" i="103"/>
  <c r="DK77" i="103"/>
  <c r="DL115" i="103"/>
  <c r="DL76" i="103"/>
  <c r="DL138" i="103"/>
  <c r="DL139" i="103" s="1"/>
  <c r="DI77" i="103"/>
  <c r="DL117" i="103"/>
  <c r="DL109" i="103"/>
  <c r="CU162" i="103"/>
  <c r="CU163" i="103"/>
  <c r="DT220" i="103"/>
  <c r="DT222" i="103"/>
  <c r="DV222" i="103" s="1"/>
  <c r="DV224" i="103" s="1"/>
  <c r="DT230" i="103"/>
  <c r="DY258" i="103"/>
  <c r="DY265" i="103"/>
  <c r="CH313" i="103"/>
  <c r="BX308" i="103"/>
  <c r="BX309" i="103" s="1"/>
  <c r="BX312" i="103"/>
  <c r="CC312" i="103"/>
  <c r="DG280" i="103"/>
  <c r="DO252" i="103"/>
  <c r="BX42" i="103"/>
  <c r="BT15" i="103"/>
  <c r="BT19" i="103"/>
  <c r="BT20" i="103" s="1"/>
  <c r="BT43" i="103"/>
  <c r="CL54" i="103"/>
  <c r="CL53" i="103"/>
  <c r="DX195" i="103"/>
  <c r="DV24" i="103"/>
  <c r="EA24" i="103"/>
  <c r="DG222" i="103"/>
  <c r="DG224" i="103" s="1"/>
  <c r="DG220" i="103"/>
  <c r="DG311" i="103" s="1"/>
  <c r="DG230" i="103"/>
  <c r="DJ97" i="103"/>
  <c r="DJ98" i="103"/>
  <c r="DJ83" i="103"/>
  <c r="DO97" i="103"/>
  <c r="DJ86" i="103"/>
  <c r="DB121" i="103"/>
  <c r="DB124" i="103"/>
  <c r="DB125" i="103" s="1"/>
  <c r="DG124" i="103"/>
  <c r="DV152" i="103"/>
  <c r="DQ152" i="103"/>
  <c r="DG273" i="103"/>
  <c r="DG275" i="103" s="1"/>
  <c r="DL273" i="103" s="1"/>
  <c r="DL275" i="103" s="1"/>
  <c r="DQ273" i="103" s="1"/>
  <c r="DQ275" i="103" s="1"/>
  <c r="DV273" i="103" s="1"/>
  <c r="DV275" i="103" s="1"/>
  <c r="DB278" i="103"/>
  <c r="DM247" i="103"/>
  <c r="DM248" i="103" s="1"/>
  <c r="DM254" i="103"/>
  <c r="DR16" i="103"/>
  <c r="CG70" i="103"/>
  <c r="CG74" i="103"/>
  <c r="CG69" i="103"/>
  <c r="BL68" i="103"/>
  <c r="BL17" i="103"/>
  <c r="BL41" i="103"/>
  <c r="BQ41" i="103"/>
  <c r="DU307" i="103"/>
  <c r="DV308" i="103"/>
  <c r="CW286" i="103"/>
  <c r="ED166" i="103"/>
  <c r="EK301" i="103"/>
  <c r="EF316" i="103"/>
  <c r="EA251" i="103"/>
  <c r="EF251" i="103"/>
  <c r="CX29" i="103"/>
  <c r="DB28" i="103"/>
  <c r="DC29" i="103"/>
  <c r="CF17" i="103"/>
  <c r="CF65" i="103"/>
  <c r="CF66" i="103" s="1"/>
  <c r="CF41" i="103"/>
  <c r="CF68" i="103"/>
  <c r="CK41" i="103"/>
  <c r="DH158" i="103"/>
  <c r="DI159" i="103"/>
  <c r="CB201" i="103"/>
  <c r="CB160" i="103"/>
  <c r="CB199" i="103"/>
  <c r="CB200" i="103"/>
  <c r="CB161" i="103"/>
  <c r="CB157" i="103"/>
  <c r="CG160" i="103"/>
  <c r="CT220" i="103"/>
  <c r="CT222" i="103"/>
  <c r="CT224" i="103" s="1"/>
  <c r="CT230" i="103" s="1"/>
  <c r="BX282" i="103"/>
  <c r="CH246" i="103"/>
  <c r="DG17" i="103"/>
  <c r="DG47" i="103"/>
  <c r="DG65" i="103"/>
  <c r="CC313" i="103"/>
  <c r="DQ309" i="103"/>
  <c r="DL298" i="103"/>
  <c r="BX298" i="103"/>
  <c r="DZ258" i="103"/>
  <c r="DZ265" i="103"/>
  <c r="DN5" i="103"/>
  <c r="DN6" i="103" s="1"/>
  <c r="DN10" i="103"/>
  <c r="DF97" i="103"/>
  <c r="DF98" i="103"/>
  <c r="DF83" i="103"/>
  <c r="DF86" i="103"/>
  <c r="DF87" i="103" s="1"/>
  <c r="CQ159" i="103"/>
  <c r="CQ158" i="103"/>
  <c r="CV158" i="103"/>
  <c r="CS159" i="103"/>
  <c r="CN196" i="103"/>
  <c r="CN195" i="103"/>
  <c r="CE42" i="103"/>
  <c r="CJ50" i="103"/>
  <c r="CE40" i="103"/>
  <c r="CE50" i="103"/>
  <c r="CE51" i="103"/>
  <c r="CE52" i="103"/>
  <c r="CF51" i="103"/>
  <c r="CH49" i="103"/>
  <c r="CZ159" i="103"/>
  <c r="BS41" i="103"/>
  <c r="BS47" i="103"/>
  <c r="BS17" i="103"/>
  <c r="BS65" i="103"/>
  <c r="BS66" i="103" s="1"/>
  <c r="AO55" i="103"/>
  <c r="AO47" i="103"/>
  <c r="AO17" i="103" s="1"/>
  <c r="AO50" i="103"/>
  <c r="AO51" i="103" s="1"/>
  <c r="DP19" i="103"/>
  <c r="DP20" i="103" s="1"/>
  <c r="DP15" i="103"/>
  <c r="DP16" i="103" s="1"/>
  <c r="DP43" i="103"/>
  <c r="DP231" i="103"/>
  <c r="DP234" i="103"/>
  <c r="DP246" i="103"/>
  <c r="DP247" i="103" s="1"/>
  <c r="DU248" i="103" s="1"/>
  <c r="DI68" i="103"/>
  <c r="ED234" i="103"/>
  <c r="ED231" i="103"/>
  <c r="ED246" i="103"/>
  <c r="ED247" i="103" s="1"/>
  <c r="ED248" i="103" s="1"/>
  <c r="C7" i="104"/>
  <c r="E8" i="104"/>
  <c r="BQ16" i="103"/>
  <c r="CO5" i="103"/>
  <c r="CO10" i="103"/>
  <c r="BC6" i="103"/>
  <c r="BH6" i="103"/>
  <c r="DP158" i="103"/>
  <c r="DP159" i="103"/>
  <c r="DC143" i="103"/>
  <c r="FH143" i="103" s="1"/>
  <c r="DC142" i="103"/>
  <c r="CY158" i="103"/>
  <c r="CY159" i="103"/>
  <c r="CM59" i="103"/>
  <c r="CM60" i="103" s="1"/>
  <c r="CH59" i="103"/>
  <c r="CH60" i="103" s="1"/>
  <c r="CH61" i="103"/>
  <c r="DN202" i="103"/>
  <c r="BL15" i="103"/>
  <c r="BL16" i="103" s="1"/>
  <c r="BL19" i="103"/>
  <c r="BQ43" i="103"/>
  <c r="BL43" i="103"/>
  <c r="BN42" i="103"/>
  <c r="DD97" i="103"/>
  <c r="DD98" i="103"/>
  <c r="DD83" i="103"/>
  <c r="DD86" i="103"/>
  <c r="DD87" i="103" s="1"/>
  <c r="DI97" i="103"/>
  <c r="DE98" i="103"/>
  <c r="BI55" i="103"/>
  <c r="BI50" i="103"/>
  <c r="BI51" i="103" s="1"/>
  <c r="BI52" i="103"/>
  <c r="BI53" i="103" s="1"/>
  <c r="BI54" i="103" s="1"/>
  <c r="FK168" i="103"/>
  <c r="DI232" i="103"/>
  <c r="DI233" i="103"/>
  <c r="CV42" i="103"/>
  <c r="CV40" i="103"/>
  <c r="CV52" i="103"/>
  <c r="CV51" i="103"/>
  <c r="CV50" i="103"/>
  <c r="DA50" i="103"/>
  <c r="BR53" i="103"/>
  <c r="BR54" i="103"/>
  <c r="EY65" i="103"/>
  <c r="DS42" i="103"/>
  <c r="DX50" i="103"/>
  <c r="DS52" i="103"/>
  <c r="DS40" i="103"/>
  <c r="DS50" i="103"/>
  <c r="DS51" i="103"/>
  <c r="CP159" i="103"/>
  <c r="CP158" i="103"/>
  <c r="CZ42" i="103"/>
  <c r="CZ40" i="103"/>
  <c r="CZ50" i="103"/>
  <c r="CZ51" i="103"/>
  <c r="DE50" i="103"/>
  <c r="DA51" i="103"/>
  <c r="CZ52" i="103"/>
  <c r="CH119" i="103"/>
  <c r="DY159" i="103"/>
  <c r="DW29" i="103"/>
  <c r="DV28" i="103"/>
  <c r="DR29" i="103"/>
  <c r="EA129" i="103"/>
  <c r="EA137" i="103"/>
  <c r="ED170" i="103"/>
  <c r="DH96" i="103"/>
  <c r="DG100" i="103"/>
  <c r="CH161" i="103"/>
  <c r="CH208" i="103"/>
  <c r="CH209" i="103" s="1"/>
  <c r="CO196" i="103"/>
  <c r="CO195" i="103"/>
  <c r="EC203" i="103"/>
  <c r="EB202" i="103"/>
  <c r="EB234" i="103"/>
  <c r="EB231" i="103"/>
  <c r="BM54" i="103"/>
  <c r="BM53" i="103"/>
  <c r="BO54" i="103"/>
  <c r="DG79" i="103"/>
  <c r="DG86" i="103"/>
  <c r="ES59" i="103"/>
  <c r="ES49" i="103"/>
  <c r="ES60" i="103"/>
  <c r="DQ109" i="103"/>
  <c r="BX208" i="103"/>
  <c r="BX209" i="103" s="1"/>
  <c r="DW51" i="103"/>
  <c r="DU52" i="103"/>
  <c r="DU42" i="103"/>
  <c r="DU50" i="103"/>
  <c r="DU40" i="103"/>
  <c r="DU51" i="103"/>
  <c r="BN265" i="103"/>
  <c r="CR61" i="103"/>
  <c r="CR62" i="103" s="1"/>
  <c r="CR63" i="103" s="1"/>
  <c r="CR59" i="103"/>
  <c r="CR60" i="103" s="1"/>
  <c r="T77" i="104"/>
  <c r="T78" i="104" s="1"/>
  <c r="T79" i="104" s="1"/>
  <c r="T80" i="104" s="1"/>
  <c r="T81" i="104" s="1"/>
  <c r="T82" i="104" s="1"/>
  <c r="T83" i="104" s="1"/>
  <c r="T84" i="104" s="1"/>
  <c r="T85" i="104" s="1"/>
  <c r="T86" i="104" s="1"/>
  <c r="T87" i="104" s="1"/>
  <c r="T88" i="104" s="1"/>
  <c r="FI112" i="103"/>
  <c r="BU10" i="103"/>
  <c r="BP10" i="103"/>
  <c r="BP15" i="103"/>
  <c r="BP5" i="103"/>
  <c r="DT51" i="103"/>
  <c r="DK43" i="103"/>
  <c r="DF43" i="103"/>
  <c r="DF15" i="103"/>
  <c r="DF16" i="103" s="1"/>
  <c r="DF19" i="103"/>
  <c r="CX159" i="103"/>
  <c r="CX158" i="103"/>
  <c r="DS182" i="103"/>
  <c r="CZ10" i="103"/>
  <c r="CZ5" i="103"/>
  <c r="DE10" i="103"/>
  <c r="CD220" i="103"/>
  <c r="CD222" i="103"/>
  <c r="CD224" i="103" s="1"/>
  <c r="CD230" i="103" s="1"/>
  <c r="BY15" i="103"/>
  <c r="BY19" i="103"/>
  <c r="CC42" i="103"/>
  <c r="BY43" i="103"/>
  <c r="CZ86" i="103"/>
  <c r="CZ83" i="103"/>
  <c r="DE97" i="103"/>
  <c r="CZ98" i="103"/>
  <c r="CZ97" i="103"/>
  <c r="CN203" i="103"/>
  <c r="CN202" i="103"/>
  <c r="DX201" i="103"/>
  <c r="DX160" i="103"/>
  <c r="EC199" i="103"/>
  <c r="DX200" i="103"/>
  <c r="DX199" i="103"/>
  <c r="BP200" i="103"/>
  <c r="BP201" i="103"/>
  <c r="BV222" i="103"/>
  <c r="BV224" i="103" s="1"/>
  <c r="BV230" i="103" s="1"/>
  <c r="BV220" i="103"/>
  <c r="DJ208" i="103"/>
  <c r="DJ161" i="103"/>
  <c r="DJ209" i="103"/>
  <c r="DP195" i="103"/>
  <c r="DP196" i="103"/>
  <c r="EB66" i="103"/>
  <c r="BY157" i="103"/>
  <c r="BY201" i="103"/>
  <c r="BY199" i="103"/>
  <c r="BY200" i="103"/>
  <c r="DQ251" i="103"/>
  <c r="BK5" i="103"/>
  <c r="BK6" i="103" s="1"/>
  <c r="BK15" i="103"/>
  <c r="BK16" i="103" s="1"/>
  <c r="BK10" i="103"/>
  <c r="CM24" i="103"/>
  <c r="EY44" i="103"/>
  <c r="ET46" i="103"/>
  <c r="BR37" i="8" s="1"/>
  <c r="BW37" i="8" s="1"/>
  <c r="CB37" i="8" s="1"/>
  <c r="BD40" i="103"/>
  <c r="AZ41" i="103"/>
  <c r="FK112" i="103"/>
  <c r="DR230" i="103"/>
  <c r="DR220" i="103"/>
  <c r="DR222" i="103"/>
  <c r="CW49" i="103"/>
  <c r="CS50" i="103"/>
  <c r="CS42" i="103"/>
  <c r="CS40" i="103"/>
  <c r="CS52" i="103"/>
  <c r="CS51" i="103"/>
  <c r="BF20" i="103"/>
  <c r="BK20" i="103"/>
  <c r="AY40" i="103"/>
  <c r="AX41" i="103"/>
  <c r="DP53" i="103"/>
  <c r="DP54" i="103"/>
  <c r="EP61" i="103"/>
  <c r="EP62" i="103" s="1"/>
  <c r="EP59" i="103"/>
  <c r="DV124" i="103"/>
  <c r="DA159" i="103"/>
  <c r="DA158" i="103"/>
  <c r="DS231" i="103"/>
  <c r="DS234" i="103"/>
  <c r="EF217" i="103"/>
  <c r="EF215" i="103"/>
  <c r="EK215" i="103" s="1"/>
  <c r="EP215" i="103" s="1"/>
  <c r="EU215" i="103" s="1"/>
  <c r="EZ215" i="103" s="1"/>
  <c r="FE215" i="103" s="1"/>
  <c r="EA87" i="103"/>
  <c r="CX182" i="103"/>
  <c r="CZ182" i="103"/>
  <c r="DB180" i="103"/>
  <c r="DB181" i="103"/>
  <c r="DB194" i="103"/>
  <c r="CW86" i="103"/>
  <c r="BT199" i="103"/>
  <c r="BT200" i="103"/>
  <c r="BT201" i="103"/>
  <c r="DI87" i="103"/>
  <c r="DN87" i="103"/>
  <c r="DA195" i="103"/>
  <c r="DA196" i="103"/>
  <c r="BN307" i="103"/>
  <c r="BS293" i="103"/>
  <c r="BS280" i="103"/>
  <c r="CM278" i="103"/>
  <c r="CM281" i="103" s="1"/>
  <c r="CC270" i="103"/>
  <c r="DG10" i="103"/>
  <c r="CB65" i="103"/>
  <c r="CB66" i="103" s="1"/>
  <c r="CB68" i="103"/>
  <c r="CB17" i="103"/>
  <c r="CB18" i="103" s="1"/>
  <c r="CB41" i="103"/>
  <c r="DG26" i="103"/>
  <c r="DG88" i="103"/>
  <c r="DG89" i="103" s="1"/>
  <c r="DG92" i="103"/>
  <c r="DG93" i="103" s="1"/>
  <c r="DG91" i="103"/>
  <c r="DD19" i="103"/>
  <c r="DD20" i="103" s="1"/>
  <c r="DD43" i="103"/>
  <c r="DD15" i="103"/>
  <c r="DD16" i="103" s="1"/>
  <c r="BS55" i="103"/>
  <c r="BS52" i="103"/>
  <c r="BS53" i="103" s="1"/>
  <c r="BS50" i="103"/>
  <c r="BX24" i="103"/>
  <c r="BS24" i="103"/>
  <c r="EC5" i="103"/>
  <c r="EC6" i="103" s="1"/>
  <c r="EC10" i="103"/>
  <c r="DQ49" i="103"/>
  <c r="BB6" i="103"/>
  <c r="CQ42" i="103"/>
  <c r="CQ40" i="103"/>
  <c r="CQ52" i="103"/>
  <c r="CQ50" i="103"/>
  <c r="CQ51" i="103"/>
  <c r="EE52" i="103"/>
  <c r="EG51" i="103"/>
  <c r="EE50" i="103"/>
  <c r="EE51" i="103"/>
  <c r="EE42" i="103"/>
  <c r="EP80" i="103"/>
  <c r="EI82" i="103"/>
  <c r="EK81" i="103"/>
  <c r="EH82" i="103"/>
  <c r="L234" i="104"/>
  <c r="M233" i="104" s="1"/>
  <c r="AY5" i="103"/>
  <c r="BD6" i="103" s="1"/>
  <c r="AU6" i="103"/>
  <c r="DZ5" i="103"/>
  <c r="DZ10" i="103"/>
  <c r="CW26" i="103"/>
  <c r="CW88" i="103"/>
  <c r="DB89" i="103" s="1"/>
  <c r="CW91" i="103"/>
  <c r="CW92" i="103"/>
  <c r="CM207" i="103"/>
  <c r="CM160" i="103"/>
  <c r="CM205" i="103"/>
  <c r="CM206" i="103" s="1"/>
  <c r="CR205" i="103"/>
  <c r="CR206" i="103" s="1"/>
  <c r="CC10" i="103"/>
  <c r="EI79" i="103"/>
  <c r="DD143" i="103"/>
  <c r="FI143" i="103" s="1"/>
  <c r="CD16" i="103"/>
  <c r="EJ78" i="103"/>
  <c r="EJ79" i="103" s="1"/>
  <c r="DO5" i="103"/>
  <c r="DO10" i="103"/>
  <c r="EP110" i="103"/>
  <c r="EM112" i="103" s="1"/>
  <c r="ER110" i="103"/>
  <c r="CX131" i="103"/>
  <c r="CX130" i="103"/>
  <c r="CY131" i="103"/>
  <c r="FI131" i="103" s="1"/>
  <c r="CV139" i="103"/>
  <c r="CV160" i="103"/>
  <c r="BZ5" i="103"/>
  <c r="BZ6" i="103" s="1"/>
  <c r="BZ10" i="103"/>
  <c r="CS10" i="103"/>
  <c r="CW9" i="103"/>
  <c r="CW10" i="103" s="1"/>
  <c r="CS5" i="103"/>
  <c r="CP41" i="103"/>
  <c r="CP65" i="103"/>
  <c r="CP68" i="103"/>
  <c r="CP17" i="103"/>
  <c r="CP18" i="103" s="1"/>
  <c r="CU41" i="103"/>
  <c r="CU68" i="103"/>
  <c r="CU17" i="103"/>
  <c r="CU18" i="103" s="1"/>
  <c r="CU65" i="103"/>
  <c r="EI43" i="103"/>
  <c r="DL137" i="103"/>
  <c r="DL129" i="103"/>
  <c r="DL130" i="103" s="1"/>
  <c r="FK143" i="103"/>
  <c r="CD157" i="103"/>
  <c r="AV6" i="103"/>
  <c r="AQ6" i="103"/>
  <c r="AT5" i="103"/>
  <c r="CN6" i="103"/>
  <c r="CC55" i="103"/>
  <c r="CC52" i="103"/>
  <c r="CC53" i="103" s="1"/>
  <c r="CC54" i="103" s="1"/>
  <c r="CC50" i="103"/>
  <c r="CC51" i="103" s="1"/>
  <c r="CX5" i="103"/>
  <c r="CX10" i="103"/>
  <c r="DB9" i="103"/>
  <c r="DL59" i="103"/>
  <c r="DL61" i="103"/>
  <c r="DL62" i="103" s="1"/>
  <c r="DB91" i="103"/>
  <c r="CR198" i="103"/>
  <c r="CR121" i="103"/>
  <c r="CR171" i="103"/>
  <c r="CR191" i="103"/>
  <c r="CR167" i="103"/>
  <c r="CR175" i="103"/>
  <c r="DU162" i="103"/>
  <c r="P24" i="105"/>
  <c r="Q4" i="105"/>
  <c r="BL53" i="103"/>
  <c r="BL54" i="103"/>
  <c r="DQ28" i="103"/>
  <c r="DM29" i="103"/>
  <c r="DL100" i="103"/>
  <c r="DQ100" i="103"/>
  <c r="DM96" i="103"/>
  <c r="EA175" i="103"/>
  <c r="EA198" i="103"/>
  <c r="EI53" i="103"/>
  <c r="EI54" i="103"/>
  <c r="CL222" i="103"/>
  <c r="CL220" i="103"/>
  <c r="CO163" i="103"/>
  <c r="CO162" i="103"/>
  <c r="DZ220" i="103"/>
  <c r="DZ230" i="103"/>
  <c r="DZ222" i="103"/>
  <c r="EA222" i="103" s="1"/>
  <c r="EA224" i="103" s="1"/>
  <c r="DI66" i="103"/>
  <c r="AG10" i="103"/>
  <c r="AB5" i="103"/>
  <c r="DB201" i="103"/>
  <c r="DJ159" i="103"/>
  <c r="DJ158" i="103"/>
  <c r="DY234" i="103"/>
  <c r="DY231" i="103"/>
  <c r="EU289" i="103"/>
  <c r="BW224" i="103"/>
  <c r="BW230" i="103" s="1"/>
  <c r="DY54" i="103"/>
  <c r="DY53" i="103"/>
  <c r="EB18" i="103"/>
  <c r="FJ168" i="103"/>
  <c r="DZ65" i="103"/>
  <c r="DZ68" i="103"/>
  <c r="DZ17" i="103"/>
  <c r="DS87" i="103"/>
  <c r="DX87" i="103"/>
  <c r="CR231" i="103"/>
  <c r="CR234" i="103"/>
  <c r="DO41" i="103"/>
  <c r="DO17" i="103"/>
  <c r="DO18" i="103" s="1"/>
  <c r="DO65" i="103"/>
  <c r="DO68" i="103"/>
  <c r="EK149" i="103"/>
  <c r="EF149" i="103"/>
  <c r="CO203" i="103"/>
  <c r="EC233" i="103"/>
  <c r="FI231" i="103"/>
  <c r="EC232" i="103"/>
  <c r="BU161" i="103"/>
  <c r="BU208" i="103"/>
  <c r="BU209" i="103"/>
  <c r="BZ208" i="103"/>
  <c r="AW41" i="103"/>
  <c r="AR41" i="103"/>
  <c r="BU199" i="103"/>
  <c r="FK172" i="103"/>
  <c r="DG96" i="103"/>
  <c r="DC83" i="103"/>
  <c r="DC97" i="103"/>
  <c r="DC86" i="103"/>
  <c r="DC98" i="103"/>
  <c r="DA202" i="103"/>
  <c r="DK234" i="103"/>
  <c r="DK231" i="103"/>
  <c r="DG181" i="103"/>
  <c r="DC182" i="103"/>
  <c r="DD182" i="103"/>
  <c r="DG180" i="103"/>
  <c r="BZ231" i="103"/>
  <c r="BZ234" i="103"/>
  <c r="BQ231" i="103"/>
  <c r="BQ234" i="103"/>
  <c r="CQ233" i="103"/>
  <c r="DX6" i="103"/>
  <c r="BN55" i="103"/>
  <c r="BN52" i="103"/>
  <c r="BN50" i="103"/>
  <c r="CU5" i="103"/>
  <c r="CU6" i="103" s="1"/>
  <c r="CU10" i="103"/>
  <c r="BQ5" i="103"/>
  <c r="BQ6" i="103" s="1"/>
  <c r="BQ10" i="103"/>
  <c r="CL15" i="103"/>
  <c r="CL16" i="103" s="1"/>
  <c r="CL43" i="103"/>
  <c r="CL19" i="103"/>
  <c r="ER49" i="103"/>
  <c r="EU58" i="103"/>
  <c r="ER59" i="103"/>
  <c r="ER60" i="103"/>
  <c r="DV119" i="103"/>
  <c r="DS5" i="103"/>
  <c r="DS10" i="103"/>
  <c r="DV9" i="103"/>
  <c r="DY29" i="103"/>
  <c r="DO131" i="103"/>
  <c r="FJ131" i="103" s="1"/>
  <c r="DO130" i="103"/>
  <c r="DT130" i="103"/>
  <c r="DP131" i="103"/>
  <c r="FK131" i="103" s="1"/>
  <c r="DO161" i="103"/>
  <c r="DO208" i="103"/>
  <c r="DO209" i="103"/>
  <c r="DP209" i="103"/>
  <c r="DS180" i="103"/>
  <c r="DN181" i="103"/>
  <c r="DN194" i="103"/>
  <c r="DN180" i="103"/>
  <c r="DN182" i="103"/>
  <c r="BJ10" i="103"/>
  <c r="BJ5" i="103"/>
  <c r="BO10" i="103"/>
  <c r="BN9" i="103"/>
  <c r="BN10" i="103" s="1"/>
  <c r="BY54" i="103"/>
  <c r="CD53" i="103"/>
  <c r="BZ54" i="103"/>
  <c r="BY53" i="103"/>
  <c r="EN42" i="103"/>
  <c r="EN51" i="103"/>
  <c r="EN50" i="103"/>
  <c r="EN52" i="103"/>
  <c r="DD199" i="103"/>
  <c r="DD200" i="103"/>
  <c r="DE200" i="103"/>
  <c r="DD157" i="103"/>
  <c r="DD201" i="103"/>
  <c r="DM77" i="103"/>
  <c r="DQ76" i="103"/>
  <c r="DO77" i="103"/>
  <c r="DP77" i="103"/>
  <c r="DQ115" i="103"/>
  <c r="DQ138" i="103"/>
  <c r="DQ139" i="103" s="1"/>
  <c r="DN77" i="103"/>
  <c r="DQ149" i="103"/>
  <c r="DV149" i="103"/>
  <c r="DW159" i="103"/>
  <c r="DW158" i="103"/>
  <c r="DY15" i="103"/>
  <c r="DY16" i="103" s="1"/>
  <c r="DY19" i="103"/>
  <c r="DY20" i="103" s="1"/>
  <c r="DY43" i="103"/>
  <c r="FD49" i="103"/>
  <c r="FD59" i="103"/>
  <c r="DI195" i="103"/>
  <c r="DI196" i="103"/>
  <c r="EC195" i="103"/>
  <c r="EF238" i="103"/>
  <c r="EK238" i="103" s="1"/>
  <c r="CK161" i="103"/>
  <c r="CP208" i="103"/>
  <c r="CK209" i="103"/>
  <c r="CK208" i="103"/>
  <c r="BN263" i="103"/>
  <c r="DX10" i="103"/>
  <c r="AE50" i="103"/>
  <c r="AE51" i="103" s="1"/>
  <c r="AE55" i="103"/>
  <c r="AE47" i="103"/>
  <c r="AE17" i="103" s="1"/>
  <c r="AE19" i="103" s="1"/>
  <c r="CO52" i="103"/>
  <c r="CO51" i="103"/>
  <c r="CO42" i="103"/>
  <c r="CO40" i="103"/>
  <c r="CO50" i="103"/>
  <c r="AI5" i="103"/>
  <c r="AI10" i="103"/>
  <c r="CA16" i="103"/>
  <c r="CP53" i="103"/>
  <c r="CP54" i="103"/>
  <c r="DC160" i="103"/>
  <c r="DC205" i="103"/>
  <c r="DC157" i="103"/>
  <c r="DH205" i="103"/>
  <c r="DC207" i="103"/>
  <c r="DH160" i="103"/>
  <c r="DD206" i="103"/>
  <c r="DC219" i="103"/>
  <c r="DC206" i="103"/>
  <c r="CQ181" i="103"/>
  <c r="CQ182" i="103"/>
  <c r="CX40" i="103"/>
  <c r="DB49" i="103"/>
  <c r="CX50" i="103"/>
  <c r="CX42" i="103"/>
  <c r="CX52" i="103"/>
  <c r="CY51" i="103"/>
  <c r="DC50" i="103"/>
  <c r="CX51" i="103"/>
  <c r="CU199" i="103"/>
  <c r="CU201" i="103"/>
  <c r="CV203" i="103" s="1"/>
  <c r="CU157" i="103"/>
  <c r="CU200" i="103"/>
  <c r="CA159" i="103"/>
  <c r="CA158" i="103"/>
  <c r="DR182" i="103"/>
  <c r="DV194" i="103"/>
  <c r="DV180" i="103"/>
  <c r="CK20" i="103"/>
  <c r="DC66" i="103"/>
  <c r="DC67" i="103"/>
  <c r="CS202" i="103"/>
  <c r="CS203" i="103"/>
  <c r="BZ69" i="103"/>
  <c r="BZ70" i="103"/>
  <c r="BZ74" i="103"/>
  <c r="CS77" i="103"/>
  <c r="FH77" i="103" s="1"/>
  <c r="CU77" i="103"/>
  <c r="CW76" i="103"/>
  <c r="CW138" i="103"/>
  <c r="CW109" i="103"/>
  <c r="CW117" i="103"/>
  <c r="CV77" i="103"/>
  <c r="CW115" i="103"/>
  <c r="EX189" i="103"/>
  <c r="FB189" i="103"/>
  <c r="EY52" i="103"/>
  <c r="CK159" i="103"/>
  <c r="EF271" i="103"/>
  <c r="CU234" i="103"/>
  <c r="CU231" i="103"/>
  <c r="DU231" i="103"/>
  <c r="DU234" i="103"/>
  <c r="DU235" i="103" s="1"/>
  <c r="CG209" i="103"/>
  <c r="CG161" i="103"/>
  <c r="CG208" i="103"/>
  <c r="EP217" i="103"/>
  <c r="EU211" i="103"/>
  <c r="CY233" i="103"/>
  <c r="BH68" i="103"/>
  <c r="BH70" i="103" s="1"/>
  <c r="BH17" i="103"/>
  <c r="BH18" i="103" s="1"/>
  <c r="BH41" i="103"/>
  <c r="AY55" i="103"/>
  <c r="AY50" i="103"/>
  <c r="AY51" i="103" s="1"/>
  <c r="AY47" i="103"/>
  <c r="AY17" i="103" s="1"/>
  <c r="U50" i="103"/>
  <c r="U51" i="103" s="1"/>
  <c r="U55" i="103"/>
  <c r="U56" i="103" s="1"/>
  <c r="U57" i="103" s="1"/>
  <c r="U47" i="103"/>
  <c r="U17" i="103" s="1"/>
  <c r="U19" i="103" s="1"/>
  <c r="BD55" i="103"/>
  <c r="BD50" i="103"/>
  <c r="BD51" i="103" s="1"/>
  <c r="BD52" i="103"/>
  <c r="CI15" i="103"/>
  <c r="CI16" i="103" s="1"/>
  <c r="CM42" i="103"/>
  <c r="CI19" i="103"/>
  <c r="CI20" i="103" s="1"/>
  <c r="CI43" i="103"/>
  <c r="CL17" i="103"/>
  <c r="CL18" i="103" s="1"/>
  <c r="CL65" i="103"/>
  <c r="CL68" i="103"/>
  <c r="CL41" i="103"/>
  <c r="CV5" i="103"/>
  <c r="DA10" i="103"/>
  <c r="CV10" i="103"/>
  <c r="CM40" i="103"/>
  <c r="DI84" i="103"/>
  <c r="DN84" i="103"/>
  <c r="FI206" i="103"/>
  <c r="ED162" i="103"/>
  <c r="ED163" i="103"/>
  <c r="BW70" i="103"/>
  <c r="BW74" i="103"/>
  <c r="DP87" i="103"/>
  <c r="DH42" i="103"/>
  <c r="DH40" i="103"/>
  <c r="DL49" i="103"/>
  <c r="DH50" i="103"/>
  <c r="DH51" i="103"/>
  <c r="DH52" i="103"/>
  <c r="DI51" i="103"/>
  <c r="DM50" i="103"/>
  <c r="EB180" i="103"/>
  <c r="EB194" i="103"/>
  <c r="EB181" i="103"/>
  <c r="EK173" i="103"/>
  <c r="EK169" i="103"/>
  <c r="EK191" i="103"/>
  <c r="EK198" i="103"/>
  <c r="EK165" i="103"/>
  <c r="BW53" i="103"/>
  <c r="EB158" i="103"/>
  <c r="EB159" i="103"/>
  <c r="CE158" i="103"/>
  <c r="DO53" i="103"/>
  <c r="DL180" i="103"/>
  <c r="DJ182" i="103"/>
  <c r="DK182" i="103"/>
  <c r="DL181" i="103"/>
  <c r="DU5" i="103"/>
  <c r="DU6" i="103" s="1"/>
  <c r="DU10" i="103"/>
  <c r="DV219" i="103"/>
  <c r="DV205" i="103"/>
  <c r="DV207" i="103"/>
  <c r="DL191" i="103"/>
  <c r="DL121" i="103"/>
  <c r="DL198" i="103"/>
  <c r="DL171" i="103"/>
  <c r="EF317" i="103"/>
  <c r="DL280" i="103"/>
  <c r="BH19" i="103"/>
  <c r="BH20" i="103" s="1"/>
  <c r="BH43" i="103"/>
  <c r="BH15" i="103"/>
  <c r="BM16" i="103" s="1"/>
  <c r="BO15" i="103"/>
  <c r="BS42" i="103"/>
  <c r="BO43" i="103"/>
  <c r="BO19" i="103"/>
  <c r="BO20" i="103" s="1"/>
  <c r="CD17" i="103"/>
  <c r="CD65" i="103"/>
  <c r="CD66" i="103" s="1"/>
  <c r="CD68" i="103"/>
  <c r="CD41" i="103"/>
  <c r="FB55" i="103"/>
  <c r="FB57" i="103" s="1"/>
  <c r="EW57" i="103"/>
  <c r="DG55" i="103"/>
  <c r="DG50" i="103"/>
  <c r="DG51" i="103" s="1"/>
  <c r="DG52" i="103"/>
  <c r="ED79" i="103"/>
  <c r="ED103" i="103"/>
  <c r="DP10" i="103"/>
  <c r="DP5" i="103"/>
  <c r="DP6" i="103" s="1"/>
  <c r="DH142" i="103"/>
  <c r="DI160" i="103"/>
  <c r="CT201" i="103"/>
  <c r="CY160" i="103"/>
  <c r="CT200" i="103"/>
  <c r="CT199" i="103"/>
  <c r="CY199" i="103"/>
  <c r="DO158" i="103"/>
  <c r="DO159" i="103"/>
  <c r="FH131" i="103"/>
  <c r="CA161" i="103"/>
  <c r="CB209" i="103"/>
  <c r="CA209" i="103"/>
  <c r="CA208" i="103"/>
  <c r="DE70" i="103"/>
  <c r="DE74" i="103"/>
  <c r="FH150" i="103"/>
  <c r="DZ54" i="103"/>
  <c r="EB54" i="103"/>
  <c r="DZ53" i="103"/>
  <c r="BU202" i="103"/>
  <c r="BU203" i="103"/>
  <c r="BZ202" i="103"/>
  <c r="DW77" i="103"/>
  <c r="EA76" i="103"/>
  <c r="DX77" i="103"/>
  <c r="DY77" i="103"/>
  <c r="DZ77" i="103"/>
  <c r="EA138" i="103"/>
  <c r="EA139" i="103" s="1"/>
  <c r="BV203" i="103"/>
  <c r="DK224" i="103"/>
  <c r="DX265" i="103"/>
  <c r="DI252" i="103"/>
  <c r="CQ251" i="103"/>
  <c r="A6" i="104"/>
  <c r="B6" i="104" s="1"/>
  <c r="D7" i="104"/>
  <c r="BS9" i="103"/>
  <c r="DG5" i="103"/>
  <c r="DC6" i="103"/>
  <c r="CB43" i="103"/>
  <c r="CB15" i="103"/>
  <c r="CB16" i="103" s="1"/>
  <c r="CB19" i="103"/>
  <c r="CB20" i="103" s="1"/>
  <c r="DJ5" i="103"/>
  <c r="DJ6" i="103" s="1"/>
  <c r="DJ10" i="103"/>
  <c r="DL91" i="103"/>
  <c r="DL92" i="103"/>
  <c r="DL88" i="103"/>
  <c r="BE6" i="103"/>
  <c r="BI5" i="103"/>
  <c r="EC40" i="103"/>
  <c r="EC42" i="103"/>
  <c r="EC52" i="103"/>
  <c r="EC50" i="103"/>
  <c r="EC51" i="103"/>
  <c r="EF49" i="103"/>
  <c r="EH50" i="103"/>
  <c r="DW15" i="103"/>
  <c r="DW16" i="103" s="1"/>
  <c r="EA42" i="103"/>
  <c r="DW19" i="103"/>
  <c r="DW68" i="103"/>
  <c r="DW43" i="103"/>
  <c r="BW5" i="103"/>
  <c r="BW10" i="103"/>
  <c r="BX55" i="103"/>
  <c r="BX52" i="103"/>
  <c r="BX53" i="103" s="1"/>
  <c r="BX54" i="103" s="1"/>
  <c r="BX50" i="103"/>
  <c r="BX51" i="103" s="1"/>
  <c r="DV49" i="103"/>
  <c r="CX86" i="103"/>
  <c r="CX87" i="103" s="1"/>
  <c r="BJ15" i="103"/>
  <c r="BJ16" i="103" s="1"/>
  <c r="CC5" i="103"/>
  <c r="BY6" i="103"/>
  <c r="ED41" i="103"/>
  <c r="ED65" i="103"/>
  <c r="ED68" i="103"/>
  <c r="BT157" i="103"/>
  <c r="AJ5" i="103"/>
  <c r="AF6" i="103"/>
  <c r="BV10" i="103"/>
  <c r="BV5" i="103"/>
  <c r="BX5" i="103" s="1"/>
  <c r="EA9" i="103"/>
  <c r="EA10" i="103" s="1"/>
  <c r="DH161" i="103"/>
  <c r="DH208" i="103"/>
  <c r="DM208" i="103"/>
  <c r="DF41" i="103"/>
  <c r="DF65" i="103"/>
  <c r="DF68" i="103"/>
  <c r="DK41" i="103"/>
  <c r="DF17" i="103"/>
  <c r="CR76" i="103"/>
  <c r="CP77" i="103"/>
  <c r="CN77" i="103"/>
  <c r="CR117" i="103"/>
  <c r="CR138" i="103"/>
  <c r="CR139" i="103" s="1"/>
  <c r="CR140" i="103" s="1"/>
  <c r="CO77" i="103"/>
  <c r="DR158" i="103"/>
  <c r="DR159" i="103"/>
  <c r="CP163" i="103"/>
  <c r="CP162" i="103"/>
  <c r="ED201" i="103"/>
  <c r="ED199" i="103"/>
  <c r="ED200" i="103"/>
  <c r="ED157" i="103"/>
  <c r="CW59" i="103"/>
  <c r="CW60" i="103" s="1"/>
  <c r="CW61" i="103"/>
  <c r="CW62" i="103" s="1"/>
  <c r="CW63" i="103" s="1"/>
  <c r="DH206" i="103"/>
  <c r="DF160" i="103"/>
  <c r="DF207" i="103"/>
  <c r="DK160" i="103"/>
  <c r="DK205" i="103"/>
  <c r="DF206" i="103"/>
  <c r="DF205" i="103"/>
  <c r="DF219" i="103"/>
  <c r="DF157" i="103"/>
  <c r="CI207" i="103"/>
  <c r="CI157" i="103"/>
  <c r="CN205" i="103"/>
  <c r="CI160" i="103"/>
  <c r="CI205" i="103"/>
  <c r="CI219" i="103"/>
  <c r="CI206" i="103"/>
  <c r="BV208" i="103"/>
  <c r="BV161" i="103"/>
  <c r="BW209" i="103"/>
  <c r="BV209" i="103"/>
  <c r="CR9" i="103"/>
  <c r="CR10" i="103" s="1"/>
  <c r="AT40" i="103"/>
  <c r="DK83" i="103"/>
  <c r="DK98" i="103"/>
  <c r="DK97" i="103"/>
  <c r="DG59" i="103"/>
  <c r="DG60" i="103" s="1"/>
  <c r="DB61" i="103"/>
  <c r="DB59" i="103"/>
  <c r="DB60" i="103" s="1"/>
  <c r="DK5" i="103"/>
  <c r="DK6" i="103" s="1"/>
  <c r="DK10" i="103"/>
  <c r="CV98" i="103"/>
  <c r="CV83" i="103"/>
  <c r="CV86" i="103"/>
  <c r="CV97" i="103"/>
  <c r="DG121" i="103"/>
  <c r="DG198" i="103"/>
  <c r="DG119" i="103"/>
  <c r="DG171" i="103"/>
  <c r="DG175" i="103"/>
  <c r="CV200" i="103"/>
  <c r="EP190" i="103"/>
  <c r="EP255" i="103"/>
  <c r="EP192" i="103"/>
  <c r="CG196" i="103"/>
  <c r="CG195" i="103"/>
  <c r="BI10" i="103"/>
  <c r="EO51" i="103"/>
  <c r="EI109" i="103"/>
  <c r="EJ108" i="103"/>
  <c r="DC199" i="103"/>
  <c r="DC201" i="103"/>
  <c r="DC200" i="103"/>
  <c r="CL161" i="103"/>
  <c r="CL208" i="103"/>
  <c r="CL209" i="103"/>
  <c r="CQ208" i="103"/>
  <c r="EA109" i="103"/>
  <c r="EZ189" i="103"/>
  <c r="EU190" i="103"/>
  <c r="EU192" i="103"/>
  <c r="EU255" i="103"/>
  <c r="DG161" i="103"/>
  <c r="BE15" i="103"/>
  <c r="BE19" i="103"/>
  <c r="BI42" i="103"/>
  <c r="BE43" i="103"/>
  <c r="BM17" i="103"/>
  <c r="BM41" i="103"/>
  <c r="BM68" i="103"/>
  <c r="CF158" i="103"/>
  <c r="CF159" i="103"/>
  <c r="BY161" i="103"/>
  <c r="DC196" i="103"/>
  <c r="DG195" i="103"/>
  <c r="DD196" i="103"/>
  <c r="DN224" i="103"/>
  <c r="DQ222" i="103"/>
  <c r="DQ224" i="103" s="1"/>
  <c r="BO68" i="103"/>
  <c r="CV130" i="103"/>
  <c r="FK150" i="103"/>
  <c r="CE203" i="103"/>
  <c r="CE202" i="103"/>
  <c r="DL194" i="103"/>
  <c r="BM20" i="103"/>
  <c r="FC55" i="103"/>
  <c r="EX57" i="103"/>
  <c r="EY57" i="103"/>
  <c r="DT161" i="103"/>
  <c r="DT209" i="103"/>
  <c r="DY208" i="103"/>
  <c r="DT208" i="103"/>
  <c r="EE134" i="103"/>
  <c r="FR133" i="103"/>
  <c r="EF132" i="103"/>
  <c r="EE133" i="103"/>
  <c r="EE138" i="103"/>
  <c r="EE204" i="103"/>
  <c r="BY234" i="103"/>
  <c r="BY235" i="103" s="1"/>
  <c r="BY231" i="103"/>
  <c r="EU237" i="103"/>
  <c r="BV69" i="103"/>
  <c r="CA69" i="103"/>
  <c r="BV70" i="103"/>
  <c r="BV74" i="103"/>
  <c r="CO234" i="103"/>
  <c r="CO235" i="103" s="1"/>
  <c r="CO231" i="103"/>
  <c r="CQ194" i="103"/>
  <c r="Z8" i="103"/>
  <c r="DB100" i="103"/>
  <c r="EF145" i="103"/>
  <c r="EF151" i="103"/>
  <c r="EF154" i="103"/>
  <c r="EF141" i="103"/>
  <c r="EF142" i="103" s="1"/>
  <c r="DW195" i="103"/>
  <c r="DA220" i="103"/>
  <c r="DA222" i="103"/>
  <c r="DA224" i="103" s="1"/>
  <c r="DA230" i="103" s="1"/>
  <c r="CC119" i="103"/>
  <c r="CK203" i="103"/>
  <c r="CK202" i="103"/>
  <c r="CG159" i="103"/>
  <c r="CP234" i="103"/>
  <c r="CP231" i="103"/>
  <c r="CH234" i="103"/>
  <c r="CH231" i="103"/>
  <c r="BP231" i="103"/>
  <c r="BP234" i="103"/>
  <c r="BP246" i="103"/>
  <c r="BP247" i="103" s="1"/>
  <c r="CF19" i="103"/>
  <c r="CF20" i="103" s="1"/>
  <c r="CF15" i="103"/>
  <c r="CF16" i="103" s="1"/>
  <c r="CF43" i="103"/>
  <c r="CN17" i="103"/>
  <c r="CN18" i="103" s="1"/>
  <c r="CN65" i="103"/>
  <c r="CN41" i="103"/>
  <c r="CN68" i="103"/>
  <c r="DV129" i="103"/>
  <c r="DV130" i="103" s="1"/>
  <c r="DV137" i="103"/>
  <c r="DA66" i="103"/>
  <c r="EO43" i="103"/>
  <c r="CQ139" i="103"/>
  <c r="CQ140" i="103"/>
  <c r="CT208" i="103"/>
  <c r="CT161" i="103"/>
  <c r="CY208" i="103"/>
  <c r="CT209" i="103"/>
  <c r="BR220" i="103"/>
  <c r="BR222" i="103"/>
  <c r="CC208" i="103"/>
  <c r="CC209" i="103" s="1"/>
  <c r="CX97" i="103"/>
  <c r="CX98" i="103"/>
  <c r="CX83" i="103"/>
  <c r="DB96" i="103"/>
  <c r="DC77" i="103"/>
  <c r="DF77" i="103"/>
  <c r="DG76" i="103"/>
  <c r="DE77" i="103"/>
  <c r="DG117" i="103"/>
  <c r="DG115" i="103"/>
  <c r="DG109" i="103"/>
  <c r="DD77" i="103"/>
  <c r="FI77" i="103" s="1"/>
  <c r="CH191" i="103"/>
  <c r="CH121" i="103"/>
  <c r="CH171" i="103"/>
  <c r="CH198" i="103"/>
  <c r="CH167" i="103"/>
  <c r="EX58" i="103"/>
  <c r="EX63" i="103"/>
  <c r="FC61" i="103"/>
  <c r="EB16" i="103"/>
  <c r="CL201" i="103"/>
  <c r="CL200" i="103"/>
  <c r="CL199" i="103"/>
  <c r="CU209" i="103"/>
  <c r="DR162" i="103"/>
  <c r="DS163" i="103"/>
  <c r="DR163" i="103"/>
  <c r="CZ77" i="103"/>
  <c r="DB76" i="103"/>
  <c r="CX77" i="103"/>
  <c r="DB115" i="103"/>
  <c r="CY77" i="103"/>
  <c r="DB138" i="103"/>
  <c r="DB139" i="103" s="1"/>
  <c r="DB140" i="103" s="1"/>
  <c r="DA77" i="103"/>
  <c r="DA162" i="103"/>
  <c r="DJ68" i="103"/>
  <c r="DJ43" i="103"/>
  <c r="DJ15" i="103"/>
  <c r="DJ16" i="103" s="1"/>
  <c r="DJ19" i="103"/>
  <c r="DJ20" i="103" s="1"/>
  <c r="BN40" i="103"/>
  <c r="BJ17" i="103"/>
  <c r="BJ41" i="103"/>
  <c r="BJ68" i="103"/>
  <c r="DQ61" i="103"/>
  <c r="DQ62" i="103" s="1"/>
  <c r="DQ59" i="103"/>
  <c r="AJ47" i="103"/>
  <c r="AJ17" i="103" s="1"/>
  <c r="AJ19" i="103" s="1"/>
  <c r="AJ55" i="103"/>
  <c r="AJ50" i="103"/>
  <c r="AJ51" i="103" s="1"/>
  <c r="EW63" i="103"/>
  <c r="FB61" i="103"/>
  <c r="EW58" i="103"/>
  <c r="CL5" i="103"/>
  <c r="CL10" i="103"/>
  <c r="EJ53" i="103"/>
  <c r="EJ54" i="103"/>
  <c r="DT77" i="103"/>
  <c r="DV76" i="103"/>
  <c r="DR77" i="103"/>
  <c r="DU77" i="103"/>
  <c r="DS77" i="103"/>
  <c r="DV117" i="103"/>
  <c r="DV138" i="103"/>
  <c r="DX158" i="103"/>
  <c r="DX159" i="103"/>
  <c r="EF108" i="103"/>
  <c r="EB109" i="103"/>
  <c r="CN19" i="103"/>
  <c r="CN20" i="103" s="1"/>
  <c r="CN15" i="103"/>
  <c r="CN43" i="103"/>
  <c r="CG5" i="103"/>
  <c r="CG6" i="103" s="1"/>
  <c r="CG10" i="103"/>
  <c r="CI69" i="103"/>
  <c r="CI74" i="103"/>
  <c r="CI70" i="103"/>
  <c r="CJ159" i="103"/>
  <c r="CJ158" i="103"/>
  <c r="DU84" i="103"/>
  <c r="DP85" i="103"/>
  <c r="H941" i="104"/>
  <c r="I940" i="104" s="1"/>
  <c r="J941" i="104"/>
  <c r="K940" i="104" s="1"/>
  <c r="DI199" i="103"/>
  <c r="CA224" i="103"/>
  <c r="CA230" i="103" s="1"/>
  <c r="CC222" i="103"/>
  <c r="CC224" i="103" s="1"/>
  <c r="CT159" i="103"/>
  <c r="CT158" i="103"/>
  <c r="CS161" i="103"/>
  <c r="CS208" i="103"/>
  <c r="CS209" i="103"/>
  <c r="BE54" i="103"/>
  <c r="BE53" i="103"/>
  <c r="BF54" i="103"/>
  <c r="DQ79" i="103"/>
  <c r="DW161" i="103"/>
  <c r="DW208" i="103"/>
  <c r="DW209" i="103"/>
  <c r="DM232" i="103"/>
  <c r="EB70" i="103"/>
  <c r="EB74" i="103"/>
  <c r="DI18" i="103"/>
  <c r="BX121" i="103"/>
  <c r="BX119" i="103"/>
  <c r="BX198" i="103"/>
  <c r="BX161" i="103" s="1"/>
  <c r="BX162" i="103" s="1"/>
  <c r="BX163" i="103" s="1"/>
  <c r="EF269" i="103"/>
  <c r="EF305" i="103" s="1"/>
  <c r="CK220" i="103"/>
  <c r="CK222" i="103"/>
  <c r="CK224" i="103" s="1"/>
  <c r="CK230" i="103" s="1"/>
  <c r="CD199" i="103"/>
  <c r="CD160" i="103"/>
  <c r="CD200" i="103"/>
  <c r="CE200" i="103"/>
  <c r="CD201" i="103"/>
  <c r="DM5" i="103"/>
  <c r="DR10" i="103"/>
  <c r="DQ9" i="103"/>
  <c r="DM10" i="103"/>
  <c r="DC15" i="103"/>
  <c r="DG42" i="103"/>
  <c r="DC19" i="103"/>
  <c r="BT208" i="103"/>
  <c r="BT209" i="103"/>
  <c r="BY208" i="103"/>
  <c r="BT161" i="103"/>
  <c r="EA59" i="103"/>
  <c r="DV61" i="103"/>
  <c r="DV59" i="103"/>
  <c r="CK70" i="103"/>
  <c r="CK69" i="103"/>
  <c r="CK74" i="103"/>
  <c r="EC158" i="103"/>
  <c r="CI202" i="103"/>
  <c r="CI203" i="103"/>
  <c r="CJ203" i="103"/>
  <c r="ES34" i="103"/>
  <c r="CP43" i="103"/>
  <c r="CP19" i="103"/>
  <c r="CP20" i="103" s="1"/>
  <c r="CP15" i="103"/>
  <c r="CP16" i="103" s="1"/>
  <c r="DP29" i="103"/>
  <c r="DP200" i="103"/>
  <c r="DP199" i="103"/>
  <c r="DR200" i="103"/>
  <c r="DP201" i="103"/>
  <c r="DP160" i="103"/>
  <c r="DU199" i="103"/>
  <c r="DD160" i="103"/>
  <c r="DZ208" i="103"/>
  <c r="DZ161" i="103"/>
  <c r="DZ209" i="103"/>
  <c r="AT10" i="103"/>
  <c r="DV91" i="103"/>
  <c r="DV92" i="103"/>
  <c r="DV88" i="103"/>
  <c r="EA91" i="103"/>
  <c r="BF70" i="103"/>
  <c r="BK69" i="103"/>
  <c r="EK103" i="103"/>
  <c r="EJ104" i="103"/>
  <c r="EA293" i="103"/>
  <c r="EF293" i="103" s="1"/>
  <c r="EK293" i="103" s="1"/>
  <c r="EP293" i="103" s="1"/>
  <c r="EU293" i="103" s="1"/>
  <c r="EZ293" i="103" s="1"/>
  <c r="FE293" i="103" s="1"/>
  <c r="CK16" i="103"/>
  <c r="DE195" i="103"/>
  <c r="DE196" i="103"/>
  <c r="CV180" i="103"/>
  <c r="CV182" i="103"/>
  <c r="CV181" i="103"/>
  <c r="FK206" i="103"/>
  <c r="DD17" i="103"/>
  <c r="DD18" i="103" s="1"/>
  <c r="DD65" i="103"/>
  <c r="DD68" i="103"/>
  <c r="DD41" i="103"/>
  <c r="AN10" i="103"/>
  <c r="CM55" i="103"/>
  <c r="CM52" i="103"/>
  <c r="CM50" i="103"/>
  <c r="CM51" i="103" s="1"/>
  <c r="DQ171" i="103"/>
  <c r="DQ121" i="103"/>
  <c r="DQ191" i="103"/>
  <c r="DQ175" i="103"/>
  <c r="DQ198" i="103"/>
  <c r="BR17" i="103"/>
  <c r="BR41" i="103"/>
  <c r="BR65" i="103"/>
  <c r="BR66" i="103" s="1"/>
  <c r="BR68" i="103"/>
  <c r="BW41" i="103"/>
  <c r="DG24" i="103"/>
  <c r="DL24" i="103"/>
  <c r="DX209" i="103"/>
  <c r="DX208" i="103"/>
  <c r="DY209" i="103"/>
  <c r="EC208" i="103"/>
  <c r="DX161" i="103"/>
  <c r="CD43" i="103"/>
  <c r="DF53" i="103"/>
  <c r="DK53" i="103"/>
  <c r="DF54" i="103"/>
  <c r="DE199" i="103"/>
  <c r="CZ160" i="103"/>
  <c r="CZ161" i="103"/>
  <c r="CZ199" i="103"/>
  <c r="CZ201" i="103"/>
  <c r="CZ200" i="103"/>
  <c r="L249" i="104"/>
  <c r="M248" i="104" s="1"/>
  <c r="V21" i="104"/>
  <c r="CD161" i="103"/>
  <c r="CD208" i="103"/>
  <c r="CD209" i="103"/>
  <c r="CT160" i="103"/>
  <c r="DY195" i="103"/>
  <c r="DT195" i="103"/>
  <c r="BY17" i="103"/>
  <c r="BY41" i="103"/>
  <c r="CC40" i="103"/>
  <c r="BY65" i="103"/>
  <c r="BY66" i="103" s="1"/>
  <c r="BY68" i="103"/>
  <c r="DA83" i="103"/>
  <c r="DA97" i="103"/>
  <c r="DA98" i="103"/>
  <c r="DH5" i="103"/>
  <c r="DH10" i="103"/>
  <c r="DL9" i="103"/>
  <c r="DL10" i="103" s="1"/>
  <c r="BT54" i="103"/>
  <c r="EA207" i="103"/>
  <c r="EA205" i="103"/>
  <c r="EA157" i="103"/>
  <c r="EA219" i="103"/>
  <c r="EA230" i="103" s="1"/>
  <c r="CW152" i="103"/>
  <c r="CW153" i="103" s="1"/>
  <c r="DD161" i="103"/>
  <c r="DL175" i="103"/>
  <c r="CX203" i="103"/>
  <c r="CX202" i="103"/>
  <c r="DQ91" i="103"/>
  <c r="DQ88" i="103"/>
  <c r="DQ89" i="103" s="1"/>
  <c r="DQ92" i="103"/>
  <c r="DQ93" i="103" s="1"/>
  <c r="DI161" i="103"/>
  <c r="DI209" i="103"/>
  <c r="DN208" i="103"/>
  <c r="DI208" i="103"/>
  <c r="CQ200" i="103"/>
  <c r="CQ199" i="103"/>
  <c r="CQ201" i="103"/>
  <c r="CQ160" i="103"/>
  <c r="DJ230" i="103"/>
  <c r="DJ220" i="103"/>
  <c r="DJ222" i="103"/>
  <c r="EA220" i="103"/>
  <c r="EA311" i="103" s="1"/>
  <c r="ET110" i="103"/>
  <c r="CA202" i="103"/>
  <c r="CA203" i="103"/>
  <c r="CW180" i="103"/>
  <c r="CW181" i="103"/>
  <c r="CT182" i="103"/>
  <c r="CS182" i="103"/>
  <c r="CW194" i="103"/>
  <c r="CV196" i="103" s="1"/>
  <c r="CU182" i="103"/>
  <c r="DK180" i="103"/>
  <c r="DF181" i="103"/>
  <c r="DF182" i="103"/>
  <c r="DF194" i="103"/>
  <c r="DF180" i="103"/>
  <c r="DJ203" i="103"/>
  <c r="DZ292" i="103"/>
  <c r="DQ263" i="103"/>
  <c r="DX252" i="103"/>
  <c r="DH252" i="103"/>
  <c r="CJ252" i="103"/>
  <c r="CB252" i="103"/>
  <c r="DT68" i="103"/>
  <c r="DT17" i="103"/>
  <c r="DT18" i="103" s="1"/>
  <c r="DT41" i="103"/>
  <c r="DT65" i="103"/>
  <c r="AK5" i="103"/>
  <c r="AP10" i="103"/>
  <c r="AO9" i="103"/>
  <c r="AK10" i="103"/>
  <c r="DN40" i="103"/>
  <c r="DN50" i="103"/>
  <c r="DN51" i="103"/>
  <c r="DN52" i="103"/>
  <c r="DN42" i="103"/>
  <c r="DK16" i="103"/>
  <c r="EA55" i="103"/>
  <c r="EA52" i="103"/>
  <c r="BX40" i="103"/>
  <c r="BT65" i="103"/>
  <c r="BT66" i="103" s="1"/>
  <c r="BT68" i="103"/>
  <c r="BT17" i="103"/>
  <c r="BT18" i="103" s="1"/>
  <c r="BT41" i="103"/>
  <c r="DR17" i="103"/>
  <c r="DR18" i="103" s="1"/>
  <c r="DR65" i="103"/>
  <c r="DR68" i="103"/>
  <c r="DR41" i="103"/>
  <c r="DI54" i="103"/>
  <c r="DI53" i="103"/>
  <c r="BW15" i="103"/>
  <c r="BW16" i="103" s="1"/>
  <c r="L170" i="104"/>
  <c r="M169" i="104" s="1"/>
  <c r="AY10" i="103"/>
  <c r="CY182" i="103"/>
  <c r="CF53" i="103"/>
  <c r="CF54" i="103"/>
  <c r="DZ87" i="103"/>
  <c r="AJ9" i="103"/>
  <c r="AJ10" i="103" s="1"/>
  <c r="DR20" i="103"/>
  <c r="ET49" i="103"/>
  <c r="EY50" i="103" s="1"/>
  <c r="ET60" i="103"/>
  <c r="ET59" i="103"/>
  <c r="CN53" i="103"/>
  <c r="CN54" i="103"/>
  <c r="EK111" i="103"/>
  <c r="EK146" i="103"/>
  <c r="EI112" i="103"/>
  <c r="EG112" i="103"/>
  <c r="DB129" i="103"/>
  <c r="DB137" i="103"/>
  <c r="FJ143" i="103"/>
  <c r="FJ150" i="103"/>
  <c r="DE207" i="103"/>
  <c r="DE157" i="103"/>
  <c r="DE160" i="103"/>
  <c r="DE205" i="103"/>
  <c r="DE201" i="103"/>
  <c r="DE206" i="103"/>
  <c r="FJ206" i="103" s="1"/>
  <c r="DE219" i="103"/>
  <c r="DJ205" i="103"/>
  <c r="CV161" i="103"/>
  <c r="CV209" i="103"/>
  <c r="CV208" i="103"/>
  <c r="CL195" i="103"/>
  <c r="CL196" i="103"/>
  <c r="EA117" i="103"/>
  <c r="DP161" i="103"/>
  <c r="DE29" i="103"/>
  <c r="DJ29" i="103"/>
  <c r="CU54" i="103"/>
  <c r="CU53" i="103"/>
  <c r="EJ82" i="103"/>
  <c r="DN159" i="103"/>
  <c r="DN158" i="103"/>
  <c r="DO202" i="103"/>
  <c r="DO203" i="103"/>
  <c r="CU15" i="103"/>
  <c r="CU16" i="103" s="1"/>
  <c r="CU43" i="103"/>
  <c r="CU19" i="103"/>
  <c r="CU20" i="103" s="1"/>
  <c r="DL28" i="103"/>
  <c r="DK209" i="103"/>
  <c r="EK295" i="103"/>
  <c r="EF214" i="103"/>
  <c r="CE5" i="103"/>
  <c r="CH9" i="103"/>
  <c r="CH10" i="103" s="1"/>
  <c r="CE10" i="103"/>
  <c r="CV199" i="103"/>
  <c r="CT195" i="103"/>
  <c r="CT40" i="103"/>
  <c r="CT51" i="103"/>
  <c r="CT42" i="103"/>
  <c r="CT52" i="103"/>
  <c r="CT50" i="103"/>
  <c r="CU51" i="103"/>
  <c r="CY50" i="103"/>
  <c r="BO41" i="103"/>
  <c r="AO40" i="103"/>
  <c r="AO41" i="103" s="1"/>
  <c r="AK41" i="103"/>
  <c r="DP65" i="103"/>
  <c r="DP68" i="103"/>
  <c r="DP17" i="103"/>
  <c r="DP18" i="103" s="1"/>
  <c r="DP41" i="103"/>
  <c r="EL50" i="103"/>
  <c r="EL51" i="103"/>
  <c r="EP49" i="103"/>
  <c r="BN36" i="8" s="1"/>
  <c r="EQ50" i="103"/>
  <c r="EL42" i="103"/>
  <c r="EL52" i="103"/>
  <c r="EM51" i="103"/>
  <c r="DZ200" i="103"/>
  <c r="DZ201" i="103"/>
  <c r="DZ199" i="103"/>
  <c r="EB200" i="103"/>
  <c r="CL157" i="103"/>
  <c r="EK193" i="103"/>
  <c r="EK284" i="103"/>
  <c r="DL160" i="103"/>
  <c r="DL207" i="103"/>
  <c r="DQ208" i="103" s="1"/>
  <c r="DL219" i="103"/>
  <c r="DL157" i="103"/>
  <c r="DL205" i="103"/>
  <c r="DL149" i="103"/>
  <c r="CW219" i="103"/>
  <c r="CW220" i="103" s="1"/>
  <c r="CW311" i="103" s="1"/>
  <c r="CW313" i="103" s="1"/>
  <c r="CS220" i="103"/>
  <c r="CS222" i="103"/>
  <c r="CS224" i="103" s="1"/>
  <c r="CS230" i="103" s="1"/>
  <c r="DO195" i="103"/>
  <c r="DO196" i="103"/>
  <c r="AH10" i="103"/>
  <c r="AH5" i="103"/>
  <c r="DL79" i="103"/>
  <c r="DB157" i="103"/>
  <c r="DB207" i="103"/>
  <c r="DB219" i="103"/>
  <c r="DB205" i="103"/>
  <c r="DB206" i="103" s="1"/>
  <c r="DB160" i="103"/>
  <c r="DW222" i="103"/>
  <c r="DW220" i="103"/>
  <c r="DW230" i="103"/>
  <c r="DN235" i="103"/>
  <c r="BS219" i="103"/>
  <c r="BS220" i="103" s="1"/>
  <c r="BS311" i="103" s="1"/>
  <c r="BO222" i="103"/>
  <c r="BO224" i="103" s="1"/>
  <c r="BO230" i="103" s="1"/>
  <c r="BO220" i="103"/>
  <c r="BZ18" i="103"/>
  <c r="CW142" i="103"/>
  <c r="CW143" i="103" s="1"/>
  <c r="DB142" i="103"/>
  <c r="DB143" i="103" s="1"/>
  <c r="DF201" i="103"/>
  <c r="CE161" i="103"/>
  <c r="CE209" i="103"/>
  <c r="CE208" i="103"/>
  <c r="DL167" i="103"/>
  <c r="DO15" i="103"/>
  <c r="DO19" i="103"/>
  <c r="DO20" i="103" s="1"/>
  <c r="DO43" i="103"/>
  <c r="CC121" i="103"/>
  <c r="CC167" i="103"/>
  <c r="CC191" i="103"/>
  <c r="CC198" i="103"/>
  <c r="CC181" i="103"/>
  <c r="EW46" i="103"/>
  <c r="FC110" i="103"/>
  <c r="CM175" i="103"/>
  <c r="CM167" i="103"/>
  <c r="CM198" i="103"/>
  <c r="CM171" i="103"/>
  <c r="CM191" i="103"/>
  <c r="CM119" i="103"/>
  <c r="CM121" i="103"/>
  <c r="BU222" i="103"/>
  <c r="BU224" i="103" s="1"/>
  <c r="BU230" i="103" s="1"/>
  <c r="BU220" i="103"/>
  <c r="BX219" i="103"/>
  <c r="BX220" i="103" s="1"/>
  <c r="BX311" i="103" s="1"/>
  <c r="BX313" i="103" s="1"/>
  <c r="DW203" i="103"/>
  <c r="DW202" i="103"/>
  <c r="EC160" i="103"/>
  <c r="CG203" i="103"/>
  <c r="CG202" i="103"/>
  <c r="EQ43" i="103"/>
  <c r="FK153" i="103"/>
  <c r="CF220" i="103"/>
  <c r="CF222" i="103"/>
  <c r="CF224" i="103" s="1"/>
  <c r="CF230" i="103" s="1"/>
  <c r="EB210" i="103"/>
  <c r="EB161" i="103"/>
  <c r="EB208" i="103"/>
  <c r="EC209" i="103"/>
  <c r="EB209" i="103"/>
  <c r="DH199" i="103"/>
  <c r="DH200" i="103"/>
  <c r="DH201" i="103"/>
  <c r="DI203" i="103" s="1"/>
  <c r="DM199" i="103"/>
  <c r="DI200" i="103"/>
  <c r="FI200" i="103" s="1"/>
  <c r="EZ178" i="103"/>
  <c r="FE177" i="103"/>
  <c r="FE178" i="103" s="1"/>
  <c r="DQ137" i="103"/>
  <c r="FJ153" i="103"/>
  <c r="CH181" i="103"/>
  <c r="CZ232" i="103"/>
  <c r="CZ233" i="103"/>
  <c r="CK158" i="103"/>
  <c r="AK1" i="8"/>
  <c r="G12" i="8"/>
  <c r="G5" i="8"/>
  <c r="G6" i="8" s="1"/>
  <c r="H12" i="8"/>
  <c r="H5" i="8"/>
  <c r="I12" i="8"/>
  <c r="L12" i="8"/>
  <c r="M12" i="8"/>
  <c r="N12" i="8"/>
  <c r="N5" i="8" s="1"/>
  <c r="N94" i="8" s="1"/>
  <c r="O5" i="8"/>
  <c r="Q5" i="8"/>
  <c r="R5" i="8"/>
  <c r="S5" i="8"/>
  <c r="T5" i="8"/>
  <c r="U12" i="8"/>
  <c r="U17" i="8"/>
  <c r="U14" i="8"/>
  <c r="U146" i="8" s="1"/>
  <c r="U31" i="8"/>
  <c r="V5" i="8"/>
  <c r="W5" i="8"/>
  <c r="X5" i="8"/>
  <c r="Y5" i="8"/>
  <c r="Z12" i="8"/>
  <c r="Z17" i="8"/>
  <c r="Z14" i="8"/>
  <c r="Z146" i="8" s="1"/>
  <c r="Z31" i="8"/>
  <c r="AA5" i="8"/>
  <c r="AB5" i="8"/>
  <c r="AC5" i="8"/>
  <c r="AD5" i="8"/>
  <c r="AE12" i="8"/>
  <c r="AE13" i="8" s="1"/>
  <c r="AE17" i="8"/>
  <c r="AE14" i="8"/>
  <c r="AE31" i="8"/>
  <c r="AF5" i="8"/>
  <c r="AF6" i="8" s="1"/>
  <c r="AG5" i="8"/>
  <c r="AH5" i="8"/>
  <c r="AI5" i="8"/>
  <c r="AI95" i="8" s="1"/>
  <c r="AJ12" i="8"/>
  <c r="AJ17" i="8"/>
  <c r="AJ18" i="8" s="1"/>
  <c r="AJ14" i="8"/>
  <c r="AJ31" i="8"/>
  <c r="AK5" i="8"/>
  <c r="AL5" i="8"/>
  <c r="AM5" i="8"/>
  <c r="AN5" i="8"/>
  <c r="AN6" i="8" s="1"/>
  <c r="AO12" i="8"/>
  <c r="AO17" i="8"/>
  <c r="AO18" i="8" s="1"/>
  <c r="AO14" i="8"/>
  <c r="AO31" i="8"/>
  <c r="AP5" i="8"/>
  <c r="AP45" i="8" s="1"/>
  <c r="AQ5" i="8"/>
  <c r="AQ45" i="8" s="1"/>
  <c r="AR5" i="8"/>
  <c r="AR6" i="8" s="1"/>
  <c r="AS5" i="8"/>
  <c r="AT12" i="8"/>
  <c r="AT17" i="8"/>
  <c r="AT14" i="8"/>
  <c r="AT19" i="8"/>
  <c r="AT31" i="8"/>
  <c r="AU5" i="8"/>
  <c r="AV5" i="8"/>
  <c r="AW5" i="8"/>
  <c r="AX5" i="8"/>
  <c r="AX45" i="8" s="1"/>
  <c r="BC46" i="8" s="1"/>
  <c r="AY12" i="8"/>
  <c r="AY17" i="8"/>
  <c r="AY18" i="8" s="1"/>
  <c r="AY14" i="8"/>
  <c r="AY9" i="8" s="1"/>
  <c r="AY19" i="8"/>
  <c r="AY31" i="8"/>
  <c r="AZ5" i="8"/>
  <c r="AZ6" i="8" s="1"/>
  <c r="BA9" i="8"/>
  <c r="BA22" i="8"/>
  <c r="BB9" i="8"/>
  <c r="BB11" i="8" s="1"/>
  <c r="BB22" i="8"/>
  <c r="BC9" i="8"/>
  <c r="BE22" i="8"/>
  <c r="BE5" i="8" s="1"/>
  <c r="BE97" i="8" s="1"/>
  <c r="BF22" i="8"/>
  <c r="BG22" i="8"/>
  <c r="BG5" i="8" s="1"/>
  <c r="BH22" i="8"/>
  <c r="BJ22" i="8"/>
  <c r="BK22" i="8"/>
  <c r="BK73" i="8" s="1"/>
  <c r="BN17" i="8"/>
  <c r="BN48" i="8" s="1"/>
  <c r="BN31" i="8"/>
  <c r="BL22" i="8"/>
  <c r="BM24" i="8" s="1"/>
  <c r="CL24" i="8" s="1"/>
  <c r="BR17" i="8"/>
  <c r="BO17" i="8"/>
  <c r="BP17" i="8"/>
  <c r="BT5" i="8"/>
  <c r="BT45" i="8" s="1"/>
  <c r="BU5" i="8"/>
  <c r="BV5" i="8"/>
  <c r="BW5" i="8"/>
  <c r="BS22" i="8"/>
  <c r="BY45" i="8"/>
  <c r="BZ45" i="8"/>
  <c r="CA45" i="8"/>
  <c r="CB45" i="8"/>
  <c r="CC18" i="8"/>
  <c r="F6" i="8"/>
  <c r="T6" i="8"/>
  <c r="Y6" i="8"/>
  <c r="AB6" i="8"/>
  <c r="AD6" i="8"/>
  <c r="AG6" i="8"/>
  <c r="AI6" i="8"/>
  <c r="AL6" i="8"/>
  <c r="AP6" i="8"/>
  <c r="AQ6" i="8"/>
  <c r="AS6" i="8"/>
  <c r="F9" i="8"/>
  <c r="F7" i="8" s="1"/>
  <c r="M9" i="8"/>
  <c r="N9" i="8"/>
  <c r="O9" i="8"/>
  <c r="O7" i="8" s="1"/>
  <c r="Q9" i="8"/>
  <c r="Q7" i="8" s="1"/>
  <c r="R9" i="8"/>
  <c r="S9" i="8"/>
  <c r="S7" i="8" s="1"/>
  <c r="T9" i="8"/>
  <c r="T7" i="8" s="1"/>
  <c r="V9" i="8"/>
  <c r="W9" i="8"/>
  <c r="W7" i="8" s="1"/>
  <c r="X9" i="8"/>
  <c r="Y9" i="8"/>
  <c r="AA9" i="8"/>
  <c r="AA7" i="8" s="1"/>
  <c r="AB9" i="8"/>
  <c r="AB7" i="8" s="1"/>
  <c r="AB8" i="8" s="1"/>
  <c r="AC9" i="8"/>
  <c r="AC7" i="8" s="1"/>
  <c r="AD9" i="8"/>
  <c r="AF9" i="8"/>
  <c r="AF7" i="8" s="1"/>
  <c r="AF8" i="8" s="1"/>
  <c r="AG9" i="8"/>
  <c r="AH9" i="8"/>
  <c r="AI9" i="8"/>
  <c r="AI7" i="8" s="1"/>
  <c r="AK9" i="8"/>
  <c r="AK7" i="8"/>
  <c r="AK8" i="8" s="1"/>
  <c r="AL9" i="8"/>
  <c r="AM9" i="8"/>
  <c r="AM7" i="8" s="1"/>
  <c r="AN9" i="8"/>
  <c r="AN7" i="8"/>
  <c r="AP9" i="8"/>
  <c r="AQ9" i="8"/>
  <c r="AQ7" i="8" s="1"/>
  <c r="AR9" i="8"/>
  <c r="AR7" i="8"/>
  <c r="AS9" i="8"/>
  <c r="AS7" i="8" s="1"/>
  <c r="AU9" i="8"/>
  <c r="AU7" i="8" s="1"/>
  <c r="AV9" i="8"/>
  <c r="AV7" i="8"/>
  <c r="AV8" i="8" s="1"/>
  <c r="AW9" i="8"/>
  <c r="AW7" i="8"/>
  <c r="AX9" i="8"/>
  <c r="AZ11" i="8" s="1"/>
  <c r="AZ7" i="8"/>
  <c r="BD12" i="8"/>
  <c r="BD14" i="8"/>
  <c r="BD17" i="8"/>
  <c r="BD19" i="8"/>
  <c r="BD27" i="8"/>
  <c r="BD31" i="8"/>
  <c r="BE7" i="8"/>
  <c r="BI9" i="8"/>
  <c r="BI17" i="8"/>
  <c r="BI19" i="8"/>
  <c r="BI27" i="8"/>
  <c r="BI31" i="8"/>
  <c r="BK7" i="8"/>
  <c r="BT7" i="8"/>
  <c r="BT98" i="8" s="1"/>
  <c r="BU7" i="8"/>
  <c r="BU98" i="8" s="1"/>
  <c r="BV7" i="8"/>
  <c r="BV98" i="8" s="1"/>
  <c r="BW7" i="8"/>
  <c r="BY7" i="8"/>
  <c r="BY98" i="8" s="1"/>
  <c r="BZ7" i="8"/>
  <c r="CA7" i="8"/>
  <c r="CA98" i="8" s="1"/>
  <c r="CB7" i="8"/>
  <c r="BE38" i="8"/>
  <c r="BF38" i="8"/>
  <c r="BG38" i="8"/>
  <c r="BH38" i="8"/>
  <c r="CS9" i="8"/>
  <c r="CT9" i="8"/>
  <c r="CU9" i="8"/>
  <c r="V10" i="8"/>
  <c r="AB10" i="8"/>
  <c r="AF10" i="8"/>
  <c r="AM10" i="8"/>
  <c r="AN10" i="8"/>
  <c r="AR10" i="8"/>
  <c r="AV10" i="8"/>
  <c r="AZ10" i="8"/>
  <c r="BA10" i="8"/>
  <c r="BB10" i="8"/>
  <c r="BE10" i="8"/>
  <c r="BF10" i="8"/>
  <c r="BJ10" i="8"/>
  <c r="BK10" i="8"/>
  <c r="CS10" i="8"/>
  <c r="CW10" i="8"/>
  <c r="CX10" i="8" s="1"/>
  <c r="AP11" i="8"/>
  <c r="AV11" i="8"/>
  <c r="AW11" i="8"/>
  <c r="BA11" i="8"/>
  <c r="BF11" i="8"/>
  <c r="BG11" i="8"/>
  <c r="BH11" i="8"/>
  <c r="CM11" i="8" s="1"/>
  <c r="BJ11" i="8"/>
  <c r="BK11" i="8"/>
  <c r="F13" i="8"/>
  <c r="G13" i="8"/>
  <c r="S13" i="8"/>
  <c r="T13" i="8"/>
  <c r="V13" i="8"/>
  <c r="W13" i="8"/>
  <c r="X13" i="8"/>
  <c r="Y13" i="8"/>
  <c r="AA13" i="8"/>
  <c r="AB13" i="8"/>
  <c r="AC13" i="8"/>
  <c r="AD13" i="8"/>
  <c r="AF13" i="8"/>
  <c r="AG13" i="8"/>
  <c r="AH13" i="8"/>
  <c r="AI13" i="8"/>
  <c r="AK13" i="8"/>
  <c r="AL13" i="8"/>
  <c r="AM13" i="8"/>
  <c r="AN13" i="8"/>
  <c r="AP13" i="8"/>
  <c r="AQ13" i="8"/>
  <c r="AR13" i="8"/>
  <c r="AS13" i="8"/>
  <c r="AT13" i="8"/>
  <c r="AU13" i="8"/>
  <c r="AV13" i="8"/>
  <c r="AW13" i="8"/>
  <c r="AX13" i="8"/>
  <c r="AZ13" i="8"/>
  <c r="BA13" i="8"/>
  <c r="BB13" i="8"/>
  <c r="BC13" i="8"/>
  <c r="V15" i="8"/>
  <c r="W15" i="8"/>
  <c r="X15" i="8"/>
  <c r="Y15" i="8"/>
  <c r="AA15" i="8"/>
  <c r="AB15" i="8"/>
  <c r="AC15" i="8"/>
  <c r="AD15" i="8"/>
  <c r="AF15" i="8"/>
  <c r="AG15" i="8"/>
  <c r="AH15" i="8"/>
  <c r="AI15" i="8"/>
  <c r="AK15" i="8"/>
  <c r="AL15" i="8"/>
  <c r="AM15" i="8"/>
  <c r="AN15" i="8"/>
  <c r="AP15" i="8"/>
  <c r="AQ15" i="8"/>
  <c r="AR15" i="8"/>
  <c r="AS15" i="8"/>
  <c r="AU15" i="8"/>
  <c r="AV15" i="8"/>
  <c r="AW15" i="8"/>
  <c r="AX15" i="8"/>
  <c r="AZ15" i="8"/>
  <c r="BA15" i="8"/>
  <c r="BB15" i="8"/>
  <c r="BC15" i="8"/>
  <c r="BD15" i="8"/>
  <c r="AP16" i="8"/>
  <c r="AQ16" i="8"/>
  <c r="AR16" i="8"/>
  <c r="AS16" i="8"/>
  <c r="AU16" i="8"/>
  <c r="AV16" i="8"/>
  <c r="AW16" i="8"/>
  <c r="AX16" i="8"/>
  <c r="AZ16" i="8"/>
  <c r="BA16" i="8"/>
  <c r="BB16" i="8"/>
  <c r="BC16" i="8"/>
  <c r="F18" i="8"/>
  <c r="G18" i="8"/>
  <c r="H18" i="8"/>
  <c r="I18" i="8"/>
  <c r="J18" i="8"/>
  <c r="K18" i="8"/>
  <c r="L18" i="8"/>
  <c r="M18" i="8"/>
  <c r="N18" i="8"/>
  <c r="O18" i="8"/>
  <c r="P18" i="8"/>
  <c r="Q18" i="8"/>
  <c r="R18" i="8"/>
  <c r="S18" i="8"/>
  <c r="T18" i="8"/>
  <c r="U18" i="8"/>
  <c r="V18" i="8"/>
  <c r="W18" i="8"/>
  <c r="X18" i="8"/>
  <c r="Y18" i="8"/>
  <c r="AA18" i="8"/>
  <c r="AB18" i="8"/>
  <c r="AC18" i="8"/>
  <c r="AD18" i="8"/>
  <c r="AE18" i="8"/>
  <c r="AF18" i="8"/>
  <c r="AG18" i="8"/>
  <c r="AH18" i="8"/>
  <c r="AI18" i="8"/>
  <c r="AK18" i="8"/>
  <c r="AL18" i="8"/>
  <c r="AM18" i="8"/>
  <c r="AN18" i="8"/>
  <c r="AP18" i="8"/>
  <c r="AQ18" i="8"/>
  <c r="AR18" i="8"/>
  <c r="AS18" i="8"/>
  <c r="AU18" i="8"/>
  <c r="AV18" i="8"/>
  <c r="AW18" i="8"/>
  <c r="AX18" i="8"/>
  <c r="AZ18" i="8"/>
  <c r="BA18" i="8"/>
  <c r="BB18" i="8"/>
  <c r="BC18" i="8"/>
  <c r="BD18" i="8"/>
  <c r="BE18" i="8"/>
  <c r="BF18" i="8"/>
  <c r="BG18" i="8"/>
  <c r="BH18" i="8"/>
  <c r="CM18" i="8" s="1"/>
  <c r="BJ18" i="8"/>
  <c r="BK18" i="8"/>
  <c r="CU18" i="8"/>
  <c r="AW20" i="8"/>
  <c r="AX20" i="8"/>
  <c r="AZ20" i="8"/>
  <c r="BA20" i="8"/>
  <c r="BB20" i="8"/>
  <c r="BC20" i="8"/>
  <c r="BE20" i="8"/>
  <c r="BF20" i="8"/>
  <c r="BG20" i="8"/>
  <c r="BH20" i="8"/>
  <c r="CM20" i="8" s="1"/>
  <c r="BJ20" i="8"/>
  <c r="BK20" i="8"/>
  <c r="BA21" i="8"/>
  <c r="BB21" i="8"/>
  <c r="BC21" i="8"/>
  <c r="BE21" i="8"/>
  <c r="BF21" i="8"/>
  <c r="BG21" i="8"/>
  <c r="BH21" i="8"/>
  <c r="CM21" i="8" s="1"/>
  <c r="BJ21" i="8"/>
  <c r="BK21" i="8"/>
  <c r="BP23" i="8"/>
  <c r="BR23" i="8"/>
  <c r="BE24" i="8"/>
  <c r="BL24" i="8"/>
  <c r="BO24" i="8"/>
  <c r="BP24" i="8"/>
  <c r="BQ24" i="8"/>
  <c r="BR24" i="8"/>
  <c r="BD25" i="8"/>
  <c r="BI25" i="8"/>
  <c r="CP25" i="8"/>
  <c r="CO25" i="8"/>
  <c r="BD26" i="8"/>
  <c r="BI26" i="8"/>
  <c r="CO27" i="8"/>
  <c r="CP27" i="8"/>
  <c r="CO28" i="8"/>
  <c r="CP28" i="8"/>
  <c r="CO31" i="8"/>
  <c r="F32" i="8"/>
  <c r="G32" i="8"/>
  <c r="H32" i="8"/>
  <c r="J32" i="8"/>
  <c r="L32" i="8"/>
  <c r="M32" i="8"/>
  <c r="N32" i="8"/>
  <c r="O32" i="8"/>
  <c r="P32" i="8"/>
  <c r="Q32" i="8"/>
  <c r="R32" i="8"/>
  <c r="S32" i="8"/>
  <c r="T32" i="8"/>
  <c r="V32" i="8"/>
  <c r="W32" i="8"/>
  <c r="X32" i="8"/>
  <c r="Y32" i="8"/>
  <c r="AA32" i="8"/>
  <c r="AB32" i="8"/>
  <c r="AC32" i="8"/>
  <c r="AD32" i="8"/>
  <c r="AF32" i="8"/>
  <c r="AG32" i="8"/>
  <c r="AH32" i="8"/>
  <c r="AI32" i="8"/>
  <c r="AK32" i="8"/>
  <c r="AL32" i="8"/>
  <c r="AM32" i="8"/>
  <c r="AN32" i="8"/>
  <c r="AP32" i="8"/>
  <c r="AQ32" i="8"/>
  <c r="AR32" i="8"/>
  <c r="AS32" i="8"/>
  <c r="AU32" i="8"/>
  <c r="AV32" i="8"/>
  <c r="AW32" i="8"/>
  <c r="AX32" i="8"/>
  <c r="AZ32" i="8"/>
  <c r="BC32" i="8"/>
  <c r="BD33" i="8"/>
  <c r="BE32" i="8"/>
  <c r="BI33" i="8"/>
  <c r="BJ32" i="8"/>
  <c r="BK32" i="8"/>
  <c r="BJ34" i="8"/>
  <c r="BK34" i="8"/>
  <c r="BF35" i="8"/>
  <c r="BG35" i="8"/>
  <c r="BH35" i="8"/>
  <c r="BJ35" i="8"/>
  <c r="BK35" i="8"/>
  <c r="CG35" i="8"/>
  <c r="CH35" i="8"/>
  <c r="BE36" i="8"/>
  <c r="BF36" i="8"/>
  <c r="BG36" i="8"/>
  <c r="BH36" i="8"/>
  <c r="BI36" i="8"/>
  <c r="BJ36" i="8"/>
  <c r="BK36" i="8"/>
  <c r="BL36" i="8"/>
  <c r="CO36" i="8"/>
  <c r="BF37" i="8"/>
  <c r="BG37" i="8"/>
  <c r="BO37" i="8"/>
  <c r="BT37" i="8" s="1"/>
  <c r="BY37" i="8" s="1"/>
  <c r="BP37" i="8"/>
  <c r="BU37" i="8" s="1"/>
  <c r="BZ37" i="8" s="1"/>
  <c r="BQ37" i="8"/>
  <c r="BV37" i="8" s="1"/>
  <c r="CA37" i="8" s="1"/>
  <c r="CO37" i="8"/>
  <c r="AY38" i="8"/>
  <c r="AY40" i="8" s="1"/>
  <c r="BA38" i="8"/>
  <c r="BF39" i="8" s="1"/>
  <c r="BB38" i="8"/>
  <c r="BC38" i="8"/>
  <c r="BJ38" i="8"/>
  <c r="BK38" i="8"/>
  <c r="BL38" i="8"/>
  <c r="BO38" i="8"/>
  <c r="BP38" i="8"/>
  <c r="BQ38" i="8"/>
  <c r="BR38" i="8"/>
  <c r="BR39" i="8" s="1"/>
  <c r="CC39" i="8"/>
  <c r="BC39" i="8"/>
  <c r="BE39" i="8"/>
  <c r="AW40" i="8"/>
  <c r="AX40" i="8"/>
  <c r="BC41" i="8" s="1"/>
  <c r="AZ40" i="8"/>
  <c r="BI40" i="8"/>
  <c r="BS40" i="8"/>
  <c r="CO40" i="8"/>
  <c r="CP40" i="8"/>
  <c r="BF41" i="8"/>
  <c r="BG41" i="8"/>
  <c r="BH41" i="8"/>
  <c r="CM41" i="8" s="1"/>
  <c r="BJ41" i="8"/>
  <c r="BK41" i="8"/>
  <c r="BL41" i="8"/>
  <c r="CP41" i="8" s="1"/>
  <c r="BO41" i="8"/>
  <c r="BP41" i="8"/>
  <c r="BQ41" i="8"/>
  <c r="BR41" i="8"/>
  <c r="BD42" i="8"/>
  <c r="BI42" i="8"/>
  <c r="BS42" i="8"/>
  <c r="CP42" i="8"/>
  <c r="CO42" i="8"/>
  <c r="BF43" i="8"/>
  <c r="BG43" i="8"/>
  <c r="BH43" i="8"/>
  <c r="CM43" i="8" s="1"/>
  <c r="BJ43" i="8"/>
  <c r="BK43" i="8"/>
  <c r="BL43" i="8"/>
  <c r="BO43" i="8"/>
  <c r="BP43" i="8"/>
  <c r="BQ43" i="8"/>
  <c r="BR43" i="8"/>
  <c r="CO43" i="8"/>
  <c r="CP43" i="8"/>
  <c r="BL46" i="8"/>
  <c r="BP44" i="8"/>
  <c r="F45" i="8"/>
  <c r="F46" i="8" s="1"/>
  <c r="G45" i="8"/>
  <c r="O45" i="8"/>
  <c r="T45" i="8"/>
  <c r="W45" i="8"/>
  <c r="Y45" i="8"/>
  <c r="Y182" i="8" s="1"/>
  <c r="AA45" i="8"/>
  <c r="AB45" i="8"/>
  <c r="AD45" i="8"/>
  <c r="AD142" i="8" s="1"/>
  <c r="AF45" i="8"/>
  <c r="AG45" i="8"/>
  <c r="AG46" i="8" s="1"/>
  <c r="AL45" i="8"/>
  <c r="AL182" i="8" s="1"/>
  <c r="AN45" i="8"/>
  <c r="AN182" i="8" s="1"/>
  <c r="AU45" i="8"/>
  <c r="AW45" i="8"/>
  <c r="BU45" i="8"/>
  <c r="BV45" i="8"/>
  <c r="BW45" i="8"/>
  <c r="AQ46" i="8"/>
  <c r="BF46" i="8"/>
  <c r="BG46" i="8"/>
  <c r="BH46" i="8"/>
  <c r="CM46" i="8" s="1"/>
  <c r="BJ46" i="8"/>
  <c r="BK46" i="8"/>
  <c r="BE47" i="8"/>
  <c r="BF47" i="8"/>
  <c r="BG47" i="8"/>
  <c r="C48" i="8"/>
  <c r="C50" i="8" s="1"/>
  <c r="D48" i="8"/>
  <c r="D49" i="8" s="1"/>
  <c r="E48" i="8"/>
  <c r="F48" i="8"/>
  <c r="G48" i="8"/>
  <c r="G49" i="8" s="1"/>
  <c r="H48" i="8"/>
  <c r="I48" i="8"/>
  <c r="J48" i="8"/>
  <c r="K48" i="8"/>
  <c r="P49" i="8" s="1"/>
  <c r="L48" i="8"/>
  <c r="M48" i="8"/>
  <c r="N48" i="8"/>
  <c r="O48" i="8"/>
  <c r="P48" i="8"/>
  <c r="Q48" i="8"/>
  <c r="R48" i="8"/>
  <c r="S48" i="8"/>
  <c r="T48" i="8"/>
  <c r="U51" i="8"/>
  <c r="V48" i="8"/>
  <c r="W48" i="8"/>
  <c r="X48" i="8"/>
  <c r="Y48" i="8"/>
  <c r="Y50" i="8" s="1"/>
  <c r="Z51" i="8"/>
  <c r="Z48" i="8" s="1"/>
  <c r="AA48" i="8"/>
  <c r="AB48" i="8"/>
  <c r="AC48" i="8"/>
  <c r="AD48" i="8"/>
  <c r="AE51" i="8"/>
  <c r="AF48" i="8"/>
  <c r="AG48" i="8"/>
  <c r="AH48" i="8"/>
  <c r="AI48" i="8"/>
  <c r="AI49" i="8" s="1"/>
  <c r="AJ51" i="8"/>
  <c r="AJ48" i="8" s="1"/>
  <c r="AK48" i="8"/>
  <c r="AK49" i="8" s="1"/>
  <c r="AL48" i="8"/>
  <c r="AM48" i="8"/>
  <c r="AN48" i="8"/>
  <c r="AO51" i="8"/>
  <c r="AP48" i="8"/>
  <c r="AQ48" i="8"/>
  <c r="AV49" i="8" s="1"/>
  <c r="AR48" i="8"/>
  <c r="AR49" i="8" s="1"/>
  <c r="AS48" i="8"/>
  <c r="AT51" i="8"/>
  <c r="AU48" i="8"/>
  <c r="AV48" i="8"/>
  <c r="AW48" i="8"/>
  <c r="AW50" i="8" s="1"/>
  <c r="AX48" i="8"/>
  <c r="AY51" i="8"/>
  <c r="BD52" i="8" s="1"/>
  <c r="AZ48" i="8"/>
  <c r="AZ49" i="8" s="1"/>
  <c r="BA48" i="8"/>
  <c r="BB48" i="8"/>
  <c r="BC48" i="8"/>
  <c r="BD51" i="8"/>
  <c r="BE48" i="8"/>
  <c r="BF48" i="8"/>
  <c r="BK49" i="8" s="1"/>
  <c r="BG48" i="8"/>
  <c r="BH48" i="8"/>
  <c r="BI51" i="8"/>
  <c r="BN52" i="8" s="1"/>
  <c r="BJ48" i="8"/>
  <c r="BK48" i="8"/>
  <c r="F49" i="8"/>
  <c r="K52" i="8"/>
  <c r="K49" i="8" s="1"/>
  <c r="Q52" i="8"/>
  <c r="Q49" i="8" s="1"/>
  <c r="R52" i="8"/>
  <c r="R49" i="8" s="1"/>
  <c r="S52" i="8"/>
  <c r="S49" i="8" s="1"/>
  <c r="T52" i="8"/>
  <c r="T49" i="8" s="1"/>
  <c r="BK50" i="8"/>
  <c r="CO51" i="8"/>
  <c r="B52" i="8"/>
  <c r="C52" i="8"/>
  <c r="D52" i="8"/>
  <c r="E52" i="8"/>
  <c r="G52" i="8"/>
  <c r="H52" i="8"/>
  <c r="I52" i="8"/>
  <c r="J52" i="8"/>
  <c r="L52" i="8"/>
  <c r="M52" i="8"/>
  <c r="N52" i="8"/>
  <c r="O52" i="8"/>
  <c r="P52" i="8"/>
  <c r="V52" i="8"/>
  <c r="W52" i="8"/>
  <c r="X52" i="8"/>
  <c r="Y52" i="8"/>
  <c r="AA52" i="8"/>
  <c r="AB52" i="8"/>
  <c r="AC52" i="8"/>
  <c r="AD52" i="8"/>
  <c r="AF52" i="8"/>
  <c r="AG52" i="8"/>
  <c r="AH52" i="8"/>
  <c r="AI52" i="8"/>
  <c r="AK52" i="8"/>
  <c r="AL52" i="8"/>
  <c r="AM52" i="8"/>
  <c r="AN52" i="8"/>
  <c r="AP52" i="8"/>
  <c r="AQ52" i="8"/>
  <c r="AR52" i="8"/>
  <c r="AS52" i="8"/>
  <c r="AU52" i="8"/>
  <c r="AV52" i="8"/>
  <c r="AW52" i="8"/>
  <c r="AX52" i="8"/>
  <c r="AZ52" i="8"/>
  <c r="BA52" i="8"/>
  <c r="BB52" i="8"/>
  <c r="BC52" i="8"/>
  <c r="BE52" i="8"/>
  <c r="BF52" i="8"/>
  <c r="BG52" i="8"/>
  <c r="BH52" i="8"/>
  <c r="CM52" i="8" s="1"/>
  <c r="BJ52" i="8"/>
  <c r="BK52" i="8"/>
  <c r="BL52" i="8"/>
  <c r="B53" i="8"/>
  <c r="C53" i="8"/>
  <c r="C55" i="8" s="1"/>
  <c r="D53" i="8"/>
  <c r="E53" i="8"/>
  <c r="F56" i="8"/>
  <c r="F53" i="8" s="1"/>
  <c r="G56" i="8"/>
  <c r="H56" i="8"/>
  <c r="I56" i="8"/>
  <c r="J56" i="8"/>
  <c r="K61" i="8"/>
  <c r="L56" i="8"/>
  <c r="M56" i="8"/>
  <c r="N56" i="8"/>
  <c r="O56" i="8"/>
  <c r="O53" i="8"/>
  <c r="P61" i="8"/>
  <c r="Q56" i="8"/>
  <c r="Q53" i="8" s="1"/>
  <c r="R56" i="8"/>
  <c r="S56" i="8"/>
  <c r="S53" i="8" s="1"/>
  <c r="T56" i="8"/>
  <c r="T53" i="8" s="1"/>
  <c r="U61" i="8"/>
  <c r="U58" i="8" s="1"/>
  <c r="V56" i="8"/>
  <c r="V53" i="8" s="1"/>
  <c r="W56" i="8"/>
  <c r="W53" i="8" s="1"/>
  <c r="X56" i="8"/>
  <c r="X53" i="8" s="1"/>
  <c r="Y56" i="8"/>
  <c r="Z61" i="8"/>
  <c r="AA56" i="8"/>
  <c r="AA53" i="8" s="1"/>
  <c r="AB56" i="8"/>
  <c r="AB53" i="8" s="1"/>
  <c r="AC56" i="8"/>
  <c r="AC53" i="8" s="1"/>
  <c r="AD56" i="8"/>
  <c r="AE61" i="8"/>
  <c r="AE56" i="8" s="1"/>
  <c r="AF56" i="8"/>
  <c r="AF53" i="8" s="1"/>
  <c r="AG56" i="8"/>
  <c r="AH56" i="8"/>
  <c r="AI56" i="8"/>
  <c r="AI53" i="8" s="1"/>
  <c r="AJ61" i="8"/>
  <c r="AK56" i="8"/>
  <c r="AL56" i="8"/>
  <c r="AM56" i="8"/>
  <c r="AM53" i="8" s="1"/>
  <c r="AN56" i="8"/>
  <c r="AN53" i="8" s="1"/>
  <c r="AO61" i="8"/>
  <c r="AO66" i="8"/>
  <c r="AO63" i="8" s="1"/>
  <c r="AP56" i="8"/>
  <c r="AQ56" i="8"/>
  <c r="AR56" i="8"/>
  <c r="AS56" i="8"/>
  <c r="AS53" i="8" s="1"/>
  <c r="AT61" i="8"/>
  <c r="AT66" i="8"/>
  <c r="AU56" i="8"/>
  <c r="AU53" i="8" s="1"/>
  <c r="AV56" i="8"/>
  <c r="AV53" i="8" s="1"/>
  <c r="AW56" i="8"/>
  <c r="AX56" i="8"/>
  <c r="AY61" i="8"/>
  <c r="AY58" i="8" s="1"/>
  <c r="AY66" i="8"/>
  <c r="AY146" i="8" s="1"/>
  <c r="AZ56" i="8"/>
  <c r="AZ53" i="8" s="1"/>
  <c r="BA56" i="8"/>
  <c r="BA53" i="8"/>
  <c r="BB56" i="8"/>
  <c r="BC56" i="8"/>
  <c r="BD61" i="8"/>
  <c r="BD66" i="8"/>
  <c r="BE53" i="8"/>
  <c r="BF53" i="8"/>
  <c r="BG53" i="8"/>
  <c r="BH53" i="8"/>
  <c r="BI56" i="8"/>
  <c r="BJ53" i="8"/>
  <c r="BK53" i="8"/>
  <c r="D54" i="8"/>
  <c r="CO56" i="8"/>
  <c r="B57" i="8"/>
  <c r="C57" i="8"/>
  <c r="D57" i="8"/>
  <c r="E57" i="8"/>
  <c r="BJ57" i="8"/>
  <c r="BK57" i="8"/>
  <c r="BL57" i="8"/>
  <c r="F58" i="8"/>
  <c r="G58" i="8"/>
  <c r="N58" i="8"/>
  <c r="O58" i="8"/>
  <c r="Q58" i="8"/>
  <c r="R58" i="8"/>
  <c r="S58" i="8"/>
  <c r="T58" i="8"/>
  <c r="V58" i="8"/>
  <c r="W58" i="8"/>
  <c r="X58" i="8"/>
  <c r="Y58" i="8"/>
  <c r="AA58" i="8"/>
  <c r="AB58" i="8"/>
  <c r="AC58" i="8"/>
  <c r="AD58" i="8"/>
  <c r="AF58" i="8"/>
  <c r="AG58" i="8"/>
  <c r="AH58" i="8"/>
  <c r="AI58" i="8"/>
  <c r="AK58" i="8"/>
  <c r="AL58" i="8"/>
  <c r="AM58" i="8"/>
  <c r="AN58" i="8"/>
  <c r="AN59" i="8" s="1"/>
  <c r="AP58" i="8"/>
  <c r="AQ58" i="8"/>
  <c r="AR58" i="8"/>
  <c r="AS58" i="8"/>
  <c r="AU58" i="8"/>
  <c r="AV58" i="8"/>
  <c r="AW58" i="8"/>
  <c r="AX58" i="8"/>
  <c r="AZ58" i="8"/>
  <c r="BA58" i="8"/>
  <c r="BB58" i="8"/>
  <c r="BC58" i="8"/>
  <c r="CO58" i="8"/>
  <c r="CP61" i="8"/>
  <c r="B62" i="8"/>
  <c r="C62" i="8"/>
  <c r="D62" i="8"/>
  <c r="E62" i="8"/>
  <c r="G62" i="8"/>
  <c r="H62" i="8"/>
  <c r="I62" i="8"/>
  <c r="J62" i="8"/>
  <c r="L62" i="8"/>
  <c r="M62" i="8"/>
  <c r="N62" i="8"/>
  <c r="O62" i="8"/>
  <c r="Q62" i="8"/>
  <c r="R62" i="8"/>
  <c r="S62" i="8"/>
  <c r="T62" i="8"/>
  <c r="V62" i="8"/>
  <c r="W62" i="8"/>
  <c r="X62" i="8"/>
  <c r="Y62" i="8"/>
  <c r="AA62" i="8"/>
  <c r="AB62" i="8"/>
  <c r="AC62" i="8"/>
  <c r="AD62" i="8"/>
  <c r="AF62" i="8"/>
  <c r="AG62" i="8"/>
  <c r="AH62" i="8"/>
  <c r="AI62" i="8"/>
  <c r="AK62" i="8"/>
  <c r="AL62" i="8"/>
  <c r="AM62" i="8"/>
  <c r="AN62" i="8"/>
  <c r="AP62" i="8"/>
  <c r="AQ62" i="8"/>
  <c r="AR62" i="8"/>
  <c r="AS62" i="8"/>
  <c r="AU62" i="8"/>
  <c r="AV62" i="8"/>
  <c r="AW62" i="8"/>
  <c r="AX62" i="8"/>
  <c r="AZ62" i="8"/>
  <c r="BA62" i="8"/>
  <c r="BB62" i="8"/>
  <c r="BC62" i="8"/>
  <c r="CO62" i="8"/>
  <c r="B63" i="8"/>
  <c r="C63" i="8"/>
  <c r="D63" i="8"/>
  <c r="D64" i="8" s="1"/>
  <c r="E63" i="8"/>
  <c r="E64" i="8" s="1"/>
  <c r="F63" i="8"/>
  <c r="AK63" i="8"/>
  <c r="AK65" i="8" s="1"/>
  <c r="AL63" i="8"/>
  <c r="AM63" i="8"/>
  <c r="AN63" i="8"/>
  <c r="AP63" i="8"/>
  <c r="AQ63" i="8"/>
  <c r="AR63" i="8"/>
  <c r="AS63" i="8"/>
  <c r="AU63" i="8"/>
  <c r="AV63" i="8"/>
  <c r="AW63" i="8"/>
  <c r="AX63" i="8"/>
  <c r="AZ63" i="8"/>
  <c r="AZ65" i="8" s="1"/>
  <c r="BA63" i="8"/>
  <c r="BB63" i="8"/>
  <c r="BC63" i="8"/>
  <c r="CO63" i="8"/>
  <c r="CO66" i="8"/>
  <c r="B67" i="8"/>
  <c r="C67" i="8"/>
  <c r="D67" i="8"/>
  <c r="E67" i="8"/>
  <c r="AP67" i="8"/>
  <c r="AQ67" i="8"/>
  <c r="AR67" i="8"/>
  <c r="AS67" i="8"/>
  <c r="AU67" i="8"/>
  <c r="AV67" i="8"/>
  <c r="AW67" i="8"/>
  <c r="AX67" i="8"/>
  <c r="AZ67" i="8"/>
  <c r="BA67" i="8"/>
  <c r="BB67" i="8"/>
  <c r="BC67" i="8"/>
  <c r="CO67" i="8"/>
  <c r="B68" i="8"/>
  <c r="B69" i="8" s="1"/>
  <c r="C68" i="8"/>
  <c r="D68" i="8"/>
  <c r="D69" i="8" s="1"/>
  <c r="E68" i="8"/>
  <c r="E69" i="8" s="1"/>
  <c r="F68" i="8"/>
  <c r="AR68" i="8"/>
  <c r="AS68" i="8"/>
  <c r="AU70" i="8" s="1"/>
  <c r="AU68" i="8"/>
  <c r="AV68" i="8"/>
  <c r="AW68" i="8"/>
  <c r="AX68" i="8"/>
  <c r="AY71" i="8"/>
  <c r="AZ68" i="8"/>
  <c r="AZ69" i="8" s="1"/>
  <c r="BA68" i="8"/>
  <c r="BB68" i="8"/>
  <c r="BC68" i="8"/>
  <c r="BD71" i="8"/>
  <c r="BD68" i="8" s="1"/>
  <c r="BE68" i="8"/>
  <c r="BF68" i="8"/>
  <c r="BG68" i="8"/>
  <c r="BH68" i="8"/>
  <c r="BI71" i="8"/>
  <c r="BI68" i="8" s="1"/>
  <c r="BJ68" i="8"/>
  <c r="BJ70" i="8" s="1"/>
  <c r="BK68" i="8"/>
  <c r="AT71" i="8"/>
  <c r="AT147" i="8" s="1"/>
  <c r="CO71" i="8"/>
  <c r="B72" i="8"/>
  <c r="C72" i="8"/>
  <c r="D72" i="8"/>
  <c r="E72" i="8"/>
  <c r="G72" i="8"/>
  <c r="H72" i="8"/>
  <c r="I72" i="8"/>
  <c r="J72" i="8"/>
  <c r="K72" i="8"/>
  <c r="L72" i="8"/>
  <c r="AX72" i="8"/>
  <c r="AZ72" i="8"/>
  <c r="BA72" i="8"/>
  <c r="BB72" i="8"/>
  <c r="BC72" i="8"/>
  <c r="BE72" i="8"/>
  <c r="BF72" i="8"/>
  <c r="BG72" i="8"/>
  <c r="BH72" i="8"/>
  <c r="CM72" i="8" s="1"/>
  <c r="BJ72" i="8"/>
  <c r="BK72" i="8"/>
  <c r="BL72" i="8"/>
  <c r="B73" i="8"/>
  <c r="C73" i="8"/>
  <c r="D73" i="8"/>
  <c r="D74" i="8" s="1"/>
  <c r="E73" i="8"/>
  <c r="F73" i="8"/>
  <c r="BA73" i="8"/>
  <c r="BC73" i="8"/>
  <c r="BE73" i="8"/>
  <c r="BL73" i="8"/>
  <c r="B77" i="8"/>
  <c r="C77" i="8"/>
  <c r="D77" i="8"/>
  <c r="E77" i="8"/>
  <c r="G77" i="8"/>
  <c r="H77" i="8"/>
  <c r="I77" i="8"/>
  <c r="J77" i="8"/>
  <c r="K77" i="8"/>
  <c r="L77" i="8"/>
  <c r="B78" i="8"/>
  <c r="C78" i="8"/>
  <c r="D78" i="8"/>
  <c r="E78" i="8"/>
  <c r="F78" i="8"/>
  <c r="BC81" i="8"/>
  <c r="BC78" i="8"/>
  <c r="BE81" i="8"/>
  <c r="BE78" i="8"/>
  <c r="BF81" i="8"/>
  <c r="BF86" i="8" s="1"/>
  <c r="BF88" i="8" s="1"/>
  <c r="BG81" i="8"/>
  <c r="BH81" i="8"/>
  <c r="BH78" i="8"/>
  <c r="BJ78" i="8"/>
  <c r="BK78" i="8"/>
  <c r="CP81" i="8"/>
  <c r="B82" i="8"/>
  <c r="C82" i="8"/>
  <c r="D82" i="8"/>
  <c r="E82" i="8"/>
  <c r="G82" i="8"/>
  <c r="H82" i="8"/>
  <c r="I82" i="8"/>
  <c r="J82" i="8"/>
  <c r="K82" i="8"/>
  <c r="L82" i="8"/>
  <c r="C83" i="8"/>
  <c r="D83" i="8"/>
  <c r="D85" i="8" s="1"/>
  <c r="E83" i="8"/>
  <c r="G86" i="8"/>
  <c r="G83" i="8" s="1"/>
  <c r="H86" i="8"/>
  <c r="I86" i="8"/>
  <c r="J86" i="8"/>
  <c r="L86" i="8"/>
  <c r="M86" i="8"/>
  <c r="M88" i="8" s="1"/>
  <c r="N86" i="8"/>
  <c r="O86" i="8"/>
  <c r="O83" i="8" s="1"/>
  <c r="Q86" i="8"/>
  <c r="R86" i="8"/>
  <c r="S86" i="8"/>
  <c r="T86" i="8"/>
  <c r="T83" i="8" s="1"/>
  <c r="V86" i="8"/>
  <c r="W86" i="8"/>
  <c r="W83" i="8"/>
  <c r="X86" i="8"/>
  <c r="X88" i="8" s="1"/>
  <c r="Y86" i="8"/>
  <c r="AA86" i="8"/>
  <c r="AA83" i="8" s="1"/>
  <c r="AB86" i="8"/>
  <c r="AB83" i="8" s="1"/>
  <c r="AC86" i="8"/>
  <c r="AD86" i="8"/>
  <c r="AF86" i="8"/>
  <c r="AF88" i="8" s="1"/>
  <c r="AG86" i="8"/>
  <c r="AH86" i="8"/>
  <c r="AI86" i="8"/>
  <c r="AK86" i="8"/>
  <c r="AL86" i="8"/>
  <c r="AL83" i="8" s="1"/>
  <c r="AM86" i="8"/>
  <c r="AN86" i="8"/>
  <c r="AP86" i="8"/>
  <c r="AP92" i="8" s="1"/>
  <c r="AP88" i="8" s="1"/>
  <c r="AQ86" i="8"/>
  <c r="AR86" i="8"/>
  <c r="AR92" i="8" s="1"/>
  <c r="AS86" i="8"/>
  <c r="AU86" i="8"/>
  <c r="AU83" i="8" s="1"/>
  <c r="AV86" i="8"/>
  <c r="AW86" i="8"/>
  <c r="AW92" i="8" s="1"/>
  <c r="AW88" i="8" s="1"/>
  <c r="AX86" i="8"/>
  <c r="AZ86" i="8"/>
  <c r="AZ88" i="8" s="1"/>
  <c r="BA86" i="8"/>
  <c r="BB86" i="8"/>
  <c r="BC86" i="8"/>
  <c r="BE86" i="8"/>
  <c r="BE83" i="8" s="1"/>
  <c r="BH86" i="8"/>
  <c r="BH158" i="8" s="1"/>
  <c r="BJ86" i="8"/>
  <c r="BK86" i="8"/>
  <c r="BL86" i="8"/>
  <c r="CP86" i="8" s="1"/>
  <c r="B87" i="8"/>
  <c r="C87" i="8"/>
  <c r="D87" i="8"/>
  <c r="E87" i="8"/>
  <c r="H87" i="8"/>
  <c r="M87" i="8"/>
  <c r="H88" i="8"/>
  <c r="H89" i="8" s="1"/>
  <c r="K92" i="8"/>
  <c r="K93" i="8" s="1"/>
  <c r="P92" i="8"/>
  <c r="U92" i="8"/>
  <c r="Z92" i="8"/>
  <c r="AB88" i="8"/>
  <c r="AE92" i="8"/>
  <c r="AJ92" i="8"/>
  <c r="AS92" i="8"/>
  <c r="AS88" i="8" s="1"/>
  <c r="AX158" i="8"/>
  <c r="AY158" i="8" s="1"/>
  <c r="BB92" i="8"/>
  <c r="BC92" i="8"/>
  <c r="BE166" i="8"/>
  <c r="BE92" i="8"/>
  <c r="BE88" i="8"/>
  <c r="BF92" i="8"/>
  <c r="BG92" i="8"/>
  <c r="BN92" i="8"/>
  <c r="H91" i="8"/>
  <c r="R91" i="8"/>
  <c r="CR91" i="8"/>
  <c r="BO166" i="8"/>
  <c r="BP166" i="8"/>
  <c r="BQ166" i="8"/>
  <c r="BR166" i="8"/>
  <c r="BO169" i="8"/>
  <c r="BS169" i="8" s="1"/>
  <c r="BP170" i="8"/>
  <c r="G93" i="8"/>
  <c r="H93" i="8"/>
  <c r="I93" i="8"/>
  <c r="J93" i="8"/>
  <c r="L93" i="8"/>
  <c r="M93" i="8"/>
  <c r="N93" i="8"/>
  <c r="O93" i="8"/>
  <c r="Q93" i="8"/>
  <c r="R93" i="8"/>
  <c r="S93" i="8"/>
  <c r="T93" i="8"/>
  <c r="V93" i="8"/>
  <c r="W93" i="8"/>
  <c r="X93" i="8"/>
  <c r="Y93" i="8"/>
  <c r="AA93" i="8"/>
  <c r="AB93" i="8"/>
  <c r="AC93" i="8"/>
  <c r="AD93" i="8"/>
  <c r="AF93" i="8"/>
  <c r="AG93" i="8"/>
  <c r="AH93" i="8"/>
  <c r="AI93" i="8"/>
  <c r="AJ93" i="8"/>
  <c r="BH93" i="8"/>
  <c r="G94" i="8"/>
  <c r="O94" i="8"/>
  <c r="T94" i="8"/>
  <c r="V94" i="8"/>
  <c r="W94" i="8"/>
  <c r="Y94" i="8"/>
  <c r="AA94" i="8"/>
  <c r="AB94" i="8"/>
  <c r="AD94" i="8"/>
  <c r="AF94" i="8"/>
  <c r="AG94" i="8"/>
  <c r="BE94" i="8"/>
  <c r="G95" i="8"/>
  <c r="Y95" i="8"/>
  <c r="AB95" i="8"/>
  <c r="AD95" i="8"/>
  <c r="AF95" i="8"/>
  <c r="AG95" i="8"/>
  <c r="AW166" i="8"/>
  <c r="AW170" i="8" s="1"/>
  <c r="AZ96" i="8"/>
  <c r="BA96" i="8"/>
  <c r="BG96" i="8"/>
  <c r="BH96" i="8"/>
  <c r="CM96" i="8" s="1"/>
  <c r="BJ96" i="8"/>
  <c r="BK96" i="8"/>
  <c r="BT100" i="8"/>
  <c r="BU100" i="8"/>
  <c r="BV100" i="8"/>
  <c r="BV96" i="8" s="1"/>
  <c r="BW98" i="8"/>
  <c r="BW96" i="8" s="1"/>
  <c r="BW100" i="8"/>
  <c r="BY101" i="8"/>
  <c r="BY100" i="8" s="1"/>
  <c r="BZ98" i="8"/>
  <c r="BZ101" i="8"/>
  <c r="BZ100" i="8"/>
  <c r="CA101" i="8"/>
  <c r="CA100" i="8" s="1"/>
  <c r="CB98" i="8"/>
  <c r="CB101" i="8"/>
  <c r="CB100" i="8" s="1"/>
  <c r="BE177" i="8"/>
  <c r="BF168" i="8"/>
  <c r="BG168" i="8"/>
  <c r="BG167" i="8" s="1"/>
  <c r="BH168" i="8"/>
  <c r="BH167" i="8" s="1"/>
  <c r="BG175" i="8"/>
  <c r="BH175" i="8"/>
  <c r="BJ175" i="8"/>
  <c r="BJ176" i="8"/>
  <c r="BJ168" i="8"/>
  <c r="BJ167" i="8"/>
  <c r="BK175" i="8"/>
  <c r="BK176" i="8" s="1"/>
  <c r="BK168" i="8"/>
  <c r="BL168" i="8"/>
  <c r="BL100" i="8" s="1"/>
  <c r="BL167" i="8"/>
  <c r="BJ100" i="8"/>
  <c r="BJ122" i="8"/>
  <c r="BK122" i="8"/>
  <c r="BN140" i="8"/>
  <c r="BJ182" i="8"/>
  <c r="BJ184" i="8"/>
  <c r="BJ159" i="8"/>
  <c r="BJ161" i="8"/>
  <c r="BJ162" i="8"/>
  <c r="BK182" i="8"/>
  <c r="BK159" i="8"/>
  <c r="BK162" i="8"/>
  <c r="BL162" i="8"/>
  <c r="BL194" i="8"/>
  <c r="BE122" i="8"/>
  <c r="BJ123" i="8" s="1"/>
  <c r="BF122" i="8"/>
  <c r="BG122" i="8"/>
  <c r="BH122" i="8"/>
  <c r="BE159" i="8"/>
  <c r="BE162" i="8"/>
  <c r="BF159" i="8"/>
  <c r="BF162" i="8"/>
  <c r="BG118" i="8"/>
  <c r="BG162" i="8"/>
  <c r="BH159" i="8"/>
  <c r="BH162" i="8"/>
  <c r="BH194" i="8"/>
  <c r="BI194" i="8" s="1"/>
  <c r="BG194" i="8"/>
  <c r="BF194" i="8"/>
  <c r="BJ101" i="8"/>
  <c r="B102" i="8"/>
  <c r="B104" i="8" s="1"/>
  <c r="C102" i="8"/>
  <c r="C104" i="8" s="1"/>
  <c r="D102" i="8"/>
  <c r="D103" i="8" s="1"/>
  <c r="E102" i="8"/>
  <c r="E103" i="8" s="1"/>
  <c r="F102" i="8"/>
  <c r="BA102" i="8"/>
  <c r="BB102" i="8"/>
  <c r="BC102" i="8"/>
  <c r="CO105" i="8"/>
  <c r="B106" i="8"/>
  <c r="C106" i="8"/>
  <c r="D106" i="8"/>
  <c r="E106" i="8"/>
  <c r="G106" i="8"/>
  <c r="H106" i="8"/>
  <c r="I106" i="8"/>
  <c r="J106" i="8"/>
  <c r="K106" i="8"/>
  <c r="L106" i="8"/>
  <c r="B107" i="8"/>
  <c r="B109" i="8" s="1"/>
  <c r="C107" i="8"/>
  <c r="C109" i="8" s="1"/>
  <c r="D107" i="8"/>
  <c r="D108" i="8" s="1"/>
  <c r="E107" i="8"/>
  <c r="E108" i="8" s="1"/>
  <c r="F107" i="8"/>
  <c r="BA107" i="8"/>
  <c r="BB107" i="8"/>
  <c r="BC107" i="8"/>
  <c r="CO110" i="8"/>
  <c r="B111" i="8"/>
  <c r="C111" i="8"/>
  <c r="D111" i="8"/>
  <c r="E111" i="8"/>
  <c r="G111" i="8"/>
  <c r="H111" i="8"/>
  <c r="I111" i="8"/>
  <c r="J111" i="8"/>
  <c r="K111" i="8"/>
  <c r="L111" i="8"/>
  <c r="AW112" i="8"/>
  <c r="AW114" i="8" s="1"/>
  <c r="AX112" i="8"/>
  <c r="AZ112" i="8"/>
  <c r="BE117" i="8" s="1"/>
  <c r="BA112" i="8"/>
  <c r="BB112" i="8"/>
  <c r="BC112" i="8"/>
  <c r="BI112" i="8"/>
  <c r="BN113" i="8" s="1"/>
  <c r="CP112" i="8"/>
  <c r="CO112" i="8"/>
  <c r="B113" i="8"/>
  <c r="C113" i="8"/>
  <c r="D113" i="8"/>
  <c r="E113" i="8"/>
  <c r="BG113" i="8"/>
  <c r="BJ113" i="8"/>
  <c r="BK113" i="8"/>
  <c r="BL113" i="8"/>
  <c r="AZ114" i="8"/>
  <c r="BA118" i="8"/>
  <c r="BB118" i="8"/>
  <c r="BE114" i="8"/>
  <c r="BF114" i="8"/>
  <c r="BF116" i="8" s="1"/>
  <c r="BH114" i="8"/>
  <c r="BJ114" i="8"/>
  <c r="BK114" i="8"/>
  <c r="BK116" i="8" s="1"/>
  <c r="BJ117" i="8"/>
  <c r="BK117" i="8"/>
  <c r="AW119" i="8"/>
  <c r="BE119" i="8"/>
  <c r="BH119" i="8"/>
  <c r="CM119" i="8" s="1"/>
  <c r="BJ119" i="8"/>
  <c r="BK119" i="8"/>
  <c r="AW120" i="8"/>
  <c r="AW121" i="8" s="1"/>
  <c r="AZ120" i="8"/>
  <c r="BC120" i="8"/>
  <c r="BC121" i="8" s="1"/>
  <c r="BE120" i="8"/>
  <c r="BF120" i="8"/>
  <c r="BF121" i="8" s="1"/>
  <c r="BH120" i="8"/>
  <c r="CM120" i="8" s="1"/>
  <c r="BJ120" i="8"/>
  <c r="BK120" i="8"/>
  <c r="BK121" i="8"/>
  <c r="F122" i="8"/>
  <c r="F123" i="8" s="1"/>
  <c r="G122" i="8"/>
  <c r="G123" i="8" s="1"/>
  <c r="H122" i="8"/>
  <c r="H184" i="8" s="1"/>
  <c r="H185" i="8" s="1"/>
  <c r="I122" i="8"/>
  <c r="I156" i="8" s="1"/>
  <c r="J122" i="8"/>
  <c r="J156" i="8" s="1"/>
  <c r="L122" i="8"/>
  <c r="M122" i="8"/>
  <c r="M184" i="8" s="1"/>
  <c r="N122" i="8"/>
  <c r="N156" i="8" s="1"/>
  <c r="O122" i="8"/>
  <c r="Q122" i="8"/>
  <c r="Q156" i="8" s="1"/>
  <c r="R122" i="8"/>
  <c r="R156" i="8" s="1"/>
  <c r="S122" i="8"/>
  <c r="T122" i="8"/>
  <c r="V122" i="8"/>
  <c r="V184" i="8" s="1"/>
  <c r="W122" i="8"/>
  <c r="W156" i="8" s="1"/>
  <c r="X122" i="8"/>
  <c r="Y122" i="8"/>
  <c r="Y156" i="8" s="1"/>
  <c r="AA122" i="8"/>
  <c r="AA184" i="8" s="1"/>
  <c r="AB122" i="8"/>
  <c r="AC122" i="8"/>
  <c r="AD122" i="8"/>
  <c r="AE122" i="8"/>
  <c r="AE184" i="8" s="1"/>
  <c r="AF122" i="8"/>
  <c r="AF164" i="8" s="1"/>
  <c r="AG122" i="8"/>
  <c r="AH122" i="8"/>
  <c r="AI122" i="8"/>
  <c r="AI164" i="8" s="1"/>
  <c r="AK122" i="8"/>
  <c r="AK156" i="8" s="1"/>
  <c r="AL122" i="8"/>
  <c r="AM122" i="8"/>
  <c r="AN122" i="8"/>
  <c r="AP122" i="8"/>
  <c r="AP156" i="8" s="1"/>
  <c r="AQ122" i="8"/>
  <c r="AQ184" i="8" s="1"/>
  <c r="AR122" i="8"/>
  <c r="AR184" i="8" s="1"/>
  <c r="AS122" i="8"/>
  <c r="AS156" i="8" s="1"/>
  <c r="AU122" i="8"/>
  <c r="AV122" i="8"/>
  <c r="BA122" i="8"/>
  <c r="BA125" i="8" s="1"/>
  <c r="BB122" i="8"/>
  <c r="BC122" i="8"/>
  <c r="BC184" i="8" s="1"/>
  <c r="B123" i="8"/>
  <c r="C123" i="8"/>
  <c r="D123" i="8"/>
  <c r="E123" i="8"/>
  <c r="BG123" i="8"/>
  <c r="BB125" i="8"/>
  <c r="BG125" i="8"/>
  <c r="BH125" i="8"/>
  <c r="BJ125" i="8"/>
  <c r="F182" i="8"/>
  <c r="F153" i="8"/>
  <c r="F171" i="8"/>
  <c r="G171" i="8"/>
  <c r="H171" i="8"/>
  <c r="H172" i="8" s="1"/>
  <c r="I171" i="8"/>
  <c r="J171" i="8"/>
  <c r="J172" i="8" s="1"/>
  <c r="K140" i="8"/>
  <c r="K153" i="8"/>
  <c r="J155" i="8" s="1"/>
  <c r="L171" i="8"/>
  <c r="M171" i="8"/>
  <c r="N171" i="8"/>
  <c r="O182" i="8"/>
  <c r="O171" i="8"/>
  <c r="T172" i="8" s="1"/>
  <c r="P140" i="8"/>
  <c r="P153" i="8"/>
  <c r="Q171" i="8"/>
  <c r="Q184" i="8"/>
  <c r="R171" i="8"/>
  <c r="S171" i="8"/>
  <c r="T171" i="8"/>
  <c r="U140" i="8"/>
  <c r="U153" i="8"/>
  <c r="U171" i="8"/>
  <c r="V171" i="8"/>
  <c r="W171" i="8"/>
  <c r="W172" i="8" s="1"/>
  <c r="X171" i="8"/>
  <c r="Y171" i="8"/>
  <c r="Z140" i="8"/>
  <c r="Z279" i="8" s="1"/>
  <c r="Z153" i="8"/>
  <c r="AA171" i="8"/>
  <c r="AB182" i="8"/>
  <c r="AB171" i="8"/>
  <c r="AB184" i="8"/>
  <c r="AC171" i="8"/>
  <c r="AI163" i="8"/>
  <c r="AE140" i="8"/>
  <c r="AE153" i="8"/>
  <c r="AC155" i="8" s="1"/>
  <c r="AF171" i="8"/>
  <c r="AG182" i="8"/>
  <c r="AG171" i="8"/>
  <c r="AH171" i="8"/>
  <c r="AI171" i="8"/>
  <c r="AJ140" i="8"/>
  <c r="AJ153" i="8"/>
  <c r="AJ162" i="8"/>
  <c r="H11" i="105" s="1"/>
  <c r="AK162" i="8"/>
  <c r="AO162" i="8" s="1"/>
  <c r="AL171" i="8"/>
  <c r="AL173" i="8" s="1"/>
  <c r="AM171" i="8"/>
  <c r="AN171" i="8"/>
  <c r="AO140" i="8"/>
  <c r="AT141" i="8" s="1"/>
  <c r="AO153" i="8"/>
  <c r="AP171" i="8"/>
  <c r="AQ182" i="8"/>
  <c r="AQ162" i="8"/>
  <c r="AQ171" i="8" s="1"/>
  <c r="AR171" i="8"/>
  <c r="AS171" i="8"/>
  <c r="AT140" i="8"/>
  <c r="AT153" i="8"/>
  <c r="AQ155" i="8" s="1"/>
  <c r="AU182" i="8"/>
  <c r="AU171" i="8"/>
  <c r="AU172" i="8" s="1"/>
  <c r="AV162" i="8"/>
  <c r="AW171" i="8"/>
  <c r="AX182" i="8"/>
  <c r="AX171" i="8"/>
  <c r="AY140" i="8"/>
  <c r="AY279" i="8" s="1"/>
  <c r="AY153" i="8"/>
  <c r="AU155" i="8" s="1"/>
  <c r="AZ162" i="8"/>
  <c r="BA184" i="8"/>
  <c r="BA186" i="8"/>
  <c r="BA136" i="8" s="1"/>
  <c r="BA162" i="8"/>
  <c r="BA164" i="8" s="1"/>
  <c r="BB184" i="8"/>
  <c r="BB162" i="8"/>
  <c r="BB194" i="8"/>
  <c r="BD194" i="8" s="1"/>
  <c r="BC160" i="8"/>
  <c r="BC162" i="8"/>
  <c r="BG184" i="8"/>
  <c r="BH184" i="8"/>
  <c r="BO179" i="8"/>
  <c r="BP179" i="8" s="1"/>
  <c r="BQ179" i="8" s="1"/>
  <c r="BR179" i="8" s="1"/>
  <c r="BO161" i="8"/>
  <c r="BS160" i="8"/>
  <c r="CC160" i="8" s="1"/>
  <c r="BA182" i="8"/>
  <c r="BB182" i="8"/>
  <c r="BC182" i="8"/>
  <c r="BE182" i="8"/>
  <c r="BF182" i="8"/>
  <c r="BG182" i="8"/>
  <c r="BH182" i="8"/>
  <c r="BS194" i="8"/>
  <c r="BX194" i="8" s="1"/>
  <c r="CC194" i="8" s="1"/>
  <c r="BD140" i="8"/>
  <c r="BI140" i="8"/>
  <c r="F141" i="8"/>
  <c r="G141" i="8"/>
  <c r="H141" i="8"/>
  <c r="I141" i="8"/>
  <c r="J141" i="8"/>
  <c r="K141" i="8"/>
  <c r="L141" i="8"/>
  <c r="M141" i="8"/>
  <c r="N141" i="8"/>
  <c r="O141" i="8"/>
  <c r="P141" i="8"/>
  <c r="Q141" i="8"/>
  <c r="R141" i="8"/>
  <c r="S141" i="8"/>
  <c r="T141" i="8"/>
  <c r="V141" i="8"/>
  <c r="W141" i="8"/>
  <c r="X141" i="8"/>
  <c r="Y141" i="8"/>
  <c r="Z141" i="8"/>
  <c r="AA141" i="8"/>
  <c r="AB141" i="8"/>
  <c r="AC141" i="8"/>
  <c r="AD141" i="8"/>
  <c r="AE141" i="8"/>
  <c r="AF141" i="8"/>
  <c r="AG141" i="8"/>
  <c r="AH141" i="8"/>
  <c r="AI141" i="8"/>
  <c r="AK141" i="8"/>
  <c r="AL141" i="8"/>
  <c r="AM141" i="8"/>
  <c r="AN141" i="8"/>
  <c r="AP141" i="8"/>
  <c r="AQ141" i="8"/>
  <c r="AR141" i="8"/>
  <c r="AS141" i="8"/>
  <c r="AU141" i="8"/>
  <c r="AV141" i="8"/>
  <c r="AW141" i="8"/>
  <c r="AX141" i="8"/>
  <c r="AZ141" i="8"/>
  <c r="BA141" i="8"/>
  <c r="BB141" i="8"/>
  <c r="BC141" i="8"/>
  <c r="BE141" i="8"/>
  <c r="BF141" i="8"/>
  <c r="BG141" i="8"/>
  <c r="BH141" i="8"/>
  <c r="CM141" i="8" s="1"/>
  <c r="BJ141" i="8"/>
  <c r="BK141" i="8"/>
  <c r="AB142" i="8"/>
  <c r="AP142" i="8"/>
  <c r="AQ142" i="8"/>
  <c r="AX142" i="8"/>
  <c r="BA142" i="8"/>
  <c r="BB142" i="8"/>
  <c r="BC142" i="8"/>
  <c r="BE142" i="8"/>
  <c r="BF142" i="8"/>
  <c r="BG142" i="8"/>
  <c r="BH142" i="8"/>
  <c r="CM142" i="8" s="1"/>
  <c r="BJ142" i="8"/>
  <c r="BK142" i="8"/>
  <c r="G144" i="8"/>
  <c r="H144" i="8"/>
  <c r="I144" i="8"/>
  <c r="J144" i="8"/>
  <c r="K144" i="8" s="1"/>
  <c r="L144" i="8"/>
  <c r="P144" i="8" s="1"/>
  <c r="M144" i="8"/>
  <c r="N144" i="8"/>
  <c r="U144" i="8"/>
  <c r="Z144" i="8"/>
  <c r="AE144" i="8"/>
  <c r="AJ144" i="8"/>
  <c r="AO144" i="8"/>
  <c r="AT144" i="8"/>
  <c r="AY144" i="8"/>
  <c r="AZ144" i="8"/>
  <c r="BA144" i="8"/>
  <c r="BB144" i="8"/>
  <c r="BC144" i="8"/>
  <c r="BI144" i="8"/>
  <c r="F145" i="8"/>
  <c r="K145" i="8"/>
  <c r="P145" i="8"/>
  <c r="U145" i="8"/>
  <c r="Z145" i="8"/>
  <c r="AE145" i="8"/>
  <c r="AJ145" i="8"/>
  <c r="AO145" i="8"/>
  <c r="AT145" i="8"/>
  <c r="AY145" i="8"/>
  <c r="AZ145" i="8"/>
  <c r="BA145" i="8"/>
  <c r="BB145" i="8"/>
  <c r="BC145" i="8"/>
  <c r="BI145" i="8"/>
  <c r="F146" i="8"/>
  <c r="G146" i="8"/>
  <c r="H146" i="8"/>
  <c r="I146" i="8"/>
  <c r="J146" i="8"/>
  <c r="K146" i="8"/>
  <c r="L146" i="8"/>
  <c r="M146" i="8"/>
  <c r="N146" i="8"/>
  <c r="O146" i="8"/>
  <c r="P146" i="8"/>
  <c r="Q146" i="8"/>
  <c r="R146" i="8"/>
  <c r="S146" i="8"/>
  <c r="T146" i="8"/>
  <c r="V146" i="8"/>
  <c r="W146" i="8"/>
  <c r="X146" i="8"/>
  <c r="Y146" i="8"/>
  <c r="AA146" i="8"/>
  <c r="AB146" i="8"/>
  <c r="AC146" i="8"/>
  <c r="AD146" i="8"/>
  <c r="AF146" i="8"/>
  <c r="AG146" i="8"/>
  <c r="AH146" i="8"/>
  <c r="AI146" i="8"/>
  <c r="AK146" i="8"/>
  <c r="AL146" i="8"/>
  <c r="AM146" i="8"/>
  <c r="AN146" i="8"/>
  <c r="AP146" i="8"/>
  <c r="AQ146" i="8"/>
  <c r="AR146" i="8"/>
  <c r="AR152" i="8" s="1"/>
  <c r="AS146" i="8"/>
  <c r="AU146" i="8"/>
  <c r="AV146" i="8"/>
  <c r="AW146" i="8"/>
  <c r="AX146" i="8"/>
  <c r="AZ146" i="8"/>
  <c r="BA146" i="8"/>
  <c r="BB146" i="8"/>
  <c r="BC146" i="8"/>
  <c r="BI146" i="8"/>
  <c r="F147" i="8"/>
  <c r="G147" i="8"/>
  <c r="H147" i="8"/>
  <c r="I147" i="8"/>
  <c r="J147" i="8"/>
  <c r="K147" i="8"/>
  <c r="L147" i="8"/>
  <c r="M147" i="8"/>
  <c r="N147" i="8"/>
  <c r="O147" i="8"/>
  <c r="P147" i="8"/>
  <c r="Q147" i="8"/>
  <c r="R147" i="8"/>
  <c r="S147" i="8"/>
  <c r="T147" i="8"/>
  <c r="U147" i="8"/>
  <c r="V147" i="8"/>
  <c r="W147" i="8"/>
  <c r="X147" i="8"/>
  <c r="Y147" i="8"/>
  <c r="Z147" i="8"/>
  <c r="AA147" i="8"/>
  <c r="AB147" i="8"/>
  <c r="AC147" i="8"/>
  <c r="AD147" i="8"/>
  <c r="AE147" i="8"/>
  <c r="AF147" i="8"/>
  <c r="AG147" i="8"/>
  <c r="AH147" i="8"/>
  <c r="AI147" i="8"/>
  <c r="AJ147" i="8"/>
  <c r="AK147" i="8"/>
  <c r="AL147" i="8"/>
  <c r="AM147" i="8"/>
  <c r="AN147" i="8"/>
  <c r="AO147" i="8"/>
  <c r="AP147" i="8"/>
  <c r="AQ147" i="8"/>
  <c r="AQ152" i="8" s="1"/>
  <c r="AR147" i="8"/>
  <c r="AS147" i="8"/>
  <c r="AU147" i="8"/>
  <c r="AV147" i="8"/>
  <c r="AW147" i="8"/>
  <c r="AX147" i="8"/>
  <c r="AZ147" i="8"/>
  <c r="BA147" i="8"/>
  <c r="BB147" i="8"/>
  <c r="BC147" i="8"/>
  <c r="BA148" i="8"/>
  <c r="BC148" i="8"/>
  <c r="BI148" i="8"/>
  <c r="BA149" i="8"/>
  <c r="BB149" i="8"/>
  <c r="BC149" i="8"/>
  <c r="BI149" i="8"/>
  <c r="BA150" i="8"/>
  <c r="BB150" i="8"/>
  <c r="BC150" i="8"/>
  <c r="BI150" i="8"/>
  <c r="BC151" i="8"/>
  <c r="BD151" i="8" s="1"/>
  <c r="BI151" i="8"/>
  <c r="L152" i="8"/>
  <c r="F154" i="8"/>
  <c r="L154" i="8"/>
  <c r="M154" i="8"/>
  <c r="N154" i="8"/>
  <c r="O154" i="8"/>
  <c r="P154" i="8"/>
  <c r="Q154" i="8"/>
  <c r="R154" i="8"/>
  <c r="S154" i="8"/>
  <c r="T154" i="8"/>
  <c r="U154" i="8"/>
  <c r="V154" i="8"/>
  <c r="W154" i="8"/>
  <c r="X154" i="8"/>
  <c r="Y154" i="8"/>
  <c r="AA154" i="8"/>
  <c r="AB154" i="8"/>
  <c r="AC154" i="8"/>
  <c r="AD154" i="8"/>
  <c r="AF154" i="8"/>
  <c r="AG154" i="8"/>
  <c r="AH154" i="8"/>
  <c r="AI154" i="8"/>
  <c r="AK154" i="8"/>
  <c r="AL154" i="8"/>
  <c r="AM154" i="8"/>
  <c r="AN154" i="8"/>
  <c r="AP154" i="8"/>
  <c r="AQ154" i="8"/>
  <c r="AR154" i="8"/>
  <c r="AS154" i="8"/>
  <c r="AU154" i="8"/>
  <c r="AV154" i="8"/>
  <c r="AW154" i="8"/>
  <c r="AX154" i="8"/>
  <c r="AZ154" i="8"/>
  <c r="BA154" i="8"/>
  <c r="G155" i="8"/>
  <c r="H155" i="8"/>
  <c r="I155" i="8"/>
  <c r="O155" i="8"/>
  <c r="Q155" i="8"/>
  <c r="R155" i="8"/>
  <c r="S155" i="8"/>
  <c r="T155" i="8"/>
  <c r="AI155" i="8"/>
  <c r="AK155" i="8"/>
  <c r="AL155" i="8"/>
  <c r="AM155" i="8"/>
  <c r="AB156" i="8"/>
  <c r="BA156" i="8"/>
  <c r="AV160" i="8"/>
  <c r="AV157" i="8"/>
  <c r="AY159" i="8"/>
  <c r="AZ159" i="8"/>
  <c r="C160" i="8"/>
  <c r="F160" i="8" s="1"/>
  <c r="D160" i="8"/>
  <c r="E160" i="8"/>
  <c r="J160" i="8"/>
  <c r="K160" i="8" s="1"/>
  <c r="L160" i="8"/>
  <c r="P160" i="8"/>
  <c r="U160" i="8"/>
  <c r="Z160" i="8"/>
  <c r="AE160" i="8"/>
  <c r="AJ160" i="8"/>
  <c r="AO160" i="8"/>
  <c r="AT160" i="8"/>
  <c r="AU160" i="8"/>
  <c r="AX160" i="8"/>
  <c r="AY160" i="8" s="1"/>
  <c r="BA160" i="8"/>
  <c r="BI160" i="8"/>
  <c r="BD161" i="8"/>
  <c r="BI161" i="8"/>
  <c r="F163" i="8"/>
  <c r="K163" i="8"/>
  <c r="P163" i="8"/>
  <c r="U163" i="8"/>
  <c r="V163" i="8"/>
  <c r="W163" i="8"/>
  <c r="X163" i="8"/>
  <c r="Y163" i="8"/>
  <c r="AA163" i="8"/>
  <c r="AB163" i="8"/>
  <c r="AF163" i="8"/>
  <c r="AL163" i="8"/>
  <c r="AM163" i="8"/>
  <c r="AN163" i="8"/>
  <c r="AQ163" i="8"/>
  <c r="AR163" i="8"/>
  <c r="AS163" i="8"/>
  <c r="AU163" i="8"/>
  <c r="AW163" i="8"/>
  <c r="AX163" i="8"/>
  <c r="AZ163" i="8"/>
  <c r="BB163" i="8"/>
  <c r="BG163" i="8"/>
  <c r="BJ163" i="8"/>
  <c r="V164" i="8"/>
  <c r="W164" i="8"/>
  <c r="X164" i="8"/>
  <c r="Y164" i="8"/>
  <c r="BG164" i="8"/>
  <c r="F165" i="8"/>
  <c r="AA165" i="8"/>
  <c r="AB165" i="8"/>
  <c r="AF165" i="8"/>
  <c r="AG165" i="8"/>
  <c r="AH165" i="8"/>
  <c r="AI165" i="8"/>
  <c r="AL165" i="8"/>
  <c r="AM165" i="8"/>
  <c r="AN165" i="8"/>
  <c r="AP165" i="8"/>
  <c r="AQ165" i="8"/>
  <c r="AR165" i="8"/>
  <c r="AS165" i="8"/>
  <c r="AU165" i="8"/>
  <c r="AW165" i="8"/>
  <c r="AX165" i="8"/>
  <c r="BB165" i="8"/>
  <c r="BE165" i="8"/>
  <c r="BJ165" i="8"/>
  <c r="BL165" i="8"/>
  <c r="BP239" i="8"/>
  <c r="BQ239" i="8" s="1"/>
  <c r="BX251" i="8"/>
  <c r="BX252" i="8" s="1"/>
  <c r="BI166" i="8"/>
  <c r="CP166" i="8"/>
  <c r="CO166" i="8"/>
  <c r="BA167" i="8"/>
  <c r="BB167" i="8"/>
  <c r="BC167" i="8"/>
  <c r="BI169" i="8"/>
  <c r="CP169" i="8"/>
  <c r="CO169" i="8"/>
  <c r="AU170" i="8"/>
  <c r="AX170" i="8"/>
  <c r="BI170" i="8"/>
  <c r="G172" i="8"/>
  <c r="I172" i="8"/>
  <c r="V172" i="8"/>
  <c r="AL172" i="8"/>
  <c r="AZ175" i="8"/>
  <c r="BA175" i="8"/>
  <c r="BC178" i="8"/>
  <c r="BE178" i="8"/>
  <c r="BF178" i="8"/>
  <c r="BH178" i="8"/>
  <c r="CM178" i="8" s="1"/>
  <c r="BJ178" i="8"/>
  <c r="BK178" i="8"/>
  <c r="BI179" i="8"/>
  <c r="CO179" i="8"/>
  <c r="CP179" i="8"/>
  <c r="BH183" i="8"/>
  <c r="CM183" i="8" s="1"/>
  <c r="BS189" i="8"/>
  <c r="K190" i="8"/>
  <c r="P190" i="8"/>
  <c r="U190" i="8"/>
  <c r="Z190" i="8"/>
  <c r="AE190" i="8"/>
  <c r="AJ190" i="8"/>
  <c r="AO190" i="8"/>
  <c r="AT190" i="8"/>
  <c r="AY190" i="8"/>
  <c r="BC190" i="8"/>
  <c r="BD190" i="8"/>
  <c r="BI190" i="8"/>
  <c r="BI193" i="8" s="1"/>
  <c r="BS190" i="8"/>
  <c r="BO277" i="8"/>
  <c r="BJ255" i="8"/>
  <c r="BK255" i="8"/>
  <c r="BK258" i="8" s="1"/>
  <c r="BI284" i="8"/>
  <c r="BP255" i="8"/>
  <c r="AO192" i="8"/>
  <c r="BD284" i="8"/>
  <c r="BI192" i="8"/>
  <c r="K194" i="8"/>
  <c r="P194" i="8"/>
  <c r="U194" i="8"/>
  <c r="Z194" i="8"/>
  <c r="AE194" i="8"/>
  <c r="AJ194" i="8"/>
  <c r="AO194" i="8"/>
  <c r="AT194" i="8"/>
  <c r="AY194" i="8"/>
  <c r="K198" i="8"/>
  <c r="P198" i="8"/>
  <c r="U198" i="8"/>
  <c r="Z198" i="8"/>
  <c r="AE198" i="8"/>
  <c r="AJ198" i="8"/>
  <c r="AO198" i="8"/>
  <c r="AT198" i="8"/>
  <c r="AY198" i="8"/>
  <c r="BB198" i="8"/>
  <c r="BC198" i="8"/>
  <c r="BI198" i="8"/>
  <c r="BP197" i="8"/>
  <c r="BQ197" i="8" s="1"/>
  <c r="BQ223" i="8" s="1"/>
  <c r="K200" i="8"/>
  <c r="P200" i="8"/>
  <c r="U200" i="8"/>
  <c r="Z200" i="8"/>
  <c r="AE200" i="8"/>
  <c r="AJ200" i="8"/>
  <c r="AO200" i="8"/>
  <c r="AT200" i="8"/>
  <c r="AY200" i="8"/>
  <c r="BD200" i="8"/>
  <c r="BI200" i="8"/>
  <c r="BJ200" i="8"/>
  <c r="BN200" i="8" s="1"/>
  <c r="CP200" i="8"/>
  <c r="BB201" i="8"/>
  <c r="BC201" i="8"/>
  <c r="BD201" i="8" s="1"/>
  <c r="BE201" i="8"/>
  <c r="BI201" i="8" s="1"/>
  <c r="BF201" i="8"/>
  <c r="BG201" i="8"/>
  <c r="BH201" i="8"/>
  <c r="BK201" i="8"/>
  <c r="BL201" i="8"/>
  <c r="BP201" i="8"/>
  <c r="BQ201" i="8" s="1"/>
  <c r="BR201" i="8" s="1"/>
  <c r="K216" i="8"/>
  <c r="P216" i="8"/>
  <c r="U216" i="8"/>
  <c r="Z216" i="8"/>
  <c r="AE216" i="8"/>
  <c r="AJ216" i="8"/>
  <c r="AO216" i="8"/>
  <c r="AT216" i="8"/>
  <c r="AY216" i="8"/>
  <c r="BD216" i="8"/>
  <c r="BI216" i="8"/>
  <c r="BL211" i="8"/>
  <c r="BO211" i="8" s="1"/>
  <c r="BP211" i="8" s="1"/>
  <c r="BQ211" i="8" s="1"/>
  <c r="BR211" i="8" s="1"/>
  <c r="K210" i="8"/>
  <c r="K308" i="8" s="1"/>
  <c r="L218" i="8" s="1"/>
  <c r="P210" i="8"/>
  <c r="U210" i="8"/>
  <c r="Z210" i="8"/>
  <c r="AE210" i="8"/>
  <c r="AE308" i="8" s="1"/>
  <c r="AJ210" i="8"/>
  <c r="AO210" i="8"/>
  <c r="AT210" i="8"/>
  <c r="AY210" i="8"/>
  <c r="AY218" i="8" s="1"/>
  <c r="BD210" i="8"/>
  <c r="BD308" i="8" s="1"/>
  <c r="BI210" i="8"/>
  <c r="BN218" i="8" s="1"/>
  <c r="BK239" i="8"/>
  <c r="BL239" i="8" s="1"/>
  <c r="CO207" i="8"/>
  <c r="CP210" i="8"/>
  <c r="CO210" i="8"/>
  <c r="F211" i="8"/>
  <c r="G211" i="8"/>
  <c r="H211" i="8"/>
  <c r="I211" i="8"/>
  <c r="J211" i="8"/>
  <c r="K211" i="8"/>
  <c r="L211" i="8"/>
  <c r="M211" i="8"/>
  <c r="N211" i="8"/>
  <c r="O211" i="8"/>
  <c r="Q211" i="8"/>
  <c r="R211" i="8"/>
  <c r="S211" i="8"/>
  <c r="T211" i="8"/>
  <c r="V211" i="8"/>
  <c r="W211" i="8"/>
  <c r="X211" i="8"/>
  <c r="Y211" i="8"/>
  <c r="AA211" i="8"/>
  <c r="AB211" i="8"/>
  <c r="AC211" i="8"/>
  <c r="AD211" i="8"/>
  <c r="AF211" i="8"/>
  <c r="AG211" i="8"/>
  <c r="AH211" i="8"/>
  <c r="AI211" i="8"/>
  <c r="AJ211" i="8"/>
  <c r="AK211" i="8"/>
  <c r="AL211" i="8"/>
  <c r="AM211" i="8"/>
  <c r="AN211" i="8"/>
  <c r="AP211" i="8"/>
  <c r="AQ211" i="8"/>
  <c r="AR211" i="8"/>
  <c r="AS211" i="8"/>
  <c r="AU211" i="8"/>
  <c r="AV211" i="8"/>
  <c r="AW211" i="8"/>
  <c r="AX211" i="8"/>
  <c r="AZ211" i="8"/>
  <c r="BA211" i="8"/>
  <c r="BB211" i="8"/>
  <c r="BC211" i="8"/>
  <c r="BE211" i="8"/>
  <c r="BF211" i="8"/>
  <c r="BG211" i="8"/>
  <c r="BH211" i="8"/>
  <c r="CM211" i="8" s="1"/>
  <c r="BJ211" i="8"/>
  <c r="BK211" i="8"/>
  <c r="CP211" i="8"/>
  <c r="CO211" i="8"/>
  <c r="AO212" i="8"/>
  <c r="AT212" i="8"/>
  <c r="AY212" i="8"/>
  <c r="BD212" i="8"/>
  <c r="BI212" i="8"/>
  <c r="BJ212" i="8"/>
  <c r="CP212" i="8"/>
  <c r="CO212" i="8"/>
  <c r="AY213" i="8"/>
  <c r="BD213" i="8"/>
  <c r="BI213" i="8"/>
  <c r="BK213" i="8"/>
  <c r="AK214" i="8"/>
  <c r="AM214" i="8"/>
  <c r="AP214" i="8"/>
  <c r="AQ214" i="8"/>
  <c r="AR214" i="8"/>
  <c r="AY214" i="8"/>
  <c r="BD214" i="8"/>
  <c r="BI214" i="8"/>
  <c r="BK214" i="8"/>
  <c r="BN214" i="8" s="1"/>
  <c r="BO214" i="8" s="1"/>
  <c r="AK215" i="8"/>
  <c r="AM215" i="8"/>
  <c r="AN215" i="8"/>
  <c r="AO215" i="8"/>
  <c r="AP215" i="8"/>
  <c r="AQ215" i="8"/>
  <c r="AR215" i="8"/>
  <c r="AS215" i="8"/>
  <c r="AU215" i="8"/>
  <c r="AU217" i="8" s="1"/>
  <c r="AV215" i="8"/>
  <c r="AV217" i="8" s="1"/>
  <c r="AW215" i="8"/>
  <c r="AW217" i="8" s="1"/>
  <c r="AX215" i="8"/>
  <c r="AX217" i="8" s="1"/>
  <c r="AY215" i="8"/>
  <c r="AZ215" i="8"/>
  <c r="BA215" i="8"/>
  <c r="BB215" i="8"/>
  <c r="BC215" i="8"/>
  <c r="BC217" i="8" s="1"/>
  <c r="BD215" i="8"/>
  <c r="BE215" i="8"/>
  <c r="BE217" i="8" s="1"/>
  <c r="BI215" i="8"/>
  <c r="BO215" i="8"/>
  <c r="CO215" i="8"/>
  <c r="CP215" i="8"/>
  <c r="AZ217" i="8"/>
  <c r="BA217" i="8"/>
  <c r="BB217" i="8"/>
  <c r="BF217" i="8"/>
  <c r="BG217" i="8"/>
  <c r="BH217" i="8"/>
  <c r="CM217" i="8" s="1"/>
  <c r="CO217" i="8" s="1"/>
  <c r="BL217" i="8"/>
  <c r="BT217" i="8"/>
  <c r="BU217" i="8"/>
  <c r="BV217" i="8"/>
  <c r="BW217" i="8"/>
  <c r="BY217" i="8"/>
  <c r="BZ217" i="8"/>
  <c r="CA217" i="8"/>
  <c r="CB217" i="8"/>
  <c r="B218" i="8"/>
  <c r="C218" i="8"/>
  <c r="D218" i="8"/>
  <c r="E218" i="8"/>
  <c r="F308" i="8"/>
  <c r="G218" i="8" s="1"/>
  <c r="H218" i="8"/>
  <c r="I218" i="8"/>
  <c r="J218" i="8"/>
  <c r="M218" i="8"/>
  <c r="N218" i="8"/>
  <c r="O218" i="8"/>
  <c r="R218" i="8"/>
  <c r="S218" i="8"/>
  <c r="T218" i="8"/>
  <c r="W218" i="8"/>
  <c r="X218" i="8"/>
  <c r="Y218" i="8"/>
  <c r="AB218" i="8"/>
  <c r="AC218" i="8"/>
  <c r="AD218" i="8"/>
  <c r="AF218" i="8"/>
  <c r="AG218" i="8"/>
  <c r="AH218" i="8"/>
  <c r="AI218" i="8"/>
  <c r="AK218" i="8"/>
  <c r="AL218" i="8"/>
  <c r="AM218" i="8"/>
  <c r="AN218" i="8"/>
  <c r="AP218" i="8"/>
  <c r="AQ218" i="8"/>
  <c r="AR218" i="8"/>
  <c r="AS218" i="8"/>
  <c r="AU218" i="8"/>
  <c r="AV218" i="8"/>
  <c r="AW218" i="8"/>
  <c r="AX218" i="8"/>
  <c r="AZ218" i="8"/>
  <c r="BA218" i="8"/>
  <c r="BB218" i="8"/>
  <c r="BC218" i="8"/>
  <c r="BE218" i="8"/>
  <c r="BF218" i="8"/>
  <c r="BG218" i="8"/>
  <c r="BH218" i="8"/>
  <c r="CM218" i="8" s="1"/>
  <c r="BJ218" i="8"/>
  <c r="BK218" i="8"/>
  <c r="BL218" i="8"/>
  <c r="CP218" i="8"/>
  <c r="AJ219" i="8"/>
  <c r="AJ220" i="8" s="1"/>
  <c r="AO219" i="8"/>
  <c r="AT219" i="8"/>
  <c r="AY219" i="8"/>
  <c r="BD219" i="8"/>
  <c r="BI219" i="8"/>
  <c r="BN220" i="8" s="1"/>
  <c r="D220" i="8"/>
  <c r="F220" i="8"/>
  <c r="H220" i="8"/>
  <c r="I220" i="8"/>
  <c r="J220" i="8"/>
  <c r="K220" i="8"/>
  <c r="L220" i="8"/>
  <c r="M220" i="8"/>
  <c r="N220" i="8"/>
  <c r="O220" i="8"/>
  <c r="P220" i="8"/>
  <c r="Q220" i="8"/>
  <c r="R220" i="8"/>
  <c r="S220" i="8"/>
  <c r="T220" i="8"/>
  <c r="U220" i="8"/>
  <c r="V220" i="8"/>
  <c r="W220" i="8"/>
  <c r="X220" i="8"/>
  <c r="Y220" i="8"/>
  <c r="Z220" i="8"/>
  <c r="AA220" i="8"/>
  <c r="AB220" i="8"/>
  <c r="AC220" i="8"/>
  <c r="AD220" i="8"/>
  <c r="AE220" i="8"/>
  <c r="AF220" i="8"/>
  <c r="AG220" i="8"/>
  <c r="AH220" i="8"/>
  <c r="AI220" i="8"/>
  <c r="AK220" i="8"/>
  <c r="AL220" i="8"/>
  <c r="AM220" i="8"/>
  <c r="AN220" i="8"/>
  <c r="AO220" i="8"/>
  <c r="AP220" i="8"/>
  <c r="AQ220" i="8"/>
  <c r="AR220" i="8"/>
  <c r="AS220" i="8"/>
  <c r="AU220" i="8"/>
  <c r="AV220" i="8"/>
  <c r="AW220" i="8"/>
  <c r="AX220" i="8"/>
  <c r="AY220" i="8"/>
  <c r="AZ220" i="8"/>
  <c r="BA220" i="8"/>
  <c r="BB220" i="8"/>
  <c r="BC220" i="8"/>
  <c r="BE220" i="8"/>
  <c r="BF220" i="8"/>
  <c r="BG220" i="8"/>
  <c r="BH220" i="8"/>
  <c r="CM220" i="8" s="1"/>
  <c r="BJ220" i="8"/>
  <c r="BK220" i="8"/>
  <c r="BL220" i="8"/>
  <c r="K222" i="8"/>
  <c r="P222" i="8"/>
  <c r="U222" i="8"/>
  <c r="Z222" i="8"/>
  <c r="AE222" i="8"/>
  <c r="AJ222" i="8"/>
  <c r="AO222" i="8"/>
  <c r="AT222" i="8"/>
  <c r="AY222" i="8"/>
  <c r="BA222" i="8"/>
  <c r="BS222" i="8"/>
  <c r="T223" i="8"/>
  <c r="T225" i="8" s="1"/>
  <c r="BA223" i="8"/>
  <c r="BA225" i="8" s="1"/>
  <c r="BO223" i="8"/>
  <c r="CP224" i="8"/>
  <c r="CO224" i="8"/>
  <c r="Q225" i="8"/>
  <c r="R225" i="8"/>
  <c r="S225" i="8"/>
  <c r="V225" i="8"/>
  <c r="W225" i="8"/>
  <c r="X225" i="8"/>
  <c r="AL225" i="8"/>
  <c r="BB226" i="8"/>
  <c r="BC226" i="8"/>
  <c r="BE226" i="8"/>
  <c r="BF226" i="8"/>
  <c r="BG226" i="8"/>
  <c r="BH226" i="8"/>
  <c r="BJ226" i="8"/>
  <c r="BJ227" i="8" s="1"/>
  <c r="BK226" i="8"/>
  <c r="BK227" i="8" s="1"/>
  <c r="BL226" i="8"/>
  <c r="BL227" i="8" s="1"/>
  <c r="CP226" i="8"/>
  <c r="B227" i="8"/>
  <c r="C227" i="8"/>
  <c r="D227" i="8"/>
  <c r="E227" i="8"/>
  <c r="CU228" i="8"/>
  <c r="CV228" i="8" s="1"/>
  <c r="CW228" i="8" s="1"/>
  <c r="F229" i="8"/>
  <c r="K229" i="8"/>
  <c r="P229" i="8"/>
  <c r="U229" i="8"/>
  <c r="Z229" i="8"/>
  <c r="AE229" i="8"/>
  <c r="AJ229" i="8"/>
  <c r="AO229" i="8"/>
  <c r="AT229" i="8"/>
  <c r="AY229" i="8"/>
  <c r="BD229" i="8"/>
  <c r="BI229" i="8"/>
  <c r="BS229" i="8"/>
  <c r="CO229" i="8"/>
  <c r="CP229" i="8"/>
  <c r="CU229" i="8"/>
  <c r="CV229" i="8" s="1"/>
  <c r="CW229" i="8" s="1"/>
  <c r="G230" i="8"/>
  <c r="H230" i="8"/>
  <c r="I230" i="8"/>
  <c r="J230" i="8"/>
  <c r="L230" i="8"/>
  <c r="M230" i="8"/>
  <c r="N230" i="8"/>
  <c r="O230" i="8"/>
  <c r="Q230" i="8"/>
  <c r="R230" i="8"/>
  <c r="S230" i="8"/>
  <c r="T230" i="8"/>
  <c r="V230" i="8"/>
  <c r="W230" i="8"/>
  <c r="X230" i="8"/>
  <c r="Y230" i="8"/>
  <c r="AA230" i="8"/>
  <c r="AB230" i="8"/>
  <c r="AC230" i="8"/>
  <c r="AD230" i="8"/>
  <c r="AF230" i="8"/>
  <c r="AG230" i="8"/>
  <c r="AH230" i="8"/>
  <c r="AI230" i="8"/>
  <c r="AM230" i="8"/>
  <c r="AN230" i="8"/>
  <c r="AR230" i="8"/>
  <c r="AS230" i="8"/>
  <c r="AW230" i="8"/>
  <c r="AX230" i="8"/>
  <c r="BC230" i="8"/>
  <c r="BH230" i="8"/>
  <c r="CC230" i="8"/>
  <c r="CV230" i="8"/>
  <c r="CW230" i="8" s="1"/>
  <c r="BK242" i="8"/>
  <c r="BL242" i="8" s="1"/>
  <c r="CW231" i="8"/>
  <c r="AL233" i="8"/>
  <c r="AM233" i="8" s="1"/>
  <c r="AQ233" i="8"/>
  <c r="AV233" i="8"/>
  <c r="AW233" i="8" s="1"/>
  <c r="BA233" i="8"/>
  <c r="BB233" i="8" s="1"/>
  <c r="BC233" i="8" s="1"/>
  <c r="BF233" i="8"/>
  <c r="BK233" i="8"/>
  <c r="BL233" i="8" s="1"/>
  <c r="AL234" i="8"/>
  <c r="AM234" i="8" s="1"/>
  <c r="AQ234" i="8"/>
  <c r="AR234" i="8" s="1"/>
  <c r="AS234" i="8" s="1"/>
  <c r="AV234" i="8"/>
  <c r="AW234" i="8" s="1"/>
  <c r="AX234" i="8" s="1"/>
  <c r="BA234" i="8"/>
  <c r="BB234" i="8" s="1"/>
  <c r="BF234" i="8"/>
  <c r="BG234" i="8" s="1"/>
  <c r="BJ234" i="8"/>
  <c r="F235" i="8"/>
  <c r="K235" i="8"/>
  <c r="P235" i="8"/>
  <c r="U235" i="8"/>
  <c r="Z235" i="8"/>
  <c r="F14" i="105" s="1"/>
  <c r="AE235" i="8"/>
  <c r="G14" i="105" s="1"/>
  <c r="AJ235" i="8"/>
  <c r="H14" i="105" s="1"/>
  <c r="AK235" i="8"/>
  <c r="AL238" i="8"/>
  <c r="AP235" i="8"/>
  <c r="AQ238" i="8"/>
  <c r="AR238" i="8" s="1"/>
  <c r="AT235" i="8"/>
  <c r="J14" i="105" s="1"/>
  <c r="AU235" i="8"/>
  <c r="AV238" i="8"/>
  <c r="AV235" i="8"/>
  <c r="AW238" i="8"/>
  <c r="AX238" i="8" s="1"/>
  <c r="AY235" i="8"/>
  <c r="K14" i="105" s="1"/>
  <c r="AZ235" i="8"/>
  <c r="BA238" i="8"/>
  <c r="BB238" i="8" s="1"/>
  <c r="BB235" i="8" s="1"/>
  <c r="BD235" i="8"/>
  <c r="L14" i="105" s="1"/>
  <c r="BE235" i="8"/>
  <c r="BF238" i="8"/>
  <c r="BG238" i="8" s="1"/>
  <c r="BI235" i="8"/>
  <c r="M14" i="105" s="1"/>
  <c r="BK238" i="8"/>
  <c r="BL238" i="8"/>
  <c r="BK261" i="8"/>
  <c r="BL261" i="8" s="1"/>
  <c r="F260" i="8"/>
  <c r="F263" i="8"/>
  <c r="K262" i="8" s="1"/>
  <c r="K260" i="8"/>
  <c r="P260" i="8"/>
  <c r="U260" i="8"/>
  <c r="Z260" i="8"/>
  <c r="AE260" i="8"/>
  <c r="AJ260" i="8"/>
  <c r="AO260" i="8"/>
  <c r="AT260" i="8"/>
  <c r="AY260" i="8"/>
  <c r="BD260" i="8"/>
  <c r="BI260" i="8"/>
  <c r="BJ260" i="8"/>
  <c r="BK253" i="8"/>
  <c r="BL253" i="8" s="1"/>
  <c r="BK259" i="8"/>
  <c r="BL259" i="8"/>
  <c r="BL280" i="8"/>
  <c r="BD237" i="8"/>
  <c r="AL239" i="8"/>
  <c r="AM239" i="8" s="1"/>
  <c r="AQ239" i="8"/>
  <c r="AR239" i="8" s="1"/>
  <c r="AV239" i="8"/>
  <c r="AV244" i="8" s="1"/>
  <c r="BA239" i="8"/>
  <c r="BB239" i="8" s="1"/>
  <c r="BF239" i="8"/>
  <c r="BG239" i="8" s="1"/>
  <c r="BH239" i="8" s="1"/>
  <c r="K241" i="8"/>
  <c r="P241" i="8"/>
  <c r="U241" i="8"/>
  <c r="Z241" i="8"/>
  <c r="AE241" i="8"/>
  <c r="AJ241" i="8"/>
  <c r="AO241" i="8"/>
  <c r="AT241" i="8"/>
  <c r="AY241" i="8"/>
  <c r="BD241" i="8"/>
  <c r="BI241" i="8"/>
  <c r="BA242" i="8"/>
  <c r="BB242" i="8"/>
  <c r="BC242" i="8" s="1"/>
  <c r="BF242" i="8"/>
  <c r="BS242" i="8"/>
  <c r="Z243" i="8"/>
  <c r="F15" i="105" s="1"/>
  <c r="AE243" i="8"/>
  <c r="G15" i="105" s="1"/>
  <c r="AJ243" i="8"/>
  <c r="H15" i="105" s="1"/>
  <c r="AO243" i="8"/>
  <c r="I15" i="105" s="1"/>
  <c r="AT243" i="8"/>
  <c r="J15" i="105" s="1"/>
  <c r="AY243" i="8"/>
  <c r="K15" i="105" s="1"/>
  <c r="AZ243" i="8"/>
  <c r="BD243" i="8"/>
  <c r="L15" i="105" s="1"/>
  <c r="BE243" i="8"/>
  <c r="BI243" i="8"/>
  <c r="M15" i="105" s="1"/>
  <c r="BJ243" i="8"/>
  <c r="BO243" i="8"/>
  <c r="BP243" i="8"/>
  <c r="BT243" i="8"/>
  <c r="BU243" i="8"/>
  <c r="BV243" i="8"/>
  <c r="BW243" i="8"/>
  <c r="BY243" i="8"/>
  <c r="BZ243" i="8"/>
  <c r="CA243" i="8"/>
  <c r="CB243" i="8"/>
  <c r="F244" i="8"/>
  <c r="K244" i="8"/>
  <c r="P244" i="8"/>
  <c r="U244" i="8"/>
  <c r="Z244" i="8"/>
  <c r="AE244" i="8"/>
  <c r="AJ244" i="8"/>
  <c r="AK244" i="8"/>
  <c r="AO244" i="8"/>
  <c r="AP244" i="8"/>
  <c r="AQ244" i="8"/>
  <c r="AT244" i="8"/>
  <c r="AU244" i="8"/>
  <c r="AY244" i="8"/>
  <c r="AZ244" i="8"/>
  <c r="BD244" i="8"/>
  <c r="BE244" i="8"/>
  <c r="BI244" i="8"/>
  <c r="BJ244" i="8"/>
  <c r="F246" i="8"/>
  <c r="K246" i="8"/>
  <c r="P246" i="8"/>
  <c r="U246" i="8"/>
  <c r="Z246" i="8"/>
  <c r="AE246" i="8"/>
  <c r="AJ246" i="8"/>
  <c r="AK246" i="8"/>
  <c r="AL253" i="8"/>
  <c r="AM253" i="8" s="1"/>
  <c r="AM246" i="8" s="1"/>
  <c r="AO246" i="8"/>
  <c r="AP246" i="8"/>
  <c r="AQ253" i="8"/>
  <c r="AT246" i="8"/>
  <c r="AU246" i="8"/>
  <c r="AV253" i="8"/>
  <c r="AW253" i="8" s="1"/>
  <c r="AY246" i="8"/>
  <c r="AZ246" i="8"/>
  <c r="BA253" i="8"/>
  <c r="BA246" i="8" s="1"/>
  <c r="BD246" i="8"/>
  <c r="BE246" i="8"/>
  <c r="BF253" i="8"/>
  <c r="BF246" i="8" s="1"/>
  <c r="BI246" i="8"/>
  <c r="BJ246" i="8"/>
  <c r="BS246" i="8"/>
  <c r="BS251" i="8" s="1"/>
  <c r="BX248" i="8"/>
  <c r="BX250" i="8"/>
  <c r="CC250" i="8" s="1"/>
  <c r="CC251" i="8"/>
  <c r="CC252" i="8" s="1"/>
  <c r="BO253" i="8"/>
  <c r="BP253" i="8"/>
  <c r="BG254" i="8"/>
  <c r="BL254" i="8"/>
  <c r="BS254" i="8"/>
  <c r="F255" i="8"/>
  <c r="F258" i="8" s="1"/>
  <c r="AE255" i="8"/>
  <c r="AE258" i="8" s="1"/>
  <c r="AL255" i="8"/>
  <c r="AM255" i="8"/>
  <c r="AO255" i="8"/>
  <c r="AP255" i="8"/>
  <c r="AQ255" i="8"/>
  <c r="AR255" i="8"/>
  <c r="AS255" i="8" s="1"/>
  <c r="AU255" i="8"/>
  <c r="AY255" i="8"/>
  <c r="AZ255" i="8"/>
  <c r="AZ258" i="8" s="1"/>
  <c r="BD255" i="8"/>
  <c r="BE255" i="8"/>
  <c r="BF255" i="8" s="1"/>
  <c r="BG255" i="8" s="1"/>
  <c r="BI255" i="8"/>
  <c r="BI258" i="8" s="1"/>
  <c r="BB256" i="8"/>
  <c r="BC256" i="8" s="1"/>
  <c r="BG256" i="8"/>
  <c r="BH256" i="8" s="1"/>
  <c r="BL256" i="8"/>
  <c r="BS256" i="8"/>
  <c r="F257" i="8"/>
  <c r="AL257" i="8"/>
  <c r="AM257" i="8" s="1"/>
  <c r="AP257" i="8"/>
  <c r="AR257" i="8"/>
  <c r="AT257" i="8"/>
  <c r="AS257" i="8"/>
  <c r="AV257" i="8"/>
  <c r="AY257" i="8"/>
  <c r="BA257" i="8"/>
  <c r="BD257" i="8"/>
  <c r="BG257" i="8"/>
  <c r="BH257" i="8"/>
  <c r="BJ257" i="8"/>
  <c r="BL257" i="8" s="1"/>
  <c r="BS257" i="8"/>
  <c r="K258" i="8"/>
  <c r="P258" i="8"/>
  <c r="U258" i="8"/>
  <c r="Z258" i="8"/>
  <c r="AJ258" i="8"/>
  <c r="AK258" i="8"/>
  <c r="AL259" i="8"/>
  <c r="AM259" i="8" s="1"/>
  <c r="AO258" i="8"/>
  <c r="AP258" i="8"/>
  <c r="AQ259" i="8"/>
  <c r="AV259" i="8"/>
  <c r="AW259" i="8" s="1"/>
  <c r="AY258" i="8"/>
  <c r="BA259" i="8"/>
  <c r="BE258" i="8"/>
  <c r="BF259" i="8"/>
  <c r="BG259" i="8" s="1"/>
  <c r="BF258" i="8"/>
  <c r="BS258" i="8"/>
  <c r="BO259" i="8"/>
  <c r="BT259" i="8"/>
  <c r="BU259" i="8"/>
  <c r="BV259" i="8"/>
  <c r="BW259" i="8"/>
  <c r="BY259" i="8"/>
  <c r="BZ259" i="8"/>
  <c r="CA259" i="8"/>
  <c r="CB259" i="8"/>
  <c r="AK260" i="8"/>
  <c r="AP260" i="8"/>
  <c r="AU260" i="8"/>
  <c r="AZ260" i="8"/>
  <c r="BE260" i="8"/>
  <c r="BB261" i="8"/>
  <c r="BC261" i="8" s="1"/>
  <c r="BF261" i="8"/>
  <c r="BG261" i="8" s="1"/>
  <c r="BS261" i="8"/>
  <c r="AN268" i="8"/>
  <c r="AS268" i="8"/>
  <c r="AX268" i="8"/>
  <c r="BC268" i="8"/>
  <c r="BC269" i="8" s="1"/>
  <c r="BH268" i="8"/>
  <c r="BH269" i="8" s="1"/>
  <c r="BA269" i="8"/>
  <c r="BB269" i="8"/>
  <c r="BG269" i="8"/>
  <c r="BJ269" i="8"/>
  <c r="AK270" i="8"/>
  <c r="AL270" i="8"/>
  <c r="AM270" i="8"/>
  <c r="AP270" i="8"/>
  <c r="AQ270" i="8"/>
  <c r="AR270" i="8"/>
  <c r="AU270" i="8"/>
  <c r="AV270" i="8"/>
  <c r="AW270" i="8"/>
  <c r="AN272" i="8"/>
  <c r="AS272" i="8"/>
  <c r="AX272" i="8"/>
  <c r="BC272" i="8"/>
  <c r="BH272" i="8"/>
  <c r="AN273" i="8"/>
  <c r="AS273" i="8"/>
  <c r="AX273" i="8"/>
  <c r="BC273" i="8"/>
  <c r="BH273" i="8"/>
  <c r="F274" i="8"/>
  <c r="K274" i="8"/>
  <c r="P274" i="8"/>
  <c r="U274" i="8"/>
  <c r="Z274" i="8"/>
  <c r="AE274" i="8"/>
  <c r="AJ274" i="8"/>
  <c r="AK274" i="8"/>
  <c r="AL274" i="8"/>
  <c r="AM274" i="8"/>
  <c r="AO274" i="8"/>
  <c r="AP274" i="8"/>
  <c r="AQ274" i="8"/>
  <c r="AR274" i="8"/>
  <c r="AT274" i="8"/>
  <c r="AU274" i="8"/>
  <c r="AV274" i="8"/>
  <c r="AW274" i="8"/>
  <c r="AY274" i="8"/>
  <c r="AZ274" i="8"/>
  <c r="BA274" i="8"/>
  <c r="BB274" i="8"/>
  <c r="BD274" i="8"/>
  <c r="BC274" i="8"/>
  <c r="BE274" i="8"/>
  <c r="BF274" i="8"/>
  <c r="BG274" i="8"/>
  <c r="BI274" i="8"/>
  <c r="BJ274" i="8"/>
  <c r="BK274" i="8"/>
  <c r="BL274" i="8"/>
  <c r="AN275" i="8"/>
  <c r="AS275" i="8"/>
  <c r="AX275" i="8"/>
  <c r="BC275" i="8"/>
  <c r="BH275" i="8"/>
  <c r="AN277" i="8"/>
  <c r="AS277" i="8"/>
  <c r="AX277" i="8"/>
  <c r="BC277" i="8"/>
  <c r="BH277" i="8"/>
  <c r="AN278" i="8"/>
  <c r="AS278" i="8"/>
  <c r="AX278" i="8"/>
  <c r="BC278" i="8"/>
  <c r="BC279" i="8" s="1"/>
  <c r="BH278" i="8"/>
  <c r="BH279" i="8" s="1"/>
  <c r="F279" i="8"/>
  <c r="K279" i="8"/>
  <c r="P279" i="8"/>
  <c r="U279" i="8"/>
  <c r="AE279" i="8"/>
  <c r="AO279" i="8"/>
  <c r="AT279" i="8"/>
  <c r="AZ279" i="8"/>
  <c r="BA279" i="8"/>
  <c r="BB279" i="8"/>
  <c r="BE279" i="8"/>
  <c r="BF279" i="8"/>
  <c r="BG279" i="8"/>
  <c r="BJ279" i="8"/>
  <c r="BK279" i="8"/>
  <c r="BT279" i="8"/>
  <c r="BY279" i="8" s="1"/>
  <c r="BU279" i="8"/>
  <c r="BZ279" i="8" s="1"/>
  <c r="BV279" i="8"/>
  <c r="CA279" i="8" s="1"/>
  <c r="BW279" i="8"/>
  <c r="CB279" i="8" s="1"/>
  <c r="F280" i="8"/>
  <c r="K280" i="8"/>
  <c r="P280" i="8"/>
  <c r="U280" i="8"/>
  <c r="Z280" i="8"/>
  <c r="AE280" i="8"/>
  <c r="AJ280" i="8"/>
  <c r="AK280" i="8"/>
  <c r="AL280" i="8"/>
  <c r="AM280" i="8"/>
  <c r="AO280" i="8"/>
  <c r="AN280" i="8" s="1"/>
  <c r="AP280" i="8"/>
  <c r="AQ280" i="8"/>
  <c r="AR280" i="8"/>
  <c r="AT280" i="8"/>
  <c r="AS280" i="8" s="1"/>
  <c r="AU280" i="8"/>
  <c r="AV280" i="8"/>
  <c r="AW280" i="8"/>
  <c r="AY280" i="8"/>
  <c r="AX280" i="8" s="1"/>
  <c r="AZ280" i="8"/>
  <c r="BA280" i="8"/>
  <c r="BB280" i="8"/>
  <c r="BD280" i="8"/>
  <c r="BE280" i="8"/>
  <c r="BF280" i="8"/>
  <c r="BG280" i="8"/>
  <c r="BG281" i="8" s="1"/>
  <c r="BI280" i="8"/>
  <c r="BH280" i="8"/>
  <c r="BJ280" i="8"/>
  <c r="BJ281" i="8" s="1"/>
  <c r="BK280" i="8"/>
  <c r="BK281" i="8" s="1"/>
  <c r="BH281" i="8"/>
  <c r="AN282" i="8"/>
  <c r="AS282" i="8"/>
  <c r="AX282" i="8"/>
  <c r="BC282" i="8"/>
  <c r="BH282" i="8"/>
  <c r="F283" i="8"/>
  <c r="K283" i="8"/>
  <c r="U283" i="8"/>
  <c r="AE283" i="8"/>
  <c r="AN283" i="8"/>
  <c r="AR283" i="8"/>
  <c r="AS283" i="8"/>
  <c r="AX283" i="8"/>
  <c r="AO284" i="8"/>
  <c r="AN284" i="8"/>
  <c r="AQ284" i="8"/>
  <c r="AS284" i="8"/>
  <c r="AW284" i="8"/>
  <c r="AY284" i="8"/>
  <c r="AY287" i="8" s="1"/>
  <c r="AX287" i="8" s="1"/>
  <c r="AZ284" i="8"/>
  <c r="BA284" i="8"/>
  <c r="BB284" i="8"/>
  <c r="BF284" i="8"/>
  <c r="BG284" i="8"/>
  <c r="BH284" i="8"/>
  <c r="F287" i="8"/>
  <c r="K287" i="8"/>
  <c r="K285" i="8"/>
  <c r="P287" i="8"/>
  <c r="P285" i="8"/>
  <c r="U287" i="8"/>
  <c r="Z287" i="8"/>
  <c r="Z285" i="8" s="1"/>
  <c r="AE287" i="8"/>
  <c r="AJ287" i="8"/>
  <c r="AJ285" i="8"/>
  <c r="AK285" i="8"/>
  <c r="AL285" i="8"/>
  <c r="AM285" i="8"/>
  <c r="AO296" i="8"/>
  <c r="AP287" i="8"/>
  <c r="AP285" i="8"/>
  <c r="AQ287" i="8"/>
  <c r="AQ285" i="8"/>
  <c r="AR287" i="8"/>
  <c r="AS285" i="8"/>
  <c r="AU287" i="8"/>
  <c r="AU285" i="8"/>
  <c r="AV287" i="8"/>
  <c r="AV285" i="8"/>
  <c r="AW287" i="8"/>
  <c r="AY285" i="8"/>
  <c r="AX285" i="8"/>
  <c r="AZ287" i="8"/>
  <c r="BA287" i="8"/>
  <c r="BA285" i="8" s="1"/>
  <c r="BB287" i="8"/>
  <c r="BB285" i="8"/>
  <c r="BD285" i="8"/>
  <c r="BC285" i="8"/>
  <c r="BE287" i="8"/>
  <c r="BE285" i="8"/>
  <c r="BF287" i="8"/>
  <c r="BF285" i="8" s="1"/>
  <c r="BG287" i="8"/>
  <c r="BI285" i="8"/>
  <c r="BH285" i="8"/>
  <c r="BJ287" i="8"/>
  <c r="BJ285" i="8" s="1"/>
  <c r="BK287" i="8"/>
  <c r="BL287" i="8"/>
  <c r="BL285" i="8" s="1"/>
  <c r="BO285" i="8" s="1"/>
  <c r="BP285" i="8" s="1"/>
  <c r="BQ285" i="8" s="1"/>
  <c r="BR285" i="8" s="1"/>
  <c r="BS285" i="8" s="1"/>
  <c r="AT287" i="8"/>
  <c r="AS287" i="8" s="1"/>
  <c r="BD287" i="8"/>
  <c r="BC287" i="8"/>
  <c r="BI287" i="8"/>
  <c r="AN289" i="8"/>
  <c r="AS289" i="8"/>
  <c r="AW289" i="8"/>
  <c r="AW296" i="8" s="1"/>
  <c r="AW297" i="8" s="1"/>
  <c r="AW298" i="8" s="1"/>
  <c r="AX289" i="8"/>
  <c r="BA289" i="8"/>
  <c r="BC289" i="8"/>
  <c r="BH289" i="8"/>
  <c r="AN290" i="8"/>
  <c r="AS290" i="8"/>
  <c r="AX290" i="8"/>
  <c r="BC290" i="8"/>
  <c r="BH290" i="8"/>
  <c r="F291" i="8"/>
  <c r="K291" i="8"/>
  <c r="P291" i="8"/>
  <c r="U291" i="8"/>
  <c r="Z291" i="8"/>
  <c r="AE291" i="8"/>
  <c r="AJ291" i="8"/>
  <c r="AN291" i="8"/>
  <c r="AS291" i="8"/>
  <c r="AX291" i="8"/>
  <c r="BC291" i="8"/>
  <c r="BH291" i="8"/>
  <c r="BO291" i="8"/>
  <c r="BP291" i="8" s="1"/>
  <c r="BQ291" i="8" s="1"/>
  <c r="BR291" i="8" s="1"/>
  <c r="BS291" i="8" s="1"/>
  <c r="CL291" i="8"/>
  <c r="Z292" i="8"/>
  <c r="AE292" i="8"/>
  <c r="AE296" i="8" s="1"/>
  <c r="AK292" i="8"/>
  <c r="AN292" i="8"/>
  <c r="AS292" i="8"/>
  <c r="AX292" i="8"/>
  <c r="BA292" i="8"/>
  <c r="BA296" i="8" s="1"/>
  <c r="BB292" i="8"/>
  <c r="BB296" i="8" s="1"/>
  <c r="BC292" i="8"/>
  <c r="BH292" i="8"/>
  <c r="AN293" i="8"/>
  <c r="AT293" i="8"/>
  <c r="AS293" i="8" s="1"/>
  <c r="BC293" i="8"/>
  <c r="BH293" i="8"/>
  <c r="BO293" i="8"/>
  <c r="BP293" i="8" s="1"/>
  <c r="BQ293" i="8" s="1"/>
  <c r="BR293" i="8" s="1"/>
  <c r="BS293" i="8" s="1"/>
  <c r="BX293" i="8" s="1"/>
  <c r="CC293" i="8" s="1"/>
  <c r="BC294" i="8"/>
  <c r="BH294" i="8"/>
  <c r="BO294" i="8"/>
  <c r="BP294" i="8" s="1"/>
  <c r="BQ294" i="8" s="1"/>
  <c r="BR294" i="8" s="1"/>
  <c r="BS294" i="8" s="1"/>
  <c r="BX294" i="8" s="1"/>
  <c r="CC294" i="8" s="1"/>
  <c r="BA295" i="8"/>
  <c r="BC295" i="8"/>
  <c r="BH295" i="8"/>
  <c r="F296" i="8"/>
  <c r="K296" i="8"/>
  <c r="P296" i="8"/>
  <c r="U296" i="8"/>
  <c r="AJ296" i="8"/>
  <c r="AK296" i="8"/>
  <c r="AK297" i="8" s="1"/>
  <c r="AK298" i="8" s="1"/>
  <c r="AL296" i="8"/>
  <c r="AL297" i="8" s="1"/>
  <c r="AL298" i="8" s="1"/>
  <c r="AM296" i="8"/>
  <c r="AM297" i="8" s="1"/>
  <c r="AM298" i="8" s="1"/>
  <c r="AP296" i="8"/>
  <c r="AQ296" i="8"/>
  <c r="AR296" i="8"/>
  <c r="AU296" i="8"/>
  <c r="AU297" i="8" s="1"/>
  <c r="AU298" i="8" s="1"/>
  <c r="AV296" i="8"/>
  <c r="AZ296" i="8"/>
  <c r="AZ297" i="8" s="1"/>
  <c r="AZ298" i="8" s="1"/>
  <c r="BD296" i="8"/>
  <c r="BE296" i="8"/>
  <c r="BE297" i="8" s="1"/>
  <c r="BE298" i="8" s="1"/>
  <c r="BF296" i="8"/>
  <c r="BG296" i="8"/>
  <c r="BG297" i="8" s="1"/>
  <c r="BG298" i="8" s="1"/>
  <c r="BI296" i="8"/>
  <c r="BJ296" i="8"/>
  <c r="BK296" i="8"/>
  <c r="BL296" i="8"/>
  <c r="P297" i="8"/>
  <c r="P298" i="8" s="1"/>
  <c r="AN297" i="8"/>
  <c r="AN298" i="8" s="1"/>
  <c r="AP297" i="8"/>
  <c r="AP298" i="8" s="1"/>
  <c r="AV297" i="8"/>
  <c r="AV298" i="8" s="1"/>
  <c r="AO298" i="8"/>
  <c r="AU300" i="8"/>
  <c r="AV300" i="8"/>
  <c r="F304" i="8"/>
  <c r="K304" i="8"/>
  <c r="P304" i="8"/>
  <c r="U304" i="8"/>
  <c r="Z304" i="8"/>
  <c r="AE304" i="8"/>
  <c r="AJ304" i="8"/>
  <c r="AO304" i="8"/>
  <c r="AT304" i="8"/>
  <c r="AY304" i="8"/>
  <c r="BI304" i="8"/>
  <c r="BS304" i="8"/>
  <c r="F305" i="8"/>
  <c r="K305" i="8"/>
  <c r="P305" i="8"/>
  <c r="U305" i="8"/>
  <c r="Z305" i="8"/>
  <c r="AE305" i="8"/>
  <c r="AJ305" i="8"/>
  <c r="AO305" i="8"/>
  <c r="AT305" i="8"/>
  <c r="AY305" i="8"/>
  <c r="BD305" i="8"/>
  <c r="BI305" i="8"/>
  <c r="AJ308" i="8"/>
  <c r="AY308" i="8"/>
  <c r="BH100" i="8" l="1"/>
  <c r="AE162" i="8"/>
  <c r="AE165" i="8" s="1"/>
  <c r="BG100" i="8"/>
  <c r="BJ98" i="8"/>
  <c r="AG163" i="8"/>
  <c r="AO214" i="8"/>
  <c r="BN18" i="8"/>
  <c r="AI156" i="8"/>
  <c r="AI184" i="8"/>
  <c r="AA156" i="8"/>
  <c r="BE115" i="8"/>
  <c r="AA164" i="8"/>
  <c r="AS184" i="8"/>
  <c r="AS164" i="8"/>
  <c r="AW155" i="8"/>
  <c r="AV155" i="8"/>
  <c r="FA58" i="103"/>
  <c r="FA49" i="103" s="1"/>
  <c r="FA63" i="103"/>
  <c r="EV59" i="103"/>
  <c r="EV49" i="103"/>
  <c r="FA57" i="103"/>
  <c r="AR156" i="8"/>
  <c r="C103" i="8"/>
  <c r="AS123" i="8"/>
  <c r="AB91" i="8"/>
  <c r="AS50" i="8"/>
  <c r="AC50" i="8"/>
  <c r="BG55" i="8"/>
  <c r="AP184" i="8"/>
  <c r="AP186" i="8" s="1"/>
  <c r="W152" i="8"/>
  <c r="Y87" i="8"/>
  <c r="Q91" i="8"/>
  <c r="AX69" i="8"/>
  <c r="C54" i="8"/>
  <c r="AF184" i="8"/>
  <c r="AF186" i="8" s="1"/>
  <c r="AP164" i="8"/>
  <c r="BE158" i="8"/>
  <c r="BE153" i="8" s="1"/>
  <c r="BE154" i="8" s="1"/>
  <c r="BH88" i="8"/>
  <c r="CM88" i="8" s="1"/>
  <c r="T88" i="8"/>
  <c r="BJ69" i="8"/>
  <c r="AH152" i="8"/>
  <c r="AG91" i="8"/>
  <c r="BC60" i="8"/>
  <c r="BC50" i="8"/>
  <c r="N49" i="8"/>
  <c r="H50" i="8"/>
  <c r="AR164" i="8"/>
  <c r="AM152" i="8"/>
  <c r="Y83" i="8"/>
  <c r="Y84" i="8" s="1"/>
  <c r="BC65" i="8"/>
  <c r="AD60" i="8"/>
  <c r="AL60" i="8"/>
  <c r="AF87" i="8"/>
  <c r="M89" i="8"/>
  <c r="D65" i="8"/>
  <c r="Y91" i="8"/>
  <c r="AT86" i="8"/>
  <c r="AC60" i="8"/>
  <c r="AC91" i="8"/>
  <c r="BC57" i="8"/>
  <c r="V123" i="8"/>
  <c r="BE57" i="8"/>
  <c r="AP57" i="8"/>
  <c r="AW49" i="8"/>
  <c r="Y152" i="8"/>
  <c r="Q152" i="8"/>
  <c r="BH91" i="8"/>
  <c r="CM91" i="8" s="1"/>
  <c r="M91" i="8"/>
  <c r="AV87" i="8"/>
  <c r="AR50" i="8"/>
  <c r="BJ49" i="8"/>
  <c r="AO52" i="8"/>
  <c r="AG50" i="8"/>
  <c r="T91" i="8"/>
  <c r="AB186" i="8"/>
  <c r="X152" i="8"/>
  <c r="H152" i="8"/>
  <c r="AK123" i="8"/>
  <c r="AB123" i="8"/>
  <c r="AW96" i="8"/>
  <c r="AW97" i="8" s="1"/>
  <c r="AK87" i="8"/>
  <c r="S91" i="8"/>
  <c r="M156" i="8"/>
  <c r="W60" i="8"/>
  <c r="R152" i="8"/>
  <c r="M123" i="8"/>
  <c r="AZ158" i="8"/>
  <c r="AZ160" i="8" s="1"/>
  <c r="BD147" i="8"/>
  <c r="AU152" i="8"/>
  <c r="O152" i="8"/>
  <c r="G152" i="8"/>
  <c r="R87" i="8"/>
  <c r="AZ59" i="8"/>
  <c r="AY62" i="8"/>
  <c r="AO146" i="8"/>
  <c r="AO152" i="8" s="1"/>
  <c r="Z152" i="8"/>
  <c r="BD62" i="8"/>
  <c r="BF90" i="8"/>
  <c r="D84" i="8"/>
  <c r="AS60" i="8"/>
  <c r="AJ52" i="8"/>
  <c r="D50" i="8"/>
  <c r="AA49" i="8"/>
  <c r="M186" i="8"/>
  <c r="B103" i="8"/>
  <c r="W184" i="8"/>
  <c r="AN164" i="8"/>
  <c r="AB164" i="8"/>
  <c r="AK184" i="8"/>
  <c r="AA123" i="8"/>
  <c r="AW94" i="8"/>
  <c r="CP24" i="8"/>
  <c r="BM11" i="8"/>
  <c r="CL11" i="8" s="1"/>
  <c r="BN9" i="8"/>
  <c r="BN53" i="8" s="1"/>
  <c r="BN141" i="8"/>
  <c r="BL35" i="8"/>
  <c r="BN33" i="8"/>
  <c r="BN34" i="8" s="1"/>
  <c r="BM35" i="8"/>
  <c r="BL159" i="8"/>
  <c r="BN159" i="8" s="1"/>
  <c r="BN118" i="8"/>
  <c r="BN114" i="8" s="1"/>
  <c r="BL21" i="8"/>
  <c r="BN19" i="8"/>
  <c r="BN20" i="8" s="1"/>
  <c r="BM21" i="8"/>
  <c r="CL21" i="8" s="1"/>
  <c r="CO21" i="8" s="1"/>
  <c r="BH227" i="8"/>
  <c r="CM227" i="8" s="1"/>
  <c r="CM226" i="8"/>
  <c r="BM227" i="8"/>
  <c r="CL227" i="8" s="1"/>
  <c r="CO227" i="8" s="1"/>
  <c r="AV171" i="8"/>
  <c r="AV172" i="8" s="1"/>
  <c r="AV165" i="8"/>
  <c r="AL156" i="8"/>
  <c r="AL123" i="8"/>
  <c r="AL125" i="8"/>
  <c r="AC123" i="8"/>
  <c r="AC184" i="8"/>
  <c r="AC156" i="8"/>
  <c r="S184" i="8"/>
  <c r="S123" i="8"/>
  <c r="S156" i="8"/>
  <c r="BF163" i="8"/>
  <c r="BF165" i="8"/>
  <c r="BK163" i="8"/>
  <c r="BH101" i="8"/>
  <c r="CM101" i="8" s="1"/>
  <c r="CM100" i="8"/>
  <c r="BF69" i="8"/>
  <c r="BA70" i="8"/>
  <c r="BI53" i="8"/>
  <c r="BN57" i="8"/>
  <c r="AA125" i="8"/>
  <c r="AA142" i="8"/>
  <c r="AA182" i="8"/>
  <c r="AV6" i="8"/>
  <c r="AV45" i="8"/>
  <c r="AV182" i="8" s="1"/>
  <c r="BA183" i="8" s="1"/>
  <c r="AT146" i="8"/>
  <c r="AT152" i="8" s="1"/>
  <c r="AT15" i="8"/>
  <c r="AH45" i="8"/>
  <c r="AH6" i="8"/>
  <c r="AH95" i="8"/>
  <c r="H95" i="8"/>
  <c r="H94" i="8"/>
  <c r="BK297" i="8"/>
  <c r="BK298" i="8" s="1"/>
  <c r="AX274" i="8"/>
  <c r="BA260" i="8"/>
  <c r="BA243" i="8"/>
  <c r="BK260" i="8"/>
  <c r="BX230" i="8"/>
  <c r="BN230" i="8"/>
  <c r="BD220" i="8"/>
  <c r="BJ217" i="8"/>
  <c r="BN212" i="8"/>
  <c r="AL184" i="8"/>
  <c r="AL186" i="8" s="1"/>
  <c r="AR88" i="8"/>
  <c r="AS90" i="8" s="1"/>
  <c r="AW95" i="8"/>
  <c r="AM83" i="8"/>
  <c r="AM85" i="8" s="1"/>
  <c r="AH83" i="8"/>
  <c r="C80" i="8"/>
  <c r="C79" i="8"/>
  <c r="AK64" i="8"/>
  <c r="AX49" i="8"/>
  <c r="AS49" i="8"/>
  <c r="AD50" i="8"/>
  <c r="AC49" i="8"/>
  <c r="CM38" i="8"/>
  <c r="BM39" i="8"/>
  <c r="CL39" i="8" s="1"/>
  <c r="BY96" i="8"/>
  <c r="BI147" i="8"/>
  <c r="BI152" i="8" s="1"/>
  <c r="U9" i="8"/>
  <c r="U7" i="8" s="1"/>
  <c r="BF7" i="8"/>
  <c r="BK8" i="8" s="1"/>
  <c r="BF5" i="8"/>
  <c r="BF32" i="8"/>
  <c r="BK23" i="8"/>
  <c r="BF73" i="8"/>
  <c r="AR244" i="8"/>
  <c r="CM184" i="8"/>
  <c r="BM185" i="8"/>
  <c r="CL185" i="8" s="1"/>
  <c r="C69" i="8"/>
  <c r="C70" i="8"/>
  <c r="C64" i="8"/>
  <c r="C65" i="8"/>
  <c r="E65" i="8"/>
  <c r="P56" i="8"/>
  <c r="P122" i="8"/>
  <c r="P184" i="8" s="1"/>
  <c r="BJ39" i="8"/>
  <c r="BN38" i="8"/>
  <c r="BN39" i="8" s="1"/>
  <c r="R7" i="8"/>
  <c r="W10" i="8"/>
  <c r="BB148" i="8"/>
  <c r="BB152" i="8" s="1"/>
  <c r="BB7" i="8"/>
  <c r="BC24" i="8"/>
  <c r="BD22" i="8"/>
  <c r="BB73" i="8"/>
  <c r="AM6" i="8"/>
  <c r="AM45" i="8"/>
  <c r="AC45" i="8"/>
  <c r="AC94" i="8"/>
  <c r="AC95" i="8"/>
  <c r="AC6" i="8"/>
  <c r="X45" i="8"/>
  <c r="X94" i="8"/>
  <c r="X95" i="8"/>
  <c r="S94" i="8"/>
  <c r="S45" i="8"/>
  <c r="BJ297" i="8"/>
  <c r="BJ298" i="8" s="1"/>
  <c r="AN274" i="8"/>
  <c r="AL258" i="8"/>
  <c r="BB253" i="8"/>
  <c r="AX253" i="8"/>
  <c r="AL246" i="8"/>
  <c r="BF244" i="8"/>
  <c r="AL235" i="8"/>
  <c r="BH234" i="8"/>
  <c r="AE230" i="8"/>
  <c r="U223" i="8"/>
  <c r="U225" i="8" s="1"/>
  <c r="BI220" i="8"/>
  <c r="AT220" i="8"/>
  <c r="K218" i="8"/>
  <c r="AY217" i="8"/>
  <c r="BN213" i="8"/>
  <c r="BO213" i="8" s="1"/>
  <c r="BP213" i="8" s="1"/>
  <c r="BQ213" i="8" s="1"/>
  <c r="BR213" i="8" s="1"/>
  <c r="BK165" i="8"/>
  <c r="BD150" i="8"/>
  <c r="BJ121" i="8"/>
  <c r="BA159" i="8"/>
  <c r="BA114" i="8"/>
  <c r="BA116" i="8" s="1"/>
  <c r="BF117" i="8"/>
  <c r="BA87" i="8"/>
  <c r="BA158" i="8"/>
  <c r="BA88" i="8"/>
  <c r="BF89" i="8" s="1"/>
  <c r="AV83" i="8"/>
  <c r="AV92" i="8"/>
  <c r="X83" i="8"/>
  <c r="Y85" i="8" s="1"/>
  <c r="AQ57" i="8"/>
  <c r="AQ53" i="8"/>
  <c r="AV54" i="8" s="1"/>
  <c r="AG164" i="8"/>
  <c r="AG156" i="8"/>
  <c r="BS305" i="8"/>
  <c r="BB257" i="8"/>
  <c r="BC257" i="8" s="1"/>
  <c r="BS252" i="8"/>
  <c r="BS247" i="8"/>
  <c r="BS249" i="8" s="1"/>
  <c r="AQ246" i="8"/>
  <c r="BC238" i="8"/>
  <c r="BK234" i="8"/>
  <c r="Z230" i="8"/>
  <c r="K230" i="8"/>
  <c r="BP223" i="8"/>
  <c r="AJ218" i="8"/>
  <c r="P218" i="8"/>
  <c r="J152" i="8"/>
  <c r="AR155" i="8"/>
  <c r="AS155" i="8"/>
  <c r="AT154" i="8"/>
  <c r="AP155" i="8"/>
  <c r="F156" i="8"/>
  <c r="F164" i="8"/>
  <c r="F184" i="8"/>
  <c r="U93" i="8"/>
  <c r="Z93" i="8"/>
  <c r="N83" i="8"/>
  <c r="U62" i="8"/>
  <c r="AQ60" i="8"/>
  <c r="AP59" i="8"/>
  <c r="B54" i="8"/>
  <c r="B55" i="8"/>
  <c r="D55" i="8"/>
  <c r="W50" i="8"/>
  <c r="O49" i="8"/>
  <c r="T142" i="8"/>
  <c r="T182" i="8"/>
  <c r="AY32" i="8"/>
  <c r="AY15" i="8"/>
  <c r="X6" i="8"/>
  <c r="BM23" i="8"/>
  <c r="BH23" i="8"/>
  <c r="AW152" i="8"/>
  <c r="AD152" i="8"/>
  <c r="I152" i="8"/>
  <c r="BD141" i="8"/>
  <c r="CM182" i="8"/>
  <c r="BM183" i="8"/>
  <c r="CL183" i="8" s="1"/>
  <c r="U172" i="8"/>
  <c r="CM122" i="8"/>
  <c r="BM123" i="8"/>
  <c r="CL123" i="8" s="1"/>
  <c r="BE89" i="8"/>
  <c r="BH69" i="8"/>
  <c r="CM69" i="8" s="1"/>
  <c r="CM68" i="8"/>
  <c r="BM69" i="8"/>
  <c r="CL69" i="8" s="1"/>
  <c r="BA69" i="8"/>
  <c r="AS64" i="8"/>
  <c r="V60" i="8"/>
  <c r="CM53" i="8"/>
  <c r="BM54" i="8"/>
  <c r="CL54" i="8" s="1"/>
  <c r="CM48" i="8"/>
  <c r="BM49" i="8"/>
  <c r="CL49" i="8" s="1"/>
  <c r="BD48" i="8"/>
  <c r="BD49" i="8" s="1"/>
  <c r="V49" i="8"/>
  <c r="BO39" i="8"/>
  <c r="BI38" i="8"/>
  <c r="U5" i="8"/>
  <c r="AG172" i="8"/>
  <c r="N172" i="8"/>
  <c r="BH127" i="8"/>
  <c r="CM127" i="8" s="1"/>
  <c r="CM125" i="8"/>
  <c r="BM126" i="8"/>
  <c r="CL126" i="8" s="1"/>
  <c r="AB125" i="8"/>
  <c r="BJ115" i="8"/>
  <c r="BE113" i="8"/>
  <c r="Y88" i="8"/>
  <c r="R88" i="8"/>
  <c r="BN86" i="8"/>
  <c r="BK69" i="8"/>
  <c r="AQ65" i="8"/>
  <c r="AV57" i="8"/>
  <c r="U56" i="8"/>
  <c r="U53" i="8" s="1"/>
  <c r="AY48" i="8"/>
  <c r="AE52" i="8"/>
  <c r="AT32" i="8"/>
  <c r="AT9" i="8"/>
  <c r="AT7" i="8" s="1"/>
  <c r="AO9" i="8"/>
  <c r="AJ32" i="8"/>
  <c r="AA152" i="8"/>
  <c r="AL152" i="8"/>
  <c r="AB152" i="8"/>
  <c r="AF172" i="8"/>
  <c r="P171" i="8"/>
  <c r="BG126" i="8"/>
  <c r="CM114" i="8"/>
  <c r="BM115" i="8"/>
  <c r="CL115" i="8" s="1"/>
  <c r="E104" i="8"/>
  <c r="BH164" i="8"/>
  <c r="CM164" i="8" s="1"/>
  <c r="CM162" i="8"/>
  <c r="BM163" i="8"/>
  <c r="CL163" i="8" s="1"/>
  <c r="BN162" i="8"/>
  <c r="BN100" i="8"/>
  <c r="BH176" i="8"/>
  <c r="BH98" i="8" s="1"/>
  <c r="CM98" i="8" s="1"/>
  <c r="CM175" i="8"/>
  <c r="CM86" i="8"/>
  <c r="BM91" i="8"/>
  <c r="CL91" i="8" s="1"/>
  <c r="BM87" i="8"/>
  <c r="CL87" i="8" s="1"/>
  <c r="AU65" i="8"/>
  <c r="AX57" i="8"/>
  <c r="BB49" i="8"/>
  <c r="AH49" i="8"/>
  <c r="S50" i="8"/>
  <c r="O50" i="8"/>
  <c r="BS38" i="8"/>
  <c r="BX38" i="8" s="1"/>
  <c r="CC38" i="8" s="1"/>
  <c r="CU10" i="8"/>
  <c r="BE44" i="8"/>
  <c r="BN22" i="8"/>
  <c r="T184" i="8"/>
  <c r="T186" i="8" s="1"/>
  <c r="T125" i="8"/>
  <c r="T123" i="8"/>
  <c r="T156" i="8"/>
  <c r="L184" i="8"/>
  <c r="Q185" i="8" s="1"/>
  <c r="L156" i="8"/>
  <c r="Q87" i="8"/>
  <c r="Q88" i="8"/>
  <c r="C85" i="8"/>
  <c r="C84" i="8"/>
  <c r="BE8" i="8"/>
  <c r="AZ8" i="8"/>
  <c r="BL297" i="8"/>
  <c r="BL298" i="8" s="1"/>
  <c r="K297" i="8"/>
  <c r="K298" i="8" s="1"/>
  <c r="BK235" i="8"/>
  <c r="BS230" i="8"/>
  <c r="CO226" i="8"/>
  <c r="BD218" i="8"/>
  <c r="P308" i="8"/>
  <c r="Q218" i="8" s="1"/>
  <c r="AJ165" i="8"/>
  <c r="S152" i="8"/>
  <c r="K152" i="8"/>
  <c r="BO180" i="8"/>
  <c r="BP161" i="8"/>
  <c r="AA173" i="8"/>
  <c r="AA128" i="8" s="1"/>
  <c r="L172" i="8"/>
  <c r="AQ123" i="8"/>
  <c r="AQ156" i="8"/>
  <c r="AQ164" i="8"/>
  <c r="BS166" i="8"/>
  <c r="BB87" i="8"/>
  <c r="BB88" i="8"/>
  <c r="BB89" i="8" s="1"/>
  <c r="AH156" i="8"/>
  <c r="AH164" i="8"/>
  <c r="BK164" i="8"/>
  <c r="BK125" i="8"/>
  <c r="AK83" i="8"/>
  <c r="AL85" i="8" s="1"/>
  <c r="AK92" i="8"/>
  <c r="AK94" i="8" s="1"/>
  <c r="AP87" i="8"/>
  <c r="E74" i="8"/>
  <c r="E75" i="8"/>
  <c r="AG10" i="8"/>
  <c r="AL10" i="8"/>
  <c r="AY293" i="8"/>
  <c r="BD297" i="8"/>
  <c r="F267" i="8"/>
  <c r="BH255" i="8"/>
  <c r="AV246" i="8"/>
  <c r="K263" i="8"/>
  <c r="K267" i="8" s="1"/>
  <c r="AS238" i="8"/>
  <c r="AM238" i="8"/>
  <c r="P230" i="8"/>
  <c r="BG227" i="8"/>
  <c r="CO218" i="8"/>
  <c r="CP217" i="8"/>
  <c r="CP207" i="8"/>
  <c r="O172" i="8"/>
  <c r="G125" i="8"/>
  <c r="AI59" i="8"/>
  <c r="AK60" i="8"/>
  <c r="AD59" i="8"/>
  <c r="Y59" i="8"/>
  <c r="T59" i="8"/>
  <c r="O60" i="8"/>
  <c r="BJ55" i="8"/>
  <c r="BJ54" i="8"/>
  <c r="BK55" i="8"/>
  <c r="AY67" i="8"/>
  <c r="AT63" i="8"/>
  <c r="AT64" i="8" s="1"/>
  <c r="AT67" i="8"/>
  <c r="AO58" i="8"/>
  <c r="AO122" i="8"/>
  <c r="AO156" i="8" s="1"/>
  <c r="AD155" i="8"/>
  <c r="AA155" i="8"/>
  <c r="AB155" i="8"/>
  <c r="AD156" i="8"/>
  <c r="AD123" i="8"/>
  <c r="AI123" i="8"/>
  <c r="AD125" i="8"/>
  <c r="AD184" i="8"/>
  <c r="AX92" i="8"/>
  <c r="BC91" i="8" s="1"/>
  <c r="AX83" i="8"/>
  <c r="AX87" i="8"/>
  <c r="L88" i="8"/>
  <c r="M90" i="8" s="1"/>
  <c r="L91" i="8"/>
  <c r="AT296" i="8"/>
  <c r="AS296" i="8" s="1"/>
  <c r="AQ297" i="8"/>
  <c r="AQ298" i="8" s="1"/>
  <c r="F297" i="8"/>
  <c r="F298" i="8" s="1"/>
  <c r="AS274" i="8"/>
  <c r="AM258" i="8"/>
  <c r="BG253" i="8"/>
  <c r="BH253" i="8" s="1"/>
  <c r="BC253" i="8"/>
  <c r="AR253" i="8"/>
  <c r="AR246" i="8" s="1"/>
  <c r="BG242" i="8"/>
  <c r="BH242" i="8" s="1"/>
  <c r="BH243" i="8" s="1"/>
  <c r="BF240" i="8"/>
  <c r="AW239" i="8"/>
  <c r="AW246" i="8" s="1"/>
  <c r="BI237" i="8"/>
  <c r="BI230" i="8"/>
  <c r="BD217" i="8"/>
  <c r="BI218" i="8"/>
  <c r="AB136" i="8"/>
  <c r="BA173" i="8"/>
  <c r="AV173" i="8"/>
  <c r="AV132" i="8" s="1"/>
  <c r="L123" i="8"/>
  <c r="BK115" i="8"/>
  <c r="BH117" i="8"/>
  <c r="CM117" i="8" s="1"/>
  <c r="BC114" i="8"/>
  <c r="BC124" i="8"/>
  <c r="AX118" i="8"/>
  <c r="BC117" i="8" s="1"/>
  <c r="AX122" i="8"/>
  <c r="AX123" i="8" s="1"/>
  <c r="CO190" i="8"/>
  <c r="AX152" i="8"/>
  <c r="AP152" i="8"/>
  <c r="BA152" i="8"/>
  <c r="AS152" i="8"/>
  <c r="AK152" i="8"/>
  <c r="V152" i="8"/>
  <c r="N152" i="8"/>
  <c r="AR186" i="8"/>
  <c r="BG183" i="8"/>
  <c r="AX172" i="8"/>
  <c r="AK171" i="8"/>
  <c r="AK172" i="8" s="1"/>
  <c r="AC172" i="8"/>
  <c r="Q172" i="8"/>
  <c r="K171" i="8"/>
  <c r="K172" i="8" s="1"/>
  <c r="BA123" i="8"/>
  <c r="BB164" i="8"/>
  <c r="BF113" i="8"/>
  <c r="BH153" i="8"/>
  <c r="BH186" i="8" s="1"/>
  <c r="AN83" i="8"/>
  <c r="AP85" i="8" s="1"/>
  <c r="AS87" i="8"/>
  <c r="AN87" i="8"/>
  <c r="BB70" i="8"/>
  <c r="BC70" i="8"/>
  <c r="CO61" i="8"/>
  <c r="BA60" i="8"/>
  <c r="BB60" i="8"/>
  <c r="AW53" i="8"/>
  <c r="AW57" i="8"/>
  <c r="BB57" i="8"/>
  <c r="AG53" i="8"/>
  <c r="CO22" i="8"/>
  <c r="CP22" i="8"/>
  <c r="X7" i="8"/>
  <c r="X8" i="8" s="1"/>
  <c r="X10" i="8"/>
  <c r="BQ23" i="8"/>
  <c r="AG152" i="8"/>
  <c r="AZ152" i="8"/>
  <c r="AI152" i="8"/>
  <c r="U152" i="8"/>
  <c r="AZ83" i="8"/>
  <c r="BE84" i="8" s="1"/>
  <c r="BE87" i="8"/>
  <c r="AR83" i="8"/>
  <c r="AR85" i="8" s="1"/>
  <c r="AW87" i="8"/>
  <c r="AC83" i="8"/>
  <c r="AC87" i="8"/>
  <c r="X91" i="8"/>
  <c r="X87" i="8"/>
  <c r="S83" i="8"/>
  <c r="I87" i="8"/>
  <c r="I88" i="8"/>
  <c r="E85" i="8"/>
  <c r="E84" i="8"/>
  <c r="C75" i="8"/>
  <c r="C74" i="8"/>
  <c r="AR65" i="8"/>
  <c r="AS65" i="8"/>
  <c r="BD146" i="8"/>
  <c r="BD63" i="8"/>
  <c r="E54" i="8"/>
  <c r="E55" i="8"/>
  <c r="AX50" i="8"/>
  <c r="BC49" i="8"/>
  <c r="AP49" i="8"/>
  <c r="AQ50" i="8"/>
  <c r="AL49" i="8"/>
  <c r="AQ49" i="8"/>
  <c r="X50" i="8"/>
  <c r="AB49" i="8"/>
  <c r="H49" i="8"/>
  <c r="C49" i="8"/>
  <c r="CO41" i="8"/>
  <c r="BD40" i="8"/>
  <c r="BE41" i="8"/>
  <c r="CX8" i="8"/>
  <c r="CX9" i="8"/>
  <c r="BA7" i="8"/>
  <c r="BA8" i="8" s="1"/>
  <c r="BA32" i="8"/>
  <c r="AY147" i="8"/>
  <c r="AY152" i="8" s="1"/>
  <c r="BD20" i="8"/>
  <c r="AK6" i="8"/>
  <c r="AK45" i="8"/>
  <c r="AK125" i="8" s="1"/>
  <c r="Z13" i="8"/>
  <c r="Z9" i="8"/>
  <c r="Z7" i="8" s="1"/>
  <c r="Z8" i="8" s="1"/>
  <c r="BS201" i="8"/>
  <c r="CO200" i="8"/>
  <c r="CP190" i="8"/>
  <c r="BD149" i="8"/>
  <c r="AV152" i="8"/>
  <c r="AN152" i="8"/>
  <c r="AF152" i="8"/>
  <c r="AC152" i="8"/>
  <c r="T152" i="8"/>
  <c r="BD145" i="8"/>
  <c r="AR172" i="8"/>
  <c r="AJ163" i="8"/>
  <c r="Y172" i="8"/>
  <c r="AA172" i="8"/>
  <c r="N184" i="8"/>
  <c r="W123" i="8"/>
  <c r="BD112" i="8"/>
  <c r="BI113" i="8" s="1"/>
  <c r="C108" i="8"/>
  <c r="D104" i="8"/>
  <c r="BK123" i="8"/>
  <c r="BT96" i="8"/>
  <c r="I91" i="8"/>
  <c r="AN92" i="8"/>
  <c r="AC88" i="8"/>
  <c r="AC90" i="8" s="1"/>
  <c r="AY86" i="8"/>
  <c r="AQ92" i="8"/>
  <c r="AQ83" i="8"/>
  <c r="AG83" i="8"/>
  <c r="AG84" i="8" s="1"/>
  <c r="AG87" i="8"/>
  <c r="AG88" i="8"/>
  <c r="B80" i="8"/>
  <c r="B79" i="8"/>
  <c r="BA65" i="8"/>
  <c r="BA64" i="8"/>
  <c r="BH55" i="8"/>
  <c r="CM55" i="8" s="1"/>
  <c r="BF49" i="8"/>
  <c r="BA49" i="8"/>
  <c r="BQ44" i="8"/>
  <c r="BR44" i="8" s="1"/>
  <c r="BS43" i="8"/>
  <c r="BU96" i="8"/>
  <c r="AC8" i="8"/>
  <c r="BJ5" i="8"/>
  <c r="BJ7" i="8"/>
  <c r="BJ8" i="8" s="1"/>
  <c r="BO23" i="8"/>
  <c r="BJ73" i="8"/>
  <c r="BJ23" i="8"/>
  <c r="BK24" i="8"/>
  <c r="BC5" i="8"/>
  <c r="BC83" i="8" s="1"/>
  <c r="BE85" i="8" s="1"/>
  <c r="BC10" i="8"/>
  <c r="BC7" i="8"/>
  <c r="AP83" i="8"/>
  <c r="AU84" i="8" s="1"/>
  <c r="AF83" i="8"/>
  <c r="AF84" i="8" s="1"/>
  <c r="AV70" i="8"/>
  <c r="B70" i="8"/>
  <c r="BB69" i="8"/>
  <c r="BC64" i="8"/>
  <c r="AR64" i="8"/>
  <c r="AR59" i="8"/>
  <c r="AT62" i="8"/>
  <c r="AK50" i="8"/>
  <c r="AG49" i="8"/>
  <c r="W49" i="8"/>
  <c r="J50" i="8"/>
  <c r="AH46" i="8"/>
  <c r="BP39" i="8"/>
  <c r="BF44" i="8"/>
  <c r="AR11" i="8"/>
  <c r="AK10" i="8"/>
  <c r="AC10" i="8"/>
  <c r="BK5" i="8"/>
  <c r="BK94" i="8" s="1"/>
  <c r="BB5" i="8"/>
  <c r="BB44" i="8" s="1"/>
  <c r="BA5" i="8"/>
  <c r="BA6" i="8" s="1"/>
  <c r="AP60" i="8"/>
  <c r="AB59" i="8"/>
  <c r="BC53" i="8"/>
  <c r="BH54" i="8" s="1"/>
  <c r="CM54" i="8" s="1"/>
  <c r="AS57" i="8"/>
  <c r="BG50" i="8"/>
  <c r="AD49" i="8"/>
  <c r="I50" i="8"/>
  <c r="AW8" i="8"/>
  <c r="CO72" i="8"/>
  <c r="E70" i="8"/>
  <c r="AW69" i="8"/>
  <c r="AY68" i="8"/>
  <c r="AX64" i="8"/>
  <c r="AP64" i="8"/>
  <c r="AU60" i="8"/>
  <c r="AU59" i="8"/>
  <c r="W59" i="8"/>
  <c r="V59" i="8"/>
  <c r="BH57" i="8"/>
  <c r="CM57" i="8" s="1"/>
  <c r="BK54" i="8"/>
  <c r="BD56" i="8"/>
  <c r="BI57" i="8" s="1"/>
  <c r="AT56" i="8"/>
  <c r="CA96" i="8"/>
  <c r="AW10" i="8"/>
  <c r="AS8" i="8"/>
  <c r="AY5" i="8"/>
  <c r="AU6" i="8"/>
  <c r="AQ125" i="8"/>
  <c r="AE48" i="8"/>
  <c r="AE49" i="8" s="1"/>
  <c r="Z18" i="8"/>
  <c r="BL20" i="8"/>
  <c r="CO20" i="8" s="1"/>
  <c r="BL122" i="8"/>
  <c r="BL184" i="8" s="1"/>
  <c r="CP31" i="8"/>
  <c r="BL178" i="8"/>
  <c r="BN178" i="8" s="1"/>
  <c r="BL182" i="8"/>
  <c r="BL183" i="8" s="1"/>
  <c r="BL101" i="8"/>
  <c r="CP101" i="8" s="1"/>
  <c r="CP45" i="8"/>
  <c r="BL119" i="8"/>
  <c r="BL68" i="8"/>
  <c r="BM70" i="8" s="1"/>
  <c r="CL70" i="8" s="1"/>
  <c r="CP118" i="8"/>
  <c r="BL114" i="8"/>
  <c r="BM116" i="8" s="1"/>
  <c r="CL116" i="8" s="1"/>
  <c r="BL78" i="8"/>
  <c r="BL120" i="8"/>
  <c r="BN120" i="8" s="1"/>
  <c r="BO19" i="8"/>
  <c r="BL141" i="8"/>
  <c r="CP141" i="8" s="1"/>
  <c r="BB243" i="8"/>
  <c r="BB244" i="8"/>
  <c r="BB246" i="8"/>
  <c r="P262" i="8"/>
  <c r="P263" i="8" s="1"/>
  <c r="U48" i="8"/>
  <c r="Z52" i="8"/>
  <c r="U52" i="8"/>
  <c r="U49" i="8" s="1"/>
  <c r="G50" i="8"/>
  <c r="E49" i="8"/>
  <c r="J49" i="8"/>
  <c r="E50" i="8"/>
  <c r="R172" i="8"/>
  <c r="M172" i="8"/>
  <c r="CP170" i="8"/>
  <c r="CO170" i="8"/>
  <c r="X155" i="8"/>
  <c r="Z154" i="8"/>
  <c r="V155" i="8"/>
  <c r="W155" i="8"/>
  <c r="AE154" i="8"/>
  <c r="Y155" i="8"/>
  <c r="Z171" i="8"/>
  <c r="Z172" i="8" s="1"/>
  <c r="EC17" i="103"/>
  <c r="EC18" i="103" s="1"/>
  <c r="EC41" i="103"/>
  <c r="EC68" i="103"/>
  <c r="EC65" i="103"/>
  <c r="BX285" i="8"/>
  <c r="U308" i="8"/>
  <c r="V218" i="8" s="1"/>
  <c r="U218" i="8"/>
  <c r="U211" i="8"/>
  <c r="BP219" i="8"/>
  <c r="BQ219" i="8" s="1"/>
  <c r="BR219" i="8" s="1"/>
  <c r="BS219" i="8" s="1"/>
  <c r="BX219" i="8" s="1"/>
  <c r="P211" i="8"/>
  <c r="AL196" i="8"/>
  <c r="AL132" i="8"/>
  <c r="AL174" i="8"/>
  <c r="AD165" i="8"/>
  <c r="AD164" i="8"/>
  <c r="AD171" i="8"/>
  <c r="AD163" i="8"/>
  <c r="V185" i="8"/>
  <c r="V186" i="8"/>
  <c r="AP94" i="8"/>
  <c r="J88" i="8"/>
  <c r="K86" i="8"/>
  <c r="J91" i="8"/>
  <c r="J87" i="8"/>
  <c r="CV87" i="103"/>
  <c r="DA87" i="103"/>
  <c r="DF159" i="103"/>
  <c r="DF158" i="103"/>
  <c r="DK158" i="103"/>
  <c r="DH159" i="103"/>
  <c r="AR285" i="8"/>
  <c r="AR297" i="8"/>
  <c r="AR298" i="8" s="1"/>
  <c r="BC280" i="8"/>
  <c r="AQ235" i="8"/>
  <c r="AR233" i="8"/>
  <c r="AR235" i="8" s="1"/>
  <c r="CP178" i="8"/>
  <c r="CO213" i="8"/>
  <c r="CP213" i="8"/>
  <c r="AV196" i="8"/>
  <c r="BL117" i="8"/>
  <c r="BG119" i="8"/>
  <c r="BG159" i="8"/>
  <c r="BI159" i="8" s="1"/>
  <c r="BG178" i="8"/>
  <c r="CO178" i="8" s="1"/>
  <c r="BG120" i="8"/>
  <c r="BI120" i="8" s="1"/>
  <c r="BI121" i="8" s="1"/>
  <c r="BI118" i="8"/>
  <c r="BG114" i="8"/>
  <c r="BH116" i="8" s="1"/>
  <c r="CM116" i="8" s="1"/>
  <c r="BG117" i="8"/>
  <c r="B75" i="8"/>
  <c r="D75" i="8"/>
  <c r="B74" i="8"/>
  <c r="CS54" i="103"/>
  <c r="CS53" i="103"/>
  <c r="AE297" i="8"/>
  <c r="AE298" i="8" s="1"/>
  <c r="U297" i="8"/>
  <c r="U298" i="8" s="1"/>
  <c r="U285" i="8"/>
  <c r="AV255" i="8"/>
  <c r="AV258" i="8" s="1"/>
  <c r="AU258" i="8"/>
  <c r="BL260" i="8"/>
  <c r="BL244" i="8"/>
  <c r="AO171" i="8"/>
  <c r="AV123" i="8"/>
  <c r="AV125" i="8"/>
  <c r="AV184" i="8"/>
  <c r="AV156" i="8"/>
  <c r="AV164" i="8"/>
  <c r="AM164" i="8"/>
  <c r="AM156" i="8"/>
  <c r="AM184" i="8"/>
  <c r="AM123" i="8"/>
  <c r="AM125" i="8"/>
  <c r="AR123" i="8"/>
  <c r="AM182" i="8"/>
  <c r="AM46" i="8"/>
  <c r="AM142" i="8"/>
  <c r="FC63" i="103"/>
  <c r="FC58" i="103"/>
  <c r="FD63" i="103"/>
  <c r="DB83" i="103"/>
  <c r="DB97" i="103"/>
  <c r="DB98" i="103" s="1"/>
  <c r="DB86" i="103"/>
  <c r="DB87" i="103" s="1"/>
  <c r="DB30" i="103"/>
  <c r="AX233" i="8"/>
  <c r="AX235" i="8" s="1"/>
  <c r="AW235" i="8"/>
  <c r="BC152" i="8"/>
  <c r="BD144" i="8"/>
  <c r="AN172" i="8"/>
  <c r="AS172" i="8"/>
  <c r="AH172" i="8"/>
  <c r="AM172" i="8"/>
  <c r="G11" i="105"/>
  <c r="AE163" i="8"/>
  <c r="AE164" i="8"/>
  <c r="B108" i="8"/>
  <c r="M49" i="8"/>
  <c r="N50" i="8"/>
  <c r="M50" i="8"/>
  <c r="CO141" i="8"/>
  <c r="BK127" i="8"/>
  <c r="CO57" i="8"/>
  <c r="AO7" i="8"/>
  <c r="AQ258" i="8"/>
  <c r="AQ260" i="8"/>
  <c r="AR259" i="8"/>
  <c r="AS259" i="8" s="1"/>
  <c r="AY211" i="8"/>
  <c r="EA15" i="103"/>
  <c r="EA44" i="103"/>
  <c r="EA19" i="103"/>
  <c r="AJ297" i="8"/>
  <c r="AJ298" i="8" s="1"/>
  <c r="BO290" i="8"/>
  <c r="BP290" i="8" s="1"/>
  <c r="BQ290" i="8" s="1"/>
  <c r="BR290" i="8" s="1"/>
  <c r="BS290" i="8" s="1"/>
  <c r="BX290" i="8" s="1"/>
  <c r="CC290" i="8" s="1"/>
  <c r="AT308" i="8"/>
  <c r="AT218" i="8"/>
  <c r="AT211" i="8"/>
  <c r="BJ87" i="8"/>
  <c r="BJ88" i="8"/>
  <c r="BJ158" i="8"/>
  <c r="AH88" i="8"/>
  <c r="AH87" i="8"/>
  <c r="AH91" i="8"/>
  <c r="BF54" i="8"/>
  <c r="BA55" i="8"/>
  <c r="BA54" i="8"/>
  <c r="AR8" i="8"/>
  <c r="Y10" i="8"/>
  <c r="Y7" i="8"/>
  <c r="Y8" i="8" s="1"/>
  <c r="DG231" i="103"/>
  <c r="DG234" i="103"/>
  <c r="DG246" i="103"/>
  <c r="CO15" i="103"/>
  <c r="CO16" i="103" s="1"/>
  <c r="CO19" i="103"/>
  <c r="CO20" i="103" s="1"/>
  <c r="CO43" i="103"/>
  <c r="BL32" i="8"/>
  <c r="BL11" i="8"/>
  <c r="BL5" i="8"/>
  <c r="BL83" i="8" s="1"/>
  <c r="BM85" i="8" s="1"/>
  <c r="CL85" i="8" s="1"/>
  <c r="BL7" i="8"/>
  <c r="BL53" i="8"/>
  <c r="BM55" i="8" s="1"/>
  <c r="CL55" i="8" s="1"/>
  <c r="BL10" i="8"/>
  <c r="AM244" i="8"/>
  <c r="AM235" i="8"/>
  <c r="AW257" i="8"/>
  <c r="AX257" i="8" s="1"/>
  <c r="BC239" i="8"/>
  <c r="BA244" i="8"/>
  <c r="AO308" i="8"/>
  <c r="AO211" i="8"/>
  <c r="AO218" i="8"/>
  <c r="AN173" i="8"/>
  <c r="I11" i="105"/>
  <c r="AO163" i="8"/>
  <c r="AO165" i="8"/>
  <c r="AO234" i="8"/>
  <c r="AO235" i="8" s="1"/>
  <c r="AE171" i="8"/>
  <c r="BH50" i="8"/>
  <c r="CM50" i="8" s="1"/>
  <c r="BH49" i="8"/>
  <c r="CM49" i="8" s="1"/>
  <c r="BE49" i="8"/>
  <c r="BA50" i="8"/>
  <c r="AZ50" i="8"/>
  <c r="AD7" i="8"/>
  <c r="AI10" i="8"/>
  <c r="AD10" i="8"/>
  <c r="EK104" i="103"/>
  <c r="EK105" i="103"/>
  <c r="EK78" i="103"/>
  <c r="CR42" i="103"/>
  <c r="DJ69" i="103"/>
  <c r="DJ74" i="103"/>
  <c r="DJ70" i="103"/>
  <c r="E9" i="104"/>
  <c r="C8" i="104"/>
  <c r="BB120" i="8"/>
  <c r="BB121" i="8" s="1"/>
  <c r="BB178" i="8"/>
  <c r="BB160" i="8"/>
  <c r="AK95" i="8"/>
  <c r="AK93" i="8"/>
  <c r="AD91" i="8"/>
  <c r="AD87" i="8"/>
  <c r="AD88" i="8"/>
  <c r="AE86" i="8"/>
  <c r="AN55" i="8"/>
  <c r="AN54" i="8"/>
  <c r="BD13" i="8"/>
  <c r="BD9" i="8"/>
  <c r="BD58" i="8"/>
  <c r="BD59" i="8" s="1"/>
  <c r="M53" i="8"/>
  <c r="M7" i="8"/>
  <c r="Z32" i="8"/>
  <c r="Z5" i="8"/>
  <c r="Z94" i="8" s="1"/>
  <c r="U94" i="8"/>
  <c r="U45" i="8"/>
  <c r="Q83" i="8"/>
  <c r="Q45" i="8"/>
  <c r="Q94" i="8"/>
  <c r="DL29" i="103"/>
  <c r="DL26" i="103"/>
  <c r="DL27" i="103" s="1"/>
  <c r="DR69" i="103"/>
  <c r="DR70" i="103"/>
  <c r="DR74" i="103"/>
  <c r="BY158" i="103"/>
  <c r="BY159" i="103"/>
  <c r="BZ159" i="103"/>
  <c r="BG285" i="8"/>
  <c r="BH259" i="8"/>
  <c r="BF260" i="8"/>
  <c r="CP201" i="8"/>
  <c r="CO201" i="8"/>
  <c r="Y142" i="8"/>
  <c r="AA186" i="8"/>
  <c r="AA185" i="8"/>
  <c r="AF185" i="8"/>
  <c r="BJ127" i="8"/>
  <c r="BE168" i="8"/>
  <c r="BE167" i="8" s="1"/>
  <c r="BF100" i="8"/>
  <c r="BF101" i="8" s="1"/>
  <c r="BF167" i="8"/>
  <c r="BK87" i="8"/>
  <c r="BK83" i="8"/>
  <c r="BK158" i="8"/>
  <c r="BK153" i="8" s="1"/>
  <c r="BK88" i="8"/>
  <c r="AI88" i="8"/>
  <c r="AI83" i="8"/>
  <c r="AI91" i="8"/>
  <c r="AI87" i="8"/>
  <c r="BK70" i="8"/>
  <c r="D70" i="8"/>
  <c r="AS54" i="8"/>
  <c r="K122" i="8"/>
  <c r="P62" i="8"/>
  <c r="K62" i="8"/>
  <c r="K56" i="8"/>
  <c r="AT52" i="8"/>
  <c r="AT122" i="8"/>
  <c r="AT48" i="8"/>
  <c r="AY52" i="8"/>
  <c r="Z10" i="8"/>
  <c r="BG94" i="8"/>
  <c r="BG97" i="8"/>
  <c r="AO15" i="8"/>
  <c r="AJ146" i="8"/>
  <c r="AJ152" i="8" s="1"/>
  <c r="AJ15" i="8"/>
  <c r="AE146" i="8"/>
  <c r="AE152" i="8" s="1"/>
  <c r="AE15" i="8"/>
  <c r="DN195" i="103"/>
  <c r="DN196" i="103"/>
  <c r="DS195" i="103"/>
  <c r="BG101" i="8"/>
  <c r="AZ97" i="8"/>
  <c r="CP92" i="8"/>
  <c r="CO92" i="8"/>
  <c r="AR87" i="8"/>
  <c r="AM92" i="8"/>
  <c r="AM87" i="8"/>
  <c r="CP76" i="8"/>
  <c r="CO76" i="8"/>
  <c r="CU66" i="103"/>
  <c r="CS6" i="103"/>
  <c r="CW5" i="103"/>
  <c r="F270" i="8"/>
  <c r="AO230" i="8"/>
  <c r="AT230" i="8"/>
  <c r="CO220" i="8"/>
  <c r="CP220" i="8"/>
  <c r="BP215" i="8"/>
  <c r="BQ215" i="8" s="1"/>
  <c r="BR215" i="8" s="1"/>
  <c r="AT215" i="8"/>
  <c r="BN308" i="8"/>
  <c r="AV170" i="8"/>
  <c r="AV163" i="8"/>
  <c r="AY162" i="8"/>
  <c r="W186" i="8"/>
  <c r="O173" i="8"/>
  <c r="AU164" i="8"/>
  <c r="AU184" i="8"/>
  <c r="AU156" i="8"/>
  <c r="J123" i="8"/>
  <c r="J184" i="8"/>
  <c r="O123" i="8"/>
  <c r="BE121" i="8"/>
  <c r="R89" i="8"/>
  <c r="V91" i="8"/>
  <c r="V87" i="8"/>
  <c r="V88" i="8"/>
  <c r="V83" i="8"/>
  <c r="AA84" i="8" s="1"/>
  <c r="AA91" i="8"/>
  <c r="T87" i="8"/>
  <c r="O88" i="8"/>
  <c r="O91" i="8"/>
  <c r="O87" i="8"/>
  <c r="BG78" i="8"/>
  <c r="CO81" i="8"/>
  <c r="BG86" i="8"/>
  <c r="BL91" i="8" s="1"/>
  <c r="E79" i="8"/>
  <c r="E80" i="8"/>
  <c r="AL65" i="8"/>
  <c r="AQ64" i="8"/>
  <c r="AA60" i="8"/>
  <c r="AQ59" i="8"/>
  <c r="AR60" i="8"/>
  <c r="AM59" i="8"/>
  <c r="AI60" i="8"/>
  <c r="AH60" i="8"/>
  <c r="AH59" i="8"/>
  <c r="AC59" i="8"/>
  <c r="X59" i="8"/>
  <c r="AZ54" i="8"/>
  <c r="Y53" i="8"/>
  <c r="CO52" i="8"/>
  <c r="Y46" i="8"/>
  <c r="BQ39" i="8"/>
  <c r="BL39" i="8"/>
  <c r="DF195" i="103"/>
  <c r="DK195" i="103"/>
  <c r="DF196" i="103"/>
  <c r="CS162" i="103"/>
  <c r="CS163" i="103"/>
  <c r="CX162" i="103"/>
  <c r="DG13" i="103"/>
  <c r="DG56" i="103"/>
  <c r="DG57" i="103" s="1"/>
  <c r="DB42" i="103"/>
  <c r="CX19" i="103"/>
  <c r="CX43" i="103"/>
  <c r="CX15" i="103"/>
  <c r="DC43" i="103"/>
  <c r="CM222" i="103"/>
  <c r="CM224" i="103" s="1"/>
  <c r="CL224" i="103"/>
  <c r="CL230" i="103" s="1"/>
  <c r="AY112" i="8"/>
  <c r="AY122" i="8" s="1"/>
  <c r="AW122" i="8"/>
  <c r="BF123" i="8"/>
  <c r="BF125" i="8"/>
  <c r="BK126" i="8" s="1"/>
  <c r="BF184" i="8"/>
  <c r="BF164" i="8"/>
  <c r="T84" i="8"/>
  <c r="O85" i="8"/>
  <c r="AX70" i="8"/>
  <c r="BC69" i="8"/>
  <c r="AZ70" i="8"/>
  <c r="AM64" i="8"/>
  <c r="AM65" i="8"/>
  <c r="AV55" i="8"/>
  <c r="AE62" i="8"/>
  <c r="Z56" i="8"/>
  <c r="Z58" i="8"/>
  <c r="Z59" i="8" s="1"/>
  <c r="Z62" i="8"/>
  <c r="Z122" i="8"/>
  <c r="Z156" i="8" s="1"/>
  <c r="Y173" i="8"/>
  <c r="L58" i="8"/>
  <c r="Q59" i="8" s="1"/>
  <c r="Q13" i="8"/>
  <c r="P12" i="8"/>
  <c r="L13" i="8"/>
  <c r="L9" i="8"/>
  <c r="L7" i="8" s="1"/>
  <c r="L5" i="8"/>
  <c r="Q6" i="8" s="1"/>
  <c r="CH62" i="103"/>
  <c r="CH63" i="103" s="1"/>
  <c r="CM62" i="103"/>
  <c r="CM63" i="103" s="1"/>
  <c r="AT258" i="8"/>
  <c r="BH238" i="8"/>
  <c r="BJ235" i="8"/>
  <c r="BP214" i="8"/>
  <c r="BQ214" i="8" s="1"/>
  <c r="BR214" i="8" s="1"/>
  <c r="BA163" i="8"/>
  <c r="CO140" i="8"/>
  <c r="CP140" i="8"/>
  <c r="BE281" i="8"/>
  <c r="BE269" i="8"/>
  <c r="BJ183" i="8"/>
  <c r="AY141" i="8"/>
  <c r="AH155" i="8"/>
  <c r="AF155" i="8"/>
  <c r="AG155" i="8"/>
  <c r="AJ154" i="8"/>
  <c r="Q186" i="8"/>
  <c r="H186" i="8"/>
  <c r="M185" i="8"/>
  <c r="AU123" i="8"/>
  <c r="BK183" i="8"/>
  <c r="BK269" i="8"/>
  <c r="BG176" i="8"/>
  <c r="BG98" i="8" s="1"/>
  <c r="BO162" i="8"/>
  <c r="BB91" i="8"/>
  <c r="BB93" i="8"/>
  <c r="BB175" i="8"/>
  <c r="BD92" i="8"/>
  <c r="BB96" i="8"/>
  <c r="BB94" i="8"/>
  <c r="BB158" i="8"/>
  <c r="BG93" i="8"/>
  <c r="AA87" i="8"/>
  <c r="AZ85" i="8"/>
  <c r="Z86" i="8"/>
  <c r="Z88" i="8" s="1"/>
  <c r="BF78" i="8"/>
  <c r="D80" i="8"/>
  <c r="D79" i="8"/>
  <c r="AL64" i="8"/>
  <c r="BB64" i="8"/>
  <c r="BB65" i="8"/>
  <c r="Y60" i="8"/>
  <c r="AL59" i="8"/>
  <c r="AG59" i="8"/>
  <c r="AG60" i="8"/>
  <c r="AJ58" i="8"/>
  <c r="AJ122" i="8"/>
  <c r="AJ56" i="8"/>
  <c r="AJ62" i="8"/>
  <c r="AY45" i="8"/>
  <c r="AY142" i="8" s="1"/>
  <c r="H6" i="8"/>
  <c r="H83" i="8"/>
  <c r="H85" i="8" s="1"/>
  <c r="H45" i="8"/>
  <c r="H125" i="8" s="1"/>
  <c r="BU234" i="103"/>
  <c r="BU235" i="103" s="1"/>
  <c r="BU231" i="103"/>
  <c r="BU246" i="103"/>
  <c r="BU247" i="103" s="1"/>
  <c r="BZ248" i="103" s="1"/>
  <c r="BX230" i="103"/>
  <c r="DW163" i="103"/>
  <c r="DW162" i="103"/>
  <c r="EY189" i="103"/>
  <c r="FD189" i="103" s="1"/>
  <c r="FC189" i="103"/>
  <c r="DY233" i="103"/>
  <c r="DY252" i="103"/>
  <c r="CU70" i="103"/>
  <c r="CU74" i="103"/>
  <c r="CU69" i="103"/>
  <c r="EW110" i="103"/>
  <c r="ER112" i="103"/>
  <c r="EU110" i="103"/>
  <c r="AU64" i="8"/>
  <c r="AZ64" i="8"/>
  <c r="EF133" i="103"/>
  <c r="EF204" i="103"/>
  <c r="EF134" i="103"/>
  <c r="DK84" i="103"/>
  <c r="DK85" i="103"/>
  <c r="DP84" i="103"/>
  <c r="BX7" i="103"/>
  <c r="EP301" i="103"/>
  <c r="Z296" i="8"/>
  <c r="AW300" i="8"/>
  <c r="AW285" i="8"/>
  <c r="BG258" i="8"/>
  <c r="CO216" i="8"/>
  <c r="CP216" i="8"/>
  <c r="BI279" i="8"/>
  <c r="BI141" i="8"/>
  <c r="AJ141" i="8"/>
  <c r="AJ171" i="8"/>
  <c r="AJ279" i="8"/>
  <c r="AO141" i="8"/>
  <c r="AB173" i="8"/>
  <c r="AU125" i="8"/>
  <c r="AZ121" i="8"/>
  <c r="BB114" i="8"/>
  <c r="BL279" i="8"/>
  <c r="BL142" i="8"/>
  <c r="AK88" i="8"/>
  <c r="AD83" i="8"/>
  <c r="BF158" i="8"/>
  <c r="BF83" i="8"/>
  <c r="BF87" i="8"/>
  <c r="X60" i="8"/>
  <c r="AZ60" i="8"/>
  <c r="AX60" i="8"/>
  <c r="AX59" i="8"/>
  <c r="BC59" i="8"/>
  <c r="AF60" i="8"/>
  <c r="AK59" i="8"/>
  <c r="AF59" i="8"/>
  <c r="BI18" i="8"/>
  <c r="N7" i="8"/>
  <c r="N53" i="8"/>
  <c r="BC6" i="8"/>
  <c r="BC44" i="8"/>
  <c r="AP182" i="8"/>
  <c r="AU183" i="8" s="1"/>
  <c r="AP46" i="8"/>
  <c r="CQ196" i="103"/>
  <c r="FK196" i="103" s="1"/>
  <c r="CQ195" i="103"/>
  <c r="CV195" i="103"/>
  <c r="DL55" i="103"/>
  <c r="DL52" i="103"/>
  <c r="DL53" i="103" s="1"/>
  <c r="DL50" i="103"/>
  <c r="CD159" i="103"/>
  <c r="CD158" i="103"/>
  <c r="CE159" i="103"/>
  <c r="DS17" i="103"/>
  <c r="DS68" i="103"/>
  <c r="DX41" i="103"/>
  <c r="DS41" i="103"/>
  <c r="DS65" i="103"/>
  <c r="DV40" i="103"/>
  <c r="BF55" i="8"/>
  <c r="BE54" i="8"/>
  <c r="BF57" i="8"/>
  <c r="BA57" i="8"/>
  <c r="AR53" i="8"/>
  <c r="AR57" i="8"/>
  <c r="AD53" i="8"/>
  <c r="CO46" i="8"/>
  <c r="CP46" i="8"/>
  <c r="T46" i="8"/>
  <c r="O142" i="8"/>
  <c r="AL7" i="8"/>
  <c r="AQ10" i="8"/>
  <c r="BL18" i="8"/>
  <c r="BL48" i="8"/>
  <c r="BM50" i="8" s="1"/>
  <c r="CL50" i="8" s="1"/>
  <c r="BQ17" i="8"/>
  <c r="BL23" i="8"/>
  <c r="BG73" i="8"/>
  <c r="BG23" i="8"/>
  <c r="BG7" i="8"/>
  <c r="BG24" i="8"/>
  <c r="AY7" i="8"/>
  <c r="AY10" i="8"/>
  <c r="AE32" i="8"/>
  <c r="AA95" i="8"/>
  <c r="V95" i="8"/>
  <c r="AA6" i="8"/>
  <c r="V45" i="8"/>
  <c r="W6" i="8"/>
  <c r="R45" i="8"/>
  <c r="R94" i="8"/>
  <c r="I5" i="8"/>
  <c r="I13" i="8"/>
  <c r="EB162" i="103"/>
  <c r="EB163" i="103"/>
  <c r="EC163" i="103"/>
  <c r="EP55" i="103"/>
  <c r="EP56" i="103" s="1"/>
  <c r="EP52" i="103"/>
  <c r="EP53" i="103" s="1"/>
  <c r="EP50" i="103"/>
  <c r="CY41" i="103"/>
  <c r="CT17" i="103"/>
  <c r="CT65" i="103"/>
  <c r="CT68" i="103"/>
  <c r="CT41" i="103"/>
  <c r="DE203" i="103"/>
  <c r="DE202" i="103"/>
  <c r="DJ202" i="103"/>
  <c r="DB130" i="103"/>
  <c r="DB131" i="103" s="1"/>
  <c r="DG130" i="103"/>
  <c r="DG131" i="103" s="1"/>
  <c r="EW49" i="103"/>
  <c r="EW59" i="103"/>
  <c r="EW60" i="103"/>
  <c r="DA231" i="103"/>
  <c r="DA234" i="103"/>
  <c r="DA246" i="103"/>
  <c r="DA247" i="103" s="1"/>
  <c r="CV84" i="103"/>
  <c r="CV85" i="103"/>
  <c r="FK98" i="103"/>
  <c r="CX53" i="103"/>
  <c r="DC53" i="103"/>
  <c r="CX54" i="103"/>
  <c r="CY54" i="103"/>
  <c r="DC230" i="103"/>
  <c r="DC222" i="103"/>
  <c r="DC224" i="103" s="1"/>
  <c r="DC220" i="103"/>
  <c r="DY235" i="103"/>
  <c r="BN308" i="103"/>
  <c r="BN309" i="103" s="1"/>
  <c r="BS312" i="103"/>
  <c r="BS313" i="103" s="1"/>
  <c r="CS17" i="103"/>
  <c r="CS18" i="103" s="1"/>
  <c r="CS41" i="103"/>
  <c r="CW40" i="103"/>
  <c r="CS68" i="103"/>
  <c r="CS65" i="103"/>
  <c r="DV29" i="103"/>
  <c r="EA29" i="103"/>
  <c r="CW222" i="103"/>
  <c r="CW224" i="103" s="1"/>
  <c r="CV224" i="103"/>
  <c r="CV230" i="103" s="1"/>
  <c r="DV121" i="103"/>
  <c r="DV198" i="103"/>
  <c r="DV175" i="103"/>
  <c r="DV171" i="103"/>
  <c r="DV167" i="103"/>
  <c r="DV263" i="103"/>
  <c r="DV191" i="103"/>
  <c r="DV181" i="103"/>
  <c r="EA121" i="103"/>
  <c r="BD304" i="8"/>
  <c r="BD279" i="8"/>
  <c r="AC164" i="8"/>
  <c r="AH163" i="8"/>
  <c r="AC165" i="8"/>
  <c r="BE184" i="8"/>
  <c r="BJ185" i="8" s="1"/>
  <c r="BE125" i="8"/>
  <c r="BI122" i="8"/>
  <c r="W95" i="8"/>
  <c r="BF94" i="8"/>
  <c r="BK91" i="8"/>
  <c r="BK93" i="8"/>
  <c r="BF175" i="8"/>
  <c r="BF176" i="8" s="1"/>
  <c r="BF98" i="8" s="1"/>
  <c r="AW60" i="8"/>
  <c r="BB59" i="8"/>
  <c r="AZ57" i="8"/>
  <c r="BB46" i="8"/>
  <c r="AW182" i="8"/>
  <c r="X182" i="8"/>
  <c r="X46" i="8"/>
  <c r="X142" i="8"/>
  <c r="AP7" i="8"/>
  <c r="AP8" i="8" s="1"/>
  <c r="AQ11" i="8"/>
  <c r="AP10" i="8"/>
  <c r="H13" i="8"/>
  <c r="H9" i="8"/>
  <c r="H7" i="8" s="1"/>
  <c r="DH202" i="103"/>
  <c r="DH203" i="103"/>
  <c r="DM202" i="103"/>
  <c r="DL230" i="103"/>
  <c r="DL220" i="103"/>
  <c r="DL311" i="103" s="1"/>
  <c r="DL313" i="103" s="1"/>
  <c r="CZ202" i="103"/>
  <c r="CZ203" i="103"/>
  <c r="DA203" i="103"/>
  <c r="CL162" i="103"/>
  <c r="CL163" i="103"/>
  <c r="CN163" i="103"/>
  <c r="EB195" i="103"/>
  <c r="DL40" i="103"/>
  <c r="DH65" i="103"/>
  <c r="DH68" i="103"/>
  <c r="DH17" i="103"/>
  <c r="DH41" i="103"/>
  <c r="DM41" i="103"/>
  <c r="CU158" i="103"/>
  <c r="CU159" i="103"/>
  <c r="CV159" i="103"/>
  <c r="CZ158" i="103"/>
  <c r="DG313" i="103"/>
  <c r="AX259" i="8"/>
  <c r="AV260" i="8"/>
  <c r="BD258" i="8"/>
  <c r="BC163" i="8"/>
  <c r="BC164" i="8"/>
  <c r="P172" i="8"/>
  <c r="O125" i="8"/>
  <c r="BD118" i="8"/>
  <c r="BC113" i="8"/>
  <c r="BC159" i="8"/>
  <c r="BK95" i="8"/>
  <c r="BF91" i="8"/>
  <c r="AJ86" i="8"/>
  <c r="P86" i="8"/>
  <c r="AU57" i="8"/>
  <c r="Z49" i="8"/>
  <c r="AV142" i="8"/>
  <c r="BA46" i="8"/>
  <c r="AV46" i="8"/>
  <c r="G142" i="8"/>
  <c r="G46" i="8"/>
  <c r="AT18" i="8"/>
  <c r="BD32" i="8"/>
  <c r="BA83" i="8"/>
  <c r="BA94" i="8"/>
  <c r="BA97" i="8"/>
  <c r="AJ9" i="8"/>
  <c r="AJ5" i="8"/>
  <c r="AJ13" i="8"/>
  <c r="DB220" i="103"/>
  <c r="DB311" i="103" s="1"/>
  <c r="DB313" i="103" s="1"/>
  <c r="DB222" i="103"/>
  <c r="DB224" i="103" s="1"/>
  <c r="DB230" i="103" s="1"/>
  <c r="DT66" i="103"/>
  <c r="CR252" i="103"/>
  <c r="CR199" i="103"/>
  <c r="CR200" i="103" s="1"/>
  <c r="CR201" i="103"/>
  <c r="CR161" i="103"/>
  <c r="CR157" i="103"/>
  <c r="CR158" i="103" s="1"/>
  <c r="CR159" i="103" s="1"/>
  <c r="CR298" i="103"/>
  <c r="CR282" i="103"/>
  <c r="CR280" i="103"/>
  <c r="CR293" i="103"/>
  <c r="CR160" i="103"/>
  <c r="CR286" i="103"/>
  <c r="BD17" i="103"/>
  <c r="BD41" i="103"/>
  <c r="BD47" i="103"/>
  <c r="DU17" i="103"/>
  <c r="DU18" i="103" s="1"/>
  <c r="DU41" i="103"/>
  <c r="DU68" i="103"/>
  <c r="DU65" i="103"/>
  <c r="DZ41" i="103"/>
  <c r="ES51" i="103"/>
  <c r="ES42" i="103"/>
  <c r="ES50" i="103"/>
  <c r="ES52" i="103"/>
  <c r="DH86" i="103"/>
  <c r="DH87" i="103" s="1"/>
  <c r="DL96" i="103"/>
  <c r="DH83" i="103"/>
  <c r="DH97" i="103"/>
  <c r="DH98" i="103"/>
  <c r="FH98" i="103" s="1"/>
  <c r="DI98" i="103"/>
  <c r="BO295" i="8"/>
  <c r="BP295" i="8" s="1"/>
  <c r="BQ295" i="8" s="1"/>
  <c r="BR295" i="8" s="1"/>
  <c r="BS295" i="8" s="1"/>
  <c r="BB297" i="8"/>
  <c r="BB298" i="8" s="1"/>
  <c r="BH261" i="8"/>
  <c r="BB259" i="8"/>
  <c r="BC259" i="8" s="1"/>
  <c r="BC244" i="8"/>
  <c r="BC234" i="8"/>
  <c r="BD230" i="8"/>
  <c r="U230" i="8"/>
  <c r="CO219" i="8"/>
  <c r="CP219" i="8"/>
  <c r="BI217" i="8"/>
  <c r="BI211" i="8"/>
  <c r="CO198" i="8"/>
  <c r="CP198" i="8"/>
  <c r="BR197" i="8"/>
  <c r="BQ255" i="8"/>
  <c r="BP259" i="8"/>
  <c r="BL255" i="8"/>
  <c r="BJ258" i="8"/>
  <c r="CP165" i="8"/>
  <c r="BC165" i="8"/>
  <c r="BE164" i="8"/>
  <c r="AC163" i="8"/>
  <c r="AW142" i="8"/>
  <c r="AG142" i="8"/>
  <c r="AU173" i="8"/>
  <c r="L155" i="8"/>
  <c r="M155" i="8"/>
  <c r="N155" i="8"/>
  <c r="AP123" i="8"/>
  <c r="AP125" i="8"/>
  <c r="AG123" i="8"/>
  <c r="AG125" i="8"/>
  <c r="AG184" i="8"/>
  <c r="Y184" i="8"/>
  <c r="Y123" i="8"/>
  <c r="Y125" i="8"/>
  <c r="G184" i="8"/>
  <c r="G156" i="8"/>
  <c r="BH121" i="8"/>
  <c r="CM121" i="8" s="1"/>
  <c r="BB159" i="8"/>
  <c r="E109" i="8"/>
  <c r="BI162" i="8"/>
  <c r="BE163" i="8"/>
  <c r="BK167" i="8"/>
  <c r="BK98" i="8" s="1"/>
  <c r="BK100" i="8"/>
  <c r="BK101" i="8" s="1"/>
  <c r="CB96" i="8"/>
  <c r="BF95" i="8"/>
  <c r="BJ91" i="8"/>
  <c r="BJ93" i="8"/>
  <c r="BI92" i="8"/>
  <c r="BE91" i="8"/>
  <c r="BE93" i="8"/>
  <c r="BE175" i="8"/>
  <c r="AS94" i="8"/>
  <c r="S87" i="8"/>
  <c r="AV85" i="8"/>
  <c r="AA85" i="8"/>
  <c r="R83" i="8"/>
  <c r="L87" i="8"/>
  <c r="G88" i="8"/>
  <c r="G91" i="8"/>
  <c r="G87" i="8"/>
  <c r="BG70" i="8"/>
  <c r="BH70" i="8"/>
  <c r="CM70" i="8" s="1"/>
  <c r="BD67" i="8"/>
  <c r="Q60" i="8"/>
  <c r="S59" i="8"/>
  <c r="S60" i="8"/>
  <c r="T60" i="8"/>
  <c r="I58" i="8"/>
  <c r="AY56" i="8"/>
  <c r="AK53" i="8"/>
  <c r="R53" i="8"/>
  <c r="AO48" i="8"/>
  <c r="AO49" i="8" s="1"/>
  <c r="AU142" i="8"/>
  <c r="AU46" i="8"/>
  <c r="BA44" i="8"/>
  <c r="BD38" i="8"/>
  <c r="AU10" i="8"/>
  <c r="AH7" i="8"/>
  <c r="AH8" i="8" s="1"/>
  <c r="AH10" i="8"/>
  <c r="AH53" i="8"/>
  <c r="AM54" i="8" s="1"/>
  <c r="W8" i="8"/>
  <c r="I9" i="8"/>
  <c r="I7" i="8" s="1"/>
  <c r="BE6" i="8"/>
  <c r="AZ45" i="8"/>
  <c r="AZ94" i="8"/>
  <c r="AW83" i="8"/>
  <c r="AW6" i="8"/>
  <c r="AX6" i="8"/>
  <c r="AS45" i="8"/>
  <c r="AS83" i="8"/>
  <c r="S95" i="8"/>
  <c r="N45" i="8"/>
  <c r="S6" i="8"/>
  <c r="J12" i="8"/>
  <c r="K12" i="8" s="1"/>
  <c r="BT69" i="103"/>
  <c r="BT70" i="103"/>
  <c r="BT74" i="103"/>
  <c r="EA161" i="103"/>
  <c r="EA208" i="103"/>
  <c r="BY70" i="103"/>
  <c r="BY69" i="103"/>
  <c r="BY74" i="103"/>
  <c r="CZ163" i="103"/>
  <c r="CZ162" i="103"/>
  <c r="DA163" i="103"/>
  <c r="DD69" i="103"/>
  <c r="DD70" i="103"/>
  <c r="DD74" i="103"/>
  <c r="BI15" i="103"/>
  <c r="BI19" i="103"/>
  <c r="BI44" i="103"/>
  <c r="BI43" i="103"/>
  <c r="AJ7" i="103"/>
  <c r="BS15" i="103"/>
  <c r="BS19" i="103"/>
  <c r="BS44" i="103"/>
  <c r="BS45" i="103" s="1"/>
  <c r="BS43" i="103"/>
  <c r="EK161" i="103"/>
  <c r="EK286" i="103"/>
  <c r="EK292" i="103"/>
  <c r="EZ211" i="103"/>
  <c r="EU217" i="103"/>
  <c r="DC87" i="103"/>
  <c r="DN98" i="103"/>
  <c r="DR97" i="103"/>
  <c r="DQ96" i="103"/>
  <c r="DM98" i="103"/>
  <c r="DM83" i="103"/>
  <c r="DM97" i="103"/>
  <c r="DM86" i="103"/>
  <c r="CC56" i="103"/>
  <c r="CC57" i="103" s="1"/>
  <c r="CC13" i="103"/>
  <c r="EE43" i="103"/>
  <c r="EJ43" i="103"/>
  <c r="CQ17" i="103"/>
  <c r="CQ18" i="103" s="1"/>
  <c r="CQ41" i="103"/>
  <c r="CQ65" i="103"/>
  <c r="CQ68" i="103"/>
  <c r="DJ163" i="103"/>
  <c r="DK163" i="103"/>
  <c r="CZ85" i="103"/>
  <c r="CZ84" i="103"/>
  <c r="DE84" i="103"/>
  <c r="CV19" i="103"/>
  <c r="CV15" i="103"/>
  <c r="CV43" i="103"/>
  <c r="DA43" i="103"/>
  <c r="DP232" i="103"/>
  <c r="DP233" i="103"/>
  <c r="DP252" i="103"/>
  <c r="BS68" i="103"/>
  <c r="CE54" i="103"/>
  <c r="CE53" i="103"/>
  <c r="CJ53" i="103"/>
  <c r="EA195" i="103"/>
  <c r="DX196" i="103"/>
  <c r="DZ196" i="103"/>
  <c r="DY196" i="103"/>
  <c r="DW196" i="103"/>
  <c r="BH274" i="8"/>
  <c r="BO200" i="8"/>
  <c r="BP200" i="8" s="1"/>
  <c r="BQ200" i="8" s="1"/>
  <c r="BR200" i="8" s="1"/>
  <c r="BS200" i="8" s="1"/>
  <c r="BX200" i="8" s="1"/>
  <c r="CC200" i="8" s="1"/>
  <c r="AZ165" i="8"/>
  <c r="AZ171" i="8"/>
  <c r="AZ172" i="8" s="1"/>
  <c r="AG173" i="8"/>
  <c r="AL135" i="8" s="1"/>
  <c r="AG183" i="8"/>
  <c r="R184" i="8"/>
  <c r="R123" i="8"/>
  <c r="R125" i="8"/>
  <c r="N88" i="8"/>
  <c r="N91" i="8"/>
  <c r="N87" i="8"/>
  <c r="AS59" i="8"/>
  <c r="AN60" i="8"/>
  <c r="L49" i="8"/>
  <c r="L50" i="8"/>
  <c r="V6" i="8"/>
  <c r="BK6" i="8"/>
  <c r="BK97" i="8"/>
  <c r="DZ202" i="103"/>
  <c r="DZ203" i="103"/>
  <c r="EB203" i="103"/>
  <c r="DQ199" i="103"/>
  <c r="DQ201" i="103"/>
  <c r="DQ280" i="103"/>
  <c r="DQ298" i="103"/>
  <c r="DQ157" i="103"/>
  <c r="DQ158" i="103" s="1"/>
  <c r="DQ161" i="103"/>
  <c r="DQ162" i="103" s="1"/>
  <c r="DQ293" i="103"/>
  <c r="DQ286" i="103"/>
  <c r="CP233" i="103"/>
  <c r="CP232" i="103"/>
  <c r="CP252" i="103"/>
  <c r="CC7" i="103"/>
  <c r="CC6" i="103"/>
  <c r="FH231" i="103"/>
  <c r="EB252" i="103"/>
  <c r="FK77" i="103"/>
  <c r="BL246" i="8"/>
  <c r="AX260" i="8"/>
  <c r="AL244" i="8"/>
  <c r="AL260" i="8"/>
  <c r="BH123" i="8"/>
  <c r="CM123" i="8" s="1"/>
  <c r="AH123" i="8"/>
  <c r="AH125" i="8"/>
  <c r="Q123" i="8"/>
  <c r="BM234" i="8"/>
  <c r="BM235" i="8" s="1"/>
  <c r="AO86" i="8"/>
  <c r="AT87" i="8" s="1"/>
  <c r="AL87" i="8"/>
  <c r="AV60" i="8"/>
  <c r="BA59" i="8"/>
  <c r="AP53" i="8"/>
  <c r="AB46" i="8"/>
  <c r="W182" i="8"/>
  <c r="W142" i="8"/>
  <c r="W46" i="8"/>
  <c r="Z15" i="8"/>
  <c r="M13" i="8"/>
  <c r="BG39" i="8"/>
  <c r="BG44" i="8"/>
  <c r="BB8" i="8"/>
  <c r="AO13" i="8"/>
  <c r="AO32" i="8"/>
  <c r="AO5" i="8"/>
  <c r="FH200" i="103"/>
  <c r="DA85" i="103"/>
  <c r="DA84" i="103"/>
  <c r="DX163" i="103"/>
  <c r="DX162" i="103"/>
  <c r="DY163" i="103"/>
  <c r="EC162" i="103"/>
  <c r="DF67" i="103"/>
  <c r="DF66" i="103"/>
  <c r="DZ6" i="103"/>
  <c r="EA5" i="103"/>
  <c r="CQ53" i="103"/>
  <c r="CQ54" i="103"/>
  <c r="AZ285" i="8"/>
  <c r="BF297" i="8"/>
  <c r="BF298" i="8" s="1"/>
  <c r="BH296" i="8"/>
  <c r="BK285" i="8"/>
  <c r="F285" i="8"/>
  <c r="AX284" i="8"/>
  <c r="BA255" i="8"/>
  <c r="BB255" i="8" s="1"/>
  <c r="BN305" i="8"/>
  <c r="BG243" i="8"/>
  <c r="AW260" i="8"/>
  <c r="BL234" i="8"/>
  <c r="AY230" i="8"/>
  <c r="BK217" i="8"/>
  <c r="BL243" i="8"/>
  <c r="CV231" i="8" s="1"/>
  <c r="AE218" i="8"/>
  <c r="Z211" i="8"/>
  <c r="Z218" i="8"/>
  <c r="Z308" i="8"/>
  <c r="AA218" i="8" s="1"/>
  <c r="BD211" i="8"/>
  <c r="AE211" i="8"/>
  <c r="BD198" i="8"/>
  <c r="BG185" i="8"/>
  <c r="AQ183" i="8"/>
  <c r="AB172" i="8"/>
  <c r="BR239" i="8"/>
  <c r="BQ253" i="8"/>
  <c r="BQ243" i="8"/>
  <c r="BH163" i="8"/>
  <c r="CM163" i="8" s="1"/>
  <c r="M152" i="8"/>
  <c r="BA196" i="8"/>
  <c r="AQ172" i="8"/>
  <c r="P152" i="8"/>
  <c r="U141" i="8"/>
  <c r="BC125" i="8"/>
  <c r="AF123" i="8"/>
  <c r="AF125" i="8"/>
  <c r="AF156" i="8"/>
  <c r="X123" i="8"/>
  <c r="X125" i="8"/>
  <c r="X156" i="8"/>
  <c r="X184" i="8"/>
  <c r="O184" i="8"/>
  <c r="O156" i="8"/>
  <c r="D109" i="8"/>
  <c r="BG165" i="8"/>
  <c r="CO162" i="8"/>
  <c r="CP162" i="8"/>
  <c r="BF96" i="8"/>
  <c r="BE95" i="8"/>
  <c r="AE93" i="8"/>
  <c r="P93" i="8"/>
  <c r="BD86" i="8"/>
  <c r="AA88" i="8"/>
  <c r="AF89" i="8" s="1"/>
  <c r="AF91" i="8"/>
  <c r="AB87" i="8"/>
  <c r="W87" i="8"/>
  <c r="W91" i="8"/>
  <c r="W88" i="8"/>
  <c r="U86" i="8"/>
  <c r="Z91" i="8" s="1"/>
  <c r="BG69" i="8"/>
  <c r="BF70" i="8"/>
  <c r="AW64" i="8"/>
  <c r="AW65" i="8"/>
  <c r="AX65" i="8"/>
  <c r="AW59" i="8"/>
  <c r="AA59" i="8"/>
  <c r="AB60" i="8"/>
  <c r="R60" i="8"/>
  <c r="H58" i="8"/>
  <c r="H60" i="8" s="1"/>
  <c r="AX53" i="8"/>
  <c r="BC54" i="8" s="1"/>
  <c r="BB50" i="8"/>
  <c r="AI50" i="8"/>
  <c r="AU50" i="8"/>
  <c r="AU49" i="8"/>
  <c r="AV50" i="8"/>
  <c r="AN50" i="8"/>
  <c r="AN49" i="8"/>
  <c r="AP50" i="8"/>
  <c r="AF50" i="8"/>
  <c r="AF49" i="8"/>
  <c r="BK44" i="8"/>
  <c r="BS41" i="8"/>
  <c r="BG32" i="8"/>
  <c r="CO26" i="8"/>
  <c r="CP26" i="8"/>
  <c r="BI22" i="8"/>
  <c r="AN8" i="8"/>
  <c r="AG7" i="8"/>
  <c r="AG8" i="8" s="1"/>
  <c r="V7" i="8"/>
  <c r="AA10" i="8"/>
  <c r="AR45" i="8"/>
  <c r="AR94" i="8"/>
  <c r="M5" i="8"/>
  <c r="M58" i="8"/>
  <c r="R13" i="8"/>
  <c r="AP1" i="8"/>
  <c r="CE162" i="103"/>
  <c r="CE163" i="103"/>
  <c r="CJ162" i="103"/>
  <c r="CF163" i="103"/>
  <c r="DJ224" i="103"/>
  <c r="DL222" i="103"/>
  <c r="DL224" i="103" s="1"/>
  <c r="DV26" i="103"/>
  <c r="DM6" i="103"/>
  <c r="DQ5" i="103"/>
  <c r="DR6" i="103"/>
  <c r="EE140" i="103"/>
  <c r="EE139" i="103"/>
  <c r="DT162" i="103"/>
  <c r="DT163" i="103"/>
  <c r="DY162" i="103"/>
  <c r="DU163" i="103"/>
  <c r="BY163" i="103"/>
  <c r="BY162" i="103"/>
  <c r="BZ163" i="103"/>
  <c r="BE20" i="103"/>
  <c r="BJ20" i="103"/>
  <c r="CI158" i="103"/>
  <c r="CI159" i="103"/>
  <c r="CN158" i="103"/>
  <c r="DF209" i="103"/>
  <c r="DF208" i="103"/>
  <c r="DF161" i="103"/>
  <c r="DK208" i="103"/>
  <c r="DH209" i="103"/>
  <c r="ED194" i="103"/>
  <c r="ED202" i="103"/>
  <c r="ED203" i="103"/>
  <c r="DW74" i="103"/>
  <c r="DW69" i="103"/>
  <c r="DW70" i="103"/>
  <c r="EB69" i="103"/>
  <c r="EC54" i="103"/>
  <c r="EC53" i="103"/>
  <c r="ED54" i="103"/>
  <c r="EH53" i="103"/>
  <c r="BS10" i="103"/>
  <c r="BX10" i="103"/>
  <c r="BO16" i="103"/>
  <c r="AY56" i="103"/>
  <c r="AY57" i="103" s="1"/>
  <c r="AY13" i="103"/>
  <c r="AY14" i="103" s="1"/>
  <c r="FI182" i="103"/>
  <c r="CM208" i="103"/>
  <c r="CM209" i="103" s="1"/>
  <c r="CM161" i="103"/>
  <c r="CM162" i="103" s="1"/>
  <c r="CM163" i="103" s="1"/>
  <c r="CR208" i="103"/>
  <c r="CR209" i="103" s="1"/>
  <c r="CZ87" i="103"/>
  <c r="DE87" i="103"/>
  <c r="CZ6" i="103"/>
  <c r="DE6" i="103"/>
  <c r="DU15" i="103"/>
  <c r="DU16" i="103" s="1"/>
  <c r="DU19" i="103"/>
  <c r="DU20" i="103" s="1"/>
  <c r="DU43" i="103"/>
  <c r="CO6" i="103"/>
  <c r="CR5" i="103"/>
  <c r="DQ160" i="103"/>
  <c r="CB158" i="103"/>
  <c r="CB159" i="103"/>
  <c r="CG158" i="103"/>
  <c r="DU308" i="103"/>
  <c r="DU309" i="103" s="1"/>
  <c r="DV309" i="103"/>
  <c r="Z56" i="103"/>
  <c r="Z57" i="103" s="1"/>
  <c r="Z13" i="103"/>
  <c r="Z9" i="103" s="1"/>
  <c r="AE10" i="103" s="1"/>
  <c r="CG234" i="103"/>
  <c r="CG235" i="103" s="1"/>
  <c r="CG231" i="103"/>
  <c r="CG246" i="103"/>
  <c r="CG247" i="103" s="1"/>
  <c r="CG248" i="103" s="1"/>
  <c r="FH182" i="103"/>
  <c r="AT297" i="8"/>
  <c r="BO289" i="8"/>
  <c r="BH287" i="8"/>
  <c r="BI297" i="8"/>
  <c r="AT214" i="8"/>
  <c r="BC183" i="8"/>
  <c r="AX173" i="8"/>
  <c r="AV183" i="8"/>
  <c r="I123" i="8"/>
  <c r="I184" i="8"/>
  <c r="BZ96" i="8"/>
  <c r="BH87" i="8"/>
  <c r="CM87" i="8" s="1"/>
  <c r="BC158" i="8"/>
  <c r="BC87" i="8"/>
  <c r="AU55" i="8"/>
  <c r="AA50" i="8"/>
  <c r="AB50" i="8"/>
  <c r="V50" i="8"/>
  <c r="T50" i="8"/>
  <c r="N13" i="8"/>
  <c r="BH39" i="8"/>
  <c r="CM39" i="8" s="1"/>
  <c r="EU80" i="103"/>
  <c r="EP103" i="103"/>
  <c r="EP104" i="103" s="1"/>
  <c r="BN19" i="103"/>
  <c r="BN20" i="103" s="1"/>
  <c r="BN44" i="103"/>
  <c r="BN43" i="103"/>
  <c r="BN15" i="103"/>
  <c r="AT19" i="103"/>
  <c r="BG233" i="8"/>
  <c r="BH233" i="8" s="1"/>
  <c r="BF235" i="8"/>
  <c r="BK244" i="8"/>
  <c r="BK243" i="8"/>
  <c r="CU231" i="8" s="1"/>
  <c r="BK246" i="8"/>
  <c r="BS179" i="8"/>
  <c r="BX179" i="8" s="1"/>
  <c r="CC179" i="8" s="1"/>
  <c r="AK164" i="8"/>
  <c r="AK165" i="8"/>
  <c r="AP163" i="8"/>
  <c r="X172" i="8"/>
  <c r="S172" i="8"/>
  <c r="F173" i="8"/>
  <c r="H123" i="8"/>
  <c r="H156" i="8"/>
  <c r="BJ116" i="8"/>
  <c r="BF93" i="8"/>
  <c r="BL88" i="8"/>
  <c r="BM90" i="8" s="1"/>
  <c r="CL90" i="8" s="1"/>
  <c r="BL158" i="8"/>
  <c r="BL93" i="8"/>
  <c r="BL96" i="8"/>
  <c r="BN96" i="8" s="1"/>
  <c r="BL175" i="8"/>
  <c r="BN175" i="8" s="1"/>
  <c r="AB84" i="8"/>
  <c r="AB85" i="8"/>
  <c r="AL53" i="8"/>
  <c r="AF46" i="8"/>
  <c r="AF182" i="8"/>
  <c r="AF142" i="8"/>
  <c r="AY13" i="8"/>
  <c r="AT5" i="8"/>
  <c r="AE5" i="8"/>
  <c r="BO231" i="103"/>
  <c r="BO234" i="103"/>
  <c r="BT235" i="103" s="1"/>
  <c r="BO246" i="103"/>
  <c r="BO247" i="103" s="1"/>
  <c r="DN53" i="103"/>
  <c r="DN54" i="103"/>
  <c r="DO54" i="103"/>
  <c r="BR69" i="103"/>
  <c r="BR74" i="103"/>
  <c r="BR70" i="103"/>
  <c r="BW69" i="103"/>
  <c r="CP235" i="103"/>
  <c r="Q24" i="105"/>
  <c r="R4" i="105"/>
  <c r="BI308" i="8"/>
  <c r="BA297" i="8"/>
  <c r="BA298" i="8" s="1"/>
  <c r="AO287" i="8"/>
  <c r="AN296" i="8"/>
  <c r="BX247" i="8"/>
  <c r="BX249" i="8" s="1"/>
  <c r="CC248" i="8"/>
  <c r="CC247" i="8" s="1"/>
  <c r="CC249" i="8" s="1"/>
  <c r="BF243" i="8"/>
  <c r="BA235" i="8"/>
  <c r="F230" i="8"/>
  <c r="CO214" i="8"/>
  <c r="CP214" i="8"/>
  <c r="BP277" i="8"/>
  <c r="AL183" i="8"/>
  <c r="AK163" i="8"/>
  <c r="F152" i="8"/>
  <c r="BF183" i="8"/>
  <c r="BF269" i="8"/>
  <c r="BF281" i="8"/>
  <c r="BH185" i="8"/>
  <c r="CM185" i="8" s="1"/>
  <c r="BD162" i="8"/>
  <c r="AX155" i="8"/>
  <c r="AY154" i="8"/>
  <c r="AW172" i="8"/>
  <c r="AQ173" i="8"/>
  <c r="AV174" i="8" s="1"/>
  <c r="AO154" i="8"/>
  <c r="AN155" i="8"/>
  <c r="AH184" i="8"/>
  <c r="AE186" i="8"/>
  <c r="G182" i="8"/>
  <c r="BB127" i="8"/>
  <c r="W125" i="8"/>
  <c r="N123" i="8"/>
  <c r="AN123" i="8"/>
  <c r="AN125" i="8"/>
  <c r="AN184" i="8"/>
  <c r="AS185" i="8" s="1"/>
  <c r="AN156" i="8"/>
  <c r="BH113" i="8"/>
  <c r="CM113" i="8" s="1"/>
  <c r="CO113" i="8" s="1"/>
  <c r="BK184" i="8"/>
  <c r="BP162" i="8"/>
  <c r="BQ170" i="8"/>
  <c r="BC88" i="8"/>
  <c r="BC175" i="8"/>
  <c r="BC96" i="8"/>
  <c r="BC97" i="8" s="1"/>
  <c r="AW91" i="8"/>
  <c r="AW93" i="8"/>
  <c r="AL92" i="8"/>
  <c r="S88" i="8"/>
  <c r="AQ87" i="8"/>
  <c r="AZ84" i="8"/>
  <c r="AZ87" i="8"/>
  <c r="AU92" i="8"/>
  <c r="AU87" i="8"/>
  <c r="BE70" i="8"/>
  <c r="BE69" i="8"/>
  <c r="AV64" i="8"/>
  <c r="AV65" i="8"/>
  <c r="AN64" i="8"/>
  <c r="AP65" i="8"/>
  <c r="AN65" i="8"/>
  <c r="B65" i="8"/>
  <c r="B64" i="8"/>
  <c r="AV59" i="8"/>
  <c r="BB53" i="8"/>
  <c r="BG57" i="8"/>
  <c r="AO56" i="8"/>
  <c r="AO62" i="8"/>
  <c r="L53" i="8"/>
  <c r="AH50" i="8"/>
  <c r="BG49" i="8"/>
  <c r="I49" i="8"/>
  <c r="BI48" i="8"/>
  <c r="BN49" i="8" s="1"/>
  <c r="BI52" i="8"/>
  <c r="AM49" i="8"/>
  <c r="AM50" i="8"/>
  <c r="X49" i="8"/>
  <c r="AW46" i="8"/>
  <c r="AN142" i="8"/>
  <c r="AX11" i="8"/>
  <c r="CV18" i="8"/>
  <c r="BI20" i="8"/>
  <c r="AX7" i="8"/>
  <c r="AX8" i="8" s="1"/>
  <c r="AX10" i="8"/>
  <c r="AS10" i="8"/>
  <c r="AU11" i="8"/>
  <c r="AS11" i="8"/>
  <c r="BH5" i="8"/>
  <c r="BH32" i="8"/>
  <c r="CM32" i="8" s="1"/>
  <c r="BH73" i="8"/>
  <c r="BH7" i="8"/>
  <c r="BH24" i="8"/>
  <c r="CM24" i="8" s="1"/>
  <c r="BJ24" i="8"/>
  <c r="BE11" i="8"/>
  <c r="BH10" i="8"/>
  <c r="CM10" i="8" s="1"/>
  <c r="BC11" i="8"/>
  <c r="DE222" i="103"/>
  <c r="DE224" i="103" s="1"/>
  <c r="DE230" i="103"/>
  <c r="DE220" i="103"/>
  <c r="BX17" i="103"/>
  <c r="BX18" i="103" s="1"/>
  <c r="BX47" i="103"/>
  <c r="BX48" i="103" s="1"/>
  <c r="BX68" i="103"/>
  <c r="BX65" i="103"/>
  <c r="BX66" i="103" s="1"/>
  <c r="BX41" i="103"/>
  <c r="DP202" i="103"/>
  <c r="DP203" i="103"/>
  <c r="DR203" i="103"/>
  <c r="DU202" i="103"/>
  <c r="ET34" i="103"/>
  <c r="EU34" i="103" s="1"/>
  <c r="EZ34" i="103" s="1"/>
  <c r="CL6" i="103"/>
  <c r="CM5" i="103"/>
  <c r="CQ6" i="103"/>
  <c r="BS222" i="103"/>
  <c r="BS224" i="103" s="1"/>
  <c r="BR224" i="103"/>
  <c r="BR230" i="103" s="1"/>
  <c r="CN66" i="103"/>
  <c r="BV162" i="103"/>
  <c r="BV163" i="103"/>
  <c r="BW163" i="103"/>
  <c r="CI161" i="103"/>
  <c r="CI209" i="103"/>
  <c r="CI208" i="103"/>
  <c r="CJ209" i="103"/>
  <c r="FI209" i="103" s="1"/>
  <c r="CN208" i="103"/>
  <c r="FJ77" i="103"/>
  <c r="DV55" i="103"/>
  <c r="DV50" i="103"/>
  <c r="DV52" i="103"/>
  <c r="EA50" i="103"/>
  <c r="DW20" i="103"/>
  <c r="EB20" i="103"/>
  <c r="EC15" i="103"/>
  <c r="EC16" i="103" s="1"/>
  <c r="EC19" i="103"/>
  <c r="EC20" i="103" s="1"/>
  <c r="EC43" i="103"/>
  <c r="EH43" i="103"/>
  <c r="EF42" i="103"/>
  <c r="D8" i="104"/>
  <c r="A7" i="104"/>
  <c r="B7" i="104" s="1"/>
  <c r="CL69" i="103"/>
  <c r="CL74" i="103"/>
  <c r="CL70" i="103"/>
  <c r="CO17" i="103"/>
  <c r="CO18" i="103" s="1"/>
  <c r="CO41" i="103"/>
  <c r="CO65" i="103"/>
  <c r="CO68" i="103"/>
  <c r="CR40" i="103"/>
  <c r="DR231" i="103"/>
  <c r="DR234" i="103"/>
  <c r="DR235" i="103" s="1"/>
  <c r="DR246" i="103"/>
  <c r="DR247" i="103" s="1"/>
  <c r="DR248" i="103" s="1"/>
  <c r="BY203" i="103"/>
  <c r="BY202" i="103"/>
  <c r="BZ203" i="103"/>
  <c r="DX203" i="103"/>
  <c r="DX202" i="103"/>
  <c r="EC202" i="103"/>
  <c r="DY203" i="103"/>
  <c r="BS18" i="103"/>
  <c r="CB162" i="103"/>
  <c r="CB163" i="103"/>
  <c r="CF69" i="103"/>
  <c r="CF74" i="103"/>
  <c r="CF70" i="103"/>
  <c r="DB208" i="103"/>
  <c r="DB209" i="103" s="1"/>
  <c r="DB161" i="103"/>
  <c r="DR66" i="103"/>
  <c r="DJ234" i="103"/>
  <c r="DO235" i="103" s="1"/>
  <c r="DJ231" i="103"/>
  <c r="DK233" i="103" s="1"/>
  <c r="DJ246" i="103"/>
  <c r="DJ247" i="103" s="1"/>
  <c r="DO248" i="103" s="1"/>
  <c r="DD162" i="103"/>
  <c r="CC17" i="103"/>
  <c r="CC18" i="103" s="1"/>
  <c r="CC41" i="103"/>
  <c r="CC47" i="103"/>
  <c r="CC48" i="103" s="1"/>
  <c r="CC65" i="103"/>
  <c r="CC66" i="103" s="1"/>
  <c r="CC68" i="103"/>
  <c r="H942" i="104"/>
  <c r="I941" i="104" s="1"/>
  <c r="J942" i="104"/>
  <c r="K941" i="104" s="1"/>
  <c r="FB63" i="103"/>
  <c r="FB58" i="103"/>
  <c r="FH206" i="103"/>
  <c r="BI7" i="103"/>
  <c r="BI8" i="103" s="1"/>
  <c r="BI6" i="103"/>
  <c r="DL42" i="103"/>
  <c r="DH19" i="103"/>
  <c r="DH15" i="103"/>
  <c r="DM43" i="103"/>
  <c r="DH43" i="103"/>
  <c r="CL66" i="103"/>
  <c r="BQ233" i="103"/>
  <c r="BQ252" i="103"/>
  <c r="DC84" i="103"/>
  <c r="DC85" i="103"/>
  <c r="CW93" i="103"/>
  <c r="DB93" i="103"/>
  <c r="T89" i="104"/>
  <c r="T90" i="104" s="1"/>
  <c r="T91" i="104" s="1"/>
  <c r="T92" i="104" s="1"/>
  <c r="T93" i="104" s="1"/>
  <c r="DU54" i="103"/>
  <c r="DW54" i="103"/>
  <c r="DU53" i="103"/>
  <c r="DG87" i="103"/>
  <c r="DX53" i="103"/>
  <c r="DS54" i="103"/>
  <c r="DT54" i="103"/>
  <c r="DS53" i="103"/>
  <c r="BI56" i="103"/>
  <c r="BI57" i="103" s="1"/>
  <c r="BI13" i="103"/>
  <c r="DJ87" i="103"/>
  <c r="DO87" i="103"/>
  <c r="BD8" i="103"/>
  <c r="DQ234" i="103"/>
  <c r="DQ231" i="103"/>
  <c r="DQ246" i="103"/>
  <c r="DQ247" i="103" s="1"/>
  <c r="CT6" i="103"/>
  <c r="CY6" i="103"/>
  <c r="CW161" i="103"/>
  <c r="CW157" i="103"/>
  <c r="CW199" i="103"/>
  <c r="CW200" i="103" s="1"/>
  <c r="CW201" i="103"/>
  <c r="CW280" i="103"/>
  <c r="CW293" i="103"/>
  <c r="CW282" i="103"/>
  <c r="CW298" i="103"/>
  <c r="CW160" i="103"/>
  <c r="AD182" i="8"/>
  <c r="Y49" i="8"/>
  <c r="DO16" i="103"/>
  <c r="DB158" i="103"/>
  <c r="DB159" i="103" s="1"/>
  <c r="CV163" i="103"/>
  <c r="CV162" i="103"/>
  <c r="CD162" i="103"/>
  <c r="CD163" i="103"/>
  <c r="BR18" i="103"/>
  <c r="BW18" i="103"/>
  <c r="DZ162" i="103"/>
  <c r="DZ163" i="103"/>
  <c r="CK231" i="103"/>
  <c r="CK234" i="103"/>
  <c r="CK235" i="103" s="1"/>
  <c r="CK246" i="103"/>
  <c r="CK247" i="103" s="1"/>
  <c r="EX60" i="103"/>
  <c r="EX59" i="103"/>
  <c r="EX49" i="103"/>
  <c r="EY60" i="103"/>
  <c r="CO233" i="103"/>
  <c r="CO232" i="103"/>
  <c r="CO252" i="103"/>
  <c r="BY233" i="103"/>
  <c r="BY232" i="103"/>
  <c r="BY252" i="103"/>
  <c r="EZ255" i="103"/>
  <c r="FE189" i="103"/>
  <c r="EZ192" i="103"/>
  <c r="ED69" i="103"/>
  <c r="ED70" i="103"/>
  <c r="ED74" i="103"/>
  <c r="CA163" i="103"/>
  <c r="CA162" i="103"/>
  <c r="CF162" i="103"/>
  <c r="DV195" i="103"/>
  <c r="DU196" i="103"/>
  <c r="DR196" i="103"/>
  <c r="DC209" i="103"/>
  <c r="DC208" i="103"/>
  <c r="DC161" i="103"/>
  <c r="DD209" i="103"/>
  <c r="BW231" i="103"/>
  <c r="BW234" i="103"/>
  <c r="BW246" i="103"/>
  <c r="BW247" i="103" s="1"/>
  <c r="CB248" i="103" s="1"/>
  <c r="DQ29" i="103"/>
  <c r="BS56" i="103"/>
  <c r="BS13" i="103"/>
  <c r="DS232" i="103"/>
  <c r="DS252" i="103"/>
  <c r="EY46" i="103"/>
  <c r="FA46" i="103"/>
  <c r="BP16" i="103"/>
  <c r="BU16" i="103"/>
  <c r="ED235" i="103"/>
  <c r="CE17" i="103"/>
  <c r="CE65" i="103"/>
  <c r="CE66" i="103" s="1"/>
  <c r="CE41" i="103"/>
  <c r="CE68" i="103"/>
  <c r="CJ41" i="103"/>
  <c r="DY66" i="103"/>
  <c r="DY67" i="103"/>
  <c r="BC284" i="8"/>
  <c r="AS239" i="8"/>
  <c r="BA171" i="8"/>
  <c r="BA172" i="8" s="1"/>
  <c r="BA165" i="8"/>
  <c r="BJ164" i="8"/>
  <c r="AL164" i="8"/>
  <c r="AE156" i="8"/>
  <c r="K154" i="8"/>
  <c r="AT162" i="8"/>
  <c r="U122" i="8"/>
  <c r="AW70" i="8"/>
  <c r="AT58" i="8"/>
  <c r="AL46" i="8"/>
  <c r="AD46" i="8"/>
  <c r="BG10" i="8"/>
  <c r="EP284" i="103"/>
  <c r="EP264" i="103"/>
  <c r="EL53" i="103"/>
  <c r="EQ53" i="103"/>
  <c r="EL54" i="103"/>
  <c r="EM54" i="103"/>
  <c r="DP74" i="103"/>
  <c r="DP70" i="103"/>
  <c r="DP69" i="103"/>
  <c r="CT54" i="103"/>
  <c r="CT53" i="103"/>
  <c r="CY53" i="103"/>
  <c r="CE6" i="103"/>
  <c r="CH5" i="103"/>
  <c r="DE158" i="103"/>
  <c r="DE159" i="103"/>
  <c r="EK144" i="103"/>
  <c r="EK147" i="103"/>
  <c r="EA13" i="103"/>
  <c r="EA56" i="103"/>
  <c r="AO10" i="103"/>
  <c r="EY110" i="103"/>
  <c r="ET112" i="103"/>
  <c r="CQ202" i="103"/>
  <c r="CQ203" i="103"/>
  <c r="EA231" i="103"/>
  <c r="EA234" i="103"/>
  <c r="EA246" i="103"/>
  <c r="EA247" i="103" s="1"/>
  <c r="DH6" i="103"/>
  <c r="DL5" i="103"/>
  <c r="BY18" i="103"/>
  <c r="V22" i="104"/>
  <c r="L267" i="104"/>
  <c r="M266" i="104" s="1"/>
  <c r="L251" i="104"/>
  <c r="M250" i="104" s="1"/>
  <c r="BT162" i="103"/>
  <c r="BT163" i="103"/>
  <c r="BJ18" i="103"/>
  <c r="BO18" i="103"/>
  <c r="FD57" i="103"/>
  <c r="FC57" i="103"/>
  <c r="BM74" i="103"/>
  <c r="BM69" i="103"/>
  <c r="BM70" i="103"/>
  <c r="DG162" i="103"/>
  <c r="DG163" i="103" s="1"/>
  <c r="EJ109" i="103"/>
  <c r="EK108" i="103"/>
  <c r="DG199" i="103"/>
  <c r="DG200" i="103" s="1"/>
  <c r="DG201" i="103"/>
  <c r="DG157" i="103"/>
  <c r="DG158" i="103" s="1"/>
  <c r="DG159" i="103" s="1"/>
  <c r="DG160" i="103"/>
  <c r="DG286" i="103"/>
  <c r="DG293" i="103"/>
  <c r="DG282" i="103"/>
  <c r="ED159" i="103"/>
  <c r="ED158" i="103"/>
  <c r="DF18" i="103"/>
  <c r="DK18" i="103"/>
  <c r="DH162" i="103"/>
  <c r="DH163" i="103"/>
  <c r="DM162" i="103"/>
  <c r="ED66" i="103"/>
  <c r="EF50" i="103"/>
  <c r="EF52" i="103"/>
  <c r="EF55" i="103"/>
  <c r="EK50" i="103"/>
  <c r="DL89" i="103"/>
  <c r="EF103" i="103"/>
  <c r="ED104" i="103"/>
  <c r="ED136" i="103"/>
  <c r="ED105" i="103"/>
  <c r="EI104" i="103"/>
  <c r="CD18" i="103"/>
  <c r="CI18" i="103"/>
  <c r="DL199" i="103"/>
  <c r="DL201" i="103"/>
  <c r="DL293" i="103"/>
  <c r="DL286" i="103"/>
  <c r="CW139" i="103"/>
  <c r="CW140" i="103" s="1"/>
  <c r="DB40" i="103"/>
  <c r="CX17" i="103"/>
  <c r="CX41" i="103"/>
  <c r="CX65" i="103"/>
  <c r="CX68" i="103"/>
  <c r="DC41" i="103"/>
  <c r="CK162" i="103"/>
  <c r="CK163" i="103"/>
  <c r="BN5" i="103"/>
  <c r="BJ6" i="103"/>
  <c r="BO6" i="103"/>
  <c r="DV10" i="103"/>
  <c r="ER42" i="103"/>
  <c r="ER52" i="103"/>
  <c r="ER50" i="103"/>
  <c r="EU49" i="103"/>
  <c r="ER51" i="103"/>
  <c r="BZ233" i="103"/>
  <c r="BZ232" i="103"/>
  <c r="BZ252" i="103"/>
  <c r="DO66" i="103"/>
  <c r="BX222" i="103"/>
  <c r="BX224" i="103" s="1"/>
  <c r="DB199" i="103"/>
  <c r="DB200" i="103" s="1"/>
  <c r="DZ234" i="103"/>
  <c r="DZ235" i="103" s="1"/>
  <c r="DZ231" i="103"/>
  <c r="DZ246" i="103"/>
  <c r="DZ247" i="103" s="1"/>
  <c r="DZ248" i="103" s="1"/>
  <c r="DB10" i="103"/>
  <c r="AT7" i="103"/>
  <c r="CP69" i="103"/>
  <c r="CP70" i="103"/>
  <c r="CP74" i="103"/>
  <c r="DQ55" i="103"/>
  <c r="DQ52" i="103"/>
  <c r="DQ53" i="103" s="1"/>
  <c r="DQ50" i="103"/>
  <c r="AY41" i="103"/>
  <c r="CW55" i="103"/>
  <c r="CW52" i="103"/>
  <c r="CW53" i="103" s="1"/>
  <c r="CW54" i="103" s="1"/>
  <c r="CW50" i="103"/>
  <c r="CW51" i="103" s="1"/>
  <c r="BY16" i="103"/>
  <c r="DS15" i="103"/>
  <c r="DS43" i="103"/>
  <c r="DV42" i="103"/>
  <c r="DS19" i="103"/>
  <c r="DX43" i="103"/>
  <c r="BL20" i="103"/>
  <c r="BQ20" i="103"/>
  <c r="DI74" i="103"/>
  <c r="DI70" i="103"/>
  <c r="DI69" i="103"/>
  <c r="DG66" i="103"/>
  <c r="DE67" i="103"/>
  <c r="CT234" i="103"/>
  <c r="CT231" i="103"/>
  <c r="CT246" i="103"/>
  <c r="CT247" i="103" s="1"/>
  <c r="CB202" i="103"/>
  <c r="CB203" i="103"/>
  <c r="CK18" i="103"/>
  <c r="CF18" i="103"/>
  <c r="EA273" i="103"/>
  <c r="EA275" i="103" s="1"/>
  <c r="DV278" i="103"/>
  <c r="DJ84" i="103"/>
  <c r="DJ85" i="103"/>
  <c r="FJ85" i="103" s="1"/>
  <c r="DO84" i="103"/>
  <c r="BX19" i="103"/>
  <c r="BX15" i="103"/>
  <c r="BX16" i="103" s="1"/>
  <c r="BX43" i="103"/>
  <c r="BX44" i="103"/>
  <c r="CR53" i="103"/>
  <c r="CR54" i="103" s="1"/>
  <c r="EA47" i="103"/>
  <c r="EA17" i="103"/>
  <c r="EA65" i="103"/>
  <c r="EA68" i="103"/>
  <c r="DQ195" i="103"/>
  <c r="DM196" i="103"/>
  <c r="FH196" i="103" s="1"/>
  <c r="DT199" i="103"/>
  <c r="DT200" i="103"/>
  <c r="FJ200" i="103" s="1"/>
  <c r="DT201" i="103"/>
  <c r="DU200" i="103"/>
  <c r="DT160" i="103"/>
  <c r="DT157" i="103"/>
  <c r="DY160" i="103"/>
  <c r="DY199" i="103"/>
  <c r="CR312" i="103"/>
  <c r="CR313" i="103" s="1"/>
  <c r="DK202" i="103"/>
  <c r="DF202" i="103"/>
  <c r="DF203" i="103"/>
  <c r="DW234" i="103"/>
  <c r="DW235" i="103" s="1"/>
  <c r="DW231" i="103"/>
  <c r="DW246" i="103"/>
  <c r="DW247" i="103" s="1"/>
  <c r="DL161" i="103"/>
  <c r="DL162" i="103" s="1"/>
  <c r="DL208" i="103"/>
  <c r="DQ40" i="103"/>
  <c r="DN41" i="103"/>
  <c r="DN65" i="103"/>
  <c r="DN68" i="103"/>
  <c r="DN17" i="103"/>
  <c r="DN18" i="103" s="1"/>
  <c r="DI162" i="103"/>
  <c r="DI163" i="103"/>
  <c r="DD67" i="103"/>
  <c r="DD66" i="103"/>
  <c r="DG15" i="103"/>
  <c r="DG19" i="103"/>
  <c r="DG44" i="103"/>
  <c r="DG43" i="103"/>
  <c r="EZ237" i="103"/>
  <c r="EU320" i="103"/>
  <c r="AT41" i="103"/>
  <c r="DF222" i="103"/>
  <c r="DF224" i="103" s="1"/>
  <c r="DF230" i="103"/>
  <c r="DF220" i="103"/>
  <c r="CD69" i="103"/>
  <c r="CD74" i="103"/>
  <c r="CD70" i="103"/>
  <c r="CG163" i="103"/>
  <c r="CG162" i="103"/>
  <c r="EN53" i="103"/>
  <c r="EN54" i="103"/>
  <c r="EP146" i="103"/>
  <c r="EL112" i="103"/>
  <c r="EP111" i="103"/>
  <c r="EN112" i="103"/>
  <c r="CQ15" i="103"/>
  <c r="CQ16" i="103" s="1"/>
  <c r="CQ19" i="103"/>
  <c r="CQ20" i="103" s="1"/>
  <c r="CQ43" i="103"/>
  <c r="DS235" i="103"/>
  <c r="DX235" i="103"/>
  <c r="CC15" i="103"/>
  <c r="CC16" i="103" s="1"/>
  <c r="CC19" i="103"/>
  <c r="CC20" i="103" s="1"/>
  <c r="CC44" i="103"/>
  <c r="CC45" i="103" s="1"/>
  <c r="CC46" i="103" s="1"/>
  <c r="CC43" i="103"/>
  <c r="BP6" i="103"/>
  <c r="BS5" i="103"/>
  <c r="BU6" i="103"/>
  <c r="AT13" i="103"/>
  <c r="AT56" i="103"/>
  <c r="AT57" i="103" s="1"/>
  <c r="DT20" i="103"/>
  <c r="AE58" i="8"/>
  <c r="CF234" i="103"/>
  <c r="CF231" i="103"/>
  <c r="CF246" i="103"/>
  <c r="CF247" i="103" s="1"/>
  <c r="FH203" i="103"/>
  <c r="DC16" i="103"/>
  <c r="CT162" i="103"/>
  <c r="CT163" i="103"/>
  <c r="CY162" i="103"/>
  <c r="BP233" i="103"/>
  <c r="BP252" i="103"/>
  <c r="BO70" i="103"/>
  <c r="BO74" i="103"/>
  <c r="BO69" i="103"/>
  <c r="DG208" i="103"/>
  <c r="DG209" i="103" s="1"/>
  <c r="BX13" i="103"/>
  <c r="BX14" i="103" s="1"/>
  <c r="BX56" i="103"/>
  <c r="BX57" i="103" s="1"/>
  <c r="CT202" i="103"/>
  <c r="CT203" i="103"/>
  <c r="CY202" i="103"/>
  <c r="DV161" i="103"/>
  <c r="DV208" i="103"/>
  <c r="DB55" i="103"/>
  <c r="DB52" i="103"/>
  <c r="DB53" i="103" s="1"/>
  <c r="DB54" i="103" s="1"/>
  <c r="DB50" i="103"/>
  <c r="DB51" i="103" s="1"/>
  <c r="DG97" i="103"/>
  <c r="DG98" i="103" s="1"/>
  <c r="DG83" i="103"/>
  <c r="BU162" i="103"/>
  <c r="BU163" i="103"/>
  <c r="BZ162" i="103"/>
  <c r="DZ18" i="103"/>
  <c r="DB291" i="103"/>
  <c r="BY20" i="103"/>
  <c r="CD20" i="103"/>
  <c r="CZ15" i="103"/>
  <c r="CZ19" i="103"/>
  <c r="CZ43" i="103"/>
  <c r="DE43" i="103"/>
  <c r="DB312" i="103"/>
  <c r="DB281" i="103"/>
  <c r="DB282" i="103" s="1"/>
  <c r="DG312" i="103"/>
  <c r="EJ76" i="103"/>
  <c r="EJ118" i="103"/>
  <c r="EK118" i="103" s="1"/>
  <c r="EK119" i="103" s="1"/>
  <c r="EP119" i="103" s="1"/>
  <c r="BC296" i="8"/>
  <c r="AE285" i="8"/>
  <c r="BH165" i="8"/>
  <c r="CM165" i="8" s="1"/>
  <c r="BL163" i="8"/>
  <c r="V156" i="8"/>
  <c r="AL142" i="8"/>
  <c r="AQ186" i="8"/>
  <c r="AI186" i="8"/>
  <c r="BF119" i="8"/>
  <c r="T95" i="8"/>
  <c r="AI94" i="8"/>
  <c r="AY63" i="8"/>
  <c r="AM60" i="8"/>
  <c r="BF50" i="8"/>
  <c r="AL50" i="8"/>
  <c r="R50" i="8"/>
  <c r="AK46" i="8"/>
  <c r="AC46" i="8"/>
  <c r="AI45" i="8"/>
  <c r="BL34" i="8"/>
  <c r="BB32" i="8"/>
  <c r="BF24" i="8"/>
  <c r="AY20" i="8"/>
  <c r="AE9" i="8"/>
  <c r="G9" i="8"/>
  <c r="G7" i="8" s="1"/>
  <c r="CC199" i="103"/>
  <c r="CC200" i="103" s="1"/>
  <c r="CC201" i="103"/>
  <c r="CC293" i="103"/>
  <c r="CC160" i="103"/>
  <c r="CC157" i="103"/>
  <c r="CC158" i="103" s="1"/>
  <c r="CC159" i="103" s="1"/>
  <c r="CC298" i="103"/>
  <c r="CC280" i="103"/>
  <c r="CC286" i="103"/>
  <c r="EL43" i="103"/>
  <c r="EP42" i="103"/>
  <c r="DP66" i="103"/>
  <c r="CT15" i="103"/>
  <c r="CT19" i="103"/>
  <c r="CT43" i="103"/>
  <c r="CY43" i="103"/>
  <c r="DP162" i="103"/>
  <c r="DP163" i="103"/>
  <c r="DE161" i="103"/>
  <c r="DJ162" i="103" s="1"/>
  <c r="DE209" i="103"/>
  <c r="FJ209" i="103" s="1"/>
  <c r="DE208" i="103"/>
  <c r="CT196" i="103"/>
  <c r="FI196" i="103" s="1"/>
  <c r="CW195" i="103"/>
  <c r="CU196" i="103"/>
  <c r="CS196" i="103"/>
  <c r="EO112" i="103"/>
  <c r="DT196" i="103"/>
  <c r="CM53" i="103"/>
  <c r="CM54" i="103" s="1"/>
  <c r="DV89" i="103"/>
  <c r="EA89" i="103"/>
  <c r="CA234" i="103"/>
  <c r="CA235" i="103" s="1"/>
  <c r="CA231" i="103"/>
  <c r="CA246" i="103"/>
  <c r="CA247" i="103" s="1"/>
  <c r="CA248" i="103" s="1"/>
  <c r="DV139" i="103"/>
  <c r="BN17" i="103"/>
  <c r="BN65" i="103"/>
  <c r="BN66" i="103" s="1"/>
  <c r="BN68" i="103"/>
  <c r="BN70" i="103" s="1"/>
  <c r="BN41" i="103"/>
  <c r="BN47" i="103"/>
  <c r="BN48" i="103" s="1"/>
  <c r="FK200" i="103"/>
  <c r="CH201" i="103"/>
  <c r="CH199" i="103"/>
  <c r="CH200" i="103" s="1"/>
  <c r="CH293" i="103"/>
  <c r="CH160" i="103"/>
  <c r="CH298" i="103"/>
  <c r="CH157" i="103"/>
  <c r="CH286" i="103"/>
  <c r="CH282" i="103"/>
  <c r="CH280" i="103"/>
  <c r="CH252" i="103"/>
  <c r="EF152" i="103"/>
  <c r="EK152" i="103"/>
  <c r="CC230" i="103"/>
  <c r="EP256" i="103"/>
  <c r="DB62" i="103"/>
  <c r="DB63" i="103" s="1"/>
  <c r="DG62" i="103"/>
  <c r="DG63" i="103" s="1"/>
  <c r="CV202" i="103"/>
  <c r="BW6" i="103"/>
  <c r="CB6" i="103"/>
  <c r="DL93" i="103"/>
  <c r="CH40" i="103"/>
  <c r="CM41" i="103" s="1"/>
  <c r="DH53" i="103"/>
  <c r="DH54" i="103"/>
  <c r="DM53" i="103"/>
  <c r="CM47" i="103"/>
  <c r="CM17" i="103"/>
  <c r="CM68" i="103"/>
  <c r="CM65" i="103"/>
  <c r="CL67" i="103" s="1"/>
  <c r="CV6" i="103"/>
  <c r="DA6" i="103"/>
  <c r="DU232" i="103"/>
  <c r="DU252" i="103"/>
  <c r="EY42" i="103"/>
  <c r="FK182" i="103"/>
  <c r="DC158" i="103"/>
  <c r="DC159" i="103"/>
  <c r="AE56" i="103"/>
  <c r="AE57" i="103" s="1"/>
  <c r="AE13" i="103"/>
  <c r="EP238" i="103"/>
  <c r="EK239" i="103"/>
  <c r="DD202" i="103"/>
  <c r="DD203" i="103"/>
  <c r="FI203" i="103" s="1"/>
  <c r="EN43" i="103"/>
  <c r="CL20" i="103"/>
  <c r="BN53" i="103"/>
  <c r="DZ69" i="103"/>
  <c r="DZ74" i="103"/>
  <c r="DZ70" i="103"/>
  <c r="EZ289" i="103"/>
  <c r="EA199" i="103"/>
  <c r="EA201" i="103"/>
  <c r="EA298" i="103"/>
  <c r="EF298" i="103" s="1"/>
  <c r="EK298" i="103" s="1"/>
  <c r="EP298" i="103" s="1"/>
  <c r="EU298" i="103" s="1"/>
  <c r="EZ298" i="103" s="1"/>
  <c r="FE298" i="103" s="1"/>
  <c r="EA280" i="103"/>
  <c r="EF280" i="103" s="1"/>
  <c r="EK280" i="103" s="1"/>
  <c r="EP280" i="103" s="1"/>
  <c r="EU280" i="103" s="1"/>
  <c r="EZ280" i="103" s="1"/>
  <c r="FE280" i="103" s="1"/>
  <c r="EA286" i="103"/>
  <c r="CP66" i="103"/>
  <c r="EE54" i="103"/>
  <c r="EE53" i="103"/>
  <c r="EG54" i="103"/>
  <c r="CB74" i="103"/>
  <c r="CB70" i="103"/>
  <c r="CB69" i="103"/>
  <c r="DX232" i="103"/>
  <c r="CD231" i="103"/>
  <c r="CD234" i="103"/>
  <c r="CD235" i="103" s="1"/>
  <c r="CD246" i="103"/>
  <c r="CD247" i="103" s="1"/>
  <c r="CD248" i="103" s="1"/>
  <c r="DF20" i="103"/>
  <c r="DK20" i="103"/>
  <c r="DG30" i="103"/>
  <c r="CZ53" i="103"/>
  <c r="CZ54" i="103"/>
  <c r="DE53" i="103"/>
  <c r="DA54" i="103"/>
  <c r="CV53" i="103"/>
  <c r="CV54" i="103"/>
  <c r="DA53" i="103"/>
  <c r="AO19" i="103"/>
  <c r="CE15" i="103"/>
  <c r="CE43" i="103"/>
  <c r="CH42" i="103"/>
  <c r="CJ43" i="103"/>
  <c r="CE19" i="103"/>
  <c r="BL18" i="103"/>
  <c r="BQ18" i="103"/>
  <c r="FJ98" i="103"/>
  <c r="EO54" i="103"/>
  <c r="BI17" i="103"/>
  <c r="BI18" i="103" s="1"/>
  <c r="BI47" i="103"/>
  <c r="BI48" i="103" s="1"/>
  <c r="BI41" i="103"/>
  <c r="BI68" i="103"/>
  <c r="BI70" i="103" s="1"/>
  <c r="DN162" i="103"/>
  <c r="DG298" i="103"/>
  <c r="ET50" i="103"/>
  <c r="ET52" i="103"/>
  <c r="EY53" i="103" s="1"/>
  <c r="ET42" i="103"/>
  <c r="ET51" i="103"/>
  <c r="EA53" i="103"/>
  <c r="DT69" i="103"/>
  <c r="DT74" i="103"/>
  <c r="DT70" i="103"/>
  <c r="DV62" i="103"/>
  <c r="EA62" i="103"/>
  <c r="BJ69" i="103"/>
  <c r="BJ70" i="103"/>
  <c r="BJ74" i="103"/>
  <c r="CX85" i="103"/>
  <c r="CX84" i="103"/>
  <c r="DC203" i="103"/>
  <c r="DC202" i="103"/>
  <c r="BD56" i="103"/>
  <c r="BD57" i="103" s="1"/>
  <c r="BD13" i="103"/>
  <c r="CU203" i="103"/>
  <c r="CU202" i="103"/>
  <c r="AY7" i="103"/>
  <c r="AY8" i="103" s="1"/>
  <c r="AY6" i="103"/>
  <c r="DB195" i="103"/>
  <c r="CX196" i="103"/>
  <c r="CY196" i="103"/>
  <c r="CZ196" i="103"/>
  <c r="CS15" i="103"/>
  <c r="CS16" i="103" s="1"/>
  <c r="CS19" i="103"/>
  <c r="CS20" i="103" s="1"/>
  <c r="CW42" i="103"/>
  <c r="CS43" i="103"/>
  <c r="BV231" i="103"/>
  <c r="BV234" i="103"/>
  <c r="BV235" i="103" s="1"/>
  <c r="BV246" i="103"/>
  <c r="BV247" i="103" s="1"/>
  <c r="CZ65" i="103"/>
  <c r="CZ68" i="103"/>
  <c r="CZ17" i="103"/>
  <c r="CZ41" i="103"/>
  <c r="DE41" i="103"/>
  <c r="ED233" i="103"/>
  <c r="ED232" i="103"/>
  <c r="ED252" i="103"/>
  <c r="CH316" i="103"/>
  <c r="CH247" i="103"/>
  <c r="DG139" i="103"/>
  <c r="DG140" i="103" s="1"/>
  <c r="DY70" i="103"/>
  <c r="DY74" i="103"/>
  <c r="DY69" i="103"/>
  <c r="BK39" i="8"/>
  <c r="CS234" i="103"/>
  <c r="CS231" i="103"/>
  <c r="CW230" i="103"/>
  <c r="CS246" i="103"/>
  <c r="CS247" i="103" s="1"/>
  <c r="CM219" i="103"/>
  <c r="CM220" i="103" s="1"/>
  <c r="CM311" i="103" s="1"/>
  <c r="CM313" i="103" s="1"/>
  <c r="CI220" i="103"/>
  <c r="CI222" i="103"/>
  <c r="CI224" i="103" s="1"/>
  <c r="CI230" i="103" s="1"/>
  <c r="CO54" i="103"/>
  <c r="CO53" i="103"/>
  <c r="EU61" i="103"/>
  <c r="EU59" i="103"/>
  <c r="BZ235" i="103"/>
  <c r="DM233" i="103"/>
  <c r="DK252" i="103"/>
  <c r="DO70" i="103"/>
  <c r="DO74" i="103"/>
  <c r="DO69" i="103"/>
  <c r="BP203" i="103"/>
  <c r="BQ203" i="103"/>
  <c r="BT16" i="103"/>
  <c r="AJ230" i="8"/>
  <c r="AB185" i="8"/>
  <c r="BA120" i="8"/>
  <c r="BA121" i="8" s="1"/>
  <c r="AH94" i="8"/>
  <c r="Q50" i="8"/>
  <c r="CM199" i="103"/>
  <c r="CM200" i="103" s="1"/>
  <c r="CM201" i="103"/>
  <c r="CM298" i="103"/>
  <c r="CM293" i="103"/>
  <c r="CM280" i="103"/>
  <c r="CM286" i="103"/>
  <c r="CX163" i="103"/>
  <c r="AH6" i="103"/>
  <c r="AM6" i="103"/>
  <c r="CL159" i="103"/>
  <c r="CL158" i="103"/>
  <c r="CN159" i="103"/>
  <c r="EP295" i="103"/>
  <c r="EK214" i="103"/>
  <c r="EK213" i="103" s="1"/>
  <c r="DN19" i="103"/>
  <c r="DN20" i="103" s="1"/>
  <c r="DN43" i="103"/>
  <c r="DN15" i="103"/>
  <c r="DN16" i="103" s="1"/>
  <c r="DQ42" i="103"/>
  <c r="AK6" i="103"/>
  <c r="AO5" i="103"/>
  <c r="AP6" i="103"/>
  <c r="DQ26" i="103"/>
  <c r="DQ27" i="103" s="1"/>
  <c r="CM56" i="103"/>
  <c r="CM57" i="103" s="1"/>
  <c r="CM13" i="103"/>
  <c r="EA93" i="103"/>
  <c r="DV93" i="103"/>
  <c r="DQ10" i="103"/>
  <c r="CD202" i="103"/>
  <c r="CD203" i="103"/>
  <c r="BX199" i="103"/>
  <c r="BX200" i="103" s="1"/>
  <c r="BX201" i="103"/>
  <c r="BX157" i="103"/>
  <c r="BX280" i="103"/>
  <c r="BX286" i="103"/>
  <c r="BX160" i="103"/>
  <c r="BX293" i="103"/>
  <c r="CN16" i="103"/>
  <c r="AJ56" i="103"/>
  <c r="AJ57" i="103" s="1"/>
  <c r="AJ13" i="103"/>
  <c r="AJ14" i="103" s="1"/>
  <c r="CL202" i="103"/>
  <c r="CL203" i="103"/>
  <c r="CC161" i="103"/>
  <c r="CC162" i="103" s="1"/>
  <c r="CC163" i="103" s="1"/>
  <c r="CN69" i="103"/>
  <c r="CN70" i="103"/>
  <c r="CN74" i="103"/>
  <c r="EE207" i="103"/>
  <c r="EE206" i="103"/>
  <c r="EE219" i="103"/>
  <c r="EE205" i="103"/>
  <c r="EF197" i="103"/>
  <c r="DJ196" i="103"/>
  <c r="DL195" i="103"/>
  <c r="DH196" i="103"/>
  <c r="DK196" i="103"/>
  <c r="BM18" i="103"/>
  <c r="EU256" i="103"/>
  <c r="FK209" i="103"/>
  <c r="EP193" i="103"/>
  <c r="DF69" i="103"/>
  <c r="DF74" i="103"/>
  <c r="DF70" i="103"/>
  <c r="DK69" i="103"/>
  <c r="BV6" i="103"/>
  <c r="CA6" i="103"/>
  <c r="DG6" i="103"/>
  <c r="DG7" i="103"/>
  <c r="DV230" i="103"/>
  <c r="DV220" i="103"/>
  <c r="DV311" i="103" s="1"/>
  <c r="CM15" i="103"/>
  <c r="CM19" i="103"/>
  <c r="CM44" i="103"/>
  <c r="AY19" i="103"/>
  <c r="CU232" i="103"/>
  <c r="CU252" i="103"/>
  <c r="AI6" i="103"/>
  <c r="AN6" i="103"/>
  <c r="FD42" i="103"/>
  <c r="FD50" i="103"/>
  <c r="FD52" i="103"/>
  <c r="DD158" i="103"/>
  <c r="DD159" i="103"/>
  <c r="DI158" i="103"/>
  <c r="DO163" i="103"/>
  <c r="DO162" i="103"/>
  <c r="DS6" i="103"/>
  <c r="DV5" i="103"/>
  <c r="BN56" i="103"/>
  <c r="BN13" i="103"/>
  <c r="BN14" i="103" s="1"/>
  <c r="DQ130" i="103"/>
  <c r="DZ66" i="103"/>
  <c r="DZ67" i="103"/>
  <c r="AG6" i="103"/>
  <c r="AE5" i="103"/>
  <c r="AE7" i="103" s="1"/>
  <c r="AE8" i="103" s="1"/>
  <c r="CX6" i="103"/>
  <c r="DB5" i="103"/>
  <c r="DO6" i="103"/>
  <c r="DT6" i="103"/>
  <c r="CM157" i="103"/>
  <c r="CM158" i="103" s="1"/>
  <c r="CM159" i="103" s="1"/>
  <c r="DW18" i="103"/>
  <c r="CM282" i="103"/>
  <c r="BT202" i="103"/>
  <c r="BT203" i="103"/>
  <c r="EA130" i="103"/>
  <c r="CG18" i="103"/>
  <c r="FA65" i="103"/>
  <c r="CV17" i="103"/>
  <c r="CV41" i="103"/>
  <c r="CV68" i="103"/>
  <c r="CV65" i="103"/>
  <c r="DA41" i="103"/>
  <c r="DD84" i="103"/>
  <c r="DD85" i="103"/>
  <c r="DE85" i="103"/>
  <c r="DI202" i="103"/>
  <c r="DP235" i="103"/>
  <c r="AO56" i="103"/>
  <c r="AO57" i="103" s="1"/>
  <c r="AO13" i="103"/>
  <c r="AO14" i="103" s="1"/>
  <c r="CH55" i="103"/>
  <c r="CH50" i="103"/>
  <c r="CH51" i="103" s="1"/>
  <c r="CH52" i="103"/>
  <c r="CH53" i="103" s="1"/>
  <c r="CH54" i="103" s="1"/>
  <c r="DF85" i="103"/>
  <c r="DF84" i="103"/>
  <c r="CC282" i="103"/>
  <c r="DG68" i="103"/>
  <c r="DB29" i="103"/>
  <c r="DB26" i="103"/>
  <c r="DG27" i="103" s="1"/>
  <c r="BL74" i="103"/>
  <c r="BL69" i="103"/>
  <c r="BL70" i="103"/>
  <c r="BQ69" i="103"/>
  <c r="DS196" i="103"/>
  <c r="CJ6" i="103"/>
  <c r="DT231" i="103"/>
  <c r="DT234" i="103"/>
  <c r="DT235" i="103" s="1"/>
  <c r="DT246" i="103"/>
  <c r="DT247" i="103" s="1"/>
  <c r="CE231" i="103"/>
  <c r="CE234" i="103"/>
  <c r="CE246" i="103"/>
  <c r="CE247" i="103" s="1"/>
  <c r="CR56" i="103"/>
  <c r="CR57" i="103" s="1"/>
  <c r="CR13" i="103"/>
  <c r="DY18" i="103"/>
  <c r="BS17" i="8" l="1"/>
  <c r="BL269" i="8"/>
  <c r="AS186" i="8"/>
  <c r="S185" i="8"/>
  <c r="BD159" i="8"/>
  <c r="EV51" i="103"/>
  <c r="EV50" i="103"/>
  <c r="EV52" i="103"/>
  <c r="EV42" i="103"/>
  <c r="EV43" i="103" s="1"/>
  <c r="FA59" i="103"/>
  <c r="FA60" i="103"/>
  <c r="BS39" i="8"/>
  <c r="FA52" i="103"/>
  <c r="FA50" i="103"/>
  <c r="FA51" i="103"/>
  <c r="FA42" i="103"/>
  <c r="AY118" i="8"/>
  <c r="AY114" i="8" s="1"/>
  <c r="AK185" i="8"/>
  <c r="AX184" i="8"/>
  <c r="BC185" i="8" s="1"/>
  <c r="AD126" i="8"/>
  <c r="R90" i="8"/>
  <c r="S84" i="8"/>
  <c r="BL69" i="8"/>
  <c r="AP91" i="8"/>
  <c r="BM89" i="8"/>
  <c r="CL89" i="8" s="1"/>
  <c r="BC84" i="8"/>
  <c r="AO123" i="8"/>
  <c r="AC186" i="8"/>
  <c r="AW54" i="8"/>
  <c r="F186" i="8"/>
  <c r="AP95" i="8"/>
  <c r="AH85" i="8"/>
  <c r="P123" i="8"/>
  <c r="AQ127" i="8"/>
  <c r="AY64" i="8"/>
  <c r="P164" i="8"/>
  <c r="AR84" i="8"/>
  <c r="AE91" i="8"/>
  <c r="AX94" i="8"/>
  <c r="M187" i="8"/>
  <c r="AH84" i="8"/>
  <c r="X85" i="8"/>
  <c r="BE50" i="8"/>
  <c r="AQ85" i="8"/>
  <c r="AP185" i="8"/>
  <c r="AL84" i="8"/>
  <c r="P156" i="8"/>
  <c r="AX88" i="8"/>
  <c r="AZ90" i="8" s="1"/>
  <c r="BD64" i="8"/>
  <c r="AM84" i="8"/>
  <c r="BA90" i="8"/>
  <c r="AL126" i="8"/>
  <c r="BC93" i="8"/>
  <c r="BC123" i="8"/>
  <c r="Q90" i="8"/>
  <c r="AQ126" i="8"/>
  <c r="AC84" i="8"/>
  <c r="AB127" i="8"/>
  <c r="AQ54" i="8"/>
  <c r="T126" i="8"/>
  <c r="BD148" i="8"/>
  <c r="BD152" i="8" s="1"/>
  <c r="AC85" i="8"/>
  <c r="AL127" i="8"/>
  <c r="AL136" i="8"/>
  <c r="BF115" i="8"/>
  <c r="AK186" i="8"/>
  <c r="AK187" i="8" s="1"/>
  <c r="AL185" i="8"/>
  <c r="BC153" i="8"/>
  <c r="BH154" i="8" s="1"/>
  <c r="CM154" i="8" s="1"/>
  <c r="AX125" i="8"/>
  <c r="BC126" i="8" s="1"/>
  <c r="AQ185" i="8"/>
  <c r="AL128" i="8"/>
  <c r="AK91" i="8"/>
  <c r="AP93" i="8"/>
  <c r="AW89" i="8"/>
  <c r="BN121" i="8"/>
  <c r="BN101" i="8"/>
  <c r="BN54" i="8"/>
  <c r="CP21" i="8"/>
  <c r="CP227" i="8"/>
  <c r="BL153" i="8"/>
  <c r="BL186" i="8" s="1"/>
  <c r="BN147" i="8"/>
  <c r="BN152" i="8" s="1"/>
  <c r="BN68" i="8"/>
  <c r="BN10" i="8"/>
  <c r="BN88" i="8"/>
  <c r="T183" i="8"/>
  <c r="T173" i="8"/>
  <c r="AV88" i="8"/>
  <c r="BA91" i="8"/>
  <c r="AV94" i="8"/>
  <c r="AV96" i="8"/>
  <c r="AV97" i="8" s="1"/>
  <c r="BA93" i="8"/>
  <c r="L185" i="8"/>
  <c r="AT59" i="8"/>
  <c r="BH8" i="8"/>
  <c r="CM8" i="8" s="1"/>
  <c r="CM7" i="8"/>
  <c r="BM8" i="8"/>
  <c r="CL8" i="8" s="1"/>
  <c r="BD160" i="8"/>
  <c r="N185" i="8"/>
  <c r="AV91" i="8"/>
  <c r="BF99" i="8"/>
  <c r="H127" i="8"/>
  <c r="BB97" i="8"/>
  <c r="BG95" i="8"/>
  <c r="BG260" i="8"/>
  <c r="Y183" i="8"/>
  <c r="CM186" i="8"/>
  <c r="BM187" i="8"/>
  <c r="CL187" i="8" s="1"/>
  <c r="BB83" i="8"/>
  <c r="AT10" i="8"/>
  <c r="AW55" i="8"/>
  <c r="P91" i="8"/>
  <c r="BF8" i="8"/>
  <c r="AV95" i="8"/>
  <c r="BH156" i="8"/>
  <c r="CM156" i="8" s="1"/>
  <c r="CM153" i="8"/>
  <c r="BM154" i="8"/>
  <c r="CL154" i="8" s="1"/>
  <c r="BN32" i="8"/>
  <c r="BN7" i="8"/>
  <c r="BN165" i="8"/>
  <c r="BN163" i="8"/>
  <c r="S182" i="8"/>
  <c r="S142" i="8"/>
  <c r="AC142" i="8"/>
  <c r="AC182" i="8"/>
  <c r="S186" i="8"/>
  <c r="BJ153" i="8"/>
  <c r="BJ154" i="8" s="1"/>
  <c r="BN158" i="8"/>
  <c r="BJ95" i="8"/>
  <c r="BN5" i="8"/>
  <c r="BN83" i="8" s="1"/>
  <c r="N186" i="8"/>
  <c r="AQ84" i="8"/>
  <c r="BA95" i="8"/>
  <c r="CO24" i="8"/>
  <c r="Z53" i="8"/>
  <c r="BG6" i="8"/>
  <c r="BB6" i="8"/>
  <c r="AE172" i="8"/>
  <c r="AT53" i="8"/>
  <c r="AS253" i="8"/>
  <c r="Y89" i="8"/>
  <c r="Y90" i="8"/>
  <c r="AH182" i="8"/>
  <c r="AH142" i="8"/>
  <c r="S125" i="8"/>
  <c r="T127" i="8" s="1"/>
  <c r="AC125" i="8"/>
  <c r="AC127" i="8" s="1"/>
  <c r="BH95" i="8"/>
  <c r="CM95" i="8" s="1"/>
  <c r="CM5" i="8"/>
  <c r="BM6" i="8"/>
  <c r="CL6" i="8" s="1"/>
  <c r="BM95" i="8"/>
  <c r="CL95" i="8" s="1"/>
  <c r="BN93" i="8"/>
  <c r="AU8" i="8"/>
  <c r="CO165" i="8"/>
  <c r="BD5" i="8"/>
  <c r="BD44" i="8"/>
  <c r="BC235" i="8"/>
  <c r="BB95" i="8"/>
  <c r="T131" i="8"/>
  <c r="BN119" i="8"/>
  <c r="BN117" i="8"/>
  <c r="AP84" i="8"/>
  <c r="AN85" i="8"/>
  <c r="BN122" i="8"/>
  <c r="BN164" i="8" s="1"/>
  <c r="BN217" i="8"/>
  <c r="BP212" i="8"/>
  <c r="BQ212" i="8" s="1"/>
  <c r="BR212" i="8" s="1"/>
  <c r="BH246" i="8"/>
  <c r="BX295" i="8"/>
  <c r="CC295" i="8" s="1"/>
  <c r="E35" i="105"/>
  <c r="AG89" i="8"/>
  <c r="AG90" i="8"/>
  <c r="AN88" i="8"/>
  <c r="AN89" i="8" s="1"/>
  <c r="AN93" i="8"/>
  <c r="AS93" i="8"/>
  <c r="AN94" i="8"/>
  <c r="AN95" i="8"/>
  <c r="AS91" i="8"/>
  <c r="BH115" i="8"/>
  <c r="CM115" i="8" s="1"/>
  <c r="BA132" i="8"/>
  <c r="BA133" i="8" s="1"/>
  <c r="BA128" i="8"/>
  <c r="AD186" i="8"/>
  <c r="AI187" i="8" s="1"/>
  <c r="AI185" i="8"/>
  <c r="AX239" i="8"/>
  <c r="AA132" i="8"/>
  <c r="AO184" i="8"/>
  <c r="AO186" i="8" s="1"/>
  <c r="BA135" i="8"/>
  <c r="AQ94" i="8"/>
  <c r="U88" i="8"/>
  <c r="BS213" i="8"/>
  <c r="BX213" i="8" s="1"/>
  <c r="CC213" i="8" s="1"/>
  <c r="Q89" i="8"/>
  <c r="BS214" i="8"/>
  <c r="BX214" i="8" s="1"/>
  <c r="CC214" i="8" s="1"/>
  <c r="BB90" i="8"/>
  <c r="FP136" i="103" s="1"/>
  <c r="BH258" i="8"/>
  <c r="AM55" i="8"/>
  <c r="AO172" i="8"/>
  <c r="BA174" i="8"/>
  <c r="BL125" i="8"/>
  <c r="BM127" i="8" s="1"/>
  <c r="CL127" i="8" s="1"/>
  <c r="BL115" i="8"/>
  <c r="CO119" i="8"/>
  <c r="AY87" i="8"/>
  <c r="AY83" i="8"/>
  <c r="T85" i="8"/>
  <c r="BC94" i="8"/>
  <c r="AX156" i="8"/>
  <c r="AX164" i="8"/>
  <c r="BJ97" i="8"/>
  <c r="BJ6" i="8"/>
  <c r="BJ44" i="8"/>
  <c r="BJ94" i="8"/>
  <c r="AO92" i="8"/>
  <c r="AO91" i="8" s="1"/>
  <c r="AA196" i="8"/>
  <c r="AA197" i="8" s="1"/>
  <c r="AA223" i="8" s="1"/>
  <c r="T89" i="8"/>
  <c r="AQ88" i="8"/>
  <c r="AR90" i="8" s="1"/>
  <c r="AS95" i="8"/>
  <c r="BE156" i="8"/>
  <c r="BH99" i="8"/>
  <c r="CM99" i="8" s="1"/>
  <c r="AZ55" i="8"/>
  <c r="BL70" i="8"/>
  <c r="AM8" i="8"/>
  <c r="AV135" i="8"/>
  <c r="BL164" i="8"/>
  <c r="BL123" i="8"/>
  <c r="AS233" i="8"/>
  <c r="AS235" i="8" s="1"/>
  <c r="AT92" i="8"/>
  <c r="BF6" i="8"/>
  <c r="BS44" i="8"/>
  <c r="BX44" i="8" s="1"/>
  <c r="CC44" i="8" s="1"/>
  <c r="AG85" i="8"/>
  <c r="AC89" i="8"/>
  <c r="I89" i="8"/>
  <c r="I90" i="8"/>
  <c r="BJ83" i="8"/>
  <c r="BJ84" i="8" s="1"/>
  <c r="AX114" i="8"/>
  <c r="AZ116" i="8" s="1"/>
  <c r="AX119" i="8"/>
  <c r="BC119" i="8"/>
  <c r="AX120" i="8"/>
  <c r="AX121" i="8" s="1"/>
  <c r="BG246" i="8"/>
  <c r="BD298" i="8"/>
  <c r="BC297" i="8"/>
  <c r="BC298" i="8" s="1"/>
  <c r="AK84" i="8"/>
  <c r="BQ161" i="8"/>
  <c r="BP180" i="8"/>
  <c r="L186" i="8"/>
  <c r="AJ49" i="8"/>
  <c r="AW244" i="8"/>
  <c r="X84" i="8"/>
  <c r="BD57" i="8"/>
  <c r="AV93" i="8"/>
  <c r="AD185" i="8"/>
  <c r="AL8" i="8"/>
  <c r="AN91" i="8"/>
  <c r="AO164" i="8"/>
  <c r="AT8" i="8"/>
  <c r="BE116" i="8"/>
  <c r="AK142" i="8"/>
  <c r="AK182" i="8"/>
  <c r="AV84" i="8"/>
  <c r="BJ99" i="8"/>
  <c r="AX91" i="8"/>
  <c r="AX95" i="8"/>
  <c r="BC95" i="8"/>
  <c r="AX96" i="8"/>
  <c r="AX97" i="8" s="1"/>
  <c r="AX93" i="8"/>
  <c r="AP172" i="8"/>
  <c r="AY296" i="8"/>
  <c r="AX293" i="8"/>
  <c r="BG244" i="8"/>
  <c r="CP20" i="8"/>
  <c r="BL281" i="8"/>
  <c r="CO45" i="8"/>
  <c r="CO101" i="8"/>
  <c r="BL121" i="8"/>
  <c r="CP120" i="8"/>
  <c r="CP114" i="8"/>
  <c r="BL116" i="8"/>
  <c r="CP119" i="8"/>
  <c r="CO118" i="8"/>
  <c r="CO19" i="8"/>
  <c r="CP19" i="8"/>
  <c r="CP33" i="8"/>
  <c r="CO33" i="8"/>
  <c r="AO95" i="8"/>
  <c r="AO94" i="8"/>
  <c r="AO88" i="8"/>
  <c r="AY123" i="8"/>
  <c r="AY125" i="8"/>
  <c r="AY184" i="8"/>
  <c r="AY156" i="8"/>
  <c r="BC260" i="8"/>
  <c r="CV69" i="103"/>
  <c r="CV74" i="103"/>
  <c r="CV70" i="103"/>
  <c r="DA69" i="103"/>
  <c r="AE7" i="8"/>
  <c r="AE8" i="8" s="1"/>
  <c r="AE10" i="8"/>
  <c r="CP163" i="8"/>
  <c r="CO163" i="8"/>
  <c r="EP147" i="103"/>
  <c r="EP144" i="103"/>
  <c r="DW232" i="103"/>
  <c r="DW233" i="103"/>
  <c r="DW252" i="103"/>
  <c r="DX233" i="103"/>
  <c r="CH6" i="103"/>
  <c r="CH7" i="103"/>
  <c r="CH8" i="103" s="1"/>
  <c r="CC70" i="103"/>
  <c r="CC69" i="103"/>
  <c r="BL90" i="8"/>
  <c r="CG233" i="103"/>
  <c r="CG232" i="103"/>
  <c r="CG252" i="103"/>
  <c r="M45" i="8"/>
  <c r="M83" i="8"/>
  <c r="R84" i="8" s="1"/>
  <c r="M95" i="8"/>
  <c r="M94" i="8"/>
  <c r="M6" i="8"/>
  <c r="R186" i="8"/>
  <c r="W187" i="8" s="1"/>
  <c r="R185" i="8"/>
  <c r="BR223" i="8"/>
  <c r="DH69" i="103"/>
  <c r="DH74" i="103"/>
  <c r="DH70" i="103"/>
  <c r="DM69" i="103"/>
  <c r="CT66" i="103"/>
  <c r="V142" i="8"/>
  <c r="V46" i="8"/>
  <c r="AA46" i="8"/>
  <c r="V182" i="8"/>
  <c r="V125" i="8"/>
  <c r="AI84" i="8"/>
  <c r="AI85" i="8"/>
  <c r="Q182" i="8"/>
  <c r="Q136" i="8" s="1"/>
  <c r="Q142" i="8"/>
  <c r="C9" i="104"/>
  <c r="E10" i="104"/>
  <c r="BA185" i="8"/>
  <c r="AV186" i="8"/>
  <c r="AV185" i="8"/>
  <c r="FD43" i="103"/>
  <c r="CH15" i="103"/>
  <c r="CH16" i="103" s="1"/>
  <c r="CH43" i="103"/>
  <c r="CH19" i="103"/>
  <c r="CH20" i="103" s="1"/>
  <c r="CH44" i="103"/>
  <c r="CH45" i="103" s="1"/>
  <c r="CH46" i="103" s="1"/>
  <c r="CA232" i="103"/>
  <c r="CA233" i="103"/>
  <c r="CA252" i="103"/>
  <c r="CB233" i="103"/>
  <c r="CZ16" i="103"/>
  <c r="DE16" i="103"/>
  <c r="DB56" i="103"/>
  <c r="DB57" i="103" s="1"/>
  <c r="DB13" i="103"/>
  <c r="DB14" i="103" s="1"/>
  <c r="DN69" i="103"/>
  <c r="DN74" i="103"/>
  <c r="DN70" i="103"/>
  <c r="ED129" i="103"/>
  <c r="ED137" i="103"/>
  <c r="EF136" i="103"/>
  <c r="FB49" i="103"/>
  <c r="FB60" i="103"/>
  <c r="FB59" i="103"/>
  <c r="AN186" i="8"/>
  <c r="AN185" i="8"/>
  <c r="F196" i="8"/>
  <c r="F128" i="8"/>
  <c r="DV27" i="103"/>
  <c r="EA27" i="103"/>
  <c r="BC127" i="8"/>
  <c r="BH126" i="8"/>
  <c r="CM126" i="8" s="1"/>
  <c r="AS187" i="8"/>
  <c r="AP54" i="8"/>
  <c r="AP55" i="8"/>
  <c r="DM85" i="103"/>
  <c r="DM84" i="103"/>
  <c r="DR84" i="103"/>
  <c r="DN85" i="103"/>
  <c r="AS85" i="8"/>
  <c r="AS84" i="8"/>
  <c r="CO100" i="8"/>
  <c r="CP100" i="8"/>
  <c r="BD88" i="8"/>
  <c r="BD94" i="8"/>
  <c r="CL231" i="103"/>
  <c r="CL234" i="103"/>
  <c r="CL246" i="103"/>
  <c r="CL247" i="103" s="1"/>
  <c r="BK99" i="8"/>
  <c r="K11" i="105"/>
  <c r="AY165" i="8"/>
  <c r="AY164" i="8"/>
  <c r="AY163" i="8"/>
  <c r="BL6" i="8"/>
  <c r="BL95" i="8"/>
  <c r="BL94" i="8"/>
  <c r="AV126" i="8"/>
  <c r="AV127" i="8"/>
  <c r="EY43" i="103"/>
  <c r="DF231" i="103"/>
  <c r="DF234" i="103"/>
  <c r="DF246" i="103"/>
  <c r="DF247" i="103" s="1"/>
  <c r="EA235" i="103"/>
  <c r="N89" i="8"/>
  <c r="N90" i="8"/>
  <c r="AS142" i="8"/>
  <c r="AS46" i="8"/>
  <c r="AS182" i="8"/>
  <c r="AS136" i="8" s="1"/>
  <c r="AX46" i="8"/>
  <c r="AS125" i="8"/>
  <c r="AU127" i="8" s="1"/>
  <c r="AY182" i="8"/>
  <c r="AY240" i="8"/>
  <c r="L59" i="8"/>
  <c r="V89" i="8"/>
  <c r="V90" i="8"/>
  <c r="CW7" i="103"/>
  <c r="CW6" i="103"/>
  <c r="K164" i="8"/>
  <c r="K123" i="8"/>
  <c r="K156" i="8"/>
  <c r="K184" i="8"/>
  <c r="P185" i="8" s="1"/>
  <c r="CP182" i="8"/>
  <c r="CO182" i="8"/>
  <c r="BI178" i="8"/>
  <c r="CW234" i="103"/>
  <c r="CW235" i="103" s="1"/>
  <c r="CW231" i="103"/>
  <c r="CW246" i="103"/>
  <c r="CE16" i="103"/>
  <c r="CJ16" i="103"/>
  <c r="CH158" i="103"/>
  <c r="CH159" i="103" s="1"/>
  <c r="CF248" i="103"/>
  <c r="BX45" i="103"/>
  <c r="BX46" i="103" s="1"/>
  <c r="DS20" i="103"/>
  <c r="DX20" i="103"/>
  <c r="EF105" i="103"/>
  <c r="EF104" i="103"/>
  <c r="EF78" i="103"/>
  <c r="EF79" i="103" s="1"/>
  <c r="EF75" i="103"/>
  <c r="DV53" i="103"/>
  <c r="BK186" i="8"/>
  <c r="BK185" i="8"/>
  <c r="L11" i="105"/>
  <c r="BD163" i="8"/>
  <c r="BD165" i="8"/>
  <c r="X186" i="8"/>
  <c r="AC185" i="8"/>
  <c r="X185" i="8"/>
  <c r="EB232" i="103"/>
  <c r="DL83" i="103"/>
  <c r="DL84" i="103" s="1"/>
  <c r="DL97" i="103"/>
  <c r="DL98" i="103" s="1"/>
  <c r="DL86" i="103"/>
  <c r="DL87" i="103" s="1"/>
  <c r="BX8" i="103"/>
  <c r="AQ8" i="8"/>
  <c r="CO11" i="8"/>
  <c r="CP11" i="8"/>
  <c r="AV128" i="8"/>
  <c r="DT233" i="103"/>
  <c r="DT232" i="103"/>
  <c r="DT252" i="103"/>
  <c r="FB65" i="103"/>
  <c r="CM43" i="103"/>
  <c r="CS232" i="103"/>
  <c r="CX232" i="103"/>
  <c r="CS233" i="103"/>
  <c r="CS252" i="103"/>
  <c r="BV232" i="103"/>
  <c r="BV233" i="103"/>
  <c r="BV252" i="103"/>
  <c r="EU238" i="103"/>
  <c r="EP239" i="103"/>
  <c r="CM18" i="103"/>
  <c r="EP44" i="103"/>
  <c r="EP45" i="103" s="1"/>
  <c r="EP43" i="103"/>
  <c r="EU119" i="103"/>
  <c r="DG84" i="103"/>
  <c r="DG85" i="103"/>
  <c r="CF233" i="103"/>
  <c r="CF232" i="103"/>
  <c r="CF252" i="103"/>
  <c r="DQ17" i="103"/>
  <c r="DQ18" i="103" s="1"/>
  <c r="DQ41" i="103"/>
  <c r="DQ47" i="103"/>
  <c r="DQ48" i="103" s="1"/>
  <c r="DQ65" i="103"/>
  <c r="DQ68" i="103"/>
  <c r="DV43" i="103"/>
  <c r="DV15" i="103"/>
  <c r="DV19" i="103"/>
  <c r="DV44" i="103"/>
  <c r="EU55" i="103"/>
  <c r="EU50" i="103"/>
  <c r="EU52" i="103"/>
  <c r="EU53" i="103" s="1"/>
  <c r="BS36" i="8"/>
  <c r="CH101" i="8"/>
  <c r="FE192" i="103"/>
  <c r="FE255" i="103"/>
  <c r="CK233" i="103"/>
  <c r="CK232" i="103"/>
  <c r="CK252" i="103"/>
  <c r="CW158" i="103"/>
  <c r="CW159" i="103" s="1"/>
  <c r="CO74" i="103"/>
  <c r="CO70" i="103"/>
  <c r="CO69" i="103"/>
  <c r="BJ50" i="8"/>
  <c r="BI49" i="8"/>
  <c r="BC55" i="8"/>
  <c r="BB55" i="8"/>
  <c r="BB54" i="8"/>
  <c r="BG54" i="8"/>
  <c r="BL97" i="8"/>
  <c r="EZ80" i="103"/>
  <c r="EU103" i="103"/>
  <c r="AX132" i="8"/>
  <c r="AX128" i="8"/>
  <c r="AX196" i="8"/>
  <c r="AS297" i="8"/>
  <c r="AS298" i="8" s="1"/>
  <c r="AT298" i="8"/>
  <c r="AR46" i="8"/>
  <c r="AR182" i="8"/>
  <c r="AR142" i="8"/>
  <c r="AR125" i="8"/>
  <c r="CO194" i="8"/>
  <c r="CP194" i="8"/>
  <c r="AH127" i="8"/>
  <c r="DQ202" i="103"/>
  <c r="DQ291" i="103"/>
  <c r="AG131" i="8"/>
  <c r="AG174" i="8"/>
  <c r="AG128" i="8"/>
  <c r="AG132" i="8"/>
  <c r="AG135" i="8"/>
  <c r="AG196" i="8"/>
  <c r="AL131" i="8"/>
  <c r="EK279" i="103"/>
  <c r="BS16" i="103"/>
  <c r="J5" i="8"/>
  <c r="J13" i="8"/>
  <c r="J58" i="8"/>
  <c r="L60" i="8" s="1"/>
  <c r="J9" i="8"/>
  <c r="O13" i="8"/>
  <c r="G90" i="8"/>
  <c r="H90" i="8"/>
  <c r="G89" i="8"/>
  <c r="AF187" i="8"/>
  <c r="AF136" i="8"/>
  <c r="DL231" i="103"/>
  <c r="DL234" i="103"/>
  <c r="DL246" i="103"/>
  <c r="CS70" i="103"/>
  <c r="CS69" i="103"/>
  <c r="CS74" i="103"/>
  <c r="R6" i="8"/>
  <c r="BS18" i="8"/>
  <c r="BX17" i="8"/>
  <c r="CC17" i="8" s="1"/>
  <c r="DS66" i="103"/>
  <c r="Z297" i="8"/>
  <c r="Z298" i="8" s="1"/>
  <c r="DY232" i="103"/>
  <c r="BU232" i="103"/>
  <c r="BU233" i="103"/>
  <c r="BU252" i="103"/>
  <c r="AY171" i="8"/>
  <c r="BH260" i="8"/>
  <c r="BH244" i="8"/>
  <c r="BH235" i="8"/>
  <c r="BF185" i="8"/>
  <c r="CX16" i="103"/>
  <c r="G53" i="8"/>
  <c r="W185" i="8"/>
  <c r="AT156" i="8"/>
  <c r="AT184" i="8"/>
  <c r="AT123" i="8"/>
  <c r="BK89" i="8"/>
  <c r="BK90" i="8"/>
  <c r="BH136" i="8"/>
  <c r="BH173" i="8"/>
  <c r="U142" i="8"/>
  <c r="U240" i="8"/>
  <c r="U182" i="8"/>
  <c r="AD8" i="8"/>
  <c r="AI8" i="8"/>
  <c r="CO183" i="8"/>
  <c r="CP183" i="8"/>
  <c r="I14" i="105"/>
  <c r="CO10" i="8"/>
  <c r="CP10" i="8"/>
  <c r="DG247" i="103"/>
  <c r="DG316" i="103"/>
  <c r="DG254" i="103"/>
  <c r="DG258" i="103" s="1"/>
  <c r="AH90" i="8"/>
  <c r="AH89" i="8"/>
  <c r="AN84" i="8"/>
  <c r="AL199" i="8"/>
  <c r="AL202" i="8" s="1"/>
  <c r="AL197" i="8"/>
  <c r="BE100" i="8"/>
  <c r="CZ70" i="103"/>
  <c r="CZ74" i="103"/>
  <c r="CZ69" i="103"/>
  <c r="DE69" i="103"/>
  <c r="CH202" i="103"/>
  <c r="CH203" i="103" s="1"/>
  <c r="CH291" i="103"/>
  <c r="BS6" i="103"/>
  <c r="BS7" i="103"/>
  <c r="CX66" i="103"/>
  <c r="CJ18" i="103"/>
  <c r="CE18" i="103"/>
  <c r="BR170" i="8"/>
  <c r="BR162" i="8" s="1"/>
  <c r="BQ162" i="8"/>
  <c r="BQ277" i="8"/>
  <c r="AE6" i="8"/>
  <c r="AE45" i="8"/>
  <c r="AE94" i="8"/>
  <c r="BH297" i="8"/>
  <c r="BH298" i="8" s="1"/>
  <c r="BI298" i="8"/>
  <c r="BD83" i="8"/>
  <c r="BD87" i="8"/>
  <c r="AF127" i="8"/>
  <c r="AF126" i="8"/>
  <c r="M11" i="105"/>
  <c r="BI164" i="8"/>
  <c r="BI165" i="8"/>
  <c r="BI163" i="8"/>
  <c r="DS18" i="103"/>
  <c r="DX18" i="103"/>
  <c r="BF153" i="8"/>
  <c r="BF186" i="8" s="1"/>
  <c r="AB196" i="8"/>
  <c r="AB132" i="8"/>
  <c r="AB128" i="8"/>
  <c r="EU301" i="103"/>
  <c r="DB84" i="103"/>
  <c r="DB85" i="103"/>
  <c r="DQ56" i="103"/>
  <c r="DQ13" i="103"/>
  <c r="DH16" i="103"/>
  <c r="DM16" i="103"/>
  <c r="AU88" i="8"/>
  <c r="AY92" i="8"/>
  <c r="BD91" i="8" s="1"/>
  <c r="AU91" i="8"/>
  <c r="AU93" i="8"/>
  <c r="AZ95" i="8"/>
  <c r="AU95" i="8"/>
  <c r="AZ91" i="8"/>
  <c r="AZ93" i="8"/>
  <c r="AU94" i="8"/>
  <c r="G183" i="8"/>
  <c r="G173" i="8"/>
  <c r="AT45" i="8"/>
  <c r="AY46" i="8" s="1"/>
  <c r="AT6" i="8"/>
  <c r="AT83" i="8"/>
  <c r="AJ95" i="8"/>
  <c r="BA197" i="8"/>
  <c r="BA199" i="8"/>
  <c r="BA202" i="8" s="1"/>
  <c r="BD45" i="8"/>
  <c r="BD6" i="8"/>
  <c r="CR162" i="103"/>
  <c r="CR163" i="103" s="1"/>
  <c r="R95" i="8"/>
  <c r="X183" i="8"/>
  <c r="X173" i="8"/>
  <c r="AC183" i="8"/>
  <c r="BD113" i="8"/>
  <c r="CT18" i="103"/>
  <c r="CY18" i="103"/>
  <c r="CP142" i="8"/>
  <c r="CO142" i="8"/>
  <c r="AY6" i="8"/>
  <c r="Z123" i="8"/>
  <c r="Z184" i="8"/>
  <c r="AE123" i="8"/>
  <c r="DG14" i="103"/>
  <c r="CO38" i="8"/>
  <c r="CP38" i="8"/>
  <c r="BB85" i="8"/>
  <c r="BB84" i="8"/>
  <c r="AN128" i="8"/>
  <c r="AN196" i="8"/>
  <c r="AN132" i="8"/>
  <c r="AV131" i="8"/>
  <c r="CO123" i="8"/>
  <c r="CP123" i="8"/>
  <c r="V187" i="8"/>
  <c r="DT248" i="103"/>
  <c r="DY248" i="103"/>
  <c r="CV18" i="103"/>
  <c r="DA18" i="103"/>
  <c r="CM45" i="103"/>
  <c r="CM46" i="103" s="1"/>
  <c r="EE222" i="103"/>
  <c r="EE221" i="103"/>
  <c r="EF221" i="103" s="1"/>
  <c r="CC231" i="103"/>
  <c r="CC234" i="103"/>
  <c r="CC246" i="103"/>
  <c r="DE163" i="103"/>
  <c r="DE162" i="103"/>
  <c r="DN67" i="103"/>
  <c r="DN66" i="103"/>
  <c r="DL202" i="103"/>
  <c r="DL291" i="103"/>
  <c r="CP248" i="103"/>
  <c r="CK248" i="103"/>
  <c r="FH209" i="103"/>
  <c r="BH94" i="8"/>
  <c r="CM94" i="8" s="1"/>
  <c r="BH6" i="8"/>
  <c r="CM6" i="8" s="1"/>
  <c r="AO53" i="8"/>
  <c r="AT57" i="8"/>
  <c r="I60" i="8"/>
  <c r="N59" i="8"/>
  <c r="AU128" i="8"/>
  <c r="AU196" i="8"/>
  <c r="AU132" i="8"/>
  <c r="DH85" i="103"/>
  <c r="DH84" i="103"/>
  <c r="DI85" i="103"/>
  <c r="FI85" i="103" s="1"/>
  <c r="CR202" i="103"/>
  <c r="CR203" i="103" s="1"/>
  <c r="CR291" i="103"/>
  <c r="BA84" i="8"/>
  <c r="BA85" i="8"/>
  <c r="DL41" i="103"/>
  <c r="DL65" i="103"/>
  <c r="DL17" i="103"/>
  <c r="DL18" i="103" s="1"/>
  <c r="DL68" i="103"/>
  <c r="DL47" i="103"/>
  <c r="DL48" i="103" s="1"/>
  <c r="AW183" i="8"/>
  <c r="AW173" i="8"/>
  <c r="BX6" i="103"/>
  <c r="BG99" i="8"/>
  <c r="CH162" i="103"/>
  <c r="CH163" i="103" s="1"/>
  <c r="AI89" i="8"/>
  <c r="AI90" i="8"/>
  <c r="AA187" i="8"/>
  <c r="AA136" i="8"/>
  <c r="Q85" i="8"/>
  <c r="CM20" i="103"/>
  <c r="FK203" i="103"/>
  <c r="DT159" i="103"/>
  <c r="DT158" i="103"/>
  <c r="DU159" i="103"/>
  <c r="DY158" i="103"/>
  <c r="EF273" i="103"/>
  <c r="EA278" i="103"/>
  <c r="BN7" i="103"/>
  <c r="BN8" i="103" s="1"/>
  <c r="BN6" i="103"/>
  <c r="DB65" i="103"/>
  <c r="DB68" i="103"/>
  <c r="DB47" i="103"/>
  <c r="DB41" i="103"/>
  <c r="DB17" i="103"/>
  <c r="DG41" i="103"/>
  <c r="EF53" i="103"/>
  <c r="EK53" i="103"/>
  <c r="EA14" i="103"/>
  <c r="BN304" i="8"/>
  <c r="AO6" i="8"/>
  <c r="AO45" i="8"/>
  <c r="BS20" i="103"/>
  <c r="DV199" i="103"/>
  <c r="DV201" i="103"/>
  <c r="DV298" i="103"/>
  <c r="DV280" i="103"/>
  <c r="DV293" i="103"/>
  <c r="DV286" i="103"/>
  <c r="DV157" i="103"/>
  <c r="DV160" i="103"/>
  <c r="EA160" i="103"/>
  <c r="I83" i="8"/>
  <c r="I6" i="8"/>
  <c r="N6" i="8"/>
  <c r="I94" i="8"/>
  <c r="I95" i="8"/>
  <c r="I45" i="8"/>
  <c r="DB7" i="103"/>
  <c r="DB6" i="103"/>
  <c r="CM16" i="103"/>
  <c r="EE209" i="103"/>
  <c r="EE208" i="103"/>
  <c r="BX202" i="103"/>
  <c r="BX203" i="103" s="1"/>
  <c r="BX291" i="103"/>
  <c r="AO7" i="103"/>
  <c r="AO6" i="103"/>
  <c r="EU295" i="103"/>
  <c r="EP214" i="103"/>
  <c r="EP213" i="103" s="1"/>
  <c r="EU62" i="103"/>
  <c r="EZ61" i="103"/>
  <c r="BD14" i="103"/>
  <c r="ET43" i="103"/>
  <c r="AE14" i="103"/>
  <c r="DU233" i="103"/>
  <c r="CC202" i="103"/>
  <c r="CC203" i="103" s="1"/>
  <c r="CC291" i="103"/>
  <c r="AI182" i="8"/>
  <c r="AI136" i="8" s="1"/>
  <c r="AI125" i="8"/>
  <c r="AN126" i="8" s="1"/>
  <c r="AI142" i="8"/>
  <c r="AI46" i="8"/>
  <c r="AQ136" i="8"/>
  <c r="AQ187" i="8"/>
  <c r="CF235" i="103"/>
  <c r="EA70" i="103"/>
  <c r="L846" i="104"/>
  <c r="M845" i="104" s="1"/>
  <c r="L848" i="104"/>
  <c r="M847" i="104" s="1"/>
  <c r="V23" i="104"/>
  <c r="L271" i="104"/>
  <c r="M270" i="104" s="1"/>
  <c r="L266" i="104"/>
  <c r="M265" i="104" s="1"/>
  <c r="L272" i="104"/>
  <c r="M271" i="104" s="1"/>
  <c r="L270" i="104"/>
  <c r="M269" i="104" s="1"/>
  <c r="L268" i="104"/>
  <c r="M267" i="104" s="1"/>
  <c r="L265" i="104"/>
  <c r="M264" i="104" s="1"/>
  <c r="L264" i="104"/>
  <c r="M263" i="104" s="1"/>
  <c r="L269" i="104"/>
  <c r="M268" i="104" s="1"/>
  <c r="L847" i="104"/>
  <c r="M846" i="104" s="1"/>
  <c r="L263" i="104"/>
  <c r="M262" i="104" s="1"/>
  <c r="EK141" i="103"/>
  <c r="EK142" i="103" s="1"/>
  <c r="EK145" i="103"/>
  <c r="EK154" i="103"/>
  <c r="EU284" i="103"/>
  <c r="EU264" i="103"/>
  <c r="EU193" i="103"/>
  <c r="AK85" i="8"/>
  <c r="CE70" i="103"/>
  <c r="CE74" i="103"/>
  <c r="CE69" i="103"/>
  <c r="CJ69" i="103"/>
  <c r="BS14" i="103"/>
  <c r="EX51" i="103"/>
  <c r="EX42" i="103"/>
  <c r="EX52" i="103"/>
  <c r="EX50" i="103"/>
  <c r="EY51" i="103"/>
  <c r="CW162" i="103"/>
  <c r="CW163" i="103" s="1"/>
  <c r="CO66" i="103"/>
  <c r="DV13" i="103"/>
  <c r="DV14" i="103" s="1"/>
  <c r="DV56" i="103"/>
  <c r="AN46" i="8"/>
  <c r="W126" i="8"/>
  <c r="AB126" i="8"/>
  <c r="EB235" i="103"/>
  <c r="BO233" i="103"/>
  <c r="BO252" i="103"/>
  <c r="BT232" i="103"/>
  <c r="AF183" i="8"/>
  <c r="AF173" i="8"/>
  <c r="AK183" i="8"/>
  <c r="BN16" i="103"/>
  <c r="EP78" i="103"/>
  <c r="EP79" i="103" s="1"/>
  <c r="CR6" i="103"/>
  <c r="CR7" i="103"/>
  <c r="DF163" i="103"/>
  <c r="DF162" i="103"/>
  <c r="DK162" i="103"/>
  <c r="AU1" i="8"/>
  <c r="X127" i="8"/>
  <c r="AX185" i="8"/>
  <c r="AX186" i="8"/>
  <c r="T136" i="8"/>
  <c r="AO83" i="8"/>
  <c r="AO87" i="8"/>
  <c r="BH83" i="8"/>
  <c r="BS69" i="103"/>
  <c r="BS70" i="103"/>
  <c r="CV16" i="103"/>
  <c r="DA16" i="103"/>
  <c r="CQ74" i="103"/>
  <c r="CQ70" i="103"/>
  <c r="CQ69" i="103"/>
  <c r="CC14" i="103"/>
  <c r="AJ6" i="103"/>
  <c r="EA162" i="103"/>
  <c r="AW84" i="8"/>
  <c r="AW85" i="8"/>
  <c r="I53" i="8"/>
  <c r="AQ95" i="8"/>
  <c r="Y186" i="8"/>
  <c r="Y185" i="8"/>
  <c r="BR255" i="8"/>
  <c r="BR259" i="8" s="1"/>
  <c r="BQ259" i="8"/>
  <c r="ES54" i="103"/>
  <c r="ES53" i="103"/>
  <c r="AJ45" i="8"/>
  <c r="AJ94" i="8"/>
  <c r="AJ6" i="8"/>
  <c r="P88" i="8"/>
  <c r="P87" i="8"/>
  <c r="BD114" i="8"/>
  <c r="BC255" i="8"/>
  <c r="BC258" i="8" s="1"/>
  <c r="BI184" i="8"/>
  <c r="CV234" i="103"/>
  <c r="CV231" i="103"/>
  <c r="CV246" i="103"/>
  <c r="CV247" i="103" s="1"/>
  <c r="CW17" i="103"/>
  <c r="CW18" i="103" s="1"/>
  <c r="CW47" i="103"/>
  <c r="CW41" i="103"/>
  <c r="CW65" i="103"/>
  <c r="CW68" i="103"/>
  <c r="EW50" i="103"/>
  <c r="EW42" i="103"/>
  <c r="EW52" i="103"/>
  <c r="EW51" i="103"/>
  <c r="CO17" i="8"/>
  <c r="CP17" i="8"/>
  <c r="AR55" i="8"/>
  <c r="AS55" i="8"/>
  <c r="AR54" i="8"/>
  <c r="AP183" i="8"/>
  <c r="AP173" i="8"/>
  <c r="AU174" i="8" s="1"/>
  <c r="BC85" i="8"/>
  <c r="BD120" i="8"/>
  <c r="BD121" i="8" s="1"/>
  <c r="AJ172" i="8"/>
  <c r="FK85" i="103"/>
  <c r="EQ112" i="103"/>
  <c r="EU146" i="103"/>
  <c r="EU111" i="103"/>
  <c r="ES112" i="103"/>
  <c r="AJ53" i="8"/>
  <c r="Z83" i="8"/>
  <c r="Z87" i="8"/>
  <c r="BG91" i="8"/>
  <c r="CO91" i="8" s="1"/>
  <c r="BG235" i="8"/>
  <c r="L83" i="8"/>
  <c r="Q84" i="8" s="1"/>
  <c r="L95" i="8"/>
  <c r="L45" i="8"/>
  <c r="Q46" i="8" s="1"/>
  <c r="L94" i="8"/>
  <c r="L6" i="8"/>
  <c r="BO20" i="8"/>
  <c r="BP19" i="8"/>
  <c r="BF126" i="8"/>
  <c r="BF127" i="8"/>
  <c r="BG127" i="8"/>
  <c r="CO68" i="8"/>
  <c r="BA126" i="8"/>
  <c r="W136" i="8"/>
  <c r="AB187" i="8"/>
  <c r="BK156" i="8"/>
  <c r="DL158" i="103"/>
  <c r="AE87" i="8"/>
  <c r="AE83" i="8"/>
  <c r="AE84" i="8" s="1"/>
  <c r="AE88" i="8"/>
  <c r="AE89" i="8" s="1"/>
  <c r="CR19" i="103"/>
  <c r="CR20" i="103" s="1"/>
  <c r="CR15" i="103"/>
  <c r="CR16" i="103" s="1"/>
  <c r="CR44" i="103"/>
  <c r="CR45" i="103" s="1"/>
  <c r="CR46" i="103" s="1"/>
  <c r="CR43" i="103"/>
  <c r="CO53" i="8"/>
  <c r="BL54" i="8"/>
  <c r="BL55" i="8"/>
  <c r="AQ55" i="8"/>
  <c r="CO117" i="8"/>
  <c r="CO164" i="8"/>
  <c r="CP164" i="8"/>
  <c r="AI172" i="8"/>
  <c r="AD172" i="8"/>
  <c r="CE235" i="103"/>
  <c r="CJ235" i="103"/>
  <c r="CY16" i="103"/>
  <c r="CT16" i="103"/>
  <c r="AS244" i="8"/>
  <c r="AS246" i="8"/>
  <c r="DJ232" i="103"/>
  <c r="DJ233" i="103"/>
  <c r="DJ252" i="103"/>
  <c r="DO232" i="103"/>
  <c r="AY57" i="8"/>
  <c r="AY53" i="8"/>
  <c r="BE186" i="8"/>
  <c r="EF207" i="103"/>
  <c r="EF205" i="103"/>
  <c r="EF219" i="103"/>
  <c r="EF230" i="103" s="1"/>
  <c r="BO165" i="8"/>
  <c r="BO234" i="8"/>
  <c r="BO163" i="8"/>
  <c r="P13" i="8"/>
  <c r="P9" i="8"/>
  <c r="U13" i="8"/>
  <c r="P5" i="8"/>
  <c r="P83" i="8" s="1"/>
  <c r="P58" i="8"/>
  <c r="BG121" i="8"/>
  <c r="CO120" i="8"/>
  <c r="K91" i="8"/>
  <c r="K88" i="8"/>
  <c r="K89" i="8" s="1"/>
  <c r="K87" i="8"/>
  <c r="CE232" i="103"/>
  <c r="CE233" i="103"/>
  <c r="CE252" i="103"/>
  <c r="CJ232" i="103"/>
  <c r="CH41" i="103"/>
  <c r="CH47" i="103"/>
  <c r="CH17" i="103"/>
  <c r="CH18" i="103" s="1"/>
  <c r="CH65" i="103"/>
  <c r="CH66" i="103" s="1"/>
  <c r="CH68" i="103"/>
  <c r="CM69" i="103" s="1"/>
  <c r="EA48" i="103"/>
  <c r="CT232" i="103"/>
  <c r="CT233" i="103"/>
  <c r="CT252" i="103"/>
  <c r="CY232" i="103"/>
  <c r="DZ232" i="103"/>
  <c r="DZ233" i="103"/>
  <c r="DZ252" i="103"/>
  <c r="BW235" i="103"/>
  <c r="CB235" i="103"/>
  <c r="DQ232" i="103"/>
  <c r="DQ252" i="103"/>
  <c r="BR231" i="103"/>
  <c r="BR234" i="103"/>
  <c r="BR246" i="103"/>
  <c r="BR247" i="103" s="1"/>
  <c r="AH185" i="8"/>
  <c r="AH186" i="8"/>
  <c r="EZ217" i="103"/>
  <c r="FE211" i="103"/>
  <c r="FE217" i="103" s="1"/>
  <c r="DH66" i="103"/>
  <c r="DH67" i="103"/>
  <c r="AD84" i="8"/>
  <c r="AD85" i="8"/>
  <c r="AF85" i="8"/>
  <c r="V84" i="8"/>
  <c r="V85" i="8"/>
  <c r="AM126" i="8"/>
  <c r="AM127" i="8"/>
  <c r="J90" i="8"/>
  <c r="L90" i="8"/>
  <c r="J89" i="8"/>
  <c r="AL133" i="8"/>
  <c r="EC66" i="103"/>
  <c r="EF56" i="103"/>
  <c r="EK56" i="103"/>
  <c r="J11" i="105"/>
  <c r="AT171" i="8"/>
  <c r="AT172" i="8" s="1"/>
  <c r="AT165" i="8"/>
  <c r="AT164" i="8"/>
  <c r="AT163" i="8"/>
  <c r="BW233" i="103"/>
  <c r="BW232" i="103"/>
  <c r="BW252" i="103"/>
  <c r="CB232" i="103"/>
  <c r="CW202" i="103"/>
  <c r="CW203" i="103" s="1"/>
  <c r="CW291" i="103"/>
  <c r="BX69" i="103"/>
  <c r="BX70" i="103"/>
  <c r="AN127" i="8"/>
  <c r="BH97" i="8"/>
  <c r="CM97" i="8" s="1"/>
  <c r="ED179" i="103"/>
  <c r="ED195" i="103"/>
  <c r="H53" i="8"/>
  <c r="W85" i="8"/>
  <c r="O185" i="8"/>
  <c r="O186" i="8"/>
  <c r="T187" i="8" s="1"/>
  <c r="Q125" i="8"/>
  <c r="R127" i="8" s="1"/>
  <c r="EK297" i="103"/>
  <c r="DB234" i="103"/>
  <c r="DB231" i="103"/>
  <c r="DB246" i="103"/>
  <c r="DB247" i="103" s="1"/>
  <c r="BX231" i="103"/>
  <c r="BX234" i="103"/>
  <c r="BX246" i="103"/>
  <c r="BN234" i="8"/>
  <c r="BN235" i="8" s="1"/>
  <c r="AM88" i="8"/>
  <c r="AM91" i="8"/>
  <c r="AM93" i="8"/>
  <c r="AR95" i="8"/>
  <c r="AM94" i="8"/>
  <c r="AR91" i="8"/>
  <c r="AM95" i="8"/>
  <c r="AR93" i="8"/>
  <c r="AS258" i="8"/>
  <c r="AS260" i="8"/>
  <c r="CM70" i="103"/>
  <c r="DV162" i="103"/>
  <c r="CW56" i="103"/>
  <c r="CW57" i="103" s="1"/>
  <c r="CW13" i="103"/>
  <c r="CW14" i="103" s="1"/>
  <c r="DG202" i="103"/>
  <c r="DG203" i="103" s="1"/>
  <c r="DG291" i="103"/>
  <c r="EA232" i="103"/>
  <c r="EA252" i="103"/>
  <c r="DL19" i="103"/>
  <c r="DL20" i="103" s="1"/>
  <c r="DL43" i="103"/>
  <c r="DL15" i="103"/>
  <c r="DL16" i="103" s="1"/>
  <c r="DL44" i="103"/>
  <c r="DL45" i="103" s="1"/>
  <c r="CR17" i="103"/>
  <c r="CR18" i="103" s="1"/>
  <c r="CR65" i="103"/>
  <c r="CQ67" i="103" s="1"/>
  <c r="CR68" i="103"/>
  <c r="CR47" i="103"/>
  <c r="CR48" i="103" s="1"/>
  <c r="CR41" i="103"/>
  <c r="EF44" i="103"/>
  <c r="EF43" i="103"/>
  <c r="EK43" i="103"/>
  <c r="CI162" i="103"/>
  <c r="CI163" i="103"/>
  <c r="CF101" i="8" s="1"/>
  <c r="CJ163" i="103"/>
  <c r="CG101" i="8" s="1"/>
  <c r="CN162" i="103"/>
  <c r="BL176" i="8"/>
  <c r="BL98" i="8" s="1"/>
  <c r="BN98" i="8" s="1"/>
  <c r="BP289" i="8"/>
  <c r="AX55" i="8"/>
  <c r="AX54" i="8"/>
  <c r="BN241" i="8"/>
  <c r="BN243" i="8"/>
  <c r="DQ97" i="103"/>
  <c r="DQ83" i="103"/>
  <c r="DV97" i="103"/>
  <c r="DQ86" i="103"/>
  <c r="BI175" i="8"/>
  <c r="BE176" i="8"/>
  <c r="BE98" i="8" s="1"/>
  <c r="Y126" i="8"/>
  <c r="Y127" i="8"/>
  <c r="AA127" i="8"/>
  <c r="DU70" i="103"/>
  <c r="DU74" i="103"/>
  <c r="DU69" i="103"/>
  <c r="CS66" i="103"/>
  <c r="CS67" i="103"/>
  <c r="DV41" i="103"/>
  <c r="DV47" i="103"/>
  <c r="DV65" i="103"/>
  <c r="DV68" i="103"/>
  <c r="DV17" i="103"/>
  <c r="EA18" i="103" s="1"/>
  <c r="BI32" i="8"/>
  <c r="BB116" i="8"/>
  <c r="BC116" i="8"/>
  <c r="AY59" i="8"/>
  <c r="AU186" i="8"/>
  <c r="AU185" i="8"/>
  <c r="AR185" i="8"/>
  <c r="AM185" i="8"/>
  <c r="AM186" i="8"/>
  <c r="CR14" i="103"/>
  <c r="DG69" i="103"/>
  <c r="DG70" i="103"/>
  <c r="CH13" i="103"/>
  <c r="CH14" i="103" s="1"/>
  <c r="CH56" i="103"/>
  <c r="CH57" i="103" s="1"/>
  <c r="CU233" i="103"/>
  <c r="FJ196" i="103"/>
  <c r="CW15" i="103"/>
  <c r="CW44" i="103"/>
  <c r="CW43" i="103"/>
  <c r="CW19" i="103"/>
  <c r="CW20" i="103" s="1"/>
  <c r="ET53" i="103"/>
  <c r="ET54" i="103"/>
  <c r="BN18" i="103"/>
  <c r="AE59" i="8"/>
  <c r="AT14" i="103"/>
  <c r="FE237" i="103"/>
  <c r="EZ320" i="103"/>
  <c r="DT203" i="103"/>
  <c r="FJ203" i="103" s="1"/>
  <c r="DT202" i="103"/>
  <c r="DU203" i="103"/>
  <c r="DY202" i="103"/>
  <c r="EA66" i="103"/>
  <c r="DX67" i="103"/>
  <c r="DW67" i="103"/>
  <c r="BX20" i="103"/>
  <c r="DS16" i="103"/>
  <c r="DX16" i="103"/>
  <c r="AT6" i="103"/>
  <c r="ER54" i="103"/>
  <c r="ER53" i="103"/>
  <c r="BS23" i="8"/>
  <c r="DC162" i="103"/>
  <c r="DC163" i="103"/>
  <c r="AD173" i="8"/>
  <c r="AD183" i="8"/>
  <c r="BS48" i="103"/>
  <c r="H943" i="104"/>
  <c r="I942" i="104" s="1"/>
  <c r="J943" i="104"/>
  <c r="K942" i="104" s="1"/>
  <c r="DD163" i="103"/>
  <c r="DB162" i="103"/>
  <c r="DB163" i="103" s="1"/>
  <c r="CM7" i="103"/>
  <c r="CM8" i="103" s="1"/>
  <c r="CM6" i="103"/>
  <c r="DE231" i="103"/>
  <c r="DE234" i="103"/>
  <c r="DE246" i="103"/>
  <c r="DE247" i="103" s="1"/>
  <c r="S89" i="8"/>
  <c r="S90" i="8"/>
  <c r="X89" i="8"/>
  <c r="AQ196" i="8"/>
  <c r="AQ132" i="8"/>
  <c r="AQ174" i="8"/>
  <c r="AQ131" i="8"/>
  <c r="AQ128" i="8"/>
  <c r="AQ135" i="8"/>
  <c r="BB183" i="8"/>
  <c r="S4" i="105"/>
  <c r="R24" i="105"/>
  <c r="BS230" i="103"/>
  <c r="EP75" i="103"/>
  <c r="V8" i="8"/>
  <c r="AA8" i="8"/>
  <c r="T185" i="8"/>
  <c r="BI5" i="8"/>
  <c r="CV20" i="103"/>
  <c r="DA20" i="103"/>
  <c r="CQ66" i="103"/>
  <c r="EL163" i="103"/>
  <c r="AJ8" i="103"/>
  <c r="N142" i="8"/>
  <c r="N182" i="8"/>
  <c r="N125" i="8"/>
  <c r="S46" i="8"/>
  <c r="R85" i="8"/>
  <c r="W84" i="8"/>
  <c r="S85" i="8"/>
  <c r="G186" i="8"/>
  <c r="G185" i="8"/>
  <c r="AG185" i="8"/>
  <c r="AG186" i="8"/>
  <c r="AJ7" i="8"/>
  <c r="AJ8" i="8" s="1"/>
  <c r="AJ10" i="8"/>
  <c r="AJ87" i="8"/>
  <c r="AJ88" i="8"/>
  <c r="AJ83" i="8"/>
  <c r="AJ91" i="8"/>
  <c r="BC8" i="8"/>
  <c r="BE127" i="8"/>
  <c r="DC234" i="103"/>
  <c r="DC231" i="103"/>
  <c r="DC246" i="103"/>
  <c r="DC247" i="103" s="1"/>
  <c r="R182" i="8"/>
  <c r="R142" i="8"/>
  <c r="R46" i="8"/>
  <c r="AY8" i="8"/>
  <c r="CO48" i="8"/>
  <c r="BL49" i="8"/>
  <c r="BL50" i="8"/>
  <c r="DL13" i="103"/>
  <c r="DL14" i="103" s="1"/>
  <c r="DL56" i="103"/>
  <c r="BF85" i="8"/>
  <c r="BF84" i="8"/>
  <c r="Z89" i="8"/>
  <c r="AU126" i="8"/>
  <c r="H142" i="8"/>
  <c r="H46" i="8"/>
  <c r="H182" i="8"/>
  <c r="H136" i="8" s="1"/>
  <c r="AJ164" i="8"/>
  <c r="AJ184" i="8"/>
  <c r="AJ125" i="8"/>
  <c r="AJ123" i="8"/>
  <c r="AJ156" i="8"/>
  <c r="AX85" i="8"/>
  <c r="BB153" i="8"/>
  <c r="BD158" i="8"/>
  <c r="Y131" i="8"/>
  <c r="Y128" i="8"/>
  <c r="Y174" i="8"/>
  <c r="Y132" i="8"/>
  <c r="Y135" i="8"/>
  <c r="Y196" i="8"/>
  <c r="CX20" i="103"/>
  <c r="BL44" i="8"/>
  <c r="AE53" i="8"/>
  <c r="O89" i="8"/>
  <c r="O90" i="8"/>
  <c r="BD96" i="8"/>
  <c r="BD97" i="8" s="1"/>
  <c r="DC20" i="103"/>
  <c r="BK84" i="8"/>
  <c r="BJ126" i="8"/>
  <c r="Q95" i="8"/>
  <c r="AD90" i="8"/>
  <c r="AD89" i="8"/>
  <c r="AF90" i="8"/>
  <c r="EK75" i="103"/>
  <c r="BC243" i="8"/>
  <c r="BC246" i="8"/>
  <c r="BL8" i="8"/>
  <c r="DG252" i="103"/>
  <c r="AO10" i="8"/>
  <c r="AU85" i="8"/>
  <c r="BG116" i="8"/>
  <c r="BG115" i="8"/>
  <c r="BA131" i="8"/>
  <c r="BL185" i="8"/>
  <c r="K270" i="8"/>
  <c r="DV234" i="103"/>
  <c r="DV235" i="103" s="1"/>
  <c r="DV231" i="103"/>
  <c r="DV246" i="103"/>
  <c r="DV247" i="103" s="1"/>
  <c r="CM202" i="103"/>
  <c r="CM203" i="103" s="1"/>
  <c r="CM291" i="103"/>
  <c r="CZ20" i="103"/>
  <c r="DE20" i="103"/>
  <c r="P186" i="8"/>
  <c r="BB258" i="8"/>
  <c r="BB260" i="8"/>
  <c r="K9" i="8"/>
  <c r="K7" i="8" s="1"/>
  <c r="K5" i="8"/>
  <c r="K83" i="8" s="1"/>
  <c r="K84" i="8" s="1"/>
  <c r="K13" i="8"/>
  <c r="BG8" i="8"/>
  <c r="DG53" i="103"/>
  <c r="DG54" i="103" s="1"/>
  <c r="CZ66" i="103"/>
  <c r="CZ67" i="103"/>
  <c r="CM66" i="103"/>
  <c r="CJ67" i="103"/>
  <c r="CI67" i="103"/>
  <c r="CK67" i="103"/>
  <c r="FE34" i="103"/>
  <c r="BP165" i="8"/>
  <c r="BP234" i="8"/>
  <c r="BP163" i="8"/>
  <c r="U83" i="8"/>
  <c r="U84" i="8" s="1"/>
  <c r="U87" i="8"/>
  <c r="U91" i="8"/>
  <c r="BL85" i="8"/>
  <c r="AP127" i="8"/>
  <c r="AP126" i="8"/>
  <c r="BG88" i="8"/>
  <c r="BL89" i="8" s="1"/>
  <c r="BL87" i="8"/>
  <c r="BG83" i="8"/>
  <c r="CO86" i="8"/>
  <c r="BG87" i="8"/>
  <c r="BG158" i="8"/>
  <c r="BG153" i="8" s="1"/>
  <c r="BA258" i="8"/>
  <c r="EA202" i="103"/>
  <c r="EA291" i="103"/>
  <c r="EF291" i="103" s="1"/>
  <c r="DU278" i="103"/>
  <c r="DV281" i="103"/>
  <c r="DV312" i="103"/>
  <c r="CX18" i="103"/>
  <c r="DC18" i="103"/>
  <c r="DH20" i="103"/>
  <c r="DM20" i="103"/>
  <c r="DR233" i="103"/>
  <c r="DR232" i="103"/>
  <c r="DR252" i="103"/>
  <c r="A8" i="104"/>
  <c r="B8" i="104" s="1"/>
  <c r="D9" i="104"/>
  <c r="AB89" i="8"/>
  <c r="X90" i="8"/>
  <c r="W90" i="8"/>
  <c r="W89" i="8"/>
  <c r="DZ16" i="103"/>
  <c r="EB233" i="103"/>
  <c r="DU67" i="103"/>
  <c r="DU66" i="103"/>
  <c r="DA233" i="103"/>
  <c r="DA252" i="103"/>
  <c r="AE95" i="8"/>
  <c r="FC49" i="103"/>
  <c r="FC59" i="103"/>
  <c r="FC60" i="103"/>
  <c r="FD60" i="103"/>
  <c r="AT91" i="8"/>
  <c r="AT93" i="8"/>
  <c r="AT95" i="8"/>
  <c r="AT94" i="8"/>
  <c r="AT88" i="8"/>
  <c r="CC219" i="8"/>
  <c r="EC74" i="103"/>
  <c r="EC70" i="103"/>
  <c r="EC69" i="103"/>
  <c r="CD232" i="103"/>
  <c r="CD233" i="103"/>
  <c r="CD252" i="103"/>
  <c r="AT49" i="8"/>
  <c r="AY49" i="8"/>
  <c r="AK126" i="8"/>
  <c r="U286" i="8"/>
  <c r="CE248" i="103"/>
  <c r="CJ248" i="103"/>
  <c r="CV66" i="103"/>
  <c r="CV67" i="103"/>
  <c r="DV6" i="103"/>
  <c r="DV7" i="103"/>
  <c r="FD53" i="103"/>
  <c r="DV313" i="103"/>
  <c r="DQ15" i="103"/>
  <c r="DQ16" i="103" s="1"/>
  <c r="DQ44" i="103"/>
  <c r="DQ45" i="103" s="1"/>
  <c r="DQ19" i="103"/>
  <c r="DQ20" i="103" s="1"/>
  <c r="DQ43" i="103"/>
  <c r="CM230" i="103"/>
  <c r="CI231" i="103"/>
  <c r="CI234" i="103"/>
  <c r="CI246" i="103"/>
  <c r="CI247" i="103" s="1"/>
  <c r="DZ20" i="103"/>
  <c r="CZ18" i="103"/>
  <c r="DE18" i="103"/>
  <c r="CE20" i="103"/>
  <c r="CJ20" i="103"/>
  <c r="FE289" i="103"/>
  <c r="CY20" i="103"/>
  <c r="CT20" i="103"/>
  <c r="N11" i="105"/>
  <c r="DB202" i="103"/>
  <c r="DB203" i="103" s="1"/>
  <c r="DW248" i="103"/>
  <c r="EB248" i="103"/>
  <c r="EA41" i="103"/>
  <c r="ER43" i="103"/>
  <c r="EU42" i="103"/>
  <c r="CX69" i="103"/>
  <c r="CX74" i="103"/>
  <c r="CX70" i="103"/>
  <c r="DC69" i="103"/>
  <c r="DL7" i="103"/>
  <c r="DL8" i="103" s="1"/>
  <c r="DL6" i="103"/>
  <c r="FD110" i="103"/>
  <c r="EY112" i="103"/>
  <c r="BI7" i="8"/>
  <c r="U156" i="8"/>
  <c r="U164" i="8"/>
  <c r="U123" i="8"/>
  <c r="U125" i="8"/>
  <c r="U184" i="8"/>
  <c r="DS233" i="103"/>
  <c r="BI14" i="103"/>
  <c r="AL91" i="8"/>
  <c r="AL93" i="8"/>
  <c r="AL95" i="8"/>
  <c r="AL94" i="8"/>
  <c r="AQ91" i="8"/>
  <c r="AL88" i="8"/>
  <c r="AQ93" i="8"/>
  <c r="BH89" i="8"/>
  <c r="CM89" i="8" s="1"/>
  <c r="BC90" i="8"/>
  <c r="BC89" i="8"/>
  <c r="G12" i="105"/>
  <c r="G16" i="105" s="1"/>
  <c r="AN287" i="8"/>
  <c r="AO285" i="8"/>
  <c r="AL54" i="8"/>
  <c r="AL55" i="8"/>
  <c r="BN45" i="103"/>
  <c r="BH44" i="8"/>
  <c r="AU54" i="8"/>
  <c r="I186" i="8"/>
  <c r="I185" i="8"/>
  <c r="DQ7" i="103"/>
  <c r="DQ8" i="103" s="1"/>
  <c r="DQ6" i="103"/>
  <c r="M59" i="8"/>
  <c r="N60" i="8"/>
  <c r="R59" i="8"/>
  <c r="M60" i="8"/>
  <c r="AA89" i="8"/>
  <c r="AA90" i="8"/>
  <c r="AB90" i="8"/>
  <c r="T90" i="8"/>
  <c r="BF97" i="8"/>
  <c r="BI96" i="8"/>
  <c r="BS239" i="8"/>
  <c r="BR253" i="8"/>
  <c r="BR243" i="8"/>
  <c r="EA7" i="103"/>
  <c r="EA6" i="103"/>
  <c r="W183" i="8"/>
  <c r="W173" i="8"/>
  <c r="BE90" i="8"/>
  <c r="CC8" i="103"/>
  <c r="DM87" i="103"/>
  <c r="DR87" i="103"/>
  <c r="N95" i="8"/>
  <c r="AZ46" i="8"/>
  <c r="AZ122" i="8"/>
  <c r="AZ182" i="8"/>
  <c r="BE46" i="8"/>
  <c r="AZ142" i="8"/>
  <c r="AK55" i="8"/>
  <c r="AK54" i="8"/>
  <c r="BI93" i="8"/>
  <c r="AG126" i="8"/>
  <c r="AG127" i="8"/>
  <c r="FI98" i="103"/>
  <c r="ES43" i="103"/>
  <c r="L89" i="8"/>
  <c r="DH18" i="103"/>
  <c r="DM18" i="103"/>
  <c r="CT69" i="103"/>
  <c r="CT74" i="103"/>
  <c r="CT70" i="103"/>
  <c r="CY69" i="103"/>
  <c r="CO18" i="8"/>
  <c r="CP18" i="8"/>
  <c r="DS70" i="103"/>
  <c r="DS74" i="103"/>
  <c r="DS69" i="103"/>
  <c r="DX69" i="103"/>
  <c r="BI86" i="8"/>
  <c r="BI88" i="8" s="1"/>
  <c r="BI89" i="8" s="1"/>
  <c r="AK90" i="8"/>
  <c r="AK89" i="8"/>
  <c r="AP89" i="8"/>
  <c r="AB183" i="8"/>
  <c r="EZ110" i="103"/>
  <c r="EW112" i="103" s="1"/>
  <c r="FB110" i="103"/>
  <c r="AJ59" i="8"/>
  <c r="AO59" i="8"/>
  <c r="AX84" i="8"/>
  <c r="BL258" i="8"/>
  <c r="AW123" i="8"/>
  <c r="AW125" i="8"/>
  <c r="BB123" i="8"/>
  <c r="AW184" i="8"/>
  <c r="AW156" i="8"/>
  <c r="AW164" i="8"/>
  <c r="DB44" i="103"/>
  <c r="DB19" i="103"/>
  <c r="DB20" i="103" s="1"/>
  <c r="DB43" i="103"/>
  <c r="DB15" i="103"/>
  <c r="DG16" i="103" s="1"/>
  <c r="CO39" i="8"/>
  <c r="CP39" i="8"/>
  <c r="J185" i="8"/>
  <c r="J186" i="8"/>
  <c r="O128" i="8"/>
  <c r="T135" i="8"/>
  <c r="T174" i="8"/>
  <c r="O196" i="8"/>
  <c r="O132" i="8"/>
  <c r="AP136" i="8"/>
  <c r="BS215" i="8"/>
  <c r="BX215" i="8" s="1"/>
  <c r="CC215" i="8" s="1"/>
  <c r="K58" i="8"/>
  <c r="K59" i="8" s="1"/>
  <c r="Z45" i="8"/>
  <c r="Z6" i="8"/>
  <c r="Z95" i="8"/>
  <c r="BI10" i="8"/>
  <c r="BD10" i="8"/>
  <c r="BD7" i="8"/>
  <c r="BD8" i="8" s="1"/>
  <c r="BD53" i="8"/>
  <c r="EK79" i="103"/>
  <c r="BO9" i="8"/>
  <c r="BJ89" i="8"/>
  <c r="BJ90" i="8"/>
  <c r="EA43" i="103"/>
  <c r="AR260" i="8"/>
  <c r="AR258" i="8"/>
  <c r="AM183" i="8"/>
  <c r="AM173" i="8"/>
  <c r="AW255" i="8"/>
  <c r="BI119" i="8"/>
  <c r="BI117" i="8"/>
  <c r="BI114" i="8"/>
  <c r="BN115" i="8" s="1"/>
  <c r="AV199" i="8"/>
  <c r="AV202" i="8" s="1"/>
  <c r="AV197" i="8"/>
  <c r="AV223" i="8" s="1"/>
  <c r="AV225" i="8" s="1"/>
  <c r="CO122" i="8"/>
  <c r="CP122" i="8"/>
  <c r="CC285" i="8"/>
  <c r="U262" i="8"/>
  <c r="U263" i="8" s="1"/>
  <c r="P267" i="8"/>
  <c r="AA199" i="8" l="1"/>
  <c r="AA202" i="8" s="1"/>
  <c r="BM188" i="8"/>
  <c r="CL188" i="8" s="1"/>
  <c r="BS212" i="8"/>
  <c r="BX212" i="8" s="1"/>
  <c r="CC212" i="8" s="1"/>
  <c r="BS162" i="8"/>
  <c r="BS165" i="8" s="1"/>
  <c r="BN99" i="8"/>
  <c r="BL127" i="8"/>
  <c r="AX127" i="8"/>
  <c r="BD119" i="8"/>
  <c r="BD117" i="8"/>
  <c r="FA43" i="103"/>
  <c r="EV53" i="103"/>
  <c r="EV54" i="103"/>
  <c r="FA54" i="103"/>
  <c r="FA53" i="103"/>
  <c r="AL129" i="8"/>
  <c r="F301" i="8"/>
  <c r="AJ89" i="8"/>
  <c r="U89" i="8"/>
  <c r="S187" i="8"/>
  <c r="AH126" i="8"/>
  <c r="AJ84" i="8"/>
  <c r="AX90" i="8"/>
  <c r="AT89" i="8"/>
  <c r="AX89" i="8"/>
  <c r="AQ90" i="8"/>
  <c r="AC126" i="8"/>
  <c r="AT54" i="8"/>
  <c r="AO93" i="8"/>
  <c r="AV89" i="8"/>
  <c r="AX126" i="8"/>
  <c r="AQ89" i="8"/>
  <c r="X126" i="8"/>
  <c r="AY54" i="8"/>
  <c r="S127" i="8"/>
  <c r="BK154" i="8"/>
  <c r="AP187" i="8"/>
  <c r="BC186" i="8"/>
  <c r="BH187" i="8" s="1"/>
  <c r="CM187" i="8" s="1"/>
  <c r="BC154" i="8"/>
  <c r="AO185" i="8"/>
  <c r="BC156" i="8"/>
  <c r="BL156" i="8"/>
  <c r="BL154" i="8"/>
  <c r="BJ156" i="8"/>
  <c r="BN95" i="8"/>
  <c r="K53" i="8"/>
  <c r="AH173" i="8"/>
  <c r="AH183" i="8"/>
  <c r="AC173" i="8"/>
  <c r="AC135" i="8" s="1"/>
  <c r="AC136" i="8"/>
  <c r="AC138" i="8" s="1"/>
  <c r="T132" i="8"/>
  <c r="T128" i="8"/>
  <c r="T196" i="8"/>
  <c r="BN87" i="8"/>
  <c r="BN97" i="8"/>
  <c r="BN91" i="8"/>
  <c r="BN153" i="8"/>
  <c r="BJ186" i="8"/>
  <c r="BK188" i="8" s="1"/>
  <c r="BI44" i="8"/>
  <c r="CM44" i="8"/>
  <c r="CM83" i="8"/>
  <c r="CO83" i="8" s="1"/>
  <c r="BM84" i="8"/>
  <c r="CL84" i="8" s="1"/>
  <c r="CM173" i="8"/>
  <c r="BM135" i="8"/>
  <c r="CL135" i="8" s="1"/>
  <c r="BM174" i="8"/>
  <c r="CL174" i="8" s="1"/>
  <c r="BM131" i="8"/>
  <c r="CL131" i="8" s="1"/>
  <c r="BN6" i="8"/>
  <c r="BN94" i="8"/>
  <c r="S136" i="8"/>
  <c r="T138" i="8" s="1"/>
  <c r="AD127" i="8"/>
  <c r="T133" i="8"/>
  <c r="CM136" i="8"/>
  <c r="BM137" i="8"/>
  <c r="CL137" i="8" s="1"/>
  <c r="BN44" i="8"/>
  <c r="BN45" i="8" s="1"/>
  <c r="CG45" i="8" s="1"/>
  <c r="BN184" i="8"/>
  <c r="BN123" i="8"/>
  <c r="S173" i="8"/>
  <c r="BN8" i="8"/>
  <c r="AW90" i="8"/>
  <c r="BA89" i="8"/>
  <c r="BN89" i="8"/>
  <c r="BD95" i="8"/>
  <c r="CO87" i="8"/>
  <c r="AO8" i="8"/>
  <c r="AU135" i="8"/>
  <c r="AT125" i="8"/>
  <c r="AY126" i="8" s="1"/>
  <c r="BD93" i="8"/>
  <c r="AK136" i="8"/>
  <c r="AP137" i="8" s="1"/>
  <c r="AK173" i="8"/>
  <c r="AY297" i="8"/>
  <c r="AX296" i="8"/>
  <c r="AD136" i="8"/>
  <c r="AF138" i="8" s="1"/>
  <c r="BL126" i="8"/>
  <c r="AX246" i="8"/>
  <c r="AX244" i="8"/>
  <c r="AP90" i="8"/>
  <c r="AS89" i="8"/>
  <c r="BI8" i="8"/>
  <c r="BK85" i="8"/>
  <c r="BD84" i="8"/>
  <c r="Q187" i="8"/>
  <c r="AO89" i="8"/>
  <c r="BQ180" i="8"/>
  <c r="BR161" i="8"/>
  <c r="BR180" i="8" s="1"/>
  <c r="BC115" i="8"/>
  <c r="CO114" i="8"/>
  <c r="Y129" i="8"/>
  <c r="AA130" i="8"/>
  <c r="EG77" i="103"/>
  <c r="EK76" i="103"/>
  <c r="EK132" i="103"/>
  <c r="EH77" i="103"/>
  <c r="EI77" i="103"/>
  <c r="EJ77" i="103"/>
  <c r="EK109" i="103"/>
  <c r="E11" i="104"/>
  <c r="C10" i="104"/>
  <c r="AH136" i="8"/>
  <c r="AI138" i="8" s="1"/>
  <c r="AH187" i="8"/>
  <c r="Y187" i="8"/>
  <c r="AD187" i="8"/>
  <c r="Y136" i="8"/>
  <c r="AA138" i="8" s="1"/>
  <c r="AA225" i="8"/>
  <c r="I46" i="8"/>
  <c r="I142" i="8"/>
  <c r="I182" i="8"/>
  <c r="I125" i="8"/>
  <c r="I127" i="8" s="1"/>
  <c r="N46" i="8"/>
  <c r="CC232" i="103"/>
  <c r="CC233" i="103" s="1"/>
  <c r="CC252" i="103"/>
  <c r="CH232" i="103"/>
  <c r="CH233" i="103" s="1"/>
  <c r="CI248" i="103"/>
  <c r="CN248" i="103"/>
  <c r="DQ84" i="103"/>
  <c r="DV84" i="103"/>
  <c r="AJ46" i="8"/>
  <c r="AJ240" i="8"/>
  <c r="AJ142" i="8"/>
  <c r="AJ182" i="8"/>
  <c r="BH84" i="8"/>
  <c r="CM84" i="8" s="1"/>
  <c r="BH85" i="8"/>
  <c r="CM85" i="8" s="1"/>
  <c r="BJ85" i="8"/>
  <c r="AX136" i="8"/>
  <c r="AX187" i="8"/>
  <c r="AA203" i="8"/>
  <c r="AA224" i="8"/>
  <c r="AA226" i="8" s="1"/>
  <c r="AA205" i="8"/>
  <c r="EZ284" i="103"/>
  <c r="EZ264" i="103"/>
  <c r="EZ193" i="103"/>
  <c r="EZ256" i="103"/>
  <c r="CO32" i="8"/>
  <c r="CP32" i="8"/>
  <c r="DV45" i="103"/>
  <c r="EA45" i="103"/>
  <c r="EZ119" i="103"/>
  <c r="CP94" i="8"/>
  <c r="CO94" i="8"/>
  <c r="CI235" i="103"/>
  <c r="CN235" i="103"/>
  <c r="DV20" i="103"/>
  <c r="EA20" i="103"/>
  <c r="AQ138" i="8"/>
  <c r="AQ137" i="8"/>
  <c r="FE80" i="103"/>
  <c r="EZ78" i="103"/>
  <c r="EZ79" i="103" s="1"/>
  <c r="EZ103" i="103"/>
  <c r="EZ104" i="103" s="1"/>
  <c r="W132" i="8"/>
  <c r="AB133" i="8" s="1"/>
  <c r="W196" i="8"/>
  <c r="W128" i="8"/>
  <c r="AB129" i="8" s="1"/>
  <c r="AB135" i="8"/>
  <c r="AB174" i="8"/>
  <c r="AB131" i="8"/>
  <c r="AN285" i="8"/>
  <c r="AJ185" i="8"/>
  <c r="AJ186" i="8"/>
  <c r="AO187" i="8" s="1"/>
  <c r="CR69" i="103"/>
  <c r="CR70" i="103"/>
  <c r="AZ1" i="8"/>
  <c r="V126" i="8"/>
  <c r="V127" i="8"/>
  <c r="AA126" i="8"/>
  <c r="W127" i="8"/>
  <c r="X187" i="8"/>
  <c r="X136" i="8"/>
  <c r="AC187" i="8"/>
  <c r="V173" i="8"/>
  <c r="V183" i="8"/>
  <c r="AA183" i="8"/>
  <c r="V136" i="8"/>
  <c r="W138" i="8" s="1"/>
  <c r="DB8" i="103"/>
  <c r="DG8" i="103"/>
  <c r="AN197" i="8"/>
  <c r="AN223" i="8" s="1"/>
  <c r="AN225" i="8" s="1"/>
  <c r="AN199" i="8"/>
  <c r="AN202" i="8" s="1"/>
  <c r="CM14" i="103"/>
  <c r="AB199" i="8"/>
  <c r="AB202" i="8" s="1"/>
  <c r="AB197" i="8"/>
  <c r="AB223" i="8" s="1"/>
  <c r="AB225" i="8" s="1"/>
  <c r="AM135" i="8"/>
  <c r="AM174" i="8"/>
  <c r="AM128" i="8"/>
  <c r="AN130" i="8" s="1"/>
  <c r="AM132" i="8"/>
  <c r="AM196" i="8"/>
  <c r="AM131" i="8"/>
  <c r="DB45" i="103"/>
  <c r="DB46" i="103" s="1"/>
  <c r="DG45" i="103"/>
  <c r="DG46" i="103" s="1"/>
  <c r="AN90" i="8"/>
  <c r="AM90" i="8"/>
  <c r="AM89" i="8"/>
  <c r="AR89" i="8"/>
  <c r="DB232" i="103"/>
  <c r="DB233" i="103" s="1"/>
  <c r="DB252" i="103"/>
  <c r="DG232" i="103"/>
  <c r="DG233" i="103" s="1"/>
  <c r="AO8" i="103"/>
  <c r="AT8" i="103"/>
  <c r="DB66" i="103"/>
  <c r="CY67" i="103"/>
  <c r="DA67" i="103"/>
  <c r="CX67" i="103"/>
  <c r="AT185" i="8"/>
  <c r="AT186" i="8"/>
  <c r="AW258" i="8"/>
  <c r="AX255" i="8"/>
  <c r="AX258" i="8" s="1"/>
  <c r="EE224" i="103"/>
  <c r="EF222" i="103"/>
  <c r="EF224" i="103" s="1"/>
  <c r="BH171" i="8"/>
  <c r="BH196" i="8"/>
  <c r="CM196" i="8" s="1"/>
  <c r="BH132" i="8"/>
  <c r="BH180" i="8"/>
  <c r="CM180" i="8" s="1"/>
  <c r="BH128" i="8"/>
  <c r="DV158" i="103"/>
  <c r="EA158" i="103"/>
  <c r="CW45" i="103"/>
  <c r="CW46" i="103" s="1"/>
  <c r="FI233" i="103"/>
  <c r="EU104" i="103"/>
  <c r="EU75" i="103"/>
  <c r="EU78" i="103"/>
  <c r="EU79" i="103" s="1"/>
  <c r="AW185" i="8"/>
  <c r="AW186" i="8"/>
  <c r="BB185" i="8"/>
  <c r="AG197" i="8"/>
  <c r="AG223" i="8" s="1"/>
  <c r="AG225" i="8" s="1"/>
  <c r="AG199" i="8"/>
  <c r="AG202" i="8" s="1"/>
  <c r="Z182" i="8"/>
  <c r="Z46" i="8"/>
  <c r="Z240" i="8"/>
  <c r="Z142" i="8"/>
  <c r="Z125" i="8"/>
  <c r="Z126" i="8" s="1"/>
  <c r="FC42" i="103"/>
  <c r="FC50" i="103"/>
  <c r="FC52" i="103"/>
  <c r="FC51" i="103"/>
  <c r="FD51" i="103"/>
  <c r="CO185" i="8"/>
  <c r="CP185" i="8"/>
  <c r="CP8" i="8"/>
  <c r="CO8" i="8"/>
  <c r="BX247" i="103"/>
  <c r="BX316" i="103"/>
  <c r="P84" i="8"/>
  <c r="DL69" i="103"/>
  <c r="DL70" i="103"/>
  <c r="AY95" i="8"/>
  <c r="AY94" i="8"/>
  <c r="AY88" i="8"/>
  <c r="AY89" i="8" s="1"/>
  <c r="AY91" i="8"/>
  <c r="AY93" i="8"/>
  <c r="CO125" i="8"/>
  <c r="CP125" i="8"/>
  <c r="EZ301" i="103"/>
  <c r="J7" i="8"/>
  <c r="J53" i="8"/>
  <c r="AX199" i="8"/>
  <c r="AX202" i="8" s="1"/>
  <c r="AX197" i="8"/>
  <c r="AX223" i="8" s="1"/>
  <c r="AX225" i="8" s="1"/>
  <c r="CO97" i="8"/>
  <c r="CP97" i="8"/>
  <c r="AV129" i="8"/>
  <c r="BA129" i="8"/>
  <c r="AV130" i="8"/>
  <c r="CP154" i="8"/>
  <c r="CO184" i="8"/>
  <c r="CP184" i="8"/>
  <c r="I12" i="105"/>
  <c r="I16" i="105" s="1"/>
  <c r="FE256" i="103"/>
  <c r="DV16" i="103"/>
  <c r="EA16" i="103"/>
  <c r="DV8" i="103"/>
  <c r="BG89" i="8"/>
  <c r="BH90" i="8"/>
  <c r="CM90" i="8" s="1"/>
  <c r="CO88" i="8"/>
  <c r="BG90" i="8"/>
  <c r="BL188" i="8"/>
  <c r="CV227" i="8"/>
  <c r="CV232" i="8" s="1"/>
  <c r="BL173" i="8"/>
  <c r="BL136" i="8"/>
  <c r="BM138" i="8" s="1"/>
  <c r="CL138" i="8" s="1"/>
  <c r="S126" i="8"/>
  <c r="O127" i="8"/>
  <c r="BS234" i="103"/>
  <c r="BX235" i="103" s="1"/>
  <c r="BS231" i="103"/>
  <c r="BS252" i="103" s="1"/>
  <c r="BS246" i="103"/>
  <c r="AQ133" i="8"/>
  <c r="AV133" i="8"/>
  <c r="H944" i="104"/>
  <c r="I943" i="104" s="1"/>
  <c r="J944" i="104"/>
  <c r="K943" i="104" s="1"/>
  <c r="BX22" i="8"/>
  <c r="CC23" i="8"/>
  <c r="N15" i="105"/>
  <c r="CT231" i="8"/>
  <c r="EF234" i="103"/>
  <c r="EF235" i="103" s="1"/>
  <c r="EF231" i="103"/>
  <c r="EF246" i="103"/>
  <c r="L84" i="8"/>
  <c r="AP132" i="8"/>
  <c r="AU133" i="8" s="1"/>
  <c r="AP128" i="8"/>
  <c r="AQ130" i="8" s="1"/>
  <c r="AP196" i="8"/>
  <c r="AU131" i="8"/>
  <c r="BD115" i="8"/>
  <c r="AT84" i="8"/>
  <c r="AY84" i="8"/>
  <c r="AU90" i="8"/>
  <c r="AU89" i="8"/>
  <c r="AV90" i="8"/>
  <c r="AZ89" i="8"/>
  <c r="BR277" i="8"/>
  <c r="BE101" i="8"/>
  <c r="BI100" i="8"/>
  <c r="DL247" i="103"/>
  <c r="DQ248" i="103" s="1"/>
  <c r="DL254" i="103"/>
  <c r="DL258" i="103" s="1"/>
  <c r="CW247" i="103"/>
  <c r="CW248" i="103" s="1"/>
  <c r="CW316" i="103"/>
  <c r="BI6" i="8"/>
  <c r="BI45" i="8"/>
  <c r="BI95" i="8"/>
  <c r="BI94" i="8"/>
  <c r="CW16" i="103"/>
  <c r="BQ289" i="8"/>
  <c r="CR66" i="103"/>
  <c r="CP67" i="103"/>
  <c r="CN67" i="103"/>
  <c r="CO67" i="103"/>
  <c r="DB235" i="103"/>
  <c r="DG235" i="103"/>
  <c r="EU44" i="103"/>
  <c r="EU43" i="103"/>
  <c r="DV248" i="103"/>
  <c r="EA248" i="103"/>
  <c r="Y133" i="8"/>
  <c r="AA134" i="8"/>
  <c r="G136" i="8"/>
  <c r="H138" i="8" s="1"/>
  <c r="L187" i="8"/>
  <c r="N173" i="8"/>
  <c r="S183" i="8"/>
  <c r="AQ199" i="8"/>
  <c r="AQ202" i="8" s="1"/>
  <c r="AQ197" i="8"/>
  <c r="AQ223" i="8" s="1"/>
  <c r="AQ225" i="8" s="1"/>
  <c r="DE233" i="103"/>
  <c r="DE232" i="103"/>
  <c r="DE252" i="103"/>
  <c r="AU136" i="8"/>
  <c r="AU187" i="8"/>
  <c r="P7" i="8"/>
  <c r="P53" i="8"/>
  <c r="EW54" i="103"/>
  <c r="EW53" i="103"/>
  <c r="DB48" i="103"/>
  <c r="DG48" i="103"/>
  <c r="EF220" i="103"/>
  <c r="EF311" i="103" s="1"/>
  <c r="X174" i="8"/>
  <c r="X135" i="8"/>
  <c r="X128" i="8"/>
  <c r="X131" i="8"/>
  <c r="X196" i="8"/>
  <c r="X132" i="8"/>
  <c r="Y134" i="8" s="1"/>
  <c r="BD46" i="8"/>
  <c r="BD182" i="8"/>
  <c r="BD245" i="8"/>
  <c r="BD240" i="8"/>
  <c r="BD142" i="8"/>
  <c r="AB134" i="8"/>
  <c r="DL235" i="103"/>
  <c r="DQ235" i="103"/>
  <c r="CO96" i="8"/>
  <c r="CP96" i="8"/>
  <c r="FC65" i="103"/>
  <c r="CW232" i="103"/>
  <c r="CW233" i="103" s="1"/>
  <c r="CW252" i="103"/>
  <c r="N136" i="8"/>
  <c r="AV187" i="8"/>
  <c r="AV136" i="8"/>
  <c r="BA187" i="8"/>
  <c r="BG84" i="8"/>
  <c r="BG85" i="8"/>
  <c r="BL84" i="8"/>
  <c r="EK291" i="103"/>
  <c r="DV232" i="103"/>
  <c r="DV252" i="103"/>
  <c r="DC232" i="103"/>
  <c r="DC233" i="103"/>
  <c r="DD233" i="103"/>
  <c r="DC252" i="103"/>
  <c r="DH232" i="103"/>
  <c r="S24" i="105"/>
  <c r="T4" i="105"/>
  <c r="DV18" i="103"/>
  <c r="CH48" i="103"/>
  <c r="CM48" i="103"/>
  <c r="EF208" i="103"/>
  <c r="EK208" i="103"/>
  <c r="EK242" i="103" s="1"/>
  <c r="EK241" i="103" s="1"/>
  <c r="AB137" i="8"/>
  <c r="BP20" i="8"/>
  <c r="BQ19" i="8"/>
  <c r="EU147" i="103"/>
  <c r="EU144" i="103"/>
  <c r="EW43" i="103"/>
  <c r="CV232" i="103"/>
  <c r="CV233" i="103"/>
  <c r="CX233" i="103"/>
  <c r="CV252" i="103"/>
  <c r="DA232" i="103"/>
  <c r="EZ295" i="103"/>
  <c r="EU214" i="103"/>
  <c r="EU213" i="103" s="1"/>
  <c r="DB69" i="103"/>
  <c r="DB70" i="103"/>
  <c r="CC235" i="103"/>
  <c r="CH235" i="103"/>
  <c r="EE230" i="103"/>
  <c r="BA203" i="8"/>
  <c r="BA205" i="8"/>
  <c r="BA224" i="8"/>
  <c r="BA226" i="8" s="1"/>
  <c r="BF136" i="8"/>
  <c r="BF187" i="8"/>
  <c r="BF188" i="8"/>
  <c r="BF173" i="8"/>
  <c r="CU227" i="8"/>
  <c r="CU232" i="8" s="1"/>
  <c r="BK187" i="8"/>
  <c r="BK173" i="8"/>
  <c r="BK136" i="8"/>
  <c r="FB42" i="103"/>
  <c r="FB50" i="103"/>
  <c r="FB52" i="103"/>
  <c r="FB51" i="103"/>
  <c r="AV224" i="8"/>
  <c r="AV226" i="8" s="1"/>
  <c r="AV203" i="8"/>
  <c r="AV205" i="8"/>
  <c r="BP9" i="8"/>
  <c r="BO10" i="8"/>
  <c r="BD54" i="8"/>
  <c r="BI54" i="8"/>
  <c r="BE55" i="8"/>
  <c r="T129" i="8"/>
  <c r="BI87" i="8"/>
  <c r="BI83" i="8"/>
  <c r="BI84" i="8" s="1"/>
  <c r="CU91" i="8"/>
  <c r="BI91" i="8"/>
  <c r="AZ269" i="8"/>
  <c r="AZ183" i="8"/>
  <c r="BE183" i="8"/>
  <c r="EA8" i="103"/>
  <c r="BI97" i="8"/>
  <c r="CP153" i="8"/>
  <c r="U185" i="8"/>
  <c r="U186" i="8"/>
  <c r="CI232" i="103"/>
  <c r="CI233" i="103"/>
  <c r="CI252" i="103"/>
  <c r="CN232" i="103"/>
  <c r="CJ233" i="103"/>
  <c r="DV69" i="103"/>
  <c r="DV70" i="103"/>
  <c r="BE99" i="8"/>
  <c r="BI98" i="8"/>
  <c r="CP175" i="8"/>
  <c r="CO175" i="8"/>
  <c r="CW70" i="103"/>
  <c r="CW69" i="103"/>
  <c r="BS255" i="8"/>
  <c r="BS259" i="8" s="1"/>
  <c r="EX54" i="103"/>
  <c r="EX53" i="103"/>
  <c r="EY54" i="103"/>
  <c r="FE61" i="103"/>
  <c r="FE58" i="103" s="1"/>
  <c r="EZ58" i="103"/>
  <c r="AO182" i="8"/>
  <c r="AO286" i="8" s="1"/>
  <c r="AO240" i="8"/>
  <c r="AO142" i="8"/>
  <c r="AO46" i="8"/>
  <c r="AO125" i="8"/>
  <c r="AB138" i="8"/>
  <c r="DL66" i="103"/>
  <c r="DJ67" i="103"/>
  <c r="DK67" i="103"/>
  <c r="DI67" i="103"/>
  <c r="FH85" i="103"/>
  <c r="Z185" i="8"/>
  <c r="Z186" i="8"/>
  <c r="AE185" i="8"/>
  <c r="AT240" i="8"/>
  <c r="AT142" i="8"/>
  <c r="AT46" i="8"/>
  <c r="AT182" i="8"/>
  <c r="BI158" i="8"/>
  <c r="BS170" i="8"/>
  <c r="BX170" i="8" s="1"/>
  <c r="CC170" i="8" s="1"/>
  <c r="U281" i="8"/>
  <c r="U173" i="8"/>
  <c r="U269" i="8"/>
  <c r="BO216" i="8"/>
  <c r="BP210" i="8"/>
  <c r="BO218" i="8"/>
  <c r="BO217" i="8"/>
  <c r="DL232" i="103"/>
  <c r="DL252" i="103"/>
  <c r="J60" i="8"/>
  <c r="O59" i="8"/>
  <c r="AG133" i="8"/>
  <c r="AR127" i="8"/>
  <c r="AR126" i="8"/>
  <c r="EZ238" i="103"/>
  <c r="EU239" i="103"/>
  <c r="CW8" i="103"/>
  <c r="CO95" i="8"/>
  <c r="CP95" i="8"/>
  <c r="F197" i="8"/>
  <c r="F199" i="8"/>
  <c r="F202" i="8" s="1"/>
  <c r="EF137" i="103"/>
  <c r="EF129" i="103"/>
  <c r="Q173" i="8"/>
  <c r="BS223" i="8"/>
  <c r="M84" i="8"/>
  <c r="M85" i="8"/>
  <c r="N85" i="8"/>
  <c r="P301" i="8"/>
  <c r="P270" i="8"/>
  <c r="BI115" i="8"/>
  <c r="DB16" i="103"/>
  <c r="AW126" i="8"/>
  <c r="AW127" i="8"/>
  <c r="BB126" i="8"/>
  <c r="AZ156" i="8"/>
  <c r="AZ184" i="8"/>
  <c r="BD122" i="8"/>
  <c r="AZ125" i="8"/>
  <c r="AZ123" i="8"/>
  <c r="BE123" i="8"/>
  <c r="AZ164" i="8"/>
  <c r="CP156" i="8"/>
  <c r="CM231" i="103"/>
  <c r="CM234" i="103"/>
  <c r="CM246" i="103"/>
  <c r="DU281" i="103"/>
  <c r="DV282" i="103"/>
  <c r="K45" i="8"/>
  <c r="K6" i="8"/>
  <c r="K95" i="8"/>
  <c r="K94" i="8"/>
  <c r="H183" i="8"/>
  <c r="H173" i="8"/>
  <c r="AQ129" i="8"/>
  <c r="AD128" i="8"/>
  <c r="AD135" i="8"/>
  <c r="AD196" i="8"/>
  <c r="AD131" i="8"/>
  <c r="AD174" i="8"/>
  <c r="AD132" i="8"/>
  <c r="FE320" i="103"/>
  <c r="AM136" i="8"/>
  <c r="AR187" i="8"/>
  <c r="AM187" i="8"/>
  <c r="DV66" i="103"/>
  <c r="DR67" i="103"/>
  <c r="DT67" i="103"/>
  <c r="BL99" i="8"/>
  <c r="BX252" i="103"/>
  <c r="Q127" i="8"/>
  <c r="CH69" i="103"/>
  <c r="CH70" i="103"/>
  <c r="P59" i="8"/>
  <c r="U59" i="8"/>
  <c r="CW66" i="103"/>
  <c r="CU67" i="103"/>
  <c r="P89" i="8"/>
  <c r="EX43" i="103"/>
  <c r="EA69" i="103"/>
  <c r="AI127" i="8"/>
  <c r="AI126" i="8"/>
  <c r="AK127" i="8"/>
  <c r="I85" i="8"/>
  <c r="N84" i="8"/>
  <c r="DV202" i="103"/>
  <c r="DV291" i="103"/>
  <c r="EA281" i="103"/>
  <c r="EA312" i="103"/>
  <c r="EA313" i="103" s="1"/>
  <c r="DZ278" i="103"/>
  <c r="AV134" i="8"/>
  <c r="BF154" i="8"/>
  <c r="BF156" i="8"/>
  <c r="BI153" i="8"/>
  <c r="BG155" i="8" s="1"/>
  <c r="BQ234" i="8"/>
  <c r="BQ165" i="8"/>
  <c r="BQ163" i="8"/>
  <c r="BS8" i="103"/>
  <c r="AL205" i="8"/>
  <c r="AL224" i="8"/>
  <c r="AL226" i="8" s="1"/>
  <c r="AL203" i="8"/>
  <c r="AG129" i="8"/>
  <c r="EF76" i="103"/>
  <c r="ED77" i="103"/>
  <c r="EB77" i="103"/>
  <c r="EC77" i="103"/>
  <c r="EE77" i="103"/>
  <c r="EF138" i="103"/>
  <c r="EF139" i="103" s="1"/>
  <c r="EF109" i="103"/>
  <c r="AS127" i="8"/>
  <c r="AS126" i="8"/>
  <c r="DF233" i="103"/>
  <c r="DF232" i="103"/>
  <c r="DF252" i="103"/>
  <c r="DH233" i="103"/>
  <c r="DK232" i="103"/>
  <c r="CP6" i="8"/>
  <c r="CO6" i="8"/>
  <c r="CQ248" i="103"/>
  <c r="CL248" i="103"/>
  <c r="M142" i="8"/>
  <c r="M46" i="8"/>
  <c r="M125" i="8"/>
  <c r="M182" i="8"/>
  <c r="U267" i="8"/>
  <c r="Z262" i="8"/>
  <c r="Z263" i="8" s="1"/>
  <c r="FE110" i="103"/>
  <c r="A9" i="104"/>
  <c r="B9" i="104" s="1"/>
  <c r="D10" i="104"/>
  <c r="BG154" i="8"/>
  <c r="CO154" i="8" s="1"/>
  <c r="CO153" i="8"/>
  <c r="BG156" i="8"/>
  <c r="CO156" i="8" s="1"/>
  <c r="BG186" i="8"/>
  <c r="Y197" i="8"/>
  <c r="Y223" i="8" s="1"/>
  <c r="Y199" i="8"/>
  <c r="Y202" i="8" s="1"/>
  <c r="BB156" i="8"/>
  <c r="BD153" i="8"/>
  <c r="BB154" i="8"/>
  <c r="BB186" i="8"/>
  <c r="DV48" i="103"/>
  <c r="DQ87" i="103"/>
  <c r="DV87" i="103"/>
  <c r="O136" i="8"/>
  <c r="T137" i="8" s="1"/>
  <c r="O187" i="8"/>
  <c r="ED181" i="103"/>
  <c r="ED185" i="103"/>
  <c r="ED188" i="103"/>
  <c r="ED180" i="103"/>
  <c r="ED184" i="103"/>
  <c r="ED187" i="103"/>
  <c r="ED186" i="103"/>
  <c r="P6" i="8"/>
  <c r="P94" i="8"/>
  <c r="P95" i="8"/>
  <c r="P45" i="8"/>
  <c r="U6" i="8"/>
  <c r="U95" i="8"/>
  <c r="BE136" i="8"/>
  <c r="BE173" i="8"/>
  <c r="L46" i="8"/>
  <c r="L182" i="8"/>
  <c r="L125" i="8"/>
  <c r="Q126" i="8" s="1"/>
  <c r="L142" i="8"/>
  <c r="Z84" i="8"/>
  <c r="AO84" i="8"/>
  <c r="CR8" i="103"/>
  <c r="AI173" i="8"/>
  <c r="AI183" i="8"/>
  <c r="AN183" i="8"/>
  <c r="DB18" i="103"/>
  <c r="DG18" i="103"/>
  <c r="AW132" i="8"/>
  <c r="AX134" i="8" s="1"/>
  <c r="AW196" i="8"/>
  <c r="AW128" i="8"/>
  <c r="AX130" i="8" s="1"/>
  <c r="AU199" i="8"/>
  <c r="AU202" i="8" s="1"/>
  <c r="AU197" i="8"/>
  <c r="AU223" i="8" s="1"/>
  <c r="DQ14" i="103"/>
  <c r="BO274" i="8"/>
  <c r="BP274" i="8" s="1"/>
  <c r="BQ274" i="8" s="1"/>
  <c r="BR234" i="8"/>
  <c r="BS234" i="8" s="1"/>
  <c r="BR163" i="8"/>
  <c r="BR165" i="8"/>
  <c r="AY172" i="8"/>
  <c r="J45" i="8"/>
  <c r="J94" i="8"/>
  <c r="J6" i="8"/>
  <c r="O95" i="8"/>
  <c r="J83" i="8"/>
  <c r="L85" i="8" s="1"/>
  <c r="J95" i="8"/>
  <c r="O6" i="8"/>
  <c r="AR136" i="8"/>
  <c r="AR183" i="8"/>
  <c r="AR173" i="8"/>
  <c r="DQ70" i="103"/>
  <c r="DQ69" i="103"/>
  <c r="FJ233" i="103"/>
  <c r="FJ231" i="103" s="1"/>
  <c r="K186" i="8"/>
  <c r="P187" i="8" s="1"/>
  <c r="K185" i="8"/>
  <c r="N187" i="8"/>
  <c r="CO5" i="8"/>
  <c r="CP5" i="8"/>
  <c r="CL235" i="103"/>
  <c r="CQ235" i="103"/>
  <c r="EE131" i="103"/>
  <c r="ED130" i="103"/>
  <c r="ED131" i="103"/>
  <c r="O199" i="8"/>
  <c r="O202" i="8" s="1"/>
  <c r="O197" i="8"/>
  <c r="O223" i="8" s="1"/>
  <c r="O225" i="8" s="1"/>
  <c r="J187" i="8"/>
  <c r="EZ146" i="103"/>
  <c r="EZ111" i="103"/>
  <c r="EV112" i="103"/>
  <c r="EX112" i="103"/>
  <c r="BS243" i="8"/>
  <c r="O15" i="105" s="1"/>
  <c r="BS253" i="8"/>
  <c r="BS241" i="8"/>
  <c r="AL90" i="8"/>
  <c r="AL89" i="8"/>
  <c r="R173" i="8"/>
  <c r="AG187" i="8"/>
  <c r="AL187" i="8"/>
  <c r="AG136" i="8"/>
  <c r="EP76" i="103"/>
  <c r="EP109" i="103"/>
  <c r="EP132" i="103"/>
  <c r="EP136" i="103"/>
  <c r="EG46" i="103"/>
  <c r="EF45" i="103"/>
  <c r="EK45" i="103"/>
  <c r="DG20" i="103"/>
  <c r="BR233" i="103"/>
  <c r="BR252" i="103"/>
  <c r="BT233" i="103"/>
  <c r="CW48" i="103"/>
  <c r="AF174" i="8"/>
  <c r="AF135" i="8"/>
  <c r="AF128" i="8"/>
  <c r="AF131" i="8"/>
  <c r="AF132" i="8"/>
  <c r="AF196" i="8"/>
  <c r="V24" i="104"/>
  <c r="L849" i="104"/>
  <c r="M848" i="104" s="1"/>
  <c r="L273" i="104"/>
  <c r="M272" i="104" s="1"/>
  <c r="L252" i="104"/>
  <c r="M251" i="104" s="1"/>
  <c r="L485" i="104"/>
  <c r="M484" i="104" s="1"/>
  <c r="L484" i="104"/>
  <c r="M483" i="104" s="1"/>
  <c r="L844" i="104"/>
  <c r="M843" i="104" s="1"/>
  <c r="L845" i="104"/>
  <c r="M844" i="104" s="1"/>
  <c r="CC247" i="103"/>
  <c r="CC316" i="103"/>
  <c r="AN134" i="8"/>
  <c r="G128" i="8"/>
  <c r="G132" i="8"/>
  <c r="G196" i="8"/>
  <c r="AB130" i="8"/>
  <c r="BO273" i="8"/>
  <c r="BP273" i="8" s="1"/>
  <c r="AE240" i="8"/>
  <c r="AE46" i="8"/>
  <c r="AE182" i="8"/>
  <c r="AE142" i="8"/>
  <c r="AE125" i="8"/>
  <c r="DS67" i="103"/>
  <c r="AF137" i="8"/>
  <c r="EU56" i="103"/>
  <c r="EZ55" i="103"/>
  <c r="FE55" i="103" s="1"/>
  <c r="DQ66" i="103"/>
  <c r="DM67" i="103"/>
  <c r="DO67" i="103"/>
  <c r="DP67" i="103"/>
  <c r="K7" i="105"/>
  <c r="AY236" i="8"/>
  <c r="AY173" i="8"/>
  <c r="AY286" i="8"/>
  <c r="AY269" i="8"/>
  <c r="AY281" i="8"/>
  <c r="AY183" i="8"/>
  <c r="AS173" i="8"/>
  <c r="AS183" i="8"/>
  <c r="AX183" i="8"/>
  <c r="CL232" i="103"/>
  <c r="CL233" i="103"/>
  <c r="FK233" i="103" s="1"/>
  <c r="CN233" i="103"/>
  <c r="CL252" i="103"/>
  <c r="CQ232" i="103"/>
  <c r="AN187" i="8"/>
  <c r="AN136" i="8"/>
  <c r="AS137" i="8" s="1"/>
  <c r="CT67" i="103"/>
  <c r="R136" i="8"/>
  <c r="R187" i="8"/>
  <c r="EP141" i="103"/>
  <c r="EP142" i="103" s="1"/>
  <c r="EP145" i="103"/>
  <c r="EP154" i="103"/>
  <c r="AY186" i="8"/>
  <c r="AY185" i="8"/>
  <c r="BS163" i="8" l="1"/>
  <c r="O11" i="105"/>
  <c r="BI186" i="8"/>
  <c r="N126" i="8"/>
  <c r="BC187" i="8"/>
  <c r="BC173" i="8"/>
  <c r="BH174" i="8" s="1"/>
  <c r="CM174" i="8" s="1"/>
  <c r="BC136" i="8"/>
  <c r="BH137" i="8" s="1"/>
  <c r="CM137" i="8" s="1"/>
  <c r="AA137" i="8"/>
  <c r="BE188" i="8"/>
  <c r="BC188" i="8"/>
  <c r="AK138" i="8"/>
  <c r="AD138" i="8"/>
  <c r="AI137" i="8"/>
  <c r="BN182" i="8"/>
  <c r="BN281" i="8" s="1"/>
  <c r="BN142" i="8"/>
  <c r="BN46" i="8"/>
  <c r="BN125" i="8"/>
  <c r="CM132" i="8"/>
  <c r="BM133" i="8"/>
  <c r="CL133" i="8" s="1"/>
  <c r="BN185" i="8"/>
  <c r="BN186" i="8"/>
  <c r="AH128" i="8"/>
  <c r="AM129" i="8" s="1"/>
  <c r="AH135" i="8"/>
  <c r="AH132" i="8"/>
  <c r="AH131" i="8"/>
  <c r="AH196" i="8"/>
  <c r="AH174" i="8"/>
  <c r="AC132" i="8"/>
  <c r="AD134" i="8" s="1"/>
  <c r="AC174" i="8"/>
  <c r="AC196" i="8"/>
  <c r="AC128" i="8"/>
  <c r="AC130" i="8" s="1"/>
  <c r="AC131" i="8"/>
  <c r="CM128" i="8"/>
  <c r="BM129" i="8"/>
  <c r="CL129" i="8" s="1"/>
  <c r="CM171" i="8"/>
  <c r="BM172" i="8"/>
  <c r="CL172" i="8" s="1"/>
  <c r="S196" i="8"/>
  <c r="S128" i="8"/>
  <c r="T130" i="8" s="1"/>
  <c r="S132" i="8"/>
  <c r="T134" i="8" s="1"/>
  <c r="BJ188" i="8"/>
  <c r="BJ173" i="8"/>
  <c r="BJ135" i="8" s="1"/>
  <c r="BJ187" i="8"/>
  <c r="BJ136" i="8"/>
  <c r="BJ138" i="8" s="1"/>
  <c r="BN154" i="8"/>
  <c r="BM155" i="8"/>
  <c r="BN156" i="8"/>
  <c r="T199" i="8"/>
  <c r="T202" i="8" s="1"/>
  <c r="T197" i="8"/>
  <c r="BN84" i="8"/>
  <c r="BS180" i="8"/>
  <c r="AK128" i="8"/>
  <c r="AL130" i="8" s="1"/>
  <c r="AK196" i="8"/>
  <c r="AK135" i="8"/>
  <c r="AK174" i="8"/>
  <c r="AK132" i="8"/>
  <c r="AL134" i="8" s="1"/>
  <c r="AK131" i="8"/>
  <c r="AK133" i="8"/>
  <c r="AP174" i="8"/>
  <c r="CC22" i="8"/>
  <c r="AP135" i="8"/>
  <c r="AP131" i="8"/>
  <c r="AY298" i="8"/>
  <c r="AX297" i="8"/>
  <c r="AX298" i="8" s="1"/>
  <c r="AK137" i="8"/>
  <c r="AL138" i="8"/>
  <c r="BS161" i="8"/>
  <c r="BX161" i="8" s="1"/>
  <c r="CO121" i="8"/>
  <c r="CP121" i="8"/>
  <c r="K12" i="105"/>
  <c r="K16" i="105" s="1"/>
  <c r="K17" i="105" s="1"/>
  <c r="AY187" i="8"/>
  <c r="AY136" i="8"/>
  <c r="BK181" i="8"/>
  <c r="BK135" i="8"/>
  <c r="BK174" i="8"/>
  <c r="BK128" i="8"/>
  <c r="BK131" i="8"/>
  <c r="BK180" i="8"/>
  <c r="BK132" i="8"/>
  <c r="BK171" i="8"/>
  <c r="BK196" i="8"/>
  <c r="I173" i="8"/>
  <c r="I183" i="8"/>
  <c r="I136" i="8"/>
  <c r="I138" i="8" s="1"/>
  <c r="O224" i="8"/>
  <c r="O226" i="8" s="1"/>
  <c r="O203" i="8"/>
  <c r="O205" i="8"/>
  <c r="AR128" i="8"/>
  <c r="AR196" i="8"/>
  <c r="AR132" i="8"/>
  <c r="AW133" i="8" s="1"/>
  <c r="AR131" i="8"/>
  <c r="AR135" i="8"/>
  <c r="AR174" i="8"/>
  <c r="AW199" i="8"/>
  <c r="AW202" i="8" s="1"/>
  <c r="AW197" i="8"/>
  <c r="AW223" i="8" s="1"/>
  <c r="AW225" i="8" s="1"/>
  <c r="AD199" i="8"/>
  <c r="AD202" i="8" s="1"/>
  <c r="AD197" i="8"/>
  <c r="AD223" i="8" s="1"/>
  <c r="AD225" i="8" s="1"/>
  <c r="AZ185" i="8"/>
  <c r="AZ186" i="8"/>
  <c r="BE185" i="8"/>
  <c r="EF130" i="103"/>
  <c r="EK130" i="103"/>
  <c r="AG134" i="8"/>
  <c r="BA227" i="8"/>
  <c r="BF227" i="8"/>
  <c r="BR274" i="8"/>
  <c r="BS274" i="8" s="1"/>
  <c r="D11" i="104"/>
  <c r="A10" i="104"/>
  <c r="B10" i="104" s="1"/>
  <c r="FB53" i="103"/>
  <c r="FB54" i="103"/>
  <c r="AE126" i="8"/>
  <c r="AJ126" i="8"/>
  <c r="AW134" i="8"/>
  <c r="BI173" i="8"/>
  <c r="BH189" i="8"/>
  <c r="P46" i="8"/>
  <c r="P182" i="8"/>
  <c r="P271" i="8" s="1"/>
  <c r="P240" i="8"/>
  <c r="P142" i="8"/>
  <c r="P125" i="8"/>
  <c r="U46" i="8"/>
  <c r="F203" i="8"/>
  <c r="F205" i="8"/>
  <c r="F206" i="8" s="1"/>
  <c r="AP199" i="8"/>
  <c r="AP202" i="8" s="1"/>
  <c r="AP197" i="8"/>
  <c r="AP223" i="8" s="1"/>
  <c r="BL132" i="8"/>
  <c r="BM134" i="8" s="1"/>
  <c r="CL134" i="8" s="1"/>
  <c r="BL180" i="8"/>
  <c r="BL181" i="8"/>
  <c r="BL196" i="8"/>
  <c r="BL128" i="8"/>
  <c r="BM130" i="8" s="1"/>
  <c r="CL130" i="8" s="1"/>
  <c r="BL171" i="8"/>
  <c r="AN138" i="8"/>
  <c r="AN137" i="8"/>
  <c r="AW174" i="8"/>
  <c r="BG187" i="8"/>
  <c r="BG173" i="8"/>
  <c r="BL131" i="8" s="1"/>
  <c r="BG136" i="8"/>
  <c r="BL137" i="8" s="1"/>
  <c r="BG189" i="8"/>
  <c r="CO186" i="8"/>
  <c r="BG188" i="8"/>
  <c r="BH188" i="8"/>
  <c r="CM188" i="8" s="1"/>
  <c r="CM316" i="103"/>
  <c r="CM247" i="103"/>
  <c r="FB43" i="103"/>
  <c r="CP186" i="8"/>
  <c r="AB203" i="8"/>
  <c r="AB224" i="8"/>
  <c r="AB226" i="8" s="1"/>
  <c r="AB205" i="8"/>
  <c r="K10" i="105"/>
  <c r="K19" i="105" s="1"/>
  <c r="AY196" i="8"/>
  <c r="AY132" i="8"/>
  <c r="AY128" i="8"/>
  <c r="G7" i="105"/>
  <c r="AE183" i="8"/>
  <c r="AE269" i="8"/>
  <c r="AE281" i="8"/>
  <c r="AE236" i="8"/>
  <c r="AE173" i="8"/>
  <c r="AE286" i="8"/>
  <c r="AE136" i="8"/>
  <c r="R132" i="8"/>
  <c r="R128" i="8"/>
  <c r="W129" i="8" s="1"/>
  <c r="R196" i="8"/>
  <c r="W174" i="8"/>
  <c r="W131" i="8"/>
  <c r="W135" i="8"/>
  <c r="AW131" i="8"/>
  <c r="BE189" i="8"/>
  <c r="Y225" i="8"/>
  <c r="Z223" i="8"/>
  <c r="Z225" i="8" s="1"/>
  <c r="M127" i="8"/>
  <c r="M126" i="8"/>
  <c r="R126" i="8"/>
  <c r="K182" i="8"/>
  <c r="K142" i="8"/>
  <c r="K240" i="8"/>
  <c r="K46" i="8"/>
  <c r="K125" i="8"/>
  <c r="CM235" i="103"/>
  <c r="CR235" i="103"/>
  <c r="BD89" i="8"/>
  <c r="F12" i="105"/>
  <c r="F16" i="105" s="1"/>
  <c r="Z136" i="8"/>
  <c r="Z187" i="8"/>
  <c r="AE187" i="8"/>
  <c r="AO126" i="8"/>
  <c r="AT126" i="8"/>
  <c r="FE59" i="103"/>
  <c r="FE49" i="103"/>
  <c r="BP10" i="8"/>
  <c r="BQ9" i="8"/>
  <c r="EE231" i="103"/>
  <c r="EE234" i="103"/>
  <c r="EE235" i="103" s="1"/>
  <c r="EE246" i="103"/>
  <c r="EE247" i="103" s="1"/>
  <c r="EE248" i="103" s="1"/>
  <c r="FE295" i="103"/>
  <c r="EZ214" i="103"/>
  <c r="EZ213" i="103" s="1"/>
  <c r="EU141" i="103"/>
  <c r="EU142" i="103" s="1"/>
  <c r="EU154" i="103"/>
  <c r="EU145" i="103"/>
  <c r="EK269" i="103"/>
  <c r="EK305" i="103" s="1"/>
  <c r="X134" i="8"/>
  <c r="X133" i="8"/>
  <c r="N135" i="8"/>
  <c r="N196" i="8"/>
  <c r="N131" i="8"/>
  <c r="N128" i="8"/>
  <c r="N132" i="8"/>
  <c r="N174" i="8"/>
  <c r="S135" i="8"/>
  <c r="S174" i="8"/>
  <c r="S131" i="8"/>
  <c r="BS277" i="8"/>
  <c r="J945" i="104"/>
  <c r="K944" i="104" s="1"/>
  <c r="H945" i="104"/>
  <c r="I944" i="104" s="1"/>
  <c r="F7" i="105"/>
  <c r="Z183" i="8"/>
  <c r="Z281" i="8"/>
  <c r="Z269" i="8"/>
  <c r="Z173" i="8"/>
  <c r="Z286" i="8"/>
  <c r="AM197" i="8"/>
  <c r="AM223" i="8" s="1"/>
  <c r="AM225" i="8" s="1"/>
  <c r="AM199" i="8"/>
  <c r="AM202" i="8" s="1"/>
  <c r="R138" i="8"/>
  <c r="S138" i="8"/>
  <c r="AF134" i="8"/>
  <c r="AF133" i="8"/>
  <c r="L173" i="8"/>
  <c r="Q135" i="8" s="1"/>
  <c r="L183" i="8"/>
  <c r="L136" i="8"/>
  <c r="I7" i="105"/>
  <c r="I17" i="105" s="1"/>
  <c r="AO183" i="8"/>
  <c r="AO269" i="8"/>
  <c r="AO281" i="8"/>
  <c r="AO173" i="8"/>
  <c r="AO236" i="8"/>
  <c r="FK231" i="103"/>
  <c r="AW135" i="8"/>
  <c r="FE111" i="103"/>
  <c r="FE146" i="103"/>
  <c r="FA112" i="103"/>
  <c r="FC112" i="103"/>
  <c r="BA206" i="8"/>
  <c r="L7" i="105"/>
  <c r="BD183" i="8"/>
  <c r="BD236" i="8"/>
  <c r="BD269" i="8"/>
  <c r="BD286" i="8"/>
  <c r="BD281" i="8"/>
  <c r="AO136" i="8"/>
  <c r="J12" i="105"/>
  <c r="J16" i="105" s="1"/>
  <c r="AT136" i="8"/>
  <c r="AT187" i="8"/>
  <c r="W197" i="8"/>
  <c r="W199" i="8"/>
  <c r="W202" i="8" s="1"/>
  <c r="AR138" i="8"/>
  <c r="AR137" i="8"/>
  <c r="AL231" i="8"/>
  <c r="BF131" i="8"/>
  <c r="BF174" i="8"/>
  <c r="BF180" i="8"/>
  <c r="BF171" i="8"/>
  <c r="BF172" i="8" s="1"/>
  <c r="BF132" i="8"/>
  <c r="BF135" i="8"/>
  <c r="BF196" i="8"/>
  <c r="BF128" i="8"/>
  <c r="EF254" i="103"/>
  <c r="EF247" i="103"/>
  <c r="EF248" i="103" s="1"/>
  <c r="G199" i="8"/>
  <c r="G202" i="8" s="1"/>
  <c r="G197" i="8"/>
  <c r="G223" i="8" s="1"/>
  <c r="EP133" i="103"/>
  <c r="EP138" i="103"/>
  <c r="EP134" i="103"/>
  <c r="M173" i="8"/>
  <c r="R131" i="8" s="1"/>
  <c r="M183" i="8"/>
  <c r="M136" i="8"/>
  <c r="R137" i="8" s="1"/>
  <c r="F223" i="8"/>
  <c r="F225" i="8" s="1"/>
  <c r="N183" i="8"/>
  <c r="EF232" i="103"/>
  <c r="EF252" i="103"/>
  <c r="FE301" i="103"/>
  <c r="CC248" i="103"/>
  <c r="CH248" i="103"/>
  <c r="FH233" i="103"/>
  <c r="R183" i="8"/>
  <c r="AU225" i="8"/>
  <c r="AY223" i="8"/>
  <c r="AY225" i="8" s="1"/>
  <c r="BI156" i="8"/>
  <c r="BE155" i="8"/>
  <c r="BI154" i="8"/>
  <c r="BH155" i="8"/>
  <c r="CM155" i="8" s="1"/>
  <c r="BX232" i="103"/>
  <c r="BX233" i="103" s="1"/>
  <c r="AD133" i="8"/>
  <c r="CM232" i="103"/>
  <c r="CM233" i="103" s="1"/>
  <c r="CM252" i="103"/>
  <c r="CR232" i="103"/>
  <c r="CR233" i="103" s="1"/>
  <c r="Q131" i="8"/>
  <c r="Q174" i="8"/>
  <c r="Q132" i="8"/>
  <c r="Q196" i="8"/>
  <c r="Q128" i="8"/>
  <c r="EP291" i="103"/>
  <c r="FD65" i="103"/>
  <c r="X197" i="8"/>
  <c r="X199" i="8"/>
  <c r="X202" i="8" s="1"/>
  <c r="BI46" i="8"/>
  <c r="CF33" i="8"/>
  <c r="BI240" i="8"/>
  <c r="BI245" i="8"/>
  <c r="BI182" i="8"/>
  <c r="CF9" i="8"/>
  <c r="BI142" i="8"/>
  <c r="CF19" i="8"/>
  <c r="CF38" i="8"/>
  <c r="CF17" i="8"/>
  <c r="BI125" i="8"/>
  <c r="CF22" i="8"/>
  <c r="N127" i="8"/>
  <c r="CH127" i="8" s="1"/>
  <c r="FC43" i="103"/>
  <c r="AW187" i="8"/>
  <c r="AW136" i="8"/>
  <c r="AM133" i="8"/>
  <c r="AM134" i="8"/>
  <c r="CP44" i="8"/>
  <c r="CO44" i="8"/>
  <c r="V137" i="8"/>
  <c r="V138" i="8"/>
  <c r="AZ155" i="8"/>
  <c r="BA155" i="8"/>
  <c r="BD156" i="8"/>
  <c r="BD154" i="8"/>
  <c r="BC155" i="8"/>
  <c r="CO98" i="8"/>
  <c r="CP98" i="8"/>
  <c r="H135" i="8"/>
  <c r="H132" i="8"/>
  <c r="H134" i="8" s="1"/>
  <c r="H196" i="8"/>
  <c r="H128" i="8"/>
  <c r="H130" i="8" s="1"/>
  <c r="BP216" i="8"/>
  <c r="BP225" i="8" s="1"/>
  <c r="BQ210" i="8"/>
  <c r="BP218" i="8"/>
  <c r="BP217" i="8"/>
  <c r="BB155" i="8"/>
  <c r="AE262" i="8"/>
  <c r="AE263" i="8" s="1"/>
  <c r="Z267" i="8"/>
  <c r="BO225" i="8"/>
  <c r="AV231" i="8"/>
  <c r="BL138" i="8"/>
  <c r="AX224" i="8"/>
  <c r="AX226" i="8" s="1"/>
  <c r="AX205" i="8"/>
  <c r="AX203" i="8"/>
  <c r="FB112" i="103"/>
  <c r="AD129" i="8"/>
  <c r="BA204" i="8"/>
  <c r="BA231" i="8"/>
  <c r="W137" i="8"/>
  <c r="AG203" i="8"/>
  <c r="AL204" i="8" s="1"/>
  <c r="AG224" i="8"/>
  <c r="AG226" i="8" s="1"/>
  <c r="AG227" i="8" s="1"/>
  <c r="AG205" i="8"/>
  <c r="EZ144" i="103"/>
  <c r="EZ147" i="103"/>
  <c r="EZ49" i="103"/>
  <c r="EZ59" i="103"/>
  <c r="BF189" i="8"/>
  <c r="AU137" i="8"/>
  <c r="AU138" i="8"/>
  <c r="AP130" i="8"/>
  <c r="AP129" i="8"/>
  <c r="AU129" i="8"/>
  <c r="FC53" i="103"/>
  <c r="FC54" i="103"/>
  <c r="FD54" i="103"/>
  <c r="EK133" i="103"/>
  <c r="EK138" i="103"/>
  <c r="EK139" i="103" s="1"/>
  <c r="EK134" i="103"/>
  <c r="FO135" i="103"/>
  <c r="FP135" i="103" s="1"/>
  <c r="FP137" i="103" s="1"/>
  <c r="EK204" i="103"/>
  <c r="EK136" i="103"/>
  <c r="EK137" i="103" s="1"/>
  <c r="AS135" i="8"/>
  <c r="AS196" i="8"/>
  <c r="AS132" i="8"/>
  <c r="AS128" i="8"/>
  <c r="AS131" i="8"/>
  <c r="AS174" i="8"/>
  <c r="AX131" i="8"/>
  <c r="AX174" i="8"/>
  <c r="AX135" i="8"/>
  <c r="K21" i="105"/>
  <c r="K20" i="105"/>
  <c r="V25" i="104"/>
  <c r="L262" i="104"/>
  <c r="M261" i="104" s="1"/>
  <c r="L843" i="104"/>
  <c r="M842" i="104" s="1"/>
  <c r="L253" i="104"/>
  <c r="M252" i="104" s="1"/>
  <c r="L483" i="104"/>
  <c r="M482" i="104" s="1"/>
  <c r="L850" i="104"/>
  <c r="M849" i="104" s="1"/>
  <c r="L486" i="104"/>
  <c r="M485" i="104" s="1"/>
  <c r="L254" i="104"/>
  <c r="M253" i="104" s="1"/>
  <c r="AG138" i="8"/>
  <c r="AG137" i="8"/>
  <c r="AL137" i="8"/>
  <c r="J85" i="8"/>
  <c r="O84" i="8"/>
  <c r="AU224" i="8"/>
  <c r="AU226" i="8" s="1"/>
  <c r="AU203" i="8"/>
  <c r="AU205" i="8"/>
  <c r="AI196" i="8"/>
  <c r="AI132" i="8"/>
  <c r="AI131" i="8"/>
  <c r="AI174" i="8"/>
  <c r="AI128" i="8"/>
  <c r="AI135" i="8"/>
  <c r="AN174" i="8"/>
  <c r="AN135" i="8"/>
  <c r="AN131" i="8"/>
  <c r="BB173" i="8"/>
  <c r="BB136" i="8"/>
  <c r="BB187" i="8"/>
  <c r="AM138" i="8"/>
  <c r="AM137" i="8"/>
  <c r="AZ127" i="8"/>
  <c r="AZ126" i="8"/>
  <c r="BA127" i="8"/>
  <c r="BE126" i="8"/>
  <c r="Q183" i="8"/>
  <c r="U196" i="8"/>
  <c r="U132" i="8"/>
  <c r="U128" i="8"/>
  <c r="BF137" i="8"/>
  <c r="BF138" i="8"/>
  <c r="BR19" i="8"/>
  <c r="BR20" i="8" s="1"/>
  <c r="BQ20" i="8"/>
  <c r="S137" i="8"/>
  <c r="AP134" i="8"/>
  <c r="AP133" i="8"/>
  <c r="CP188" i="8"/>
  <c r="T24" i="105"/>
  <c r="U4" i="105"/>
  <c r="BR289" i="8"/>
  <c r="BS247" i="103"/>
  <c r="BS316" i="103"/>
  <c r="O138" i="8"/>
  <c r="Q138" i="8"/>
  <c r="AQ205" i="8"/>
  <c r="AQ206" i="8" s="1"/>
  <c r="AQ203" i="8"/>
  <c r="AV204" i="8" s="1"/>
  <c r="AQ224" i="8"/>
  <c r="AQ226" i="8" s="1"/>
  <c r="AQ227" i="8" s="1"/>
  <c r="AF130" i="8"/>
  <c r="AF129" i="8"/>
  <c r="EP137" i="103"/>
  <c r="K187" i="8"/>
  <c r="K136" i="8"/>
  <c r="K301" i="8"/>
  <c r="J182" i="8"/>
  <c r="J46" i="8"/>
  <c r="J142" i="8"/>
  <c r="O46" i="8"/>
  <c r="J125" i="8"/>
  <c r="L127" i="8" s="1"/>
  <c r="BE180" i="8"/>
  <c r="BE128" i="8"/>
  <c r="BE196" i="8"/>
  <c r="BE132" i="8"/>
  <c r="BE171" i="8"/>
  <c r="BE172" i="8" s="1"/>
  <c r="U301" i="8"/>
  <c r="U270" i="8"/>
  <c r="U271" i="8" s="1"/>
  <c r="FD112" i="103"/>
  <c r="CG100" i="8"/>
  <c r="BI101" i="8"/>
  <c r="Y205" i="8"/>
  <c r="Y224" i="8"/>
  <c r="Y226" i="8" s="1"/>
  <c r="Y203" i="8"/>
  <c r="AG130" i="8"/>
  <c r="U136" i="8"/>
  <c r="U187" i="8"/>
  <c r="AV137" i="8"/>
  <c r="AV138" i="8"/>
  <c r="BA137" i="8"/>
  <c r="BQ273" i="8"/>
  <c r="BR273" i="8" s="1"/>
  <c r="BS273" i="8" s="1"/>
  <c r="AF197" i="8"/>
  <c r="AF223" i="8" s="1"/>
  <c r="AF199" i="8"/>
  <c r="AF202" i="8" s="1"/>
  <c r="AW130" i="8"/>
  <c r="L126" i="8"/>
  <c r="BF155" i="8"/>
  <c r="EA282" i="103"/>
  <c r="EF282" i="103" s="1"/>
  <c r="DZ281" i="103"/>
  <c r="CO99" i="8"/>
  <c r="CP99" i="8"/>
  <c r="BD123" i="8"/>
  <c r="BD125" i="8"/>
  <c r="BD126" i="8" s="1"/>
  <c r="BD184" i="8"/>
  <c r="BD164" i="8"/>
  <c r="BI123" i="8"/>
  <c r="AP138" i="8"/>
  <c r="FE238" i="103"/>
  <c r="FE239" i="103" s="1"/>
  <c r="EZ239" i="103"/>
  <c r="J7" i="105"/>
  <c r="K8" i="105" s="1"/>
  <c r="AT286" i="8"/>
  <c r="AT269" i="8"/>
  <c r="AT183" i="8"/>
  <c r="AT236" i="8"/>
  <c r="AT173" i="8"/>
  <c r="AY135" i="8" s="1"/>
  <c r="AT281" i="8"/>
  <c r="CF98" i="8"/>
  <c r="BI99" i="8"/>
  <c r="BK137" i="8"/>
  <c r="AS138" i="8"/>
  <c r="X130" i="8"/>
  <c r="Y130" i="8"/>
  <c r="EZ44" i="103"/>
  <c r="FE44" i="103" s="1"/>
  <c r="EU45" i="103"/>
  <c r="AQ134" i="8"/>
  <c r="BL187" i="8"/>
  <c r="BE1" i="8"/>
  <c r="FE119" i="103"/>
  <c r="X137" i="8"/>
  <c r="X138" i="8"/>
  <c r="AC137" i="8"/>
  <c r="H12" i="105"/>
  <c r="H16" i="105" s="1"/>
  <c r="AJ187" i="8"/>
  <c r="AJ136" i="8"/>
  <c r="FE264" i="103"/>
  <c r="FE284" i="103"/>
  <c r="FE193" i="103"/>
  <c r="AX137" i="8"/>
  <c r="H7" i="105"/>
  <c r="AJ269" i="8"/>
  <c r="AJ173" i="8"/>
  <c r="AJ281" i="8"/>
  <c r="AJ286" i="8"/>
  <c r="AJ236" i="8"/>
  <c r="AJ183" i="8"/>
  <c r="AH138" i="8"/>
  <c r="AH137" i="8"/>
  <c r="E12" i="104"/>
  <c r="C11" i="104"/>
  <c r="BN192" i="8"/>
  <c r="BN193" i="8" s="1"/>
  <c r="AM130" i="8"/>
  <c r="FE75" i="103"/>
  <c r="FE103" i="103"/>
  <c r="FE104" i="103" s="1"/>
  <c r="Y137" i="8"/>
  <c r="Y138" i="8"/>
  <c r="AD137" i="8"/>
  <c r="BH199" i="8"/>
  <c r="BH197" i="8"/>
  <c r="CM197" i="8" s="1"/>
  <c r="EZ75" i="103"/>
  <c r="EU76" i="103"/>
  <c r="EU132" i="103"/>
  <c r="EU109" i="103"/>
  <c r="EU136" i="103"/>
  <c r="EU137" i="103" s="1"/>
  <c r="AN203" i="8"/>
  <c r="AN224" i="8"/>
  <c r="AN226" i="8" s="1"/>
  <c r="AN205" i="8"/>
  <c r="V135" i="8"/>
  <c r="V196" i="8"/>
  <c r="V128" i="8"/>
  <c r="V132" i="8"/>
  <c r="V174" i="8"/>
  <c r="V131" i="8"/>
  <c r="AA135" i="8"/>
  <c r="AA131" i="8"/>
  <c r="AA174" i="8"/>
  <c r="AA231" i="8"/>
  <c r="AG206" i="8" l="1"/>
  <c r="BK189" i="8"/>
  <c r="BM189" i="8"/>
  <c r="BL189" i="8"/>
  <c r="M12" i="105"/>
  <c r="M16" i="105" s="1"/>
  <c r="N137" i="8"/>
  <c r="CF127" i="8"/>
  <c r="N138" i="8"/>
  <c r="BC196" i="8"/>
  <c r="BC197" i="8" s="1"/>
  <c r="BC138" i="8"/>
  <c r="BC174" i="8"/>
  <c r="BC171" i="8"/>
  <c r="BC172" i="8" s="1"/>
  <c r="BC135" i="8"/>
  <c r="BK138" i="8"/>
  <c r="BE138" i="8"/>
  <c r="BJ137" i="8"/>
  <c r="BH131" i="8"/>
  <c r="CM131" i="8" s="1"/>
  <c r="BC132" i="8"/>
  <c r="BH133" i="8" s="1"/>
  <c r="CM133" i="8" s="1"/>
  <c r="BC180" i="8"/>
  <c r="X129" i="8"/>
  <c r="BC137" i="8"/>
  <c r="BH135" i="8"/>
  <c r="CM135" i="8" s="1"/>
  <c r="BC128" i="8"/>
  <c r="BE130" i="8" s="1"/>
  <c r="BC131" i="8"/>
  <c r="AD130" i="8"/>
  <c r="AK129" i="8"/>
  <c r="BJ131" i="8"/>
  <c r="T205" i="8"/>
  <c r="T206" i="8" s="1"/>
  <c r="T224" i="8"/>
  <c r="T226" i="8" s="1"/>
  <c r="Y227" i="8" s="1"/>
  <c r="T203" i="8"/>
  <c r="S199" i="8"/>
  <c r="S202" i="8" s="1"/>
  <c r="S197" i="8"/>
  <c r="AH134" i="8"/>
  <c r="AH133" i="8"/>
  <c r="BN126" i="8"/>
  <c r="Y206" i="8"/>
  <c r="Z137" i="8"/>
  <c r="AC199" i="8"/>
  <c r="AC202" i="8" s="1"/>
  <c r="AC197" i="8"/>
  <c r="AC223" i="8" s="1"/>
  <c r="AC225" i="8" s="1"/>
  <c r="CO188" i="8"/>
  <c r="AV206" i="8"/>
  <c r="CL155" i="8"/>
  <c r="CI155" i="8"/>
  <c r="BJ181" i="8"/>
  <c r="BJ171" i="8"/>
  <c r="BJ172" i="8" s="1"/>
  <c r="BJ196" i="8"/>
  <c r="BJ174" i="8"/>
  <c r="BJ128" i="8"/>
  <c r="BJ130" i="8" s="1"/>
  <c r="BJ132" i="8"/>
  <c r="BJ134" i="8" s="1"/>
  <c r="BJ180" i="8"/>
  <c r="BN180" i="8" s="1"/>
  <c r="AH197" i="8"/>
  <c r="AH223" i="8" s="1"/>
  <c r="AH225" i="8" s="1"/>
  <c r="AH199" i="8"/>
  <c r="AH202" i="8" s="1"/>
  <c r="AH129" i="8"/>
  <c r="AH130" i="8"/>
  <c r="BH202" i="8"/>
  <c r="CM202" i="8" s="1"/>
  <c r="CM199" i="8"/>
  <c r="AC133" i="8"/>
  <c r="AC134" i="8"/>
  <c r="BN136" i="8"/>
  <c r="BN173" i="8"/>
  <c r="BN171" i="8" s="1"/>
  <c r="BN187" i="8"/>
  <c r="AC129" i="8"/>
  <c r="BN183" i="8"/>
  <c r="AY174" i="8"/>
  <c r="BX180" i="8"/>
  <c r="CC180" i="8" s="1"/>
  <c r="CC161" i="8"/>
  <c r="BL174" i="8"/>
  <c r="AK197" i="8"/>
  <c r="AK223" i="8" s="1"/>
  <c r="AK225" i="8" s="1"/>
  <c r="AK199" i="8"/>
  <c r="AK202" i="8" s="1"/>
  <c r="AY131" i="8"/>
  <c r="AV227" i="8"/>
  <c r="AJ137" i="8"/>
  <c r="H17" i="105"/>
  <c r="BS19" i="8"/>
  <c r="BS20" i="8" s="1"/>
  <c r="BO120" i="8"/>
  <c r="BO118" i="8" s="1"/>
  <c r="BO178" i="8" s="1"/>
  <c r="CP131" i="8"/>
  <c r="H10" i="105"/>
  <c r="H19" i="105" s="1"/>
  <c r="AJ131" i="8"/>
  <c r="AJ196" i="8"/>
  <c r="AJ132" i="8"/>
  <c r="AJ128" i="8"/>
  <c r="AJ174" i="8"/>
  <c r="AJ135" i="8"/>
  <c r="AS130" i="8"/>
  <c r="AS129" i="8"/>
  <c r="AX129" i="8"/>
  <c r="AU130" i="8"/>
  <c r="AW138" i="8"/>
  <c r="AW137" i="8"/>
  <c r="M7" i="105"/>
  <c r="BI286" i="8"/>
  <c r="BI171" i="8"/>
  <c r="BI236" i="8"/>
  <c r="BI269" i="8"/>
  <c r="BI183" i="8"/>
  <c r="BI281" i="8"/>
  <c r="Q197" i="8"/>
  <c r="Q199" i="8"/>
  <c r="Q202" i="8" s="1"/>
  <c r="BF133" i="8"/>
  <c r="BF134" i="8"/>
  <c r="S129" i="8"/>
  <c r="O130" i="8"/>
  <c r="F17" i="105"/>
  <c r="D12" i="104"/>
  <c r="A11" i="104"/>
  <c r="B11" i="104" s="1"/>
  <c r="G225" i="8"/>
  <c r="AO137" i="8"/>
  <c r="FE42" i="103"/>
  <c r="FE50" i="103"/>
  <c r="FE52" i="103"/>
  <c r="CC36" i="8"/>
  <c r="AL206" i="8"/>
  <c r="BL197" i="8"/>
  <c r="BL199" i="8"/>
  <c r="BC129" i="8"/>
  <c r="AD205" i="8"/>
  <c r="AD206" i="8" s="1"/>
  <c r="AD203" i="8"/>
  <c r="AD224" i="8"/>
  <c r="AD226" i="8" s="1"/>
  <c r="AD227" i="8" s="1"/>
  <c r="AR130" i="8"/>
  <c r="AR129" i="8"/>
  <c r="BK197" i="8"/>
  <c r="BK199" i="8"/>
  <c r="BK202" i="8" s="1"/>
  <c r="H8" i="105"/>
  <c r="H21" i="105"/>
  <c r="H20" i="105"/>
  <c r="AU231" i="8"/>
  <c r="AS197" i="8"/>
  <c r="AS223" i="8" s="1"/>
  <c r="AS225" i="8" s="1"/>
  <c r="AS199" i="8"/>
  <c r="AS202" i="8" s="1"/>
  <c r="EZ141" i="103"/>
  <c r="EZ142" i="103" s="1"/>
  <c r="EZ154" i="103"/>
  <c r="EZ145" i="103"/>
  <c r="BI126" i="8"/>
  <c r="Q134" i="8"/>
  <c r="M137" i="8"/>
  <c r="M138" i="8"/>
  <c r="G224" i="8"/>
  <c r="G226" i="8" s="1"/>
  <c r="G227" i="8" s="1"/>
  <c r="G203" i="8"/>
  <c r="G205" i="8"/>
  <c r="L137" i="8"/>
  <c r="Q137" i="8"/>
  <c r="N199" i="8"/>
  <c r="N202" i="8" s="1"/>
  <c r="N197" i="8"/>
  <c r="N223" i="8" s="1"/>
  <c r="N225" i="8" s="1"/>
  <c r="G8" i="105"/>
  <c r="G21" i="105"/>
  <c r="G20" i="105"/>
  <c r="G17" i="105"/>
  <c r="AY199" i="8"/>
  <c r="AY202" i="8" s="1"/>
  <c r="AY197" i="8"/>
  <c r="AP225" i="8"/>
  <c r="BI136" i="8"/>
  <c r="I128" i="8"/>
  <c r="I130" i="8" s="1"/>
  <c r="I132" i="8"/>
  <c r="I134" i="8" s="1"/>
  <c r="I135" i="8"/>
  <c r="I196" i="8"/>
  <c r="BK172" i="8"/>
  <c r="AI199" i="8"/>
  <c r="AI202" i="8" s="1"/>
  <c r="AI197" i="8"/>
  <c r="AI223" i="8" s="1"/>
  <c r="AI225" i="8" s="1"/>
  <c r="EK157" i="103"/>
  <c r="EK219" i="103"/>
  <c r="EK205" i="103"/>
  <c r="EK311" i="103"/>
  <c r="EK201" i="103"/>
  <c r="Q130" i="8"/>
  <c r="AB231" i="8"/>
  <c r="EF304" i="103"/>
  <c r="CO187" i="8"/>
  <c r="CP187" i="8"/>
  <c r="AS134" i="8"/>
  <c r="AS133" i="8"/>
  <c r="AX133" i="8"/>
  <c r="AU134" i="8"/>
  <c r="FE109" i="103"/>
  <c r="FE132" i="103"/>
  <c r="FE76" i="103"/>
  <c r="FE136" i="103"/>
  <c r="FE137" i="103" s="1"/>
  <c r="V4" i="105"/>
  <c r="U24" i="105"/>
  <c r="Z301" i="8"/>
  <c r="Z270" i="8"/>
  <c r="Z271" i="8" s="1"/>
  <c r="AT137" i="8"/>
  <c r="L8" i="105"/>
  <c r="L21" i="105"/>
  <c r="L20" i="105"/>
  <c r="AM203" i="8"/>
  <c r="AM224" i="8"/>
  <c r="AM226" i="8" s="1"/>
  <c r="AM205" i="8"/>
  <c r="FE214" i="103"/>
  <c r="FE213" i="103" s="1"/>
  <c r="R197" i="8"/>
  <c r="R199" i="8"/>
  <c r="R202" i="8" s="1"/>
  <c r="M10" i="105"/>
  <c r="M19" i="105" s="1"/>
  <c r="BI128" i="8"/>
  <c r="BI196" i="8"/>
  <c r="BI132" i="8"/>
  <c r="AW205" i="8"/>
  <c r="AW224" i="8"/>
  <c r="AW226" i="8" s="1"/>
  <c r="AW203" i="8"/>
  <c r="EZ76" i="103"/>
  <c r="EZ109" i="103"/>
  <c r="EZ132" i="103"/>
  <c r="EZ136" i="103"/>
  <c r="EZ137" i="103" s="1"/>
  <c r="FE78" i="103"/>
  <c r="FE79" i="103" s="1"/>
  <c r="J127" i="8"/>
  <c r="CI127" i="8" s="1"/>
  <c r="O126" i="8"/>
  <c r="U199" i="8"/>
  <c r="U202" i="8" s="1"/>
  <c r="U197" i="8"/>
  <c r="AE267" i="8"/>
  <c r="AJ262" i="8"/>
  <c r="AJ263" i="8" s="1"/>
  <c r="EU291" i="103"/>
  <c r="M135" i="8"/>
  <c r="M132" i="8"/>
  <c r="N134" i="8" s="1"/>
  <c r="M128" i="8"/>
  <c r="N130" i="8" s="1"/>
  <c r="M196" i="8"/>
  <c r="M131" i="8"/>
  <c r="M174" i="8"/>
  <c r="W224" i="8"/>
  <c r="W226" i="8" s="1"/>
  <c r="W205" i="8"/>
  <c r="AB206" i="8" s="1"/>
  <c r="W203" i="8"/>
  <c r="AB204" i="8" s="1"/>
  <c r="J17" i="105"/>
  <c r="I10" i="105"/>
  <c r="I19" i="105" s="1"/>
  <c r="AO131" i="8"/>
  <c r="AO128" i="8"/>
  <c r="AO174" i="8"/>
  <c r="AO196" i="8"/>
  <c r="AO135" i="8"/>
  <c r="AO132" i="8"/>
  <c r="AO133" i="8" s="1"/>
  <c r="L196" i="8"/>
  <c r="L131" i="8"/>
  <c r="L132" i="8"/>
  <c r="Q133" i="8" s="1"/>
  <c r="L174" i="8"/>
  <c r="L128" i="8"/>
  <c r="Q129" i="8" s="1"/>
  <c r="L135" i="8"/>
  <c r="F10" i="105"/>
  <c r="F19" i="105" s="1"/>
  <c r="Z128" i="8"/>
  <c r="Z129" i="8" s="1"/>
  <c r="Z132" i="8"/>
  <c r="Z133" i="8" s="1"/>
  <c r="Z131" i="8"/>
  <c r="Z174" i="8"/>
  <c r="Z196" i="8"/>
  <c r="Z135" i="8"/>
  <c r="J946" i="104"/>
  <c r="K945" i="104" s="1"/>
  <c r="H946" i="104"/>
  <c r="I945" i="104" s="1"/>
  <c r="EK316" i="103"/>
  <c r="R135" i="8"/>
  <c r="BG171" i="8"/>
  <c r="BL172" i="8" s="1"/>
  <c r="BG196" i="8"/>
  <c r="BG128" i="8"/>
  <c r="BL129" i="8" s="1"/>
  <c r="BG132" i="8"/>
  <c r="BG180" i="8"/>
  <c r="BG131" i="8"/>
  <c r="CO131" i="8" s="1"/>
  <c r="BG174" i="8"/>
  <c r="BG135" i="8"/>
  <c r="BL135" i="8"/>
  <c r="F224" i="8"/>
  <c r="F226" i="8" s="1"/>
  <c r="F227" i="8" s="1"/>
  <c r="M17" i="105"/>
  <c r="O231" i="8"/>
  <c r="AY137" i="8"/>
  <c r="V133" i="8"/>
  <c r="V134" i="8"/>
  <c r="AA133" i="8"/>
  <c r="BD185" i="8"/>
  <c r="BD186" i="8"/>
  <c r="BI185" i="8"/>
  <c r="CM248" i="103"/>
  <c r="CR248" i="103"/>
  <c r="V130" i="8"/>
  <c r="V129" i="8"/>
  <c r="AA129" i="8"/>
  <c r="AF203" i="8"/>
  <c r="AF224" i="8"/>
  <c r="AF226" i="8" s="1"/>
  <c r="AF227" i="8" s="1"/>
  <c r="AF205" i="8"/>
  <c r="AF206" i="8" s="1"/>
  <c r="Y204" i="8"/>
  <c r="Y231" i="8"/>
  <c r="J183" i="8"/>
  <c r="J173" i="8"/>
  <c r="O183" i="8"/>
  <c r="J136" i="8"/>
  <c r="L138" i="8" s="1"/>
  <c r="BB137" i="8"/>
  <c r="BB138" i="8"/>
  <c r="V26" i="104"/>
  <c r="L259" i="104"/>
  <c r="M258" i="104" s="1"/>
  <c r="L842" i="104"/>
  <c r="M841" i="104" s="1"/>
  <c r="L854" i="104"/>
  <c r="M853" i="104" s="1"/>
  <c r="L852" i="104"/>
  <c r="M851" i="104" s="1"/>
  <c r="L261" i="104"/>
  <c r="M260" i="104" s="1"/>
  <c r="L851" i="104"/>
  <c r="M850" i="104" s="1"/>
  <c r="L274" i="104"/>
  <c r="M273" i="104" s="1"/>
  <c r="L482" i="104"/>
  <c r="M481" i="104" s="1"/>
  <c r="L260" i="104"/>
  <c r="M259" i="104" s="1"/>
  <c r="L853" i="104"/>
  <c r="M852" i="104" s="1"/>
  <c r="H197" i="8"/>
  <c r="H223" i="8" s="1"/>
  <c r="H225" i="8" s="1"/>
  <c r="H199" i="8"/>
  <c r="H202" i="8" s="1"/>
  <c r="BX277" i="8"/>
  <c r="R133" i="8"/>
  <c r="R134" i="8"/>
  <c r="S134" i="8"/>
  <c r="BL130" i="8"/>
  <c r="E13" i="104"/>
  <c r="C12" i="104"/>
  <c r="BS268" i="8"/>
  <c r="AQ204" i="8"/>
  <c r="AQ231" i="8"/>
  <c r="BB135" i="8"/>
  <c r="BB196" i="8"/>
  <c r="BB180" i="8"/>
  <c r="BB174" i="8"/>
  <c r="BB132" i="8"/>
  <c r="BB128" i="8"/>
  <c r="BC130" i="8" s="1"/>
  <c r="BB131" i="8"/>
  <c r="BB171" i="8"/>
  <c r="BB172" i="8" s="1"/>
  <c r="EU134" i="103"/>
  <c r="EU133" i="103"/>
  <c r="EU138" i="103"/>
  <c r="EU139" i="103" s="1"/>
  <c r="BS289" i="8"/>
  <c r="AE137" i="8"/>
  <c r="BG138" i="8"/>
  <c r="CO136" i="8"/>
  <c r="BG137" i="8"/>
  <c r="BH138" i="8"/>
  <c r="CM138" i="8" s="1"/>
  <c r="CO173" i="8"/>
  <c r="CP173" i="8"/>
  <c r="BK133" i="8"/>
  <c r="W130" i="8"/>
  <c r="AX138" i="8"/>
  <c r="EK282" i="103"/>
  <c r="BE197" i="8"/>
  <c r="BE199" i="8"/>
  <c r="BE202" i="8" s="1"/>
  <c r="EZ52" i="103"/>
  <c r="EZ53" i="103" s="1"/>
  <c r="EZ50" i="103"/>
  <c r="EZ42" i="103"/>
  <c r="BX36" i="8"/>
  <c r="W134" i="8"/>
  <c r="CP136" i="8"/>
  <c r="BR210" i="8"/>
  <c r="BQ216" i="8"/>
  <c r="BQ218" i="8"/>
  <c r="BQ217" i="8"/>
  <c r="EP139" i="103"/>
  <c r="BF129" i="8"/>
  <c r="BF130" i="8"/>
  <c r="K286" i="8"/>
  <c r="K173" i="8"/>
  <c r="K183" i="8"/>
  <c r="K281" i="8"/>
  <c r="K269" i="8"/>
  <c r="K271" i="8"/>
  <c r="CG127" i="8"/>
  <c r="R130" i="8"/>
  <c r="S130" i="8"/>
  <c r="G10" i="105"/>
  <c r="G19" i="105" s="1"/>
  <c r="AE128" i="8"/>
  <c r="AE135" i="8"/>
  <c r="AE174" i="8"/>
  <c r="AE131" i="8"/>
  <c r="AE132" i="8"/>
  <c r="AE196" i="8"/>
  <c r="F231" i="8"/>
  <c r="F204" i="8"/>
  <c r="AZ136" i="8"/>
  <c r="AZ187" i="8"/>
  <c r="AZ173" i="8"/>
  <c r="BE187" i="8"/>
  <c r="T204" i="8"/>
  <c r="BO284" i="8"/>
  <c r="AX231" i="8"/>
  <c r="N133" i="8"/>
  <c r="S133" i="8"/>
  <c r="O134" i="8"/>
  <c r="CP174" i="8"/>
  <c r="CO174" i="8"/>
  <c r="AR134" i="8"/>
  <c r="AR133" i="8"/>
  <c r="FE147" i="103"/>
  <c r="FE144" i="103"/>
  <c r="I8" i="105"/>
  <c r="I21" i="105"/>
  <c r="I20" i="105"/>
  <c r="F20" i="105"/>
  <c r="F8" i="105"/>
  <c r="F21" i="105"/>
  <c r="BR9" i="8"/>
  <c r="BS9" i="8" s="1"/>
  <c r="BQ10" i="8"/>
  <c r="BL134" i="8"/>
  <c r="AR197" i="8"/>
  <c r="AR223" i="8" s="1"/>
  <c r="AR225" i="8" s="1"/>
  <c r="AR199" i="8"/>
  <c r="AR202" i="8" s="1"/>
  <c r="V199" i="8"/>
  <c r="V202" i="8" s="1"/>
  <c r="V197" i="8"/>
  <c r="AF225" i="8"/>
  <c r="AJ223" i="8"/>
  <c r="AJ225" i="8" s="1"/>
  <c r="AG204" i="8"/>
  <c r="AG231" i="8"/>
  <c r="BC227" i="8"/>
  <c r="J8" i="105"/>
  <c r="J21" i="105"/>
  <c r="J20" i="105"/>
  <c r="AI130" i="8"/>
  <c r="AI129" i="8"/>
  <c r="AK130" i="8"/>
  <c r="AN129" i="8"/>
  <c r="AP205" i="8"/>
  <c r="AP224" i="8"/>
  <c r="AP226" i="8" s="1"/>
  <c r="AP203" i="8"/>
  <c r="P126" i="8"/>
  <c r="U126" i="8"/>
  <c r="AN231" i="8"/>
  <c r="J10" i="105"/>
  <c r="J19" i="105" s="1"/>
  <c r="AT135" i="8"/>
  <c r="AT196" i="8"/>
  <c r="AT128" i="8"/>
  <c r="AY129" i="8" s="1"/>
  <c r="AT131" i="8"/>
  <c r="AT132" i="8"/>
  <c r="AT174" i="8"/>
  <c r="AW129" i="8"/>
  <c r="AI134" i="8"/>
  <c r="AI133" i="8"/>
  <c r="AN133" i="8"/>
  <c r="AK134" i="8"/>
  <c r="W133" i="8"/>
  <c r="X224" i="8"/>
  <c r="X226" i="8" s="1"/>
  <c r="X205" i="8"/>
  <c r="X203" i="8"/>
  <c r="BF197" i="8"/>
  <c r="BF199" i="8"/>
  <c r="BF202" i="8" s="1"/>
  <c r="BH129" i="8"/>
  <c r="CM129" i="8" s="1"/>
  <c r="EE233" i="103"/>
  <c r="EE232" i="103"/>
  <c r="EE252" i="103"/>
  <c r="EF233" i="103"/>
  <c r="R174" i="8"/>
  <c r="AB227" i="8"/>
  <c r="AL227" i="8"/>
  <c r="CO180" i="8"/>
  <c r="CP180" i="8"/>
  <c r="P173" i="8"/>
  <c r="P183" i="8"/>
  <c r="P269" i="8"/>
  <c r="P281" i="8"/>
  <c r="P286" i="8"/>
  <c r="P136" i="8"/>
  <c r="P137" i="8" s="1"/>
  <c r="U183" i="8"/>
  <c r="AO223" i="8"/>
  <c r="AO225" i="8" s="1"/>
  <c r="BK129" i="8"/>
  <c r="AE223" i="8" l="1"/>
  <c r="AE225" i="8" s="1"/>
  <c r="BC199" i="8"/>
  <c r="BC202" i="8" s="1"/>
  <c r="BC134" i="8"/>
  <c r="BH205" i="8"/>
  <c r="CM205" i="8" s="1"/>
  <c r="BH172" i="8"/>
  <c r="CM172" i="8" s="1"/>
  <c r="CO172" i="8" s="1"/>
  <c r="BH223" i="8"/>
  <c r="CM223" i="8" s="1"/>
  <c r="BE134" i="8"/>
  <c r="BH203" i="8"/>
  <c r="CM203" i="8" s="1"/>
  <c r="BC133" i="8"/>
  <c r="BK134" i="8"/>
  <c r="AE129" i="8"/>
  <c r="AO129" i="8"/>
  <c r="BK130" i="8"/>
  <c r="BN172" i="8"/>
  <c r="BN135" i="8"/>
  <c r="BN196" i="8"/>
  <c r="BN131" i="8"/>
  <c r="BN174" i="8"/>
  <c r="BN128" i="8"/>
  <c r="BN129" i="8" s="1"/>
  <c r="BN132" i="8"/>
  <c r="BN133" i="8" s="1"/>
  <c r="BJ199" i="8"/>
  <c r="BJ202" i="8" s="1"/>
  <c r="BJ197" i="8"/>
  <c r="AC205" i="8"/>
  <c r="AC206" i="8" s="1"/>
  <c r="AC224" i="8"/>
  <c r="AC226" i="8" s="1"/>
  <c r="AC227" i="8" s="1"/>
  <c r="AC203" i="8"/>
  <c r="S224" i="8"/>
  <c r="S226" i="8" s="1"/>
  <c r="S203" i="8"/>
  <c r="S205" i="8"/>
  <c r="X227" i="8"/>
  <c r="BM206" i="8"/>
  <c r="CL206" i="8" s="1"/>
  <c r="X206" i="8"/>
  <c r="AT133" i="8"/>
  <c r="BN137" i="8"/>
  <c r="AH224" i="8"/>
  <c r="AH226" i="8" s="1"/>
  <c r="AH205" i="8"/>
  <c r="AH203" i="8"/>
  <c r="T231" i="8"/>
  <c r="BJ129" i="8"/>
  <c r="T227" i="8"/>
  <c r="BJ133" i="8"/>
  <c r="BO119" i="8"/>
  <c r="BX19" i="8"/>
  <c r="CC19" i="8" s="1"/>
  <c r="AK205" i="8"/>
  <c r="AK206" i="8" s="1"/>
  <c r="AK203" i="8"/>
  <c r="AK224" i="8"/>
  <c r="AK226" i="8" s="1"/>
  <c r="AK227" i="8" s="1"/>
  <c r="AP227" i="8"/>
  <c r="AY133" i="8"/>
  <c r="BP120" i="8"/>
  <c r="AP231" i="8"/>
  <c r="CP132" i="8"/>
  <c r="AI203" i="8"/>
  <c r="AI205" i="8"/>
  <c r="AI224" i="8"/>
  <c r="AI226" i="8" s="1"/>
  <c r="AU204" i="8"/>
  <c r="J128" i="8"/>
  <c r="L130" i="8" s="1"/>
  <c r="J132" i="8"/>
  <c r="J174" i="8"/>
  <c r="J135" i="8"/>
  <c r="J196" i="8"/>
  <c r="O135" i="8"/>
  <c r="O174" i="8"/>
  <c r="O131" i="8"/>
  <c r="M197" i="8"/>
  <c r="M223" i="8" s="1"/>
  <c r="M225" i="8" s="1"/>
  <c r="M199" i="8"/>
  <c r="M202" i="8" s="1"/>
  <c r="BL202" i="8"/>
  <c r="FE43" i="103"/>
  <c r="BG199" i="8"/>
  <c r="BG197" i="8"/>
  <c r="AJ267" i="8"/>
  <c r="AO262" i="8"/>
  <c r="AO263" i="8" s="1"/>
  <c r="N203" i="8"/>
  <c r="N224" i="8"/>
  <c r="N226" i="8" s="1"/>
  <c r="N205" i="8"/>
  <c r="U137" i="8"/>
  <c r="AD231" i="8"/>
  <c r="AD204" i="8"/>
  <c r="AT199" i="8"/>
  <c r="AT202" i="8" s="1"/>
  <c r="AT197" i="8"/>
  <c r="AR205" i="8"/>
  <c r="AR206" i="8" s="1"/>
  <c r="AR203" i="8"/>
  <c r="AW204" i="8" s="1"/>
  <c r="AR224" i="8"/>
  <c r="AR226" i="8" s="1"/>
  <c r="AR227" i="8" s="1"/>
  <c r="BP284" i="8"/>
  <c r="AZ128" i="8"/>
  <c r="AZ196" i="8"/>
  <c r="AZ131" i="8"/>
  <c r="AZ132" i="8"/>
  <c r="AZ174" i="8"/>
  <c r="AZ135" i="8"/>
  <c r="BE135" i="8"/>
  <c r="BE174" i="8"/>
  <c r="BE131" i="8"/>
  <c r="AE199" i="8"/>
  <c r="AE202" i="8" s="1"/>
  <c r="AE197" i="8"/>
  <c r="BQ225" i="8"/>
  <c r="BE205" i="8"/>
  <c r="BE223" i="8"/>
  <c r="BE203" i="8"/>
  <c r="C13" i="104"/>
  <c r="E14" i="104"/>
  <c r="H224" i="8"/>
  <c r="H226" i="8" s="1"/>
  <c r="H227" i="8" s="1"/>
  <c r="H203" i="8"/>
  <c r="H205" i="8"/>
  <c r="BG172" i="8"/>
  <c r="L199" i="8"/>
  <c r="L202" i="8" s="1"/>
  <c r="L197" i="8"/>
  <c r="L223" i="8" s="1"/>
  <c r="AE301" i="8"/>
  <c r="AE270" i="8"/>
  <c r="AE271" i="8" s="1"/>
  <c r="AW231" i="8"/>
  <c r="R205" i="8"/>
  <c r="R224" i="8"/>
  <c r="R226" i="8" s="1"/>
  <c r="W227" i="8" s="1"/>
  <c r="R203" i="8"/>
  <c r="AY205" i="8"/>
  <c r="AY203" i="8"/>
  <c r="AY224" i="8"/>
  <c r="AY226" i="8" s="1"/>
  <c r="AY207" i="8"/>
  <c r="N129" i="8"/>
  <c r="Q205" i="8"/>
  <c r="Q224" i="8"/>
  <c r="Q226" i="8" s="1"/>
  <c r="Q203" i="8"/>
  <c r="M8" i="105"/>
  <c r="M21" i="105"/>
  <c r="M20" i="105"/>
  <c r="AJ133" i="8"/>
  <c r="Z197" i="8"/>
  <c r="Z199" i="8"/>
  <c r="Z202" i="8" s="1"/>
  <c r="L129" i="8"/>
  <c r="CP135" i="8"/>
  <c r="CO135" i="8"/>
  <c r="BX9" i="8"/>
  <c r="BS10" i="8"/>
  <c r="W4" i="105"/>
  <c r="V24" i="105"/>
  <c r="G204" i="8"/>
  <c r="G231" i="8"/>
  <c r="AE133" i="8"/>
  <c r="K196" i="8"/>
  <c r="K174" i="8"/>
  <c r="K132" i="8"/>
  <c r="K131" i="8"/>
  <c r="K128" i="8"/>
  <c r="K129" i="8" s="1"/>
  <c r="K135" i="8"/>
  <c r="BR216" i="8"/>
  <c r="BR225" i="8" s="1"/>
  <c r="BR217" i="8"/>
  <c r="BR218" i="8"/>
  <c r="BS210" i="8"/>
  <c r="BC203" i="8"/>
  <c r="BC223" i="8"/>
  <c r="BC205" i="8"/>
  <c r="BC206" i="8" s="1"/>
  <c r="CP128" i="8"/>
  <c r="CC277" i="8"/>
  <c r="L12" i="105"/>
  <c r="L16" i="105" s="1"/>
  <c r="BD187" i="8"/>
  <c r="BD136" i="8"/>
  <c r="BD137" i="8" s="1"/>
  <c r="BD173" i="8"/>
  <c r="BI187" i="8"/>
  <c r="J947" i="104"/>
  <c r="K946" i="104" s="1"/>
  <c r="H947" i="104"/>
  <c r="I946" i="104" s="1"/>
  <c r="W204" i="8"/>
  <c r="W231" i="8"/>
  <c r="U203" i="8"/>
  <c r="U205" i="8"/>
  <c r="U224" i="8"/>
  <c r="U226" i="8" s="1"/>
  <c r="AW227" i="8"/>
  <c r="BB227" i="8"/>
  <c r="EK230" i="103"/>
  <c r="EK221" i="103"/>
  <c r="EK222" i="103"/>
  <c r="EK224" i="103" s="1"/>
  <c r="I197" i="8"/>
  <c r="I223" i="8" s="1"/>
  <c r="I225" i="8" s="1"/>
  <c r="I199" i="8"/>
  <c r="I202" i="8" s="1"/>
  <c r="AS205" i="8"/>
  <c r="AS224" i="8"/>
  <c r="AS226" i="8" s="1"/>
  <c r="AS203" i="8"/>
  <c r="AJ199" i="8"/>
  <c r="AJ202" i="8" s="1"/>
  <c r="AJ197" i="8"/>
  <c r="X204" i="8"/>
  <c r="X231" i="8"/>
  <c r="CO196" i="8"/>
  <c r="CP196" i="8"/>
  <c r="CP171" i="8"/>
  <c r="CO171" i="8"/>
  <c r="CO128" i="8"/>
  <c r="BG130" i="8"/>
  <c r="BG129" i="8"/>
  <c r="BH130" i="8"/>
  <c r="CM130" i="8" s="1"/>
  <c r="M130" i="8"/>
  <c r="M129" i="8"/>
  <c r="FE133" i="103"/>
  <c r="FE138" i="103"/>
  <c r="FE139" i="103" s="1"/>
  <c r="FE134" i="103"/>
  <c r="CP172" i="8"/>
  <c r="M134" i="8"/>
  <c r="M133" i="8"/>
  <c r="AJ129" i="8"/>
  <c r="P174" i="8"/>
  <c r="P135" i="8"/>
  <c r="P128" i="8"/>
  <c r="P131" i="8"/>
  <c r="P132" i="8"/>
  <c r="P196" i="8"/>
  <c r="U131" i="8"/>
  <c r="U135" i="8"/>
  <c r="U174" i="8"/>
  <c r="AZ138" i="8"/>
  <c r="AZ137" i="8"/>
  <c r="BA138" i="8"/>
  <c r="BE137" i="8"/>
  <c r="R129" i="8"/>
  <c r="EP282" i="103"/>
  <c r="EK281" i="103"/>
  <c r="BB130" i="8"/>
  <c r="BB129" i="8"/>
  <c r="V27" i="104"/>
  <c r="L841" i="104"/>
  <c r="M840" i="104" s="1"/>
  <c r="L275" i="104"/>
  <c r="M274" i="104" s="1"/>
  <c r="L258" i="104"/>
  <c r="M257" i="104" s="1"/>
  <c r="L287" i="104"/>
  <c r="M286" i="104" s="1"/>
  <c r="L481" i="104"/>
  <c r="M480" i="104" s="1"/>
  <c r="L286" i="104"/>
  <c r="M285" i="104" s="1"/>
  <c r="L492" i="104"/>
  <c r="M491" i="104" s="1"/>
  <c r="L856" i="104"/>
  <c r="M855" i="104" s="1"/>
  <c r="L285" i="104"/>
  <c r="M284" i="104" s="1"/>
  <c r="L255" i="104"/>
  <c r="M254" i="104" s="1"/>
  <c r="L276" i="104"/>
  <c r="M275" i="104" s="1"/>
  <c r="L855" i="104"/>
  <c r="M854" i="104" s="1"/>
  <c r="W206" i="8"/>
  <c r="AW206" i="8"/>
  <c r="AT223" i="8"/>
  <c r="AT225" i="8" s="1"/>
  <c r="AO197" i="8"/>
  <c r="AO199" i="8"/>
  <c r="AO202" i="8" s="1"/>
  <c r="BK205" i="8"/>
  <c r="BK223" i="8"/>
  <c r="BK203" i="8"/>
  <c r="BI180" i="8"/>
  <c r="CO132" i="8"/>
  <c r="BG133" i="8"/>
  <c r="BG134" i="8"/>
  <c r="BH134" i="8"/>
  <c r="CM134" i="8" s="1"/>
  <c r="EF307" i="103"/>
  <c r="EK194" i="103"/>
  <c r="EK290" i="103"/>
  <c r="EK294" i="103" s="1"/>
  <c r="EK299" i="103" s="1"/>
  <c r="AU227" i="8"/>
  <c r="FE141" i="103"/>
  <c r="FE142" i="103" s="1"/>
  <c r="FE154" i="103"/>
  <c r="FE145" i="103"/>
  <c r="EZ43" i="103"/>
  <c r="BB199" i="8"/>
  <c r="BB202" i="8" s="1"/>
  <c r="BB197" i="8"/>
  <c r="L134" i="8"/>
  <c r="L133" i="8"/>
  <c r="EZ291" i="103"/>
  <c r="CO197" i="8"/>
  <c r="CP197" i="8"/>
  <c r="BF205" i="8"/>
  <c r="BF206" i="8" s="1"/>
  <c r="BF203" i="8"/>
  <c r="BF223" i="8"/>
  <c r="AT129" i="8"/>
  <c r="EZ133" i="103"/>
  <c r="EZ138" i="103"/>
  <c r="EZ139" i="103" s="1"/>
  <c r="EZ134" i="103"/>
  <c r="AM231" i="8"/>
  <c r="V205" i="8"/>
  <c r="V224" i="8"/>
  <c r="V226" i="8" s="1"/>
  <c r="V203" i="8"/>
  <c r="BL133" i="8"/>
  <c r="BR10" i="8"/>
  <c r="BX289" i="8"/>
  <c r="BB133" i="8"/>
  <c r="BB134" i="8"/>
  <c r="J138" i="8"/>
  <c r="O137" i="8"/>
  <c r="AF204" i="8"/>
  <c r="AF231" i="8"/>
  <c r="BI199" i="8"/>
  <c r="BI202" i="8" s="1"/>
  <c r="BI197" i="8"/>
  <c r="AU206" i="8"/>
  <c r="FE53" i="103"/>
  <c r="A12" i="104"/>
  <c r="B12" i="104" s="1"/>
  <c r="D13" i="104"/>
  <c r="AH206" i="8" l="1"/>
  <c r="AH227" i="8"/>
  <c r="BH225" i="8"/>
  <c r="CM225" i="8" s="1"/>
  <c r="BM204" i="8"/>
  <c r="CL204" i="8" s="1"/>
  <c r="BH204" i="8"/>
  <c r="CM204" i="8" s="1"/>
  <c r="BH222" i="8"/>
  <c r="CM222" i="8" s="1"/>
  <c r="BH231" i="8"/>
  <c r="CM231" i="8" s="1"/>
  <c r="BI137" i="8"/>
  <c r="AP206" i="8"/>
  <c r="AH231" i="8"/>
  <c r="AH204" i="8"/>
  <c r="AC231" i="8"/>
  <c r="AM204" i="8"/>
  <c r="AC204" i="8"/>
  <c r="AM227" i="8"/>
  <c r="S231" i="8"/>
  <c r="BJ203" i="8"/>
  <c r="BJ223" i="8"/>
  <c r="BJ205" i="8"/>
  <c r="BJ206" i="8" s="1"/>
  <c r="BN199" i="8"/>
  <c r="BN202" i="8" s="1"/>
  <c r="BN197" i="8"/>
  <c r="BH206" i="8"/>
  <c r="CM206" i="8" s="1"/>
  <c r="AM206" i="8"/>
  <c r="BK206" i="8"/>
  <c r="AK204" i="8"/>
  <c r="AK231" i="8"/>
  <c r="BS216" i="8"/>
  <c r="BS211" i="8" s="1"/>
  <c r="BX211" i="8" s="1"/>
  <c r="CC211" i="8" s="1"/>
  <c r="AP204" i="8"/>
  <c r="BQ120" i="8"/>
  <c r="BQ118" i="8" s="1"/>
  <c r="BR120" i="8"/>
  <c r="BR118" i="8" s="1"/>
  <c r="BP118" i="8"/>
  <c r="A13" i="104"/>
  <c r="B13" i="104" s="1"/>
  <c r="D14" i="104"/>
  <c r="BI207" i="8"/>
  <c r="BI203" i="8"/>
  <c r="BI205" i="8"/>
  <c r="CC289" i="8"/>
  <c r="V231" i="8"/>
  <c r="V204" i="8"/>
  <c r="AA204" i="8"/>
  <c r="V227" i="8"/>
  <c r="AA227" i="8"/>
  <c r="V206" i="8"/>
  <c r="AA206" i="8"/>
  <c r="BF225" i="8"/>
  <c r="BF222" i="8"/>
  <c r="BF204" i="8"/>
  <c r="BF231" i="8"/>
  <c r="FE291" i="103"/>
  <c r="BB203" i="8"/>
  <c r="BB223" i="8"/>
  <c r="BB205" i="8"/>
  <c r="BB206" i="8" s="1"/>
  <c r="EK179" i="103"/>
  <c r="BK204" i="8"/>
  <c r="BK231" i="8"/>
  <c r="BK222" i="8"/>
  <c r="BK225" i="8"/>
  <c r="AO203" i="8"/>
  <c r="AO224" i="8"/>
  <c r="AO226" i="8" s="1"/>
  <c r="AO205" i="8"/>
  <c r="V28" i="104"/>
  <c r="L493" i="104"/>
  <c r="M492" i="104" s="1"/>
  <c r="L488" i="104"/>
  <c r="M487" i="104" s="1"/>
  <c r="L288" i="104"/>
  <c r="M287" i="104" s="1"/>
  <c r="L257" i="104"/>
  <c r="M256" i="104" s="1"/>
  <c r="L284" i="104"/>
  <c r="M283" i="104" s="1"/>
  <c r="L479" i="104"/>
  <c r="M478" i="104" s="1"/>
  <c r="L839" i="104"/>
  <c r="M838" i="104" s="1"/>
  <c r="L490" i="104"/>
  <c r="M489" i="104" s="1"/>
  <c r="L256" i="104"/>
  <c r="M255" i="104" s="1"/>
  <c r="L840" i="104"/>
  <c r="M839" i="104" s="1"/>
  <c r="L487" i="104"/>
  <c r="M486" i="104" s="1"/>
  <c r="L480" i="104"/>
  <c r="M479" i="104" s="1"/>
  <c r="L278" i="104"/>
  <c r="M277" i="104" s="1"/>
  <c r="L491" i="104"/>
  <c r="M490" i="104" s="1"/>
  <c r="L277" i="104"/>
  <c r="M276" i="104" s="1"/>
  <c r="L489" i="104"/>
  <c r="M488" i="104" s="1"/>
  <c r="L494" i="104"/>
  <c r="M493" i="104" s="1"/>
  <c r="EU282" i="103"/>
  <c r="P199" i="8"/>
  <c r="P202" i="8" s="1"/>
  <c r="P197" i="8"/>
  <c r="P133" i="8"/>
  <c r="U133" i="8"/>
  <c r="P129" i="8"/>
  <c r="U129" i="8"/>
  <c r="AJ205" i="8"/>
  <c r="AJ203" i="8"/>
  <c r="AJ224" i="8"/>
  <c r="AJ226" i="8" s="1"/>
  <c r="AS231" i="8"/>
  <c r="AS204" i="8"/>
  <c r="AX204" i="8"/>
  <c r="AS227" i="8"/>
  <c r="AX227" i="8"/>
  <c r="AS206" i="8"/>
  <c r="AX206" i="8"/>
  <c r="I205" i="8"/>
  <c r="N206" i="8" s="1"/>
  <c r="I224" i="8"/>
  <c r="I226" i="8" s="1"/>
  <c r="I227" i="8" s="1"/>
  <c r="I203" i="8"/>
  <c r="EK231" i="103"/>
  <c r="EK232" i="103" s="1"/>
  <c r="EK251" i="103" s="1"/>
  <c r="EK250" i="103" s="1"/>
  <c r="EK234" i="103"/>
  <c r="EK235" i="103" s="1"/>
  <c r="EK246" i="103"/>
  <c r="U231" i="8"/>
  <c r="H948" i="104"/>
  <c r="I947" i="104" s="1"/>
  <c r="J948" i="104"/>
  <c r="K947" i="104" s="1"/>
  <c r="L10" i="105"/>
  <c r="L19" i="105" s="1"/>
  <c r="BD174" i="8"/>
  <c r="BD132" i="8"/>
  <c r="BD135" i="8"/>
  <c r="BD131" i="8"/>
  <c r="BD128" i="8"/>
  <c r="BD196" i="8"/>
  <c r="BD171" i="8"/>
  <c r="BI135" i="8"/>
  <c r="BI131" i="8"/>
  <c r="BI174" i="8"/>
  <c r="L17" i="105"/>
  <c r="M18" i="105"/>
  <c r="BC222" i="8"/>
  <c r="BC225" i="8"/>
  <c r="BC204" i="8"/>
  <c r="BC231" i="8"/>
  <c r="BS217" i="8"/>
  <c r="BS218" i="8"/>
  <c r="BS308" i="8"/>
  <c r="BX210" i="8"/>
  <c r="K199" i="8"/>
  <c r="K202" i="8" s="1"/>
  <c r="K197" i="8"/>
  <c r="X4" i="105"/>
  <c r="W24" i="105"/>
  <c r="CC9" i="8"/>
  <c r="Z224" i="8"/>
  <c r="Z226" i="8" s="1"/>
  <c r="Z227" i="8" s="1"/>
  <c r="Z203" i="8"/>
  <c r="Z205" i="8"/>
  <c r="Z206" i="8" s="1"/>
  <c r="Q231" i="8"/>
  <c r="AY231" i="8"/>
  <c r="R231" i="8"/>
  <c r="P223" i="8"/>
  <c r="P225" i="8" s="1"/>
  <c r="L225" i="8"/>
  <c r="L203" i="8"/>
  <c r="Q204" i="8" s="1"/>
  <c r="L205" i="8"/>
  <c r="L206" i="8" s="1"/>
  <c r="L224" i="8"/>
  <c r="L226" i="8" s="1"/>
  <c r="L227" i="8" s="1"/>
  <c r="H204" i="8"/>
  <c r="H231" i="8"/>
  <c r="E15" i="104"/>
  <c r="C14" i="104"/>
  <c r="BE231" i="8"/>
  <c r="BE222" i="8"/>
  <c r="BE225" i="8"/>
  <c r="AE224" i="8"/>
  <c r="AE226" i="8" s="1"/>
  <c r="AE227" i="8" s="1"/>
  <c r="AE205" i="8"/>
  <c r="AE203" i="8"/>
  <c r="AZ134" i="8"/>
  <c r="AZ133" i="8"/>
  <c r="BA134" i="8"/>
  <c r="BE133" i="8"/>
  <c r="AZ199" i="8"/>
  <c r="AZ202" i="8" s="1"/>
  <c r="AZ197" i="8"/>
  <c r="AZ223" i="8" s="1"/>
  <c r="AZ130" i="8"/>
  <c r="AZ129" i="8"/>
  <c r="BA130" i="8"/>
  <c r="BE129" i="8"/>
  <c r="BQ284" i="8"/>
  <c r="AR204" i="8"/>
  <c r="AR231" i="8"/>
  <c r="AT203" i="8"/>
  <c r="AY204" i="8" s="1"/>
  <c r="AT205" i="8"/>
  <c r="AT224" i="8"/>
  <c r="AT226" i="8" s="1"/>
  <c r="AT227" i="8" s="1"/>
  <c r="S206" i="8"/>
  <c r="N227" i="8"/>
  <c r="S227" i="8"/>
  <c r="N204" i="8"/>
  <c r="N231" i="8"/>
  <c r="S204" i="8"/>
  <c r="AT262" i="8"/>
  <c r="AT263" i="8" s="1"/>
  <c r="AO267" i="8"/>
  <c r="AJ301" i="8"/>
  <c r="AJ270" i="8"/>
  <c r="AJ271" i="8" s="1"/>
  <c r="CO199" i="8"/>
  <c r="BG202" i="8"/>
  <c r="CP199" i="8"/>
  <c r="BL205" i="8"/>
  <c r="BL203" i="8"/>
  <c r="BL223" i="8"/>
  <c r="M203" i="8"/>
  <c r="R204" i="8" s="1"/>
  <c r="M205" i="8"/>
  <c r="M206" i="8" s="1"/>
  <c r="M224" i="8"/>
  <c r="M226" i="8" s="1"/>
  <c r="M227" i="8" s="1"/>
  <c r="J197" i="8"/>
  <c r="J223" i="8" s="1"/>
  <c r="J199" i="8"/>
  <c r="J202" i="8" s="1"/>
  <c r="J134" i="8"/>
  <c r="O133" i="8"/>
  <c r="J130" i="8"/>
  <c r="O129" i="8"/>
  <c r="AI227" i="8"/>
  <c r="AN227" i="8"/>
  <c r="AI206" i="8"/>
  <c r="AN206" i="8"/>
  <c r="AI204" i="8"/>
  <c r="AI231" i="8"/>
  <c r="AN204" i="8"/>
  <c r="E37" i="105" l="1"/>
  <c r="BS225" i="8"/>
  <c r="AE206" i="8"/>
  <c r="BN223" i="8"/>
  <c r="BN225" i="8" s="1"/>
  <c r="BJ222" i="8"/>
  <c r="BJ225" i="8"/>
  <c r="BN205" i="8"/>
  <c r="BN206" i="8" s="1"/>
  <c r="BN203" i="8"/>
  <c r="BN207" i="8"/>
  <c r="BJ204" i="8"/>
  <c r="BJ231" i="8"/>
  <c r="Q206" i="8"/>
  <c r="R227" i="8"/>
  <c r="AJ206" i="8"/>
  <c r="X24" i="105"/>
  <c r="Y4" i="105"/>
  <c r="Y24" i="105" s="1"/>
  <c r="BS120" i="8"/>
  <c r="BS121" i="8" s="1"/>
  <c r="BX121" i="8" s="1"/>
  <c r="BX120" i="8" s="1"/>
  <c r="BS118" i="8"/>
  <c r="BS119" i="8" s="1"/>
  <c r="BP178" i="8"/>
  <c r="BP119" i="8"/>
  <c r="BR119" i="8"/>
  <c r="BR178" i="8"/>
  <c r="BQ119" i="8"/>
  <c r="BQ178" i="8"/>
  <c r="BD133" i="8"/>
  <c r="BI133" i="8"/>
  <c r="AO227" i="8"/>
  <c r="J225" i="8"/>
  <c r="K223" i="8"/>
  <c r="K225" i="8" s="1"/>
  <c r="BD172" i="8"/>
  <c r="BI172" i="8"/>
  <c r="AO206" i="8"/>
  <c r="AY227" i="8"/>
  <c r="AT206" i="8"/>
  <c r="AJ227" i="8"/>
  <c r="AY206" i="8"/>
  <c r="Q227" i="8"/>
  <c r="BD129" i="8"/>
  <c r="BI129" i="8"/>
  <c r="R206" i="8"/>
  <c r="J224" i="8"/>
  <c r="J226" i="8" s="1"/>
  <c r="J205" i="8"/>
  <c r="O206" i="8" s="1"/>
  <c r="J203" i="8"/>
  <c r="M204" i="8"/>
  <c r="M231" i="8"/>
  <c r="CP202" i="8"/>
  <c r="BL222" i="8"/>
  <c r="BL225" i="8"/>
  <c r="BL231" i="8"/>
  <c r="BG203" i="8"/>
  <c r="BL204" i="8" s="1"/>
  <c r="BG205" i="8"/>
  <c r="BL206" i="8" s="1"/>
  <c r="CO202" i="8"/>
  <c r="BG223" i="8"/>
  <c r="BI223" i="8" s="1"/>
  <c r="AO270" i="8"/>
  <c r="AO301" i="8"/>
  <c r="AN267" i="8"/>
  <c r="AT267" i="8"/>
  <c r="AY262" i="8"/>
  <c r="AY263" i="8" s="1"/>
  <c r="AT231" i="8"/>
  <c r="AT204" i="8"/>
  <c r="BR284" i="8"/>
  <c r="BD223" i="8"/>
  <c r="BD225" i="8" s="1"/>
  <c r="AZ225" i="8"/>
  <c r="AZ203" i="8"/>
  <c r="BE204" i="8" s="1"/>
  <c r="AZ205" i="8"/>
  <c r="AZ224" i="8"/>
  <c r="AZ226" i="8" s="1"/>
  <c r="AE231" i="8"/>
  <c r="AE204" i="8"/>
  <c r="E16" i="104"/>
  <c r="C15" i="104"/>
  <c r="L204" i="8"/>
  <c r="L231" i="8"/>
  <c r="Z204" i="8"/>
  <c r="Z231" i="8"/>
  <c r="K205" i="8"/>
  <c r="K206" i="8" s="1"/>
  <c r="K203" i="8"/>
  <c r="K224" i="8"/>
  <c r="K226" i="8" s="1"/>
  <c r="K227" i="8" s="1"/>
  <c r="BX216" i="8"/>
  <c r="BX254" i="8"/>
  <c r="CC210" i="8"/>
  <c r="BX257" i="8"/>
  <c r="BX308" i="8"/>
  <c r="BX217" i="8"/>
  <c r="BD199" i="8"/>
  <c r="BD202" i="8" s="1"/>
  <c r="BD197" i="8"/>
  <c r="H949" i="104"/>
  <c r="I948" i="104" s="1"/>
  <c r="J949" i="104"/>
  <c r="K948" i="104" s="1"/>
  <c r="EK247" i="103"/>
  <c r="EK248" i="103" s="1"/>
  <c r="EK254" i="103"/>
  <c r="EK252" i="103"/>
  <c r="EK268" i="103"/>
  <c r="I204" i="8"/>
  <c r="I231" i="8"/>
  <c r="AJ204" i="8"/>
  <c r="AJ231" i="8"/>
  <c r="P205" i="8"/>
  <c r="P224" i="8"/>
  <c r="P226" i="8" s="1"/>
  <c r="P203" i="8"/>
  <c r="U204" i="8" s="1"/>
  <c r="EZ282" i="103"/>
  <c r="V29" i="104"/>
  <c r="L475" i="104"/>
  <c r="M474" i="104" s="1"/>
  <c r="L282" i="104"/>
  <c r="M281" i="104" s="1"/>
  <c r="L857" i="104"/>
  <c r="M856" i="104" s="1"/>
  <c r="L283" i="104"/>
  <c r="M282" i="104" s="1"/>
  <c r="L477" i="104"/>
  <c r="M476" i="104" s="1"/>
  <c r="L289" i="104"/>
  <c r="M288" i="104" s="1"/>
  <c r="L859" i="104"/>
  <c r="M858" i="104" s="1"/>
  <c r="L858" i="104"/>
  <c r="M857" i="104" s="1"/>
  <c r="L495" i="104"/>
  <c r="M494" i="104" s="1"/>
  <c r="L478" i="104"/>
  <c r="M477" i="104" s="1"/>
  <c r="L281" i="104"/>
  <c r="M280" i="104" s="1"/>
  <c r="L838" i="104"/>
  <c r="M837" i="104" s="1"/>
  <c r="AO204" i="8"/>
  <c r="AO231" i="8"/>
  <c r="EK181" i="103"/>
  <c r="EK185" i="103"/>
  <c r="EK187" i="103"/>
  <c r="EK184" i="103"/>
  <c r="EK186" i="103"/>
  <c r="EK188" i="103"/>
  <c r="BB222" i="8"/>
  <c r="BD222" i="8" s="1"/>
  <c r="BB225" i="8"/>
  <c r="BB231" i="8"/>
  <c r="BB204" i="8"/>
  <c r="BI231" i="8"/>
  <c r="A14" i="104"/>
  <c r="B14" i="104" s="1"/>
  <c r="D15" i="104"/>
  <c r="BN204" i="8" l="1"/>
  <c r="BN231" i="8"/>
  <c r="BN222" i="8"/>
  <c r="BN224" i="8"/>
  <c r="BN226" i="8" s="1"/>
  <c r="CC121" i="8"/>
  <c r="CC120" i="8" s="1"/>
  <c r="BS178" i="8"/>
  <c r="BI225" i="8"/>
  <c r="BI224" i="8"/>
  <c r="BI226" i="8" s="1"/>
  <c r="P206" i="8"/>
  <c r="U206" i="8"/>
  <c r="AZ206" i="8"/>
  <c r="BE206" i="8"/>
  <c r="P227" i="8"/>
  <c r="U227" i="8"/>
  <c r="EK304" i="103"/>
  <c r="D16" i="104"/>
  <c r="A15" i="104"/>
  <c r="B15" i="104" s="1"/>
  <c r="V30" i="104"/>
  <c r="L290" i="104"/>
  <c r="M289" i="104" s="1"/>
  <c r="L476" i="104"/>
  <c r="M475" i="104" s="1"/>
  <c r="L872" i="104"/>
  <c r="M871" i="104" s="1"/>
  <c r="L871" i="104"/>
  <c r="M870" i="104" s="1"/>
  <c r="L870" i="104"/>
  <c r="M869" i="104" s="1"/>
  <c r="L279" i="104"/>
  <c r="M278" i="104" s="1"/>
  <c r="L837" i="104"/>
  <c r="M836" i="104" s="1"/>
  <c r="L296" i="104"/>
  <c r="M295" i="104" s="1"/>
  <c r="L280" i="104"/>
  <c r="M279" i="104" s="1"/>
  <c r="L474" i="104"/>
  <c r="M473" i="104" s="1"/>
  <c r="L292" i="104"/>
  <c r="M291" i="104" s="1"/>
  <c r="L291" i="104"/>
  <c r="M290" i="104" s="1"/>
  <c r="L295" i="104"/>
  <c r="M294" i="104" s="1"/>
  <c r="FE282" i="103"/>
  <c r="P231" i="8"/>
  <c r="P204" i="8"/>
  <c r="EK271" i="103"/>
  <c r="EK317" i="103"/>
  <c r="H950" i="104"/>
  <c r="I949" i="104" s="1"/>
  <c r="J950" i="104"/>
  <c r="K949" i="104" s="1"/>
  <c r="BD205" i="8"/>
  <c r="BD207" i="8"/>
  <c r="BD224" i="8"/>
  <c r="BD226" i="8" s="1"/>
  <c r="BD227" i="8" s="1"/>
  <c r="BD203" i="8"/>
  <c r="BI204" i="8" s="1"/>
  <c r="BX304" i="8"/>
  <c r="BX291" i="8"/>
  <c r="CC308" i="8"/>
  <c r="CC217" i="8"/>
  <c r="CC257" i="8"/>
  <c r="CC304" i="8" s="1"/>
  <c r="CC254" i="8"/>
  <c r="CC216" i="8"/>
  <c r="BX259" i="8"/>
  <c r="BX305" i="8"/>
  <c r="K204" i="8"/>
  <c r="K231" i="8"/>
  <c r="E17" i="104"/>
  <c r="C16" i="104"/>
  <c r="AZ227" i="8"/>
  <c r="BE227" i="8"/>
  <c r="AZ204" i="8"/>
  <c r="AZ231" i="8"/>
  <c r="BS284" i="8"/>
  <c r="E33" i="105" s="1"/>
  <c r="AY267" i="8"/>
  <c r="AZ262" i="8"/>
  <c r="AZ263" i="8" s="1"/>
  <c r="BD262" i="8"/>
  <c r="BD263" i="8" s="1"/>
  <c r="AT300" i="8"/>
  <c r="AT270" i="8"/>
  <c r="AS267" i="8"/>
  <c r="AT301" i="8"/>
  <c r="AO271" i="8"/>
  <c r="AN270" i="8"/>
  <c r="BG225" i="8"/>
  <c r="BG222" i="8"/>
  <c r="BG206" i="8"/>
  <c r="CO206" i="8" s="1"/>
  <c r="CO205" i="8"/>
  <c r="CO203" i="8"/>
  <c r="BG204" i="8"/>
  <c r="BG231" i="8"/>
  <c r="CP205" i="8"/>
  <c r="CP206" i="8"/>
  <c r="CP204" i="8"/>
  <c r="CO204" i="8"/>
  <c r="CP231" i="8"/>
  <c r="CO231" i="8"/>
  <c r="CP203" i="8"/>
  <c r="CO223" i="8"/>
  <c r="CP223" i="8"/>
  <c r="CP225" i="8"/>
  <c r="CO225" i="8"/>
  <c r="CP222" i="8"/>
  <c r="J204" i="8"/>
  <c r="J231" i="8"/>
  <c r="O204" i="8"/>
  <c r="J227" i="8"/>
  <c r="O227" i="8"/>
  <c r="BN227" i="8" l="1"/>
  <c r="BD206" i="8"/>
  <c r="BI206" i="8"/>
  <c r="CO222" i="8"/>
  <c r="BI222" i="8"/>
  <c r="CC291" i="8"/>
  <c r="BI227" i="8"/>
  <c r="EK307" i="103"/>
  <c r="AS270" i="8"/>
  <c r="AT271" i="8"/>
  <c r="BI262" i="8"/>
  <c r="BI263" i="8" s="1"/>
  <c r="BE262" i="8"/>
  <c r="BE263" i="8" s="1"/>
  <c r="BD267" i="8"/>
  <c r="AZ267" i="8"/>
  <c r="BA262" i="8"/>
  <c r="BA263" i="8" s="1"/>
  <c r="AX267" i="8"/>
  <c r="AX300" i="8" s="1"/>
  <c r="AY301" i="8"/>
  <c r="AY300" i="8"/>
  <c r="AY270" i="8"/>
  <c r="BS192" i="8"/>
  <c r="BX284" i="8"/>
  <c r="E18" i="104"/>
  <c r="C17" i="104"/>
  <c r="CC259" i="8"/>
  <c r="CC305" i="8"/>
  <c r="BD204" i="8"/>
  <c r="BD231" i="8"/>
  <c r="J951" i="104"/>
  <c r="K950" i="104" s="1"/>
  <c r="H951" i="104"/>
  <c r="I950" i="104" s="1"/>
  <c r="V31" i="104"/>
  <c r="L473" i="104"/>
  <c r="M472" i="104" s="1"/>
  <c r="L878" i="104"/>
  <c r="M877" i="104" s="1"/>
  <c r="L294" i="104"/>
  <c r="M293" i="104" s="1"/>
  <c r="L873" i="104"/>
  <c r="M872" i="104" s="1"/>
  <c r="L876" i="104"/>
  <c r="M875" i="104" s="1"/>
  <c r="L860" i="104"/>
  <c r="M859" i="104" s="1"/>
  <c r="L836" i="104"/>
  <c r="M835" i="104" s="1"/>
  <c r="L496" i="104"/>
  <c r="M495" i="104" s="1"/>
  <c r="L861" i="104"/>
  <c r="M860" i="104" s="1"/>
  <c r="L879" i="104"/>
  <c r="M878" i="104" s="1"/>
  <c r="L869" i="104"/>
  <c r="M868" i="104" s="1"/>
  <c r="L877" i="104"/>
  <c r="M876" i="104" s="1"/>
  <c r="A16" i="104"/>
  <c r="B16" i="104" s="1"/>
  <c r="D17" i="104"/>
  <c r="CC284" i="8" l="1"/>
  <c r="EK308" i="103"/>
  <c r="A17" i="104"/>
  <c r="B17" i="104" s="1"/>
  <c r="D18" i="104"/>
  <c r="V32" i="104"/>
  <c r="L293" i="104"/>
  <c r="M292" i="104" s="1"/>
  <c r="L373" i="104"/>
  <c r="M372" i="104" s="1"/>
  <c r="L880" i="104"/>
  <c r="M879" i="104" s="1"/>
  <c r="L374" i="104"/>
  <c r="M373" i="104" s="1"/>
  <c r="L318" i="104"/>
  <c r="M317" i="104" s="1"/>
  <c r="L862" i="104"/>
  <c r="M861" i="104" s="1"/>
  <c r="L864" i="104"/>
  <c r="M863" i="104" s="1"/>
  <c r="L865" i="104"/>
  <c r="M864" i="104" s="1"/>
  <c r="L863" i="104"/>
  <c r="M862" i="104" s="1"/>
  <c r="L867" i="104"/>
  <c r="M866" i="104" s="1"/>
  <c r="L866" i="104"/>
  <c r="M865" i="104" s="1"/>
  <c r="L320" i="104"/>
  <c r="M319" i="104" s="1"/>
  <c r="L317" i="104"/>
  <c r="M316" i="104" s="1"/>
  <c r="L314" i="104"/>
  <c r="M313" i="104" s="1"/>
  <c r="L874" i="104"/>
  <c r="M873" i="104" s="1"/>
  <c r="L297" i="104"/>
  <c r="M296" i="104" s="1"/>
  <c r="L886" i="104"/>
  <c r="M885" i="104" s="1"/>
  <c r="L887" i="104"/>
  <c r="M886" i="104" s="1"/>
  <c r="L375" i="104"/>
  <c r="M374" i="104" s="1"/>
  <c r="L472" i="104"/>
  <c r="M471" i="104" s="1"/>
  <c r="L875" i="104"/>
  <c r="M874" i="104" s="1"/>
  <c r="L315" i="104"/>
  <c r="M314" i="104" s="1"/>
  <c r="L868" i="104"/>
  <c r="M867" i="104" s="1"/>
  <c r="L834" i="104"/>
  <c r="M833" i="104" s="1"/>
  <c r="L835" i="104"/>
  <c r="M834" i="104" s="1"/>
  <c r="L885" i="104"/>
  <c r="M884" i="104" s="1"/>
  <c r="H952" i="104"/>
  <c r="I951" i="104" s="1"/>
  <c r="J952" i="104"/>
  <c r="K951" i="104" s="1"/>
  <c r="E19" i="104"/>
  <c r="C18" i="104"/>
  <c r="BS193" i="8"/>
  <c r="BX193" i="8" s="1"/>
  <c r="CC193" i="8" s="1"/>
  <c r="E48" i="105" s="1"/>
  <c r="E51" i="105" s="1"/>
  <c r="M31" i="105" s="1"/>
  <c r="AY271" i="8"/>
  <c r="AX270" i="8"/>
  <c r="BA267" i="8"/>
  <c r="BB262" i="8"/>
  <c r="BB263" i="8" s="1"/>
  <c r="AZ270" i="8"/>
  <c r="AZ300" i="8"/>
  <c r="BD270" i="8"/>
  <c r="BC267" i="8"/>
  <c r="BC300" i="8" s="1"/>
  <c r="BD300" i="8"/>
  <c r="BD301" i="8"/>
  <c r="BE267" i="8"/>
  <c r="BF262" i="8"/>
  <c r="BF263" i="8" s="1"/>
  <c r="BI267" i="8"/>
  <c r="BJ262" i="8"/>
  <c r="BJ263" i="8" s="1"/>
  <c r="BX191" i="8" l="1"/>
  <c r="BS191" i="8"/>
  <c r="CC192" i="8"/>
  <c r="CC191" i="8" s="1"/>
  <c r="BK262" i="8"/>
  <c r="BK263" i="8" s="1"/>
  <c r="BJ267" i="8"/>
  <c r="BH267" i="8"/>
  <c r="BH300" i="8" s="1"/>
  <c r="BI270" i="8"/>
  <c r="BI300" i="8"/>
  <c r="BI301" i="8"/>
  <c r="BI288" i="8"/>
  <c r="BF267" i="8"/>
  <c r="BG262" i="8"/>
  <c r="BG263" i="8" s="1"/>
  <c r="BE270" i="8"/>
  <c r="BE271" i="8" s="1"/>
  <c r="BE300" i="8"/>
  <c r="BD271" i="8"/>
  <c r="BC270" i="8"/>
  <c r="BC262" i="8"/>
  <c r="BC263" i="8" s="1"/>
  <c r="BB267" i="8"/>
  <c r="BA300" i="8"/>
  <c r="BA270" i="8"/>
  <c r="N31" i="105"/>
  <c r="L31" i="105"/>
  <c r="M37" i="105"/>
  <c r="C19" i="104"/>
  <c r="E20" i="104"/>
  <c r="H953" i="104"/>
  <c r="I952" i="104" s="1"/>
  <c r="J953" i="104"/>
  <c r="K952" i="104" s="1"/>
  <c r="V33" i="104"/>
  <c r="L326" i="104"/>
  <c r="M325" i="104" s="1"/>
  <c r="L881" i="104"/>
  <c r="M880" i="104" s="1"/>
  <c r="L497" i="104"/>
  <c r="M496" i="104" s="1"/>
  <c r="L833" i="104"/>
  <c r="M832" i="104" s="1"/>
  <c r="L830" i="104"/>
  <c r="M829" i="104" s="1"/>
  <c r="L825" i="104"/>
  <c r="M824" i="104" s="1"/>
  <c r="L889" i="104"/>
  <c r="M888" i="104" s="1"/>
  <c r="L377" i="104"/>
  <c r="M376" i="104" s="1"/>
  <c r="L313" i="104"/>
  <c r="M312" i="104" s="1"/>
  <c r="L503" i="104"/>
  <c r="M502" i="104" s="1"/>
  <c r="L920" i="104"/>
  <c r="M919" i="104" s="1"/>
  <c r="L884" i="104"/>
  <c r="M883" i="104" s="1"/>
  <c r="L372" i="104"/>
  <c r="M371" i="104" s="1"/>
  <c r="L917" i="104"/>
  <c r="M916" i="104" s="1"/>
  <c r="L321" i="104"/>
  <c r="M320" i="104" s="1"/>
  <c r="L918" i="104"/>
  <c r="M917" i="104" s="1"/>
  <c r="L882" i="104"/>
  <c r="M881" i="104" s="1"/>
  <c r="L319" i="104"/>
  <c r="M318" i="104" s="1"/>
  <c r="L826" i="104"/>
  <c r="M825" i="104" s="1"/>
  <c r="L322" i="104"/>
  <c r="M321" i="104" s="1"/>
  <c r="L376" i="104"/>
  <c r="M375" i="104" s="1"/>
  <c r="L324" i="104"/>
  <c r="M323" i="104" s="1"/>
  <c r="L831" i="104"/>
  <c r="M830" i="104" s="1"/>
  <c r="L888" i="104"/>
  <c r="M887" i="104" s="1"/>
  <c r="L883" i="104"/>
  <c r="M882" i="104" s="1"/>
  <c r="L916" i="104"/>
  <c r="M915" i="104" s="1"/>
  <c r="L827" i="104"/>
  <c r="M826" i="104" s="1"/>
  <c r="L316" i="104"/>
  <c r="M315" i="104" s="1"/>
  <c r="L325" i="104"/>
  <c r="M324" i="104" s="1"/>
  <c r="L919" i="104"/>
  <c r="M918" i="104" s="1"/>
  <c r="L323" i="104"/>
  <c r="M322" i="104" s="1"/>
  <c r="D19" i="104"/>
  <c r="A18" i="104"/>
  <c r="B18" i="104" s="1"/>
  <c r="D20" i="104" l="1"/>
  <c r="A19" i="104"/>
  <c r="B19" i="104" s="1"/>
  <c r="V34" i="104"/>
  <c r="L328" i="104"/>
  <c r="M327" i="104" s="1"/>
  <c r="L912" i="104"/>
  <c r="M911" i="104" s="1"/>
  <c r="L832" i="104"/>
  <c r="M831" i="104" s="1"/>
  <c r="L921" i="104"/>
  <c r="M920" i="104" s="1"/>
  <c r="L502" i="104"/>
  <c r="M501" i="104" s="1"/>
  <c r="L360" i="104"/>
  <c r="M359" i="104" s="1"/>
  <c r="L359" i="104"/>
  <c r="M358" i="104" s="1"/>
  <c r="L824" i="104"/>
  <c r="M823" i="104" s="1"/>
  <c r="L822" i="104"/>
  <c r="M821" i="104" s="1"/>
  <c r="L357" i="104"/>
  <c r="M356" i="104" s="1"/>
  <c r="L890" i="104"/>
  <c r="M889" i="104" s="1"/>
  <c r="L915" i="104"/>
  <c r="M914" i="104" s="1"/>
  <c r="L361" i="104"/>
  <c r="M360" i="104" s="1"/>
  <c r="L829" i="104"/>
  <c r="M828" i="104" s="1"/>
  <c r="L504" i="104"/>
  <c r="M503" i="104" s="1"/>
  <c r="L371" i="104"/>
  <c r="M370" i="104" s="1"/>
  <c r="L891" i="104"/>
  <c r="M890" i="104" s="1"/>
  <c r="L911" i="104"/>
  <c r="M910" i="104" s="1"/>
  <c r="L312" i="104"/>
  <c r="M311" i="104" s="1"/>
  <c r="L471" i="104"/>
  <c r="M470" i="104" s="1"/>
  <c r="L922" i="104"/>
  <c r="M921" i="104" s="1"/>
  <c r="L327" i="104"/>
  <c r="M326" i="104" s="1"/>
  <c r="L903" i="104"/>
  <c r="M902" i="104" s="1"/>
  <c r="L904" i="104"/>
  <c r="M903" i="104" s="1"/>
  <c r="L823" i="104"/>
  <c r="M822" i="104" s="1"/>
  <c r="L358" i="104"/>
  <c r="M357" i="104" s="1"/>
  <c r="L362" i="104"/>
  <c r="M361" i="104" s="1"/>
  <c r="H954" i="104"/>
  <c r="I953" i="104" s="1"/>
  <c r="J954" i="104"/>
  <c r="K953" i="104" s="1"/>
  <c r="E21" i="104"/>
  <c r="C20" i="104"/>
  <c r="K31" i="105"/>
  <c r="K37" i="105" s="1"/>
  <c r="L37" i="105"/>
  <c r="N37" i="105"/>
  <c r="O31" i="105"/>
  <c r="O37" i="105" s="1"/>
  <c r="BB270" i="8"/>
  <c r="BB300" i="8"/>
  <c r="BH262" i="8"/>
  <c r="BH263" i="8" s="1"/>
  <c r="BG267" i="8"/>
  <c r="BJ288" i="8" s="1"/>
  <c r="BF270" i="8"/>
  <c r="BF271" i="8" s="1"/>
  <c r="BF300" i="8"/>
  <c r="BI271" i="8"/>
  <c r="BH270" i="8"/>
  <c r="BH271" i="8" s="1"/>
  <c r="BJ270" i="8"/>
  <c r="BJ271" i="8" s="1"/>
  <c r="BJ300" i="8"/>
  <c r="BL262" i="8"/>
  <c r="BL263" i="8" s="1"/>
  <c r="BK267" i="8"/>
  <c r="BK288" i="8" l="1"/>
  <c r="BK270" i="8"/>
  <c r="BK271" i="8" s="1"/>
  <c r="BK300" i="8"/>
  <c r="BL267" i="8"/>
  <c r="BL288" i="8" s="1"/>
  <c r="BG270" i="8"/>
  <c r="BG271" i="8" s="1"/>
  <c r="BG300" i="8"/>
  <c r="E22" i="104"/>
  <c r="C21" i="104"/>
  <c r="H955" i="104"/>
  <c r="I954" i="104" s="1"/>
  <c r="J955" i="104"/>
  <c r="K954" i="104" s="1"/>
  <c r="V35" i="104"/>
  <c r="L369" i="104"/>
  <c r="M368" i="104" s="1"/>
  <c r="L910" i="104"/>
  <c r="M909" i="104" s="1"/>
  <c r="L329" i="104"/>
  <c r="M328" i="104" s="1"/>
  <c r="L913" i="104"/>
  <c r="M912" i="104" s="1"/>
  <c r="L364" i="104"/>
  <c r="M363" i="104" s="1"/>
  <c r="L905" i="104"/>
  <c r="M904" i="104" s="1"/>
  <c r="L896" i="104"/>
  <c r="M895" i="104" s="1"/>
  <c r="L498" i="104"/>
  <c r="M497" i="104" s="1"/>
  <c r="L897" i="104"/>
  <c r="M896" i="104" s="1"/>
  <c r="L894" i="104"/>
  <c r="M893" i="104" s="1"/>
  <c r="L370" i="104"/>
  <c r="M369" i="104" s="1"/>
  <c r="L356" i="104"/>
  <c r="M355" i="104" s="1"/>
  <c r="L907" i="104"/>
  <c r="M906" i="104" s="1"/>
  <c r="L906" i="104"/>
  <c r="M905" i="104" s="1"/>
  <c r="L893" i="104"/>
  <c r="M892" i="104" s="1"/>
  <c r="L901" i="104"/>
  <c r="M900" i="104" s="1"/>
  <c r="L330" i="104"/>
  <c r="M329" i="104" s="1"/>
  <c r="L902" i="104"/>
  <c r="M901" i="104" s="1"/>
  <c r="L298" i="104"/>
  <c r="M297" i="104" s="1"/>
  <c r="L908" i="104"/>
  <c r="M907" i="104" s="1"/>
  <c r="L378" i="104"/>
  <c r="M377" i="104" s="1"/>
  <c r="L914" i="104"/>
  <c r="M913" i="104" s="1"/>
  <c r="L909" i="104"/>
  <c r="M908" i="104" s="1"/>
  <c r="L501" i="104"/>
  <c r="M500" i="104" s="1"/>
  <c r="L363" i="104"/>
  <c r="M362" i="104" s="1"/>
  <c r="L895" i="104"/>
  <c r="M894" i="104" s="1"/>
  <c r="L821" i="104"/>
  <c r="M820" i="104" s="1"/>
  <c r="L923" i="104"/>
  <c r="M922" i="104" s="1"/>
  <c r="L828" i="104"/>
  <c r="M827" i="104" s="1"/>
  <c r="L892" i="104"/>
  <c r="M891" i="104" s="1"/>
  <c r="L365" i="104"/>
  <c r="M364" i="104" s="1"/>
  <c r="L925" i="104"/>
  <c r="M924" i="104" s="1"/>
  <c r="L900" i="104"/>
  <c r="M899" i="104" s="1"/>
  <c r="L300" i="104"/>
  <c r="M299" i="104" s="1"/>
  <c r="L299" i="104"/>
  <c r="M298" i="104" s="1"/>
  <c r="L514" i="104"/>
  <c r="M513" i="104" s="1"/>
  <c r="L924" i="104"/>
  <c r="M923" i="104" s="1"/>
  <c r="L899" i="104"/>
  <c r="M898" i="104" s="1"/>
  <c r="L898" i="104"/>
  <c r="M897" i="104" s="1"/>
  <c r="L505" i="104"/>
  <c r="M504" i="104" s="1"/>
  <c r="D21" i="104"/>
  <c r="A20" i="104"/>
  <c r="B20" i="104" s="1"/>
  <c r="A21" i="104" l="1"/>
  <c r="B21" i="104" s="1"/>
  <c r="D22" i="104"/>
  <c r="V36" i="104"/>
  <c r="L515" i="104"/>
  <c r="M514" i="104" s="1"/>
  <c r="L926" i="104"/>
  <c r="M925" i="104" s="1"/>
  <c r="L331" i="104"/>
  <c r="M330" i="104" s="1"/>
  <c r="L512" i="104"/>
  <c r="M511" i="104" s="1"/>
  <c r="L470" i="104"/>
  <c r="M469" i="104" s="1"/>
  <c r="L368" i="104"/>
  <c r="M367" i="104" s="1"/>
  <c r="L510" i="104"/>
  <c r="M509" i="104" s="1"/>
  <c r="L366" i="104"/>
  <c r="M365" i="104" s="1"/>
  <c r="L819" i="104"/>
  <c r="M818" i="104" s="1"/>
  <c r="L311" i="104"/>
  <c r="M310" i="104" s="1"/>
  <c r="L379" i="104"/>
  <c r="M378" i="104" s="1"/>
  <c r="L820" i="104"/>
  <c r="M819" i="104" s="1"/>
  <c r="L513" i="104"/>
  <c r="M512" i="104" s="1"/>
  <c r="L506" i="104"/>
  <c r="M505" i="104" s="1"/>
  <c r="L499" i="104"/>
  <c r="M498" i="104" s="1"/>
  <c r="L500" i="104"/>
  <c r="M499" i="104" s="1"/>
  <c r="L367" i="104"/>
  <c r="M366" i="104" s="1"/>
  <c r="L511" i="104"/>
  <c r="M510" i="104" s="1"/>
  <c r="F957" i="104"/>
  <c r="H956" i="104"/>
  <c r="I955" i="104" s="1"/>
  <c r="J956" i="104"/>
  <c r="K955" i="104" s="1"/>
  <c r="E23" i="104"/>
  <c r="C22" i="104"/>
  <c r="BL270" i="8"/>
  <c r="BL271" i="8" s="1"/>
  <c r="BL300" i="8"/>
  <c r="C23" i="104" l="1"/>
  <c r="E24" i="104"/>
  <c r="F958" i="104"/>
  <c r="H957" i="104"/>
  <c r="I956" i="104" s="1"/>
  <c r="J957" i="104"/>
  <c r="K956" i="104" s="1"/>
  <c r="V37" i="104"/>
  <c r="L508" i="104"/>
  <c r="M507" i="104" s="1"/>
  <c r="L469" i="104"/>
  <c r="M468" i="104" s="1"/>
  <c r="L509" i="104"/>
  <c r="M508" i="104" s="1"/>
  <c r="L818" i="104"/>
  <c r="M817" i="104" s="1"/>
  <c r="L381" i="104"/>
  <c r="M380" i="104" s="1"/>
  <c r="L507" i="104"/>
  <c r="M506" i="104" s="1"/>
  <c r="L310" i="104"/>
  <c r="M309" i="104" s="1"/>
  <c r="L382" i="104"/>
  <c r="M381" i="104" s="1"/>
  <c r="L332" i="104"/>
  <c r="M331" i="104" s="1"/>
  <c r="L380" i="104"/>
  <c r="M379" i="104" s="1"/>
  <c r="D23" i="104"/>
  <c r="A22" i="104"/>
  <c r="B22" i="104" s="1"/>
  <c r="D24" i="104" l="1"/>
  <c r="A23" i="104"/>
  <c r="B23" i="104" s="1"/>
  <c r="V38" i="104"/>
  <c r="L525" i="104"/>
  <c r="M524" i="104" s="1"/>
  <c r="L526" i="104"/>
  <c r="M525" i="104" s="1"/>
  <c r="L524" i="104"/>
  <c r="M523" i="104" s="1"/>
  <c r="L516" i="104"/>
  <c r="M515" i="104" s="1"/>
  <c r="L303" i="104"/>
  <c r="M302" i="104" s="1"/>
  <c r="L355" i="104"/>
  <c r="M354" i="104" s="1"/>
  <c r="L817" i="104"/>
  <c r="M816" i="104" s="1"/>
  <c r="F959" i="104"/>
  <c r="H958" i="104"/>
  <c r="I957" i="104" s="1"/>
  <c r="J958" i="104"/>
  <c r="K957" i="104" s="1"/>
  <c r="E25" i="104"/>
  <c r="C24" i="104"/>
  <c r="C25" i="104" l="1"/>
  <c r="E26" i="104"/>
  <c r="F960" i="104"/>
  <c r="H959" i="104"/>
  <c r="I958" i="104" s="1"/>
  <c r="J959" i="104"/>
  <c r="K958" i="104" s="1"/>
  <c r="V39" i="104"/>
  <c r="L520" i="104"/>
  <c r="M519" i="104" s="1"/>
  <c r="L816" i="104"/>
  <c r="M815" i="104" s="1"/>
  <c r="L393" i="104"/>
  <c r="M392" i="104" s="1"/>
  <c r="L929" i="104"/>
  <c r="M928" i="104" s="1"/>
  <c r="L333" i="104"/>
  <c r="M332" i="104" s="1"/>
  <c r="L927" i="104"/>
  <c r="M926" i="104" s="1"/>
  <c r="L392" i="104"/>
  <c r="M391" i="104" s="1"/>
  <c r="L523" i="104"/>
  <c r="M522" i="104" s="1"/>
  <c r="L527" i="104"/>
  <c r="M526" i="104" s="1"/>
  <c r="L522" i="104"/>
  <c r="M521" i="104" s="1"/>
  <c r="L389" i="104"/>
  <c r="M388" i="104" s="1"/>
  <c r="L521" i="104"/>
  <c r="M520" i="104" s="1"/>
  <c r="L388" i="104"/>
  <c r="M387" i="104" s="1"/>
  <c r="L931" i="104"/>
  <c r="M930" i="104" s="1"/>
  <c r="L934" i="104"/>
  <c r="M933" i="104" s="1"/>
  <c r="L533" i="104"/>
  <c r="M532" i="104" s="1"/>
  <c r="L532" i="104"/>
  <c r="M531" i="104" s="1"/>
  <c r="L531" i="104"/>
  <c r="M530" i="104" s="1"/>
  <c r="L383" i="104"/>
  <c r="M382" i="104" s="1"/>
  <c r="L802" i="104"/>
  <c r="M801" i="104" s="1"/>
  <c r="L933" i="104"/>
  <c r="M932" i="104" s="1"/>
  <c r="L930" i="104"/>
  <c r="M929" i="104" s="1"/>
  <c r="L803" i="104"/>
  <c r="M802" i="104" s="1"/>
  <c r="L932" i="104"/>
  <c r="M931" i="104" s="1"/>
  <c r="L801" i="104"/>
  <c r="M800" i="104" s="1"/>
  <c r="L304" i="104"/>
  <c r="M303" i="104" s="1"/>
  <c r="A24" i="104"/>
  <c r="B24" i="104" s="1"/>
  <c r="D25" i="104"/>
  <c r="L947" i="104" l="1"/>
  <c r="M946" i="104" s="1"/>
  <c r="L948" i="104"/>
  <c r="M947" i="104" s="1"/>
  <c r="L949" i="104"/>
  <c r="M948" i="104" s="1"/>
  <c r="L950" i="104"/>
  <c r="M949" i="104" s="1"/>
  <c r="L951" i="104"/>
  <c r="M950" i="104" s="1"/>
  <c r="L952" i="104"/>
  <c r="M951" i="104" s="1"/>
  <c r="L953" i="104"/>
  <c r="M952" i="104" s="1"/>
  <c r="L954" i="104"/>
  <c r="M953" i="104" s="1"/>
  <c r="L955" i="104"/>
  <c r="M954" i="104" s="1"/>
  <c r="L956" i="104"/>
  <c r="M955" i="104" s="1"/>
  <c r="L957" i="104"/>
  <c r="M956" i="104" s="1"/>
  <c r="L958" i="104"/>
  <c r="M957" i="104" s="1"/>
  <c r="L959" i="104"/>
  <c r="M958" i="104" s="1"/>
  <c r="A25" i="104"/>
  <c r="B25" i="104" s="1"/>
  <c r="D26" i="104"/>
  <c r="V40" i="104"/>
  <c r="L517" i="104"/>
  <c r="M516" i="104" s="1"/>
  <c r="L814" i="104"/>
  <c r="M813" i="104" s="1"/>
  <c r="L937" i="104"/>
  <c r="M936" i="104" s="1"/>
  <c r="L396" i="104"/>
  <c r="M395" i="104" s="1"/>
  <c r="L530" i="104"/>
  <c r="M529" i="104" s="1"/>
  <c r="L793" i="104"/>
  <c r="M792" i="104" s="1"/>
  <c r="L928" i="104"/>
  <c r="M927" i="104" s="1"/>
  <c r="L391" i="104"/>
  <c r="M390" i="104" s="1"/>
  <c r="L384" i="104"/>
  <c r="M383" i="104" s="1"/>
  <c r="L940" i="104"/>
  <c r="M939" i="104" s="1"/>
  <c r="L395" i="104"/>
  <c r="M394" i="104" s="1"/>
  <c r="L519" i="104"/>
  <c r="M518" i="104" s="1"/>
  <c r="L302" i="104"/>
  <c r="M301" i="104" s="1"/>
  <c r="L804" i="104"/>
  <c r="M803" i="104" s="1"/>
  <c r="L935" i="104"/>
  <c r="M934" i="104" s="1"/>
  <c r="L534" i="104"/>
  <c r="M533" i="104" s="1"/>
  <c r="L468" i="104"/>
  <c r="M467" i="104" s="1"/>
  <c r="L939" i="104"/>
  <c r="M938" i="104" s="1"/>
  <c r="L397" i="104"/>
  <c r="M396" i="104" s="1"/>
  <c r="L518" i="104"/>
  <c r="M517" i="104" s="1"/>
  <c r="L813" i="104"/>
  <c r="M812" i="104" s="1"/>
  <c r="L792" i="104"/>
  <c r="M791" i="104" s="1"/>
  <c r="L394" i="104"/>
  <c r="M393" i="104" s="1"/>
  <c r="L800" i="104"/>
  <c r="M799" i="104" s="1"/>
  <c r="L402" i="104"/>
  <c r="M401" i="104" s="1"/>
  <c r="L938" i="104"/>
  <c r="M937" i="104" s="1"/>
  <c r="L815" i="104"/>
  <c r="M814" i="104" s="1"/>
  <c r="L390" i="104"/>
  <c r="M389" i="104" s="1"/>
  <c r="L936" i="104"/>
  <c r="M935" i="104" s="1"/>
  <c r="L387" i="104"/>
  <c r="M386" i="104" s="1"/>
  <c r="L941" i="104"/>
  <c r="M940" i="104" s="1"/>
  <c r="L942" i="104"/>
  <c r="M941" i="104" s="1"/>
  <c r="L943" i="104"/>
  <c r="M942" i="104" s="1"/>
  <c r="L944" i="104"/>
  <c r="M943" i="104" s="1"/>
  <c r="L945" i="104"/>
  <c r="M944" i="104" s="1"/>
  <c r="L946" i="104"/>
  <c r="M945" i="104" s="1"/>
  <c r="F961" i="104"/>
  <c r="H960" i="104"/>
  <c r="I959" i="104" s="1"/>
  <c r="J960" i="104"/>
  <c r="K959" i="104" s="1"/>
  <c r="L960" i="104"/>
  <c r="M959" i="104" s="1"/>
  <c r="E27" i="104"/>
  <c r="C26" i="104"/>
  <c r="E28" i="104" l="1"/>
  <c r="C27" i="104"/>
  <c r="F962" i="104"/>
  <c r="J961" i="104"/>
  <c r="K960" i="104" s="1"/>
  <c r="H961" i="104"/>
  <c r="I960" i="104" s="1"/>
  <c r="L961" i="104"/>
  <c r="M960" i="104" s="1"/>
  <c r="V41" i="104"/>
  <c r="L812" i="104"/>
  <c r="M811" i="104" s="1"/>
  <c r="L806" i="104"/>
  <c r="M805" i="104" s="1"/>
  <c r="L555" i="104"/>
  <c r="M554" i="104" s="1"/>
  <c r="L810" i="104"/>
  <c r="M809" i="104" s="1"/>
  <c r="L794" i="104"/>
  <c r="M793" i="104" s="1"/>
  <c r="L343" i="104"/>
  <c r="M342" i="104" s="1"/>
  <c r="L400" i="104"/>
  <c r="M399" i="104" s="1"/>
  <c r="L398" i="104"/>
  <c r="M397" i="104" s="1"/>
  <c r="L309" i="104"/>
  <c r="M308" i="104" s="1"/>
  <c r="L354" i="104"/>
  <c r="M353" i="104" s="1"/>
  <c r="L339" i="104"/>
  <c r="M338" i="104" s="1"/>
  <c r="L403" i="104"/>
  <c r="M402" i="104" s="1"/>
  <c r="L799" i="104"/>
  <c r="M798" i="104" s="1"/>
  <c r="L405" i="104"/>
  <c r="M404" i="104" s="1"/>
  <c r="L811" i="104"/>
  <c r="M810" i="104" s="1"/>
  <c r="L338" i="104"/>
  <c r="M337" i="104" s="1"/>
  <c r="L335" i="104"/>
  <c r="M334" i="104" s="1"/>
  <c r="L385" i="104"/>
  <c r="M384" i="104" s="1"/>
  <c r="L535" i="104"/>
  <c r="M534" i="104" s="1"/>
  <c r="L791" i="104"/>
  <c r="M790" i="104" s="1"/>
  <c r="L386" i="104"/>
  <c r="M385" i="104" s="1"/>
  <c r="L399" i="104"/>
  <c r="M398" i="104" s="1"/>
  <c r="L401" i="104"/>
  <c r="M400" i="104" s="1"/>
  <c r="L529" i="104"/>
  <c r="M528" i="104" s="1"/>
  <c r="L301" i="104"/>
  <c r="M300" i="104" s="1"/>
  <c r="L404" i="104"/>
  <c r="M403" i="104" s="1"/>
  <c r="L336" i="104"/>
  <c r="M335" i="104" s="1"/>
  <c r="L334" i="104"/>
  <c r="M333" i="104" s="1"/>
  <c r="L340" i="104"/>
  <c r="M339" i="104" s="1"/>
  <c r="L528" i="104"/>
  <c r="M527" i="104" s="1"/>
  <c r="L805" i="104"/>
  <c r="M804" i="104" s="1"/>
  <c r="L344" i="104"/>
  <c r="M343" i="104" s="1"/>
  <c r="D27" i="104"/>
  <c r="A26" i="104"/>
  <c r="B26" i="104" s="1"/>
  <c r="D28" i="104" l="1"/>
  <c r="A27" i="104"/>
  <c r="B27" i="104" s="1"/>
  <c r="L557" i="104"/>
  <c r="M556" i="104" s="1"/>
  <c r="L561" i="104"/>
  <c r="M560" i="104" s="1"/>
  <c r="L562" i="104"/>
  <c r="M561" i="104" s="1"/>
  <c r="L406" i="104"/>
  <c r="M405" i="104" s="1"/>
  <c r="L342" i="104"/>
  <c r="M341" i="104" s="1"/>
  <c r="L537" i="104"/>
  <c r="M536" i="104" s="1"/>
  <c r="L539" i="104"/>
  <c r="M538" i="104" s="1"/>
  <c r="L795" i="104"/>
  <c r="M794" i="104" s="1"/>
  <c r="V42" i="104"/>
  <c r="L796" i="104"/>
  <c r="M795" i="104" s="1"/>
  <c r="L538" i="104"/>
  <c r="M537" i="104" s="1"/>
  <c r="L341" i="104"/>
  <c r="M340" i="104" s="1"/>
  <c r="L549" i="104"/>
  <c r="M548" i="104" s="1"/>
  <c r="L798" i="104"/>
  <c r="M797" i="104" s="1"/>
  <c r="L550" i="104"/>
  <c r="M549" i="104" s="1"/>
  <c r="L536" i="104"/>
  <c r="M535" i="104" s="1"/>
  <c r="L797" i="104"/>
  <c r="M796" i="104" s="1"/>
  <c r="L553" i="104"/>
  <c r="M552" i="104" s="1"/>
  <c r="L346" i="104"/>
  <c r="M345" i="104" s="1"/>
  <c r="L345" i="104"/>
  <c r="M344" i="104" s="1"/>
  <c r="L347" i="104"/>
  <c r="M346" i="104" s="1"/>
  <c r="L807" i="104"/>
  <c r="M806" i="104" s="1"/>
  <c r="L790" i="104"/>
  <c r="M789" i="104" s="1"/>
  <c r="L554" i="104"/>
  <c r="M553" i="104" s="1"/>
  <c r="L809" i="104"/>
  <c r="M808" i="104" s="1"/>
  <c r="L467" i="104"/>
  <c r="M466" i="104" s="1"/>
  <c r="L808" i="104"/>
  <c r="M807" i="104" s="1"/>
  <c r="L563" i="104"/>
  <c r="M562" i="104" s="1"/>
  <c r="L337" i="104"/>
  <c r="M336" i="104" s="1"/>
  <c r="L556" i="104"/>
  <c r="M555" i="104" s="1"/>
  <c r="F963" i="104"/>
  <c r="J962" i="104"/>
  <c r="K961" i="104" s="1"/>
  <c r="H962" i="104"/>
  <c r="I961" i="104" s="1"/>
  <c r="L962" i="104"/>
  <c r="M961" i="104" s="1"/>
  <c r="E29" i="104"/>
  <c r="C28" i="104"/>
  <c r="C29" i="104" l="1"/>
  <c r="E30" i="104"/>
  <c r="F964" i="104"/>
  <c r="J963" i="104"/>
  <c r="K962" i="104" s="1"/>
  <c r="L963" i="104"/>
  <c r="M962" i="104" s="1"/>
  <c r="H963" i="104"/>
  <c r="I962" i="104" s="1"/>
  <c r="V43" i="104"/>
  <c r="L552" i="104"/>
  <c r="M551" i="104" s="1"/>
  <c r="L551" i="104"/>
  <c r="M550" i="104" s="1"/>
  <c r="L564" i="104"/>
  <c r="M563" i="104" s="1"/>
  <c r="L407" i="104"/>
  <c r="M406" i="104" s="1"/>
  <c r="L565" i="104"/>
  <c r="M564" i="104" s="1"/>
  <c r="L548" i="104"/>
  <c r="M547" i="104" s="1"/>
  <c r="L353" i="104"/>
  <c r="M352" i="104" s="1"/>
  <c r="L559" i="104"/>
  <c r="M558" i="104" s="1"/>
  <c r="L560" i="104"/>
  <c r="M559" i="104" s="1"/>
  <c r="L348" i="104"/>
  <c r="M347" i="104" s="1"/>
  <c r="L558" i="104"/>
  <c r="M557" i="104" s="1"/>
  <c r="D29" i="104"/>
  <c r="A28" i="104"/>
  <c r="B28" i="104" s="1"/>
  <c r="A29" i="104" l="1"/>
  <c r="B29" i="104" s="1"/>
  <c r="D30" i="104"/>
  <c r="V44" i="104"/>
  <c r="L351" i="104"/>
  <c r="M350" i="104" s="1"/>
  <c r="L540" i="104"/>
  <c r="M539" i="104" s="1"/>
  <c r="L352" i="104"/>
  <c r="M351" i="104" s="1"/>
  <c r="L566" i="104"/>
  <c r="M565" i="104" s="1"/>
  <c r="L410" i="104"/>
  <c r="M409" i="104" s="1"/>
  <c r="L547" i="104"/>
  <c r="M546" i="104" s="1"/>
  <c r="L411" i="104"/>
  <c r="M410" i="104" s="1"/>
  <c r="L409" i="104"/>
  <c r="M408" i="104" s="1"/>
  <c r="L408" i="104"/>
  <c r="M407" i="104" s="1"/>
  <c r="F965" i="104"/>
  <c r="H964" i="104"/>
  <c r="I963" i="104" s="1"/>
  <c r="J964" i="104"/>
  <c r="K963" i="104" s="1"/>
  <c r="L964" i="104"/>
  <c r="M963" i="104" s="1"/>
  <c r="E31" i="104"/>
  <c r="C30" i="104"/>
  <c r="C31" i="104" l="1"/>
  <c r="E32" i="104"/>
  <c r="F966" i="104"/>
  <c r="H965" i="104"/>
  <c r="I964" i="104" s="1"/>
  <c r="L965" i="104"/>
  <c r="M964" i="104" s="1"/>
  <c r="J965" i="104"/>
  <c r="K964" i="104" s="1"/>
  <c r="L466" i="104"/>
  <c r="M465" i="104" s="1"/>
  <c r="V45" i="104"/>
  <c r="L349" i="104"/>
  <c r="M348" i="104" s="1"/>
  <c r="L541" i="104"/>
  <c r="M540" i="104" s="1"/>
  <c r="L542" i="104"/>
  <c r="M541" i="104" s="1"/>
  <c r="L567" i="104"/>
  <c r="M566" i="104" s="1"/>
  <c r="L789" i="104"/>
  <c r="M788" i="104" s="1"/>
  <c r="L546" i="104"/>
  <c r="M545" i="104" s="1"/>
  <c r="L569" i="104"/>
  <c r="M568" i="104" s="1"/>
  <c r="L543" i="104"/>
  <c r="M542" i="104" s="1"/>
  <c r="L570" i="104"/>
  <c r="M569" i="104" s="1"/>
  <c r="L568" i="104"/>
  <c r="M567" i="104" s="1"/>
  <c r="L412" i="104"/>
  <c r="M411" i="104" s="1"/>
  <c r="L350" i="104"/>
  <c r="M349" i="104" s="1"/>
  <c r="A30" i="104"/>
  <c r="B30" i="104" s="1"/>
  <c r="D31" i="104"/>
  <c r="D32" i="104" l="1"/>
  <c r="A31" i="104"/>
  <c r="B31" i="104" s="1"/>
  <c r="V46" i="104"/>
  <c r="L305" i="104"/>
  <c r="M304" i="104" s="1"/>
  <c r="L307" i="104"/>
  <c r="M306" i="104" s="1"/>
  <c r="L788" i="104"/>
  <c r="M787" i="104" s="1"/>
  <c r="L544" i="104"/>
  <c r="M543" i="104" s="1"/>
  <c r="L571" i="104"/>
  <c r="M570" i="104" s="1"/>
  <c r="L545" i="104"/>
  <c r="M544" i="104" s="1"/>
  <c r="F967" i="104"/>
  <c r="H966" i="104"/>
  <c r="I965" i="104" s="1"/>
  <c r="L966" i="104"/>
  <c r="M965" i="104" s="1"/>
  <c r="J966" i="104"/>
  <c r="K965" i="104" s="1"/>
  <c r="E33" i="104"/>
  <c r="C32" i="104"/>
  <c r="E34" i="104" l="1"/>
  <c r="C33" i="104"/>
  <c r="F968" i="104"/>
  <c r="J967" i="104"/>
  <c r="K966" i="104" s="1"/>
  <c r="L967" i="104"/>
  <c r="M966" i="104" s="1"/>
  <c r="H967" i="104"/>
  <c r="I966" i="104" s="1"/>
  <c r="V47" i="104"/>
  <c r="L413" i="104"/>
  <c r="M412" i="104" s="1"/>
  <c r="L572" i="104"/>
  <c r="M571" i="104" s="1"/>
  <c r="L306" i="104"/>
  <c r="M305" i="104" s="1"/>
  <c r="L574" i="104"/>
  <c r="M573" i="104" s="1"/>
  <c r="L573" i="104"/>
  <c r="M572" i="104" s="1"/>
  <c r="L308" i="104"/>
  <c r="M307" i="104" s="1"/>
  <c r="L575" i="104"/>
  <c r="M574" i="104" s="1"/>
  <c r="A32" i="104"/>
  <c r="B32" i="104" s="1"/>
  <c r="D33" i="104"/>
  <c r="A33" i="104" l="1"/>
  <c r="B33" i="104" s="1"/>
  <c r="D34" i="104"/>
  <c r="V48" i="104"/>
  <c r="L577" i="104"/>
  <c r="M576" i="104" s="1"/>
  <c r="L787" i="104"/>
  <c r="M786" i="104" s="1"/>
  <c r="L576" i="104"/>
  <c r="M575" i="104" s="1"/>
  <c r="F969" i="104"/>
  <c r="H968" i="104"/>
  <c r="I967" i="104" s="1"/>
  <c r="J968" i="104"/>
  <c r="K967" i="104" s="1"/>
  <c r="L968" i="104"/>
  <c r="M967" i="104" s="1"/>
  <c r="E35" i="104"/>
  <c r="C34" i="104"/>
  <c r="C35" i="104" l="1"/>
  <c r="E36" i="104"/>
  <c r="F970" i="104"/>
  <c r="H969" i="104"/>
  <c r="I968" i="104" s="1"/>
  <c r="J969" i="104"/>
  <c r="K968" i="104" s="1"/>
  <c r="L969" i="104"/>
  <c r="M968" i="104" s="1"/>
  <c r="V49" i="104"/>
  <c r="L786" i="104"/>
  <c r="M785" i="104" s="1"/>
  <c r="L428" i="104"/>
  <c r="M427" i="104" s="1"/>
  <c r="L427" i="104"/>
  <c r="M426" i="104" s="1"/>
  <c r="L578" i="104"/>
  <c r="M577" i="104" s="1"/>
  <c r="L426" i="104"/>
  <c r="M425" i="104" s="1"/>
  <c r="L465" i="104"/>
  <c r="M464" i="104" s="1"/>
  <c r="L425" i="104"/>
  <c r="M424" i="104" s="1"/>
  <c r="D35" i="104"/>
  <c r="A34" i="104"/>
  <c r="B34" i="104" s="1"/>
  <c r="D36" i="104" l="1"/>
  <c r="A35" i="104"/>
  <c r="B35" i="104" s="1"/>
  <c r="V50" i="104"/>
  <c r="L579" i="104"/>
  <c r="M578" i="104" s="1"/>
  <c r="L424" i="104"/>
  <c r="M423" i="104" s="1"/>
  <c r="L580" i="104"/>
  <c r="M579" i="104" s="1"/>
  <c r="L422" i="104"/>
  <c r="M421" i="104" s="1"/>
  <c r="L420" i="104"/>
  <c r="M419" i="104" s="1"/>
  <c r="L419" i="104"/>
  <c r="M418" i="104" s="1"/>
  <c r="L421" i="104"/>
  <c r="M420" i="104" s="1"/>
  <c r="L414" i="104"/>
  <c r="M413" i="104" s="1"/>
  <c r="H970" i="104"/>
  <c r="I969" i="104" s="1"/>
  <c r="J970" i="104"/>
  <c r="K969" i="104" s="1"/>
  <c r="F971" i="104"/>
  <c r="L970" i="104"/>
  <c r="M969" i="104" s="1"/>
  <c r="E37" i="104"/>
  <c r="C36" i="104"/>
  <c r="E38" i="104" l="1"/>
  <c r="C37" i="104"/>
  <c r="F972" i="104"/>
  <c r="H971" i="104"/>
  <c r="I970" i="104" s="1"/>
  <c r="J971" i="104"/>
  <c r="K970" i="104" s="1"/>
  <c r="L971" i="104"/>
  <c r="M970" i="104" s="1"/>
  <c r="V51" i="104"/>
  <c r="L423" i="104"/>
  <c r="M422" i="104" s="1"/>
  <c r="L429" i="104"/>
  <c r="M428" i="104" s="1"/>
  <c r="A36" i="104"/>
  <c r="B36" i="104" s="1"/>
  <c r="D37" i="104"/>
  <c r="A37" i="104" l="1"/>
  <c r="B37" i="104" s="1"/>
  <c r="D38" i="104"/>
  <c r="V52" i="104"/>
  <c r="L581" i="104"/>
  <c r="M580" i="104" s="1"/>
  <c r="L583" i="104"/>
  <c r="M582" i="104" s="1"/>
  <c r="L418" i="104"/>
  <c r="M417" i="104" s="1"/>
  <c r="L416" i="104"/>
  <c r="M415" i="104" s="1"/>
  <c r="L417" i="104"/>
  <c r="M416" i="104" s="1"/>
  <c r="L415" i="104"/>
  <c r="M414" i="104" s="1"/>
  <c r="L582" i="104"/>
  <c r="M581" i="104" s="1"/>
  <c r="L785" i="104"/>
  <c r="M784" i="104" s="1"/>
  <c r="F973" i="104"/>
  <c r="H972" i="104"/>
  <c r="I971" i="104" s="1"/>
  <c r="J972" i="104"/>
  <c r="K971" i="104" s="1"/>
  <c r="L972" i="104"/>
  <c r="M971" i="104" s="1"/>
  <c r="E39" i="104"/>
  <c r="C38" i="104"/>
  <c r="C39" i="104" l="1"/>
  <c r="E40" i="104"/>
  <c r="F974" i="104"/>
  <c r="H973" i="104"/>
  <c r="I972" i="104" s="1"/>
  <c r="J973" i="104"/>
  <c r="K972" i="104" s="1"/>
  <c r="L973" i="104"/>
  <c r="M972" i="104" s="1"/>
  <c r="V53" i="104"/>
  <c r="L464" i="104"/>
  <c r="M463" i="104" s="1"/>
  <c r="A38" i="104"/>
  <c r="B38" i="104" s="1"/>
  <c r="D39" i="104"/>
  <c r="D40" i="104" l="1"/>
  <c r="A39" i="104"/>
  <c r="B39" i="104" s="1"/>
  <c r="V54" i="104"/>
  <c r="L585" i="104"/>
  <c r="M584" i="104" s="1"/>
  <c r="L784" i="104"/>
  <c r="M783" i="104" s="1"/>
  <c r="L584" i="104"/>
  <c r="M583" i="104" s="1"/>
  <c r="F975" i="104"/>
  <c r="H974" i="104"/>
  <c r="I973" i="104" s="1"/>
  <c r="J974" i="104"/>
  <c r="K973" i="104" s="1"/>
  <c r="L974" i="104"/>
  <c r="M973" i="104" s="1"/>
  <c r="E41" i="104"/>
  <c r="C40" i="104"/>
  <c r="E42" i="104" l="1"/>
  <c r="C41" i="104"/>
  <c r="F976" i="104"/>
  <c r="H975" i="104"/>
  <c r="I974" i="104" s="1"/>
  <c r="J975" i="104"/>
  <c r="K974" i="104" s="1"/>
  <c r="L975" i="104"/>
  <c r="M974" i="104" s="1"/>
  <c r="V55" i="104"/>
  <c r="L586" i="104"/>
  <c r="M585" i="104" s="1"/>
  <c r="L430" i="104"/>
  <c r="M429" i="104" s="1"/>
  <c r="A40" i="104"/>
  <c r="B40" i="104" s="1"/>
  <c r="D41" i="104"/>
  <c r="A41" i="104" l="1"/>
  <c r="B41" i="104" s="1"/>
  <c r="D42" i="104"/>
  <c r="V56" i="104"/>
  <c r="L779" i="104"/>
  <c r="M778" i="104" s="1"/>
  <c r="L778" i="104"/>
  <c r="M777" i="104" s="1"/>
  <c r="L783" i="104"/>
  <c r="M782" i="104" s="1"/>
  <c r="L782" i="104"/>
  <c r="M781" i="104" s="1"/>
  <c r="L657" i="104"/>
  <c r="M656" i="104" s="1"/>
  <c r="F977" i="104"/>
  <c r="H976" i="104"/>
  <c r="I975" i="104" s="1"/>
  <c r="J976" i="104"/>
  <c r="K975" i="104" s="1"/>
  <c r="L976" i="104"/>
  <c r="M975" i="104" s="1"/>
  <c r="E43" i="104"/>
  <c r="C42" i="104"/>
  <c r="E44" i="104" l="1"/>
  <c r="C43" i="104"/>
  <c r="F978" i="104"/>
  <c r="J977" i="104"/>
  <c r="K976" i="104" s="1"/>
  <c r="L977" i="104"/>
  <c r="M976" i="104" s="1"/>
  <c r="H977" i="104"/>
  <c r="I976" i="104" s="1"/>
  <c r="V57" i="104"/>
  <c r="L659" i="104"/>
  <c r="M658" i="104" s="1"/>
  <c r="L431" i="104"/>
  <c r="M430" i="104" s="1"/>
  <c r="L781" i="104"/>
  <c r="M780" i="104" s="1"/>
  <c r="L780" i="104"/>
  <c r="M779" i="104" s="1"/>
  <c r="L776" i="104"/>
  <c r="M775" i="104" s="1"/>
  <c r="L656" i="104"/>
  <c r="M655" i="104" s="1"/>
  <c r="L463" i="104"/>
  <c r="M462" i="104" s="1"/>
  <c r="L658" i="104"/>
  <c r="M657" i="104" s="1"/>
  <c r="L777" i="104"/>
  <c r="M776" i="104" s="1"/>
  <c r="D43" i="104"/>
  <c r="A42" i="104"/>
  <c r="B42" i="104" s="1"/>
  <c r="D44" i="104" l="1"/>
  <c r="A43" i="104"/>
  <c r="B43" i="104" s="1"/>
  <c r="V58" i="104"/>
  <c r="L619" i="104"/>
  <c r="M618" i="104" s="1"/>
  <c r="L775" i="104"/>
  <c r="M774" i="104" s="1"/>
  <c r="L655" i="104"/>
  <c r="M654" i="104" s="1"/>
  <c r="L618" i="104"/>
  <c r="M617" i="104" s="1"/>
  <c r="L587" i="104"/>
  <c r="M586" i="104" s="1"/>
  <c r="F979" i="104"/>
  <c r="J978" i="104"/>
  <c r="K977" i="104" s="1"/>
  <c r="H978" i="104"/>
  <c r="I977" i="104" s="1"/>
  <c r="L978" i="104"/>
  <c r="M977" i="104" s="1"/>
  <c r="E45" i="104"/>
  <c r="C44" i="104"/>
  <c r="C45" i="104" l="1"/>
  <c r="E46" i="104"/>
  <c r="F980" i="104"/>
  <c r="J979" i="104"/>
  <c r="K978" i="104" s="1"/>
  <c r="L979" i="104"/>
  <c r="M978" i="104" s="1"/>
  <c r="H979" i="104"/>
  <c r="I978" i="104" s="1"/>
  <c r="V59" i="104"/>
  <c r="L660" i="104"/>
  <c r="M659" i="104" s="1"/>
  <c r="L631" i="104"/>
  <c r="M630" i="104" s="1"/>
  <c r="L661" i="104"/>
  <c r="M660" i="104" s="1"/>
  <c r="L654" i="104"/>
  <c r="M653" i="104" s="1"/>
  <c r="L617" i="104"/>
  <c r="M616" i="104" s="1"/>
  <c r="L630" i="104"/>
  <c r="M629" i="104" s="1"/>
  <c r="L774" i="104"/>
  <c r="M773" i="104" s="1"/>
  <c r="L773" i="104"/>
  <c r="M772" i="104" s="1"/>
  <c r="A44" i="104"/>
  <c r="B44" i="104" s="1"/>
  <c r="D45" i="104"/>
  <c r="A45" i="104" l="1"/>
  <c r="B45" i="104" s="1"/>
  <c r="D46" i="104"/>
  <c r="V60" i="104"/>
  <c r="L772" i="104"/>
  <c r="M771" i="104" s="1"/>
  <c r="L613" i="104"/>
  <c r="M612" i="104" s="1"/>
  <c r="L611" i="104"/>
  <c r="M610" i="104" s="1"/>
  <c r="L769" i="104"/>
  <c r="M768" i="104" s="1"/>
  <c r="L432" i="104"/>
  <c r="M431" i="104" s="1"/>
  <c r="L653" i="104"/>
  <c r="M652" i="104" s="1"/>
  <c r="L706" i="104"/>
  <c r="M705" i="104" s="1"/>
  <c r="L629" i="104"/>
  <c r="M628" i="104" s="1"/>
  <c r="L612" i="104"/>
  <c r="M611" i="104" s="1"/>
  <c r="L728" i="104"/>
  <c r="M727" i="104" s="1"/>
  <c r="L767" i="104"/>
  <c r="M766" i="104" s="1"/>
  <c r="L729" i="104"/>
  <c r="M728" i="104" s="1"/>
  <c r="L709" i="104"/>
  <c r="M708" i="104" s="1"/>
  <c r="L621" i="104"/>
  <c r="M620" i="104" s="1"/>
  <c r="L632" i="104"/>
  <c r="M631" i="104" s="1"/>
  <c r="L771" i="104"/>
  <c r="M770" i="104" s="1"/>
  <c r="L616" i="104"/>
  <c r="M615" i="104" s="1"/>
  <c r="L701" i="104"/>
  <c r="M700" i="104" s="1"/>
  <c r="L634" i="104"/>
  <c r="M633" i="104" s="1"/>
  <c r="L770" i="104"/>
  <c r="M769" i="104" s="1"/>
  <c r="L708" i="104"/>
  <c r="M707" i="104" s="1"/>
  <c r="L768" i="104"/>
  <c r="M767" i="104" s="1"/>
  <c r="L620" i="104"/>
  <c r="M619" i="104" s="1"/>
  <c r="L730" i="104"/>
  <c r="M729" i="104" s="1"/>
  <c r="L707" i="104"/>
  <c r="M706" i="104" s="1"/>
  <c r="L710" i="104"/>
  <c r="M709" i="104" s="1"/>
  <c r="F981" i="104"/>
  <c r="H980" i="104"/>
  <c r="I979" i="104" s="1"/>
  <c r="J980" i="104"/>
  <c r="K979" i="104" s="1"/>
  <c r="L980" i="104"/>
  <c r="M979" i="104" s="1"/>
  <c r="E47" i="104"/>
  <c r="C46" i="104"/>
  <c r="C47" i="104" l="1"/>
  <c r="E48" i="104"/>
  <c r="F982" i="104"/>
  <c r="H981" i="104"/>
  <c r="I980" i="104" s="1"/>
  <c r="L981" i="104"/>
  <c r="M980" i="104" s="1"/>
  <c r="J981" i="104"/>
  <c r="K980" i="104" s="1"/>
  <c r="V61" i="104"/>
  <c r="L662" i="104"/>
  <c r="M661" i="104" s="1"/>
  <c r="L724" i="104"/>
  <c r="M723" i="104" s="1"/>
  <c r="L606" i="104"/>
  <c r="M605" i="104" s="1"/>
  <c r="L733" i="104"/>
  <c r="M732" i="104" s="1"/>
  <c r="L633" i="104"/>
  <c r="M632" i="104" s="1"/>
  <c r="L763" i="104"/>
  <c r="M762" i="104" s="1"/>
  <c r="L726" i="104"/>
  <c r="M725" i="104" s="1"/>
  <c r="L723" i="104"/>
  <c r="M722" i="104" s="1"/>
  <c r="L734" i="104"/>
  <c r="M733" i="104" s="1"/>
  <c r="L759" i="104"/>
  <c r="M758" i="104" s="1"/>
  <c r="L623" i="104"/>
  <c r="M622" i="104" s="1"/>
  <c r="L614" i="104"/>
  <c r="M613" i="104" s="1"/>
  <c r="L705" i="104"/>
  <c r="M704" i="104" s="1"/>
  <c r="L703" i="104"/>
  <c r="M702" i="104" s="1"/>
  <c r="L622" i="104"/>
  <c r="M621" i="104" s="1"/>
  <c r="L715" i="104"/>
  <c r="M714" i="104" s="1"/>
  <c r="L635" i="104"/>
  <c r="M634" i="104" s="1"/>
  <c r="L738" i="104"/>
  <c r="M737" i="104" s="1"/>
  <c r="L615" i="104"/>
  <c r="M614" i="104" s="1"/>
  <c r="L652" i="104"/>
  <c r="M651" i="104" s="1"/>
  <c r="L766" i="104"/>
  <c r="M765" i="104" s="1"/>
  <c r="L764" i="104"/>
  <c r="M763" i="104" s="1"/>
  <c r="L699" i="104"/>
  <c r="M698" i="104" s="1"/>
  <c r="L727" i="104"/>
  <c r="M726" i="104" s="1"/>
  <c r="L610" i="104"/>
  <c r="M609" i="104" s="1"/>
  <c r="L605" i="104"/>
  <c r="M604" i="104" s="1"/>
  <c r="L711" i="104"/>
  <c r="M710" i="104" s="1"/>
  <c r="L588" i="104"/>
  <c r="M587" i="104" s="1"/>
  <c r="L732" i="104"/>
  <c r="M731" i="104" s="1"/>
  <c r="L700" i="104"/>
  <c r="M699" i="104" s="1"/>
  <c r="L704" i="104"/>
  <c r="M703" i="104" s="1"/>
  <c r="L462" i="104"/>
  <c r="M461" i="104" s="1"/>
  <c r="L758" i="104"/>
  <c r="M757" i="104" s="1"/>
  <c r="L636" i="104"/>
  <c r="M635" i="104" s="1"/>
  <c r="L702" i="104"/>
  <c r="M701" i="104" s="1"/>
  <c r="L685" i="104"/>
  <c r="M684" i="104" s="1"/>
  <c r="L731" i="104"/>
  <c r="M730" i="104" s="1"/>
  <c r="L604" i="104"/>
  <c r="M603" i="104" s="1"/>
  <c r="L737" i="104"/>
  <c r="M736" i="104" s="1"/>
  <c r="L765" i="104"/>
  <c r="M764" i="104" s="1"/>
  <c r="L628" i="104"/>
  <c r="M627" i="104" s="1"/>
  <c r="L725" i="104"/>
  <c r="M724" i="104" s="1"/>
  <c r="A46" i="104"/>
  <c r="B46" i="104" s="1"/>
  <c r="D47" i="104"/>
  <c r="D48" i="104" l="1"/>
  <c r="A47" i="104"/>
  <c r="B47" i="104" s="1"/>
  <c r="V62" i="104"/>
  <c r="L683" i="104"/>
  <c r="M682" i="104" s="1"/>
  <c r="L684" i="104"/>
  <c r="M683" i="104" s="1"/>
  <c r="L716" i="104"/>
  <c r="M715" i="104" s="1"/>
  <c r="L687" i="104"/>
  <c r="M686" i="104" s="1"/>
  <c r="L736" i="104"/>
  <c r="M735" i="104" s="1"/>
  <c r="L609" i="104"/>
  <c r="M608" i="104" s="1"/>
  <c r="L762" i="104"/>
  <c r="M761" i="104" s="1"/>
  <c r="L637" i="104"/>
  <c r="M636" i="104" s="1"/>
  <c r="L756" i="104"/>
  <c r="M755" i="104" s="1"/>
  <c r="L698" i="104"/>
  <c r="M697" i="104" s="1"/>
  <c r="L686" i="104"/>
  <c r="M685" i="104" s="1"/>
  <c r="L755" i="104"/>
  <c r="M754" i="104" s="1"/>
  <c r="L722" i="104"/>
  <c r="M721" i="104" s="1"/>
  <c r="L589" i="104"/>
  <c r="M588" i="104" s="1"/>
  <c r="L714" i="104"/>
  <c r="M713" i="104" s="1"/>
  <c r="L681" i="104"/>
  <c r="M680" i="104" s="1"/>
  <c r="L682" i="104"/>
  <c r="M681" i="104" s="1"/>
  <c r="L712" i="104"/>
  <c r="M711" i="104" s="1"/>
  <c r="L607" i="104"/>
  <c r="M606" i="104" s="1"/>
  <c r="L591" i="104"/>
  <c r="M590" i="104" s="1"/>
  <c r="L713" i="104"/>
  <c r="M712" i="104" s="1"/>
  <c r="L739" i="104"/>
  <c r="M738" i="104" s="1"/>
  <c r="L608" i="104"/>
  <c r="M607" i="104" s="1"/>
  <c r="L627" i="104"/>
  <c r="M626" i="104" s="1"/>
  <c r="L760" i="104"/>
  <c r="M759" i="104" s="1"/>
  <c r="L600" i="104"/>
  <c r="M599" i="104" s="1"/>
  <c r="L590" i="104"/>
  <c r="M589" i="104" s="1"/>
  <c r="L601" i="104"/>
  <c r="M600" i="104" s="1"/>
  <c r="L761" i="104"/>
  <c r="M760" i="104" s="1"/>
  <c r="L717" i="104"/>
  <c r="M716" i="104" s="1"/>
  <c r="L754" i="104"/>
  <c r="M753" i="104" s="1"/>
  <c r="L735" i="104"/>
  <c r="M734" i="104" s="1"/>
  <c r="L757" i="104"/>
  <c r="M756" i="104" s="1"/>
  <c r="L721" i="104"/>
  <c r="M720" i="104" s="1"/>
  <c r="H982" i="104"/>
  <c r="I981" i="104" s="1"/>
  <c r="F983" i="104"/>
  <c r="L982" i="104"/>
  <c r="M981" i="104" s="1"/>
  <c r="J982" i="104"/>
  <c r="K981" i="104" s="1"/>
  <c r="E49" i="104"/>
  <c r="C48" i="104"/>
  <c r="C49" i="104" l="1"/>
  <c r="E50" i="104"/>
  <c r="F984" i="104"/>
  <c r="J983" i="104"/>
  <c r="K982" i="104" s="1"/>
  <c r="L983" i="104"/>
  <c r="M982" i="104" s="1"/>
  <c r="H983" i="104"/>
  <c r="I982" i="104" s="1"/>
  <c r="V63" i="104"/>
  <c r="L435" i="104"/>
  <c r="M434" i="104" s="1"/>
  <c r="L751" i="104"/>
  <c r="M750" i="104" s="1"/>
  <c r="L592" i="104"/>
  <c r="M591" i="104" s="1"/>
  <c r="L742" i="104"/>
  <c r="M741" i="104" s="1"/>
  <c r="L752" i="104"/>
  <c r="M751" i="104" s="1"/>
  <c r="L741" i="104"/>
  <c r="M740" i="104" s="1"/>
  <c r="L461" i="104"/>
  <c r="M460" i="104" s="1"/>
  <c r="L696" i="104"/>
  <c r="M695" i="104" s="1"/>
  <c r="L676" i="104"/>
  <c r="M675" i="104" s="1"/>
  <c r="L433" i="104"/>
  <c r="M432" i="104" s="1"/>
  <c r="L602" i="104"/>
  <c r="M601" i="104" s="1"/>
  <c r="L750" i="104"/>
  <c r="M749" i="104" s="1"/>
  <c r="L747" i="104"/>
  <c r="M746" i="104" s="1"/>
  <c r="L720" i="104"/>
  <c r="M719" i="104" s="1"/>
  <c r="L624" i="104"/>
  <c r="M623" i="104" s="1"/>
  <c r="L719" i="104"/>
  <c r="M718" i="104" s="1"/>
  <c r="L718" i="104"/>
  <c r="M717" i="104" s="1"/>
  <c r="L599" i="104"/>
  <c r="M598" i="104" s="1"/>
  <c r="L753" i="104"/>
  <c r="M752" i="104" s="1"/>
  <c r="L748" i="104"/>
  <c r="M747" i="104" s="1"/>
  <c r="L603" i="104"/>
  <c r="M602" i="104" s="1"/>
  <c r="L749" i="104"/>
  <c r="M748" i="104" s="1"/>
  <c r="L663" i="104"/>
  <c r="M662" i="104" s="1"/>
  <c r="L436" i="104"/>
  <c r="M435" i="104" s="1"/>
  <c r="L626" i="104"/>
  <c r="M625" i="104" s="1"/>
  <c r="L460" i="104"/>
  <c r="M459" i="104" s="1"/>
  <c r="L680" i="104"/>
  <c r="M679" i="104" s="1"/>
  <c r="L638" i="104"/>
  <c r="M637" i="104" s="1"/>
  <c r="L740" i="104"/>
  <c r="M739" i="104" s="1"/>
  <c r="L677" i="104"/>
  <c r="M676" i="104" s="1"/>
  <c r="L651" i="104"/>
  <c r="M650" i="104" s="1"/>
  <c r="L434" i="104"/>
  <c r="M433" i="104" s="1"/>
  <c r="L697" i="104"/>
  <c r="M696" i="104" s="1"/>
  <c r="A48" i="104"/>
  <c r="B48" i="104" s="1"/>
  <c r="D49" i="104"/>
  <c r="A49" i="104" l="1"/>
  <c r="B49" i="104" s="1"/>
  <c r="D50" i="104"/>
  <c r="V64" i="104"/>
  <c r="L695" i="104"/>
  <c r="M694" i="104" s="1"/>
  <c r="L746" i="104"/>
  <c r="M745" i="104" s="1"/>
  <c r="L743" i="104"/>
  <c r="M742" i="104" s="1"/>
  <c r="L678" i="104"/>
  <c r="M677" i="104" s="1"/>
  <c r="L688" i="104"/>
  <c r="M687" i="104" s="1"/>
  <c r="L664" i="104"/>
  <c r="M663" i="104" s="1"/>
  <c r="L674" i="104"/>
  <c r="M673" i="104" s="1"/>
  <c r="L650" i="104"/>
  <c r="M649" i="104" s="1"/>
  <c r="L745" i="104"/>
  <c r="M744" i="104" s="1"/>
  <c r="L675" i="104"/>
  <c r="M674" i="104" s="1"/>
  <c r="L459" i="104"/>
  <c r="M458" i="104" s="1"/>
  <c r="L744" i="104"/>
  <c r="M743" i="104" s="1"/>
  <c r="L679" i="104"/>
  <c r="M678" i="104" s="1"/>
  <c r="L694" i="104"/>
  <c r="M693" i="104" s="1"/>
  <c r="L625" i="104"/>
  <c r="M624" i="104" s="1"/>
  <c r="F985" i="104"/>
  <c r="H984" i="104"/>
  <c r="I983" i="104" s="1"/>
  <c r="L984" i="104"/>
  <c r="M983" i="104" s="1"/>
  <c r="J984" i="104"/>
  <c r="K983" i="104" s="1"/>
  <c r="C50" i="104"/>
  <c r="E51" i="104"/>
  <c r="C51" i="104" l="1"/>
  <c r="E52" i="104"/>
  <c r="F986" i="104"/>
  <c r="H985" i="104"/>
  <c r="I984" i="104" s="1"/>
  <c r="J985" i="104"/>
  <c r="K984" i="104" s="1"/>
  <c r="L985" i="104"/>
  <c r="M984" i="104" s="1"/>
  <c r="V65" i="104"/>
  <c r="L640" i="104"/>
  <c r="M639" i="104" s="1"/>
  <c r="L649" i="104"/>
  <c r="M648" i="104" s="1"/>
  <c r="L593" i="104"/>
  <c r="M592" i="104" s="1"/>
  <c r="L598" i="104"/>
  <c r="M597" i="104" s="1"/>
  <c r="L670" i="104"/>
  <c r="M669" i="104" s="1"/>
  <c r="L693" i="104"/>
  <c r="M692" i="104" s="1"/>
  <c r="L639" i="104"/>
  <c r="M638" i="104" s="1"/>
  <c r="L669" i="104"/>
  <c r="M668" i="104" s="1"/>
  <c r="L648" i="104"/>
  <c r="M647" i="104" s="1"/>
  <c r="L458" i="104"/>
  <c r="M457" i="104" s="1"/>
  <c r="L665" i="104"/>
  <c r="M664" i="104" s="1"/>
  <c r="L595" i="104"/>
  <c r="M594" i="104" s="1"/>
  <c r="L437" i="104"/>
  <c r="M436" i="104" s="1"/>
  <c r="L671" i="104"/>
  <c r="M670" i="104" s="1"/>
  <c r="L647" i="104"/>
  <c r="M646" i="104" s="1"/>
  <c r="D51" i="104"/>
  <c r="A50" i="104"/>
  <c r="B50" i="104" s="1"/>
  <c r="D52" i="104" l="1"/>
  <c r="A51" i="104"/>
  <c r="B51" i="104" s="1"/>
  <c r="V66" i="104"/>
  <c r="L597" i="104"/>
  <c r="M596" i="104" s="1"/>
  <c r="L666" i="104"/>
  <c r="M665" i="104" s="1"/>
  <c r="L689" i="104"/>
  <c r="M688" i="104" s="1"/>
  <c r="L692" i="104"/>
  <c r="M691" i="104" s="1"/>
  <c r="L642" i="104"/>
  <c r="M641" i="104" s="1"/>
  <c r="L596" i="104"/>
  <c r="M595" i="104" s="1"/>
  <c r="L645" i="104"/>
  <c r="M644" i="104" s="1"/>
  <c r="L440" i="104"/>
  <c r="M439" i="104" s="1"/>
  <c r="L457" i="104"/>
  <c r="M456" i="104" s="1"/>
  <c r="L673" i="104"/>
  <c r="M672" i="104" s="1"/>
  <c r="L438" i="104"/>
  <c r="M437" i="104" s="1"/>
  <c r="L667" i="104"/>
  <c r="M666" i="104" s="1"/>
  <c r="L646" i="104"/>
  <c r="M645" i="104" s="1"/>
  <c r="L641" i="104"/>
  <c r="M640" i="104" s="1"/>
  <c r="L456" i="104"/>
  <c r="M455" i="104" s="1"/>
  <c r="L668" i="104"/>
  <c r="M667" i="104" s="1"/>
  <c r="L643" i="104"/>
  <c r="M642" i="104" s="1"/>
  <c r="L594" i="104"/>
  <c r="M593" i="104" s="1"/>
  <c r="L644" i="104"/>
  <c r="M643" i="104" s="1"/>
  <c r="F987" i="104"/>
  <c r="H986" i="104"/>
  <c r="I985" i="104" s="1"/>
  <c r="J986" i="104"/>
  <c r="K985" i="104" s="1"/>
  <c r="L986" i="104"/>
  <c r="M985" i="104" s="1"/>
  <c r="E53" i="104"/>
  <c r="C52" i="104"/>
  <c r="E54" i="104" l="1"/>
  <c r="C53" i="104"/>
  <c r="F988" i="104"/>
  <c r="H987" i="104"/>
  <c r="I986" i="104" s="1"/>
  <c r="J987" i="104"/>
  <c r="K986" i="104" s="1"/>
  <c r="L987" i="104"/>
  <c r="M986" i="104" s="1"/>
  <c r="V67" i="104"/>
  <c r="L439" i="104"/>
  <c r="M438" i="104" s="1"/>
  <c r="L672" i="104"/>
  <c r="M671" i="104" s="1"/>
  <c r="L691" i="104"/>
  <c r="M690" i="104" s="1"/>
  <c r="L690" i="104"/>
  <c r="M689" i="104" s="1"/>
  <c r="A52" i="104"/>
  <c r="B52" i="104" s="1"/>
  <c r="D53" i="104"/>
  <c r="A53" i="104" l="1"/>
  <c r="B53" i="104" s="1"/>
  <c r="D54" i="104"/>
  <c r="V68" i="104"/>
  <c r="V69" i="104" s="1"/>
  <c r="L455" i="104"/>
  <c r="M454" i="104" s="1"/>
  <c r="F989" i="104"/>
  <c r="H988" i="104"/>
  <c r="I987" i="104" s="1"/>
  <c r="J988" i="104"/>
  <c r="K987" i="104" s="1"/>
  <c r="L988" i="104"/>
  <c r="M987" i="104" s="1"/>
  <c r="C54" i="104"/>
  <c r="E55" i="104"/>
  <c r="C55" i="104" l="1"/>
  <c r="E56" i="104"/>
  <c r="F990" i="104"/>
  <c r="H989" i="104"/>
  <c r="I988" i="104" s="1"/>
  <c r="L989" i="104"/>
  <c r="M988" i="104" s="1"/>
  <c r="J989" i="104"/>
  <c r="K988" i="104" s="1"/>
  <c r="V70" i="104"/>
  <c r="L441" i="104"/>
  <c r="M440" i="104" s="1"/>
  <c r="D55" i="104"/>
  <c r="A54" i="104"/>
  <c r="B54" i="104" s="1"/>
  <c r="D56" i="104" l="1"/>
  <c r="A55" i="104"/>
  <c r="B55" i="104" s="1"/>
  <c r="V71" i="104"/>
  <c r="V72" i="104" s="1"/>
  <c r="L454" i="104"/>
  <c r="M453" i="104" s="1"/>
  <c r="F991" i="104"/>
  <c r="H990" i="104"/>
  <c r="I989" i="104" s="1"/>
  <c r="J990" i="104"/>
  <c r="K989" i="104" s="1"/>
  <c r="L990" i="104"/>
  <c r="M989" i="104" s="1"/>
  <c r="E57" i="104"/>
  <c r="C56" i="104"/>
  <c r="E58" i="104" l="1"/>
  <c r="C57" i="104"/>
  <c r="F992" i="104"/>
  <c r="H991" i="104"/>
  <c r="I990" i="104" s="1"/>
  <c r="J991" i="104"/>
  <c r="K990" i="104" s="1"/>
  <c r="L991" i="104"/>
  <c r="M990" i="104" s="1"/>
  <c r="V73" i="104"/>
  <c r="L442" i="104"/>
  <c r="M441" i="104" s="1"/>
  <c r="A56" i="104"/>
  <c r="B56" i="104" s="1"/>
  <c r="D57" i="104"/>
  <c r="A57" i="104" l="1"/>
  <c r="B57" i="104" s="1"/>
  <c r="D58" i="104"/>
  <c r="V74" i="104"/>
  <c r="V75" i="104" s="1"/>
  <c r="L453" i="104"/>
  <c r="M452" i="104" s="1"/>
  <c r="F993" i="104"/>
  <c r="H992" i="104"/>
  <c r="I991" i="104" s="1"/>
  <c r="J992" i="104"/>
  <c r="K991" i="104" s="1"/>
  <c r="L992" i="104"/>
  <c r="M991" i="104" s="1"/>
  <c r="C58" i="104"/>
  <c r="E59" i="104"/>
  <c r="E60" i="104" l="1"/>
  <c r="C59" i="104"/>
  <c r="F994" i="104"/>
  <c r="J993" i="104"/>
  <c r="K992" i="104" s="1"/>
  <c r="H993" i="104"/>
  <c r="I992" i="104" s="1"/>
  <c r="L993" i="104"/>
  <c r="M992" i="104" s="1"/>
  <c r="V76" i="104"/>
  <c r="L448" i="104"/>
  <c r="M447" i="104" s="1"/>
  <c r="L452" i="104"/>
  <c r="M451" i="104" s="1"/>
  <c r="L447" i="104"/>
  <c r="M446" i="104" s="1"/>
  <c r="D59" i="104"/>
  <c r="A58" i="104"/>
  <c r="B58" i="104" s="1"/>
  <c r="D60" i="104" l="1"/>
  <c r="A59" i="104"/>
  <c r="B59" i="104" s="1"/>
  <c r="V77" i="104"/>
  <c r="L446" i="104"/>
  <c r="M445" i="104" s="1"/>
  <c r="L445" i="104"/>
  <c r="M444" i="104" s="1"/>
  <c r="F995" i="104"/>
  <c r="J994" i="104"/>
  <c r="K993" i="104" s="1"/>
  <c r="H994" i="104"/>
  <c r="I993" i="104" s="1"/>
  <c r="L994" i="104"/>
  <c r="M993" i="104" s="1"/>
  <c r="E61" i="104"/>
  <c r="C60" i="104"/>
  <c r="E62" i="104" l="1"/>
  <c r="C61" i="104"/>
  <c r="F996" i="104"/>
  <c r="J995" i="104"/>
  <c r="K994" i="104" s="1"/>
  <c r="L995" i="104"/>
  <c r="M994" i="104" s="1"/>
  <c r="H995" i="104"/>
  <c r="I994" i="104" s="1"/>
  <c r="V78" i="104"/>
  <c r="L449" i="104"/>
  <c r="M448" i="104" s="1"/>
  <c r="L451" i="104"/>
  <c r="M450" i="104" s="1"/>
  <c r="L444" i="104"/>
  <c r="M443" i="104" s="1"/>
  <c r="L443" i="104"/>
  <c r="M442" i="104" s="1"/>
  <c r="D61" i="104"/>
  <c r="A60" i="104"/>
  <c r="B60" i="104" s="1"/>
  <c r="A61" i="104" l="1"/>
  <c r="B61" i="104" s="1"/>
  <c r="D62" i="104"/>
  <c r="V79" i="104"/>
  <c r="V80" i="104" s="1"/>
  <c r="V81" i="104" s="1"/>
  <c r="V82" i="104" s="1"/>
  <c r="V83" i="104" s="1"/>
  <c r="V84" i="104" s="1"/>
  <c r="V85" i="104" s="1"/>
  <c r="V86" i="104" s="1"/>
  <c r="V87" i="104" s="1"/>
  <c r="V88" i="104" s="1"/>
  <c r="V89" i="104" s="1"/>
  <c r="V90" i="104" s="1"/>
  <c r="V91" i="104" s="1"/>
  <c r="V92" i="104" s="1"/>
  <c r="V93" i="104" s="1"/>
  <c r="L450" i="104"/>
  <c r="M449" i="104" s="1"/>
  <c r="F997" i="104"/>
  <c r="H996" i="104"/>
  <c r="I995" i="104" s="1"/>
  <c r="J996" i="104"/>
  <c r="K995" i="104" s="1"/>
  <c r="L996" i="104"/>
  <c r="M995" i="104" s="1"/>
  <c r="E63" i="104"/>
  <c r="C62" i="104"/>
  <c r="C63" i="104" l="1"/>
  <c r="E64" i="104"/>
  <c r="F998" i="104"/>
  <c r="H997" i="104"/>
  <c r="I996" i="104" s="1"/>
  <c r="L997" i="104"/>
  <c r="M996" i="104" s="1"/>
  <c r="J997" i="104"/>
  <c r="K996" i="104" s="1"/>
  <c r="D63" i="104"/>
  <c r="A62" i="104"/>
  <c r="B62" i="104" s="1"/>
  <c r="D64" i="104" l="1"/>
  <c r="A63" i="104"/>
  <c r="B63" i="104" s="1"/>
  <c r="F999" i="104"/>
  <c r="H998" i="104"/>
  <c r="I997" i="104" s="1"/>
  <c r="L998" i="104"/>
  <c r="M997" i="104" s="1"/>
  <c r="J998" i="104"/>
  <c r="K997" i="104" s="1"/>
  <c r="C64" i="104"/>
  <c r="E65" i="104"/>
  <c r="C65" i="104" l="1"/>
  <c r="E66" i="104"/>
  <c r="F1000" i="104"/>
  <c r="J999" i="104"/>
  <c r="K998" i="104" s="1"/>
  <c r="L999" i="104"/>
  <c r="M998" i="104" s="1"/>
  <c r="H999" i="104"/>
  <c r="I998" i="104" s="1"/>
  <c r="A64" i="104"/>
  <c r="B64" i="104" s="1"/>
  <c r="D65" i="104"/>
  <c r="A65" i="104" l="1"/>
  <c r="B65" i="104" s="1"/>
  <c r="D66" i="104"/>
  <c r="F1001" i="104"/>
  <c r="H1000" i="104"/>
  <c r="I999" i="104" s="1"/>
  <c r="J1000" i="104"/>
  <c r="K999" i="104" s="1"/>
  <c r="L1000" i="104"/>
  <c r="M999" i="104" s="1"/>
  <c r="E67" i="104"/>
  <c r="C66" i="104"/>
  <c r="C67" i="104" l="1"/>
  <c r="E68" i="104"/>
  <c r="F1002" i="104"/>
  <c r="H1001" i="104"/>
  <c r="I1000" i="104" s="1"/>
  <c r="J1001" i="104"/>
  <c r="K1000" i="104" s="1"/>
  <c r="L1001" i="104"/>
  <c r="M1000" i="104" s="1"/>
  <c r="D67" i="104"/>
  <c r="A66" i="104"/>
  <c r="B66" i="104" s="1"/>
  <c r="D68" i="104" l="1"/>
  <c r="A67" i="104"/>
  <c r="B67" i="104" s="1"/>
  <c r="F1003" i="104"/>
  <c r="H1002" i="104"/>
  <c r="I1001" i="104" s="1"/>
  <c r="J1002" i="104"/>
  <c r="K1001" i="104" s="1"/>
  <c r="L1002" i="104"/>
  <c r="M1001" i="104" s="1"/>
  <c r="E69" i="104"/>
  <c r="C68" i="104"/>
  <c r="E70" i="104" l="1"/>
  <c r="C69" i="104"/>
  <c r="F1004" i="104"/>
  <c r="H1003" i="104"/>
  <c r="I1002" i="104" s="1"/>
  <c r="J1003" i="104"/>
  <c r="K1002" i="104" s="1"/>
  <c r="L1003" i="104"/>
  <c r="M1002" i="104" s="1"/>
  <c r="A68" i="104"/>
  <c r="B68" i="104" s="1"/>
  <c r="D69" i="104"/>
  <c r="A69" i="104" l="1"/>
  <c r="B69" i="104" s="1"/>
  <c r="D70" i="104"/>
  <c r="F1005" i="104"/>
  <c r="H1004" i="104"/>
  <c r="I1003" i="104" s="1"/>
  <c r="J1004" i="104"/>
  <c r="K1003" i="104" s="1"/>
  <c r="L1004" i="104"/>
  <c r="M1003" i="104" s="1"/>
  <c r="E71" i="104"/>
  <c r="C70" i="104"/>
  <c r="C71" i="104" l="1"/>
  <c r="E72" i="104"/>
  <c r="F1006" i="104"/>
  <c r="H1005" i="104"/>
  <c r="I1004" i="104" s="1"/>
  <c r="J1005" i="104"/>
  <c r="K1004" i="104" s="1"/>
  <c r="L1005" i="104"/>
  <c r="M1004" i="104" s="1"/>
  <c r="A70" i="104"/>
  <c r="B70" i="104" s="1"/>
  <c r="D71" i="104"/>
  <c r="D72" i="104" l="1"/>
  <c r="A71" i="104"/>
  <c r="B71" i="104" s="1"/>
  <c r="F1007" i="104"/>
  <c r="H1006" i="104"/>
  <c r="I1005" i="104" s="1"/>
  <c r="J1006" i="104"/>
  <c r="K1005" i="104" s="1"/>
  <c r="L1006" i="104"/>
  <c r="M1005" i="104" s="1"/>
  <c r="E73" i="104"/>
  <c r="C72" i="104"/>
  <c r="E74" i="104" l="1"/>
  <c r="C73" i="104"/>
  <c r="F1008" i="104"/>
  <c r="H1007" i="104"/>
  <c r="I1006" i="104" s="1"/>
  <c r="J1007" i="104"/>
  <c r="K1006" i="104" s="1"/>
  <c r="L1007" i="104"/>
  <c r="M1006" i="104" s="1"/>
  <c r="A72" i="104"/>
  <c r="B72" i="104" s="1"/>
  <c r="D73" i="104"/>
  <c r="A73" i="104" l="1"/>
  <c r="B73" i="104" s="1"/>
  <c r="D74" i="104"/>
  <c r="F1009" i="104"/>
  <c r="H1008" i="104"/>
  <c r="I1007" i="104" s="1"/>
  <c r="J1008" i="104"/>
  <c r="K1007" i="104" s="1"/>
  <c r="L1008" i="104"/>
  <c r="M1007" i="104" s="1"/>
  <c r="E75" i="104"/>
  <c r="C74" i="104"/>
  <c r="C75" i="104" l="1"/>
  <c r="E76" i="104"/>
  <c r="F1010" i="104"/>
  <c r="J1009" i="104"/>
  <c r="K1008" i="104" s="1"/>
  <c r="H1009" i="104"/>
  <c r="I1008" i="104" s="1"/>
  <c r="L1009" i="104"/>
  <c r="M1008" i="104" s="1"/>
  <c r="D75" i="104"/>
  <c r="A74" i="104"/>
  <c r="B74" i="104" s="1"/>
  <c r="D76" i="104" l="1"/>
  <c r="A75" i="104"/>
  <c r="B75" i="104" s="1"/>
  <c r="F1011" i="104"/>
  <c r="J1010" i="104"/>
  <c r="K1009" i="104" s="1"/>
  <c r="H1010" i="104"/>
  <c r="I1009" i="104" s="1"/>
  <c r="L1010" i="104"/>
  <c r="M1009" i="104" s="1"/>
  <c r="E77" i="104"/>
  <c r="C76" i="104"/>
  <c r="C77" i="104" l="1"/>
  <c r="E78" i="104"/>
  <c r="F1012" i="104"/>
  <c r="J1011" i="104"/>
  <c r="K1010" i="104" s="1"/>
  <c r="L1011" i="104"/>
  <c r="M1010" i="104" s="1"/>
  <c r="H1011" i="104"/>
  <c r="I1010" i="104" s="1"/>
  <c r="A76" i="104"/>
  <c r="B76" i="104" s="1"/>
  <c r="D77" i="104"/>
  <c r="A77" i="104" l="1"/>
  <c r="B77" i="104" s="1"/>
  <c r="D78" i="104"/>
  <c r="F1013" i="104"/>
  <c r="H1012" i="104"/>
  <c r="I1011" i="104" s="1"/>
  <c r="J1012" i="104"/>
  <c r="K1011" i="104" s="1"/>
  <c r="L1012" i="104"/>
  <c r="M1011" i="104" s="1"/>
  <c r="E79" i="104"/>
  <c r="C78" i="104"/>
  <c r="C79" i="104" l="1"/>
  <c r="E80" i="104"/>
  <c r="H1013" i="104"/>
  <c r="I1012" i="104" s="1"/>
  <c r="F1014" i="104"/>
  <c r="L1013" i="104"/>
  <c r="M1012" i="104" s="1"/>
  <c r="J1013" i="104"/>
  <c r="K1012" i="104" s="1"/>
  <c r="A78" i="104"/>
  <c r="B78" i="104" s="1"/>
  <c r="D79" i="104"/>
  <c r="D80" i="104" l="1"/>
  <c r="A79" i="104"/>
  <c r="B79" i="104" s="1"/>
  <c r="H1014" i="104"/>
  <c r="I1013" i="104" s="1"/>
  <c r="F1015" i="104"/>
  <c r="L1014" i="104"/>
  <c r="M1013" i="104" s="1"/>
  <c r="J1014" i="104"/>
  <c r="K1013" i="104" s="1"/>
  <c r="E81" i="104"/>
  <c r="C80" i="104"/>
  <c r="C81" i="104" l="1"/>
  <c r="E82" i="104"/>
  <c r="F1016" i="104"/>
  <c r="J1015" i="104"/>
  <c r="K1014" i="104" s="1"/>
  <c r="L1015" i="104"/>
  <c r="M1014" i="104" s="1"/>
  <c r="H1015" i="104"/>
  <c r="I1014" i="104" s="1"/>
  <c r="A80" i="104"/>
  <c r="B80" i="104" s="1"/>
  <c r="D81" i="104"/>
  <c r="A81" i="104" l="1"/>
  <c r="B81" i="104" s="1"/>
  <c r="D82" i="104"/>
  <c r="F1017" i="104"/>
  <c r="H1016" i="104"/>
  <c r="I1015" i="104" s="1"/>
  <c r="L1016" i="104"/>
  <c r="M1015" i="104" s="1"/>
  <c r="J1016" i="104"/>
  <c r="K1015" i="104" s="1"/>
  <c r="E83" i="104"/>
  <c r="C82" i="104"/>
  <c r="C83" i="104" l="1"/>
  <c r="E84" i="104"/>
  <c r="H1017" i="104"/>
  <c r="I1016" i="104" s="1"/>
  <c r="J1017" i="104"/>
  <c r="K1016" i="104" s="1"/>
  <c r="F1018" i="104"/>
  <c r="L1017" i="104"/>
  <c r="M1016" i="104" s="1"/>
  <c r="D83" i="104"/>
  <c r="A82" i="104"/>
  <c r="B82" i="104" s="1"/>
  <c r="D84" i="104" l="1"/>
  <c r="A83" i="104"/>
  <c r="B83" i="104" s="1"/>
  <c r="F1019" i="104"/>
  <c r="H1018" i="104"/>
  <c r="I1017" i="104" s="1"/>
  <c r="J1018" i="104"/>
  <c r="K1017" i="104" s="1"/>
  <c r="L1018" i="104"/>
  <c r="M1017" i="104" s="1"/>
  <c r="C84" i="104"/>
  <c r="E85" i="104"/>
  <c r="C85" i="104" l="1"/>
  <c r="E86" i="104"/>
  <c r="F1020" i="104"/>
  <c r="H1019" i="104"/>
  <c r="I1018" i="104" s="1"/>
  <c r="J1019" i="104"/>
  <c r="K1018" i="104" s="1"/>
  <c r="L1019" i="104"/>
  <c r="M1018" i="104" s="1"/>
  <c r="D85" i="104"/>
  <c r="A84" i="104"/>
  <c r="B84" i="104" s="1"/>
  <c r="A85" i="104" l="1"/>
  <c r="B85" i="104" s="1"/>
  <c r="D86" i="104"/>
  <c r="F1021" i="104"/>
  <c r="H1020" i="104"/>
  <c r="I1019" i="104" s="1"/>
  <c r="J1020" i="104"/>
  <c r="K1019" i="104" s="1"/>
  <c r="L1020" i="104"/>
  <c r="M1019" i="104" s="1"/>
  <c r="E87" i="104"/>
  <c r="C86" i="104"/>
  <c r="C87" i="104" l="1"/>
  <c r="E88" i="104"/>
  <c r="F1022" i="104"/>
  <c r="H1021" i="104"/>
  <c r="I1020" i="104" s="1"/>
  <c r="L1021" i="104"/>
  <c r="M1020" i="104" s="1"/>
  <c r="J1021" i="104"/>
  <c r="K1020" i="104" s="1"/>
  <c r="D87" i="104"/>
  <c r="A86" i="104"/>
  <c r="B86" i="104" s="1"/>
  <c r="D88" i="104" l="1"/>
  <c r="A87" i="104"/>
  <c r="B87" i="104" s="1"/>
  <c r="F1023" i="104"/>
  <c r="H1022" i="104"/>
  <c r="I1021" i="104" s="1"/>
  <c r="J1022" i="104"/>
  <c r="K1021" i="104" s="1"/>
  <c r="L1022" i="104"/>
  <c r="M1021" i="104" s="1"/>
  <c r="C88" i="104"/>
  <c r="E89" i="104"/>
  <c r="C89" i="104" l="1"/>
  <c r="E90" i="104"/>
  <c r="F1024" i="104"/>
  <c r="H1023" i="104"/>
  <c r="I1022" i="104" s="1"/>
  <c r="J1023" i="104"/>
  <c r="K1022" i="104" s="1"/>
  <c r="L1023" i="104"/>
  <c r="M1022" i="104" s="1"/>
  <c r="A88" i="104"/>
  <c r="B88" i="104" s="1"/>
  <c r="D89" i="104"/>
  <c r="A89" i="104" l="1"/>
  <c r="B89" i="104" s="1"/>
  <c r="D90" i="104"/>
  <c r="F1025" i="104"/>
  <c r="H1024" i="104"/>
  <c r="I1023" i="104" s="1"/>
  <c r="J1024" i="104"/>
  <c r="K1023" i="104" s="1"/>
  <c r="L1024" i="104"/>
  <c r="M1023" i="104" s="1"/>
  <c r="E91" i="104"/>
  <c r="C90" i="104"/>
  <c r="C91" i="104" l="1"/>
  <c r="E92" i="104"/>
  <c r="J1025" i="104"/>
  <c r="K1024" i="104" s="1"/>
  <c r="F1026" i="104"/>
  <c r="H1025" i="104"/>
  <c r="I1024" i="104" s="1"/>
  <c r="L1025" i="104"/>
  <c r="M1024" i="104" s="1"/>
  <c r="D91" i="104"/>
  <c r="A90" i="104"/>
  <c r="B90" i="104" s="1"/>
  <c r="D92" i="104" l="1"/>
  <c r="A91" i="104"/>
  <c r="B91" i="104" s="1"/>
  <c r="F1027" i="104"/>
  <c r="J1026" i="104"/>
  <c r="K1025" i="104" s="1"/>
  <c r="H1026" i="104"/>
  <c r="I1025" i="104" s="1"/>
  <c r="L1026" i="104"/>
  <c r="M1025" i="104" s="1"/>
  <c r="C92" i="104"/>
  <c r="E93" i="104"/>
  <c r="E94" i="104" l="1"/>
  <c r="C93" i="104"/>
  <c r="F1028" i="104"/>
  <c r="J1027" i="104"/>
  <c r="K1026" i="104" s="1"/>
  <c r="L1027" i="104"/>
  <c r="M1026" i="104" s="1"/>
  <c r="H1027" i="104"/>
  <c r="I1026" i="104" s="1"/>
  <c r="D93" i="104"/>
  <c r="A92" i="104"/>
  <c r="B92" i="104" s="1"/>
  <c r="A93" i="104" l="1"/>
  <c r="B93" i="104" s="1"/>
  <c r="D94" i="104"/>
  <c r="F1029" i="104"/>
  <c r="H1028" i="104"/>
  <c r="I1027" i="104" s="1"/>
  <c r="J1028" i="104"/>
  <c r="K1027" i="104" s="1"/>
  <c r="L1028" i="104"/>
  <c r="M1027" i="104" s="1"/>
  <c r="E95" i="104"/>
  <c r="C94" i="104"/>
  <c r="C95" i="104" l="1"/>
  <c r="E96" i="104"/>
  <c r="F1030" i="104"/>
  <c r="H1029" i="104"/>
  <c r="I1028" i="104" s="1"/>
  <c r="L1029" i="104"/>
  <c r="M1028" i="104" s="1"/>
  <c r="J1029" i="104"/>
  <c r="K1028" i="104" s="1"/>
  <c r="D95" i="104"/>
  <c r="A94" i="104"/>
  <c r="B94" i="104" s="1"/>
  <c r="D96" i="104" l="1"/>
  <c r="A95" i="104"/>
  <c r="B95" i="104" s="1"/>
  <c r="H1030" i="104"/>
  <c r="I1029" i="104" s="1"/>
  <c r="F1031" i="104"/>
  <c r="L1030" i="104"/>
  <c r="M1029" i="104" s="1"/>
  <c r="J1030" i="104"/>
  <c r="K1029" i="104" s="1"/>
  <c r="C96" i="104"/>
  <c r="E97" i="104"/>
  <c r="E98" i="104" l="1"/>
  <c r="C97" i="104"/>
  <c r="F1032" i="104"/>
  <c r="J1031" i="104"/>
  <c r="K1030" i="104" s="1"/>
  <c r="L1031" i="104"/>
  <c r="M1030" i="104" s="1"/>
  <c r="H1031" i="104"/>
  <c r="I1030" i="104" s="1"/>
  <c r="A96" i="104"/>
  <c r="B96" i="104" s="1"/>
  <c r="D97" i="104"/>
  <c r="A97" i="104" l="1"/>
  <c r="B97" i="104" s="1"/>
  <c r="D98" i="104"/>
  <c r="F1033" i="104"/>
  <c r="H1032" i="104"/>
  <c r="I1031" i="104" s="1"/>
  <c r="J1032" i="104"/>
  <c r="K1031" i="104" s="1"/>
  <c r="L1032" i="104"/>
  <c r="M1031" i="104" s="1"/>
  <c r="E99" i="104"/>
  <c r="C98" i="104"/>
  <c r="C99" i="104" l="1"/>
  <c r="E100" i="104"/>
  <c r="F1034" i="104"/>
  <c r="H1033" i="104"/>
  <c r="I1032" i="104" s="1"/>
  <c r="J1033" i="104"/>
  <c r="K1032" i="104" s="1"/>
  <c r="L1033" i="104"/>
  <c r="M1032" i="104" s="1"/>
  <c r="D99" i="104"/>
  <c r="A98" i="104"/>
  <c r="B98" i="104" s="1"/>
  <c r="D100" i="104" l="1"/>
  <c r="A99" i="104"/>
  <c r="B99" i="104" s="1"/>
  <c r="F1035" i="104"/>
  <c r="H1034" i="104"/>
  <c r="I1033" i="104" s="1"/>
  <c r="J1034" i="104"/>
  <c r="K1033" i="104" s="1"/>
  <c r="L1034" i="104"/>
  <c r="M1033" i="104" s="1"/>
  <c r="E101" i="104"/>
  <c r="C100" i="104"/>
  <c r="E102" i="104" l="1"/>
  <c r="C101" i="104"/>
  <c r="F1036" i="104"/>
  <c r="H1035" i="104"/>
  <c r="I1034" i="104" s="1"/>
  <c r="J1035" i="104"/>
  <c r="K1034" i="104" s="1"/>
  <c r="L1035" i="104"/>
  <c r="M1034" i="104" s="1"/>
  <c r="D101" i="104"/>
  <c r="A100" i="104"/>
  <c r="B100" i="104" s="1"/>
  <c r="A101" i="104" l="1"/>
  <c r="B101" i="104" s="1"/>
  <c r="D102" i="104"/>
  <c r="F1037" i="104"/>
  <c r="H1036" i="104"/>
  <c r="I1035" i="104" s="1"/>
  <c r="J1036" i="104"/>
  <c r="K1035" i="104" s="1"/>
  <c r="L1036" i="104"/>
  <c r="M1035" i="104" s="1"/>
  <c r="E103" i="104"/>
  <c r="C102" i="104"/>
  <c r="C103" i="104" l="1"/>
  <c r="E104" i="104"/>
  <c r="F1038" i="104"/>
  <c r="H1037" i="104"/>
  <c r="I1036" i="104" s="1"/>
  <c r="J1037" i="104"/>
  <c r="K1036" i="104" s="1"/>
  <c r="L1037" i="104"/>
  <c r="M1036" i="104" s="1"/>
  <c r="A102" i="104"/>
  <c r="B102" i="104" s="1"/>
  <c r="D103" i="104"/>
  <c r="D104" i="104" l="1"/>
  <c r="A103" i="104"/>
  <c r="B103" i="104" s="1"/>
  <c r="F1039" i="104"/>
  <c r="H1038" i="104"/>
  <c r="I1037" i="104" s="1"/>
  <c r="J1038" i="104"/>
  <c r="K1037" i="104" s="1"/>
  <c r="L1038" i="104"/>
  <c r="M1037" i="104" s="1"/>
  <c r="C104" i="104"/>
  <c r="E105" i="104"/>
  <c r="E106" i="104" l="1"/>
  <c r="C105" i="104"/>
  <c r="F1040" i="104"/>
  <c r="H1039" i="104"/>
  <c r="I1038" i="104" s="1"/>
  <c r="J1039" i="104"/>
  <c r="K1038" i="104" s="1"/>
  <c r="L1039" i="104"/>
  <c r="M1038" i="104" s="1"/>
  <c r="A104" i="104"/>
  <c r="B104" i="104" s="1"/>
  <c r="D105" i="104"/>
  <c r="A105" i="104" l="1"/>
  <c r="B105" i="104" s="1"/>
  <c r="D106" i="104"/>
  <c r="F1041" i="104"/>
  <c r="H1040" i="104"/>
  <c r="I1039" i="104" s="1"/>
  <c r="J1040" i="104"/>
  <c r="K1039" i="104" s="1"/>
  <c r="L1040" i="104"/>
  <c r="M1039" i="104" s="1"/>
  <c r="E107" i="104"/>
  <c r="C106" i="104"/>
  <c r="C107" i="104" l="1"/>
  <c r="E108" i="104"/>
  <c r="F1042" i="104"/>
  <c r="J1041" i="104"/>
  <c r="K1040" i="104" s="1"/>
  <c r="H1041" i="104"/>
  <c r="I1040" i="104" s="1"/>
  <c r="L1041" i="104"/>
  <c r="M1040" i="104" s="1"/>
  <c r="D107" i="104"/>
  <c r="A106" i="104"/>
  <c r="B106" i="104" s="1"/>
  <c r="D108" i="104" l="1"/>
  <c r="A107" i="104"/>
  <c r="B107" i="104" s="1"/>
  <c r="F1043" i="104"/>
  <c r="J1042" i="104"/>
  <c r="K1041" i="104" s="1"/>
  <c r="H1042" i="104"/>
  <c r="I1041" i="104" s="1"/>
  <c r="L1042" i="104"/>
  <c r="M1041" i="104" s="1"/>
  <c r="E109" i="104"/>
  <c r="C108" i="104"/>
  <c r="C109" i="104" l="1"/>
  <c r="E110" i="104"/>
  <c r="F1044" i="104"/>
  <c r="J1043" i="104"/>
  <c r="K1042" i="104" s="1"/>
  <c r="L1043" i="104"/>
  <c r="M1042" i="104" s="1"/>
  <c r="H1043" i="104"/>
  <c r="I1042" i="104" s="1"/>
  <c r="A108" i="104"/>
  <c r="B108" i="104" s="1"/>
  <c r="D109" i="104"/>
  <c r="A109" i="104" l="1"/>
  <c r="B109" i="104" s="1"/>
  <c r="D110" i="104"/>
  <c r="F1045" i="104"/>
  <c r="H1044" i="104"/>
  <c r="I1043" i="104" s="1"/>
  <c r="J1044" i="104"/>
  <c r="K1043" i="104" s="1"/>
  <c r="L1044" i="104"/>
  <c r="M1043" i="104" s="1"/>
  <c r="E111" i="104"/>
  <c r="C110" i="104"/>
  <c r="C111" i="104" l="1"/>
  <c r="E112" i="104"/>
  <c r="F1046" i="104"/>
  <c r="H1045" i="104"/>
  <c r="I1044" i="104" s="1"/>
  <c r="L1045" i="104"/>
  <c r="M1044" i="104" s="1"/>
  <c r="J1045" i="104"/>
  <c r="K1044" i="104" s="1"/>
  <c r="A110" i="104"/>
  <c r="B110" i="104" s="1"/>
  <c r="D111" i="104"/>
  <c r="D112" i="104" l="1"/>
  <c r="A111" i="104"/>
  <c r="B111" i="104" s="1"/>
  <c r="F1047" i="104"/>
  <c r="H1046" i="104"/>
  <c r="I1045" i="104" s="1"/>
  <c r="L1046" i="104"/>
  <c r="M1045" i="104" s="1"/>
  <c r="J1046" i="104"/>
  <c r="K1045" i="104" s="1"/>
  <c r="E113" i="104"/>
  <c r="C112" i="104"/>
  <c r="C113" i="104" l="1"/>
  <c r="E114" i="104"/>
  <c r="F1048" i="104"/>
  <c r="J1047" i="104"/>
  <c r="K1046" i="104" s="1"/>
  <c r="L1047" i="104"/>
  <c r="M1046" i="104" s="1"/>
  <c r="H1047" i="104"/>
  <c r="I1046" i="104" s="1"/>
  <c r="A112" i="104"/>
  <c r="B112" i="104" s="1"/>
  <c r="D113" i="104"/>
  <c r="A113" i="104" l="1"/>
  <c r="B113" i="104" s="1"/>
  <c r="D114" i="104"/>
  <c r="F1049" i="104"/>
  <c r="H1048" i="104"/>
  <c r="I1047" i="104" s="1"/>
  <c r="L1048" i="104"/>
  <c r="M1047" i="104" s="1"/>
  <c r="J1048" i="104"/>
  <c r="K1047" i="104" s="1"/>
  <c r="E115" i="104"/>
  <c r="C114" i="104"/>
  <c r="C115" i="104" l="1"/>
  <c r="E116" i="104"/>
  <c r="F1050" i="104"/>
  <c r="H1049" i="104"/>
  <c r="I1048" i="104" s="1"/>
  <c r="J1049" i="104"/>
  <c r="K1048" i="104" s="1"/>
  <c r="L1049" i="104"/>
  <c r="M1048" i="104" s="1"/>
  <c r="D115" i="104"/>
  <c r="A114" i="104"/>
  <c r="B114" i="104" s="1"/>
  <c r="D116" i="104" l="1"/>
  <c r="A115" i="104"/>
  <c r="B115" i="104" s="1"/>
  <c r="F1051" i="104"/>
  <c r="H1050" i="104"/>
  <c r="I1049" i="104" s="1"/>
  <c r="J1050" i="104"/>
  <c r="K1049" i="104" s="1"/>
  <c r="L1050" i="104"/>
  <c r="M1049" i="104" s="1"/>
  <c r="C116" i="104"/>
  <c r="E117" i="104"/>
  <c r="C117" i="104" l="1"/>
  <c r="E118" i="104"/>
  <c r="H1051" i="104"/>
  <c r="I1050" i="104" s="1"/>
  <c r="J1051" i="104"/>
  <c r="K1050" i="104" s="1"/>
  <c r="F1052" i="104"/>
  <c r="L1051" i="104"/>
  <c r="M1050" i="104" s="1"/>
  <c r="A116" i="104"/>
  <c r="B116" i="104" s="1"/>
  <c r="D117" i="104"/>
  <c r="A117" i="104" l="1"/>
  <c r="B117" i="104" s="1"/>
  <c r="D118" i="104"/>
  <c r="F1053" i="104"/>
  <c r="H1052" i="104"/>
  <c r="I1051" i="104" s="1"/>
  <c r="J1052" i="104"/>
  <c r="K1051" i="104" s="1"/>
  <c r="L1052" i="104"/>
  <c r="M1051" i="104" s="1"/>
  <c r="E119" i="104"/>
  <c r="C118" i="104"/>
  <c r="C119" i="104" l="1"/>
  <c r="E120" i="104"/>
  <c r="H1053" i="104"/>
  <c r="I1052" i="104" s="1"/>
  <c r="F1054" i="104"/>
  <c r="L1053" i="104"/>
  <c r="M1052" i="104" s="1"/>
  <c r="J1053" i="104"/>
  <c r="K1052" i="104" s="1"/>
  <c r="D119" i="104"/>
  <c r="A118" i="104"/>
  <c r="B118" i="104" s="1"/>
  <c r="D120" i="104" l="1"/>
  <c r="A119" i="104"/>
  <c r="B119" i="104" s="1"/>
  <c r="H1054" i="104"/>
  <c r="I1053" i="104" s="1"/>
  <c r="F1055" i="104"/>
  <c r="J1054" i="104"/>
  <c r="K1053" i="104" s="1"/>
  <c r="L1054" i="104"/>
  <c r="M1053" i="104" s="1"/>
  <c r="C120" i="104"/>
  <c r="E121" i="104"/>
  <c r="C121" i="104" l="1"/>
  <c r="E122" i="104"/>
  <c r="F1056" i="104"/>
  <c r="H1055" i="104"/>
  <c r="I1054" i="104" s="1"/>
  <c r="J1055" i="104"/>
  <c r="K1054" i="104" s="1"/>
  <c r="L1055" i="104"/>
  <c r="M1054" i="104" s="1"/>
  <c r="A120" i="104"/>
  <c r="B120" i="104" s="1"/>
  <c r="D121" i="104"/>
  <c r="A121" i="104" l="1"/>
  <c r="B121" i="104" s="1"/>
  <c r="D122" i="104"/>
  <c r="F1057" i="104"/>
  <c r="H1056" i="104"/>
  <c r="I1055" i="104" s="1"/>
  <c r="J1056" i="104"/>
  <c r="K1055" i="104" s="1"/>
  <c r="L1056" i="104"/>
  <c r="M1055" i="104" s="1"/>
  <c r="E123" i="104"/>
  <c r="C122" i="104"/>
  <c r="C123" i="104" l="1"/>
  <c r="E124" i="104"/>
  <c r="F1058" i="104"/>
  <c r="J1057" i="104"/>
  <c r="K1056" i="104" s="1"/>
  <c r="H1057" i="104"/>
  <c r="I1056" i="104" s="1"/>
  <c r="L1057" i="104"/>
  <c r="M1056" i="104" s="1"/>
  <c r="D123" i="104"/>
  <c r="A122" i="104"/>
  <c r="B122" i="104" s="1"/>
  <c r="D124" i="104" l="1"/>
  <c r="A123" i="104"/>
  <c r="B123" i="104" s="1"/>
  <c r="F1059" i="104"/>
  <c r="J1058" i="104"/>
  <c r="K1057" i="104" s="1"/>
  <c r="H1058" i="104"/>
  <c r="I1057" i="104" s="1"/>
  <c r="L1058" i="104"/>
  <c r="M1057" i="104" s="1"/>
  <c r="C124" i="104"/>
  <c r="E125" i="104"/>
  <c r="E126" i="104" l="1"/>
  <c r="C125" i="104"/>
  <c r="F1060" i="104"/>
  <c r="J1059" i="104"/>
  <c r="K1058" i="104" s="1"/>
  <c r="L1059" i="104"/>
  <c r="M1058" i="104" s="1"/>
  <c r="H1059" i="104"/>
  <c r="I1058" i="104" s="1"/>
  <c r="D125" i="104"/>
  <c r="A124" i="104"/>
  <c r="B124" i="104" s="1"/>
  <c r="A125" i="104" l="1"/>
  <c r="B125" i="104" s="1"/>
  <c r="D126" i="104"/>
  <c r="F1061" i="104"/>
  <c r="H1060" i="104"/>
  <c r="I1059" i="104" s="1"/>
  <c r="J1060" i="104"/>
  <c r="K1059" i="104" s="1"/>
  <c r="L1060" i="104"/>
  <c r="M1059" i="104" s="1"/>
  <c r="E127" i="104"/>
  <c r="C126" i="104"/>
  <c r="C127" i="104" l="1"/>
  <c r="E128" i="104"/>
  <c r="F1062" i="104"/>
  <c r="H1061" i="104"/>
  <c r="I1060" i="104" s="1"/>
  <c r="L1061" i="104"/>
  <c r="M1060" i="104" s="1"/>
  <c r="J1061" i="104"/>
  <c r="K1060" i="104" s="1"/>
  <c r="A126" i="104"/>
  <c r="B126" i="104" s="1"/>
  <c r="D127" i="104"/>
  <c r="D128" i="104" l="1"/>
  <c r="A127" i="104"/>
  <c r="B127" i="104" s="1"/>
  <c r="F1063" i="104"/>
  <c r="H1062" i="104"/>
  <c r="I1061" i="104" s="1"/>
  <c r="L1062" i="104"/>
  <c r="M1061" i="104" s="1"/>
  <c r="J1062" i="104"/>
  <c r="K1061" i="104" s="1"/>
  <c r="C128" i="104"/>
  <c r="E129" i="104"/>
  <c r="C129" i="104" l="1"/>
  <c r="E130" i="104"/>
  <c r="F1064" i="104"/>
  <c r="J1063" i="104"/>
  <c r="K1062" i="104" s="1"/>
  <c r="L1063" i="104"/>
  <c r="M1062" i="104" s="1"/>
  <c r="H1063" i="104"/>
  <c r="I1062" i="104" s="1"/>
  <c r="A128" i="104"/>
  <c r="B128" i="104" s="1"/>
  <c r="D129" i="104"/>
  <c r="A129" i="104" l="1"/>
  <c r="B129" i="104" s="1"/>
  <c r="D130" i="104"/>
  <c r="F1065" i="104"/>
  <c r="H1064" i="104"/>
  <c r="I1063" i="104" s="1"/>
  <c r="J1064" i="104"/>
  <c r="K1063" i="104" s="1"/>
  <c r="L1064" i="104"/>
  <c r="M1063" i="104" s="1"/>
  <c r="E131" i="104"/>
  <c r="C130" i="104"/>
  <c r="C131" i="104" l="1"/>
  <c r="E132" i="104"/>
  <c r="F1066" i="104"/>
  <c r="H1065" i="104"/>
  <c r="I1064" i="104" s="1"/>
  <c r="J1065" i="104"/>
  <c r="K1064" i="104" s="1"/>
  <c r="L1065" i="104"/>
  <c r="M1064" i="104" s="1"/>
  <c r="D131" i="104"/>
  <c r="A130" i="104"/>
  <c r="B130" i="104" s="1"/>
  <c r="D132" i="104" l="1"/>
  <c r="A131" i="104"/>
  <c r="B131" i="104" s="1"/>
  <c r="F1067" i="104"/>
  <c r="H1066" i="104"/>
  <c r="I1065" i="104" s="1"/>
  <c r="J1066" i="104"/>
  <c r="K1065" i="104" s="1"/>
  <c r="L1066" i="104"/>
  <c r="M1065" i="104" s="1"/>
  <c r="E133" i="104"/>
  <c r="C132" i="104"/>
  <c r="E134" i="104" l="1"/>
  <c r="C133" i="104"/>
  <c r="H1067" i="104"/>
  <c r="I1066" i="104" s="1"/>
  <c r="J1067" i="104"/>
  <c r="K1066" i="104" s="1"/>
  <c r="F1068" i="104"/>
  <c r="L1067" i="104"/>
  <c r="M1066" i="104" s="1"/>
  <c r="A132" i="104"/>
  <c r="B132" i="104" s="1"/>
  <c r="D133" i="104"/>
  <c r="A133" i="104" l="1"/>
  <c r="B133" i="104" s="1"/>
  <c r="D134" i="104"/>
  <c r="F1069" i="104"/>
  <c r="H1068" i="104"/>
  <c r="I1067" i="104" s="1"/>
  <c r="J1068" i="104"/>
  <c r="K1067" i="104" s="1"/>
  <c r="L1068" i="104"/>
  <c r="M1067" i="104" s="1"/>
  <c r="E135" i="104"/>
  <c r="C134" i="104"/>
  <c r="C135" i="104" l="1"/>
  <c r="E136" i="104"/>
  <c r="F1070" i="104"/>
  <c r="H1069" i="104"/>
  <c r="I1068" i="104" s="1"/>
  <c r="J1069" i="104"/>
  <c r="K1068" i="104" s="1"/>
  <c r="L1069" i="104"/>
  <c r="M1068" i="104" s="1"/>
  <c r="D135" i="104"/>
  <c r="A134" i="104"/>
  <c r="B134" i="104" s="1"/>
  <c r="D136" i="104" l="1"/>
  <c r="A135" i="104"/>
  <c r="B135" i="104" s="1"/>
  <c r="F1071" i="104"/>
  <c r="H1070" i="104"/>
  <c r="I1069" i="104" s="1"/>
  <c r="J1070" i="104"/>
  <c r="K1069" i="104" s="1"/>
  <c r="L1070" i="104"/>
  <c r="M1069" i="104" s="1"/>
  <c r="E137" i="104"/>
  <c r="C136" i="104"/>
  <c r="E138" i="104" l="1"/>
  <c r="C137" i="104"/>
  <c r="F1072" i="104"/>
  <c r="H1071" i="104"/>
  <c r="I1070" i="104" s="1"/>
  <c r="J1071" i="104"/>
  <c r="K1070" i="104" s="1"/>
  <c r="L1071" i="104"/>
  <c r="M1070" i="104" s="1"/>
  <c r="A136" i="104"/>
  <c r="B136" i="104" s="1"/>
  <c r="D137" i="104"/>
  <c r="A137" i="104" l="1"/>
  <c r="B137" i="104" s="1"/>
  <c r="D138" i="104"/>
  <c r="F1073" i="104"/>
  <c r="H1072" i="104"/>
  <c r="I1071" i="104" s="1"/>
  <c r="J1072" i="104"/>
  <c r="K1071" i="104" s="1"/>
  <c r="L1072" i="104"/>
  <c r="M1071" i="104" s="1"/>
  <c r="E139" i="104"/>
  <c r="C138" i="104"/>
  <c r="C139" i="104" l="1"/>
  <c r="E140" i="104"/>
  <c r="F1074" i="104"/>
  <c r="J1073" i="104"/>
  <c r="K1072" i="104" s="1"/>
  <c r="H1073" i="104"/>
  <c r="I1072" i="104" s="1"/>
  <c r="L1073" i="104"/>
  <c r="M1072" i="104" s="1"/>
  <c r="D139" i="104"/>
  <c r="A138" i="104"/>
  <c r="B138" i="104" s="1"/>
  <c r="D140" i="104" l="1"/>
  <c r="A139" i="104"/>
  <c r="B139" i="104" s="1"/>
  <c r="F1075" i="104"/>
  <c r="J1074" i="104"/>
  <c r="K1073" i="104" s="1"/>
  <c r="H1074" i="104"/>
  <c r="I1073" i="104" s="1"/>
  <c r="L1074" i="104"/>
  <c r="M1073" i="104" s="1"/>
  <c r="E141" i="104"/>
  <c r="C140" i="104"/>
  <c r="C141" i="104" l="1"/>
  <c r="E142" i="104"/>
  <c r="F1076" i="104"/>
  <c r="J1075" i="104"/>
  <c r="K1074" i="104" s="1"/>
  <c r="L1075" i="104"/>
  <c r="M1074" i="104" s="1"/>
  <c r="H1075" i="104"/>
  <c r="I1074" i="104" s="1"/>
  <c r="A140" i="104"/>
  <c r="B140" i="104" s="1"/>
  <c r="D141" i="104"/>
  <c r="A141" i="104" l="1"/>
  <c r="B141" i="104" s="1"/>
  <c r="D142" i="104"/>
  <c r="F1077" i="104"/>
  <c r="H1076" i="104"/>
  <c r="I1075" i="104" s="1"/>
  <c r="J1076" i="104"/>
  <c r="K1075" i="104" s="1"/>
  <c r="L1076" i="104"/>
  <c r="M1075" i="104" s="1"/>
  <c r="E143" i="104"/>
  <c r="C142" i="104"/>
  <c r="C143" i="104" l="1"/>
  <c r="E144" i="104"/>
  <c r="F1078" i="104"/>
  <c r="H1077" i="104"/>
  <c r="I1076" i="104" s="1"/>
  <c r="L1077" i="104"/>
  <c r="M1076" i="104" s="1"/>
  <c r="J1077" i="104"/>
  <c r="K1076" i="104" s="1"/>
  <c r="A142" i="104"/>
  <c r="B142" i="104" s="1"/>
  <c r="D143" i="104"/>
  <c r="D144" i="104" l="1"/>
  <c r="A143" i="104"/>
  <c r="B143" i="104" s="1"/>
  <c r="F1079" i="104"/>
  <c r="H1078" i="104"/>
  <c r="I1077" i="104" s="1"/>
  <c r="L1078" i="104"/>
  <c r="M1077" i="104" s="1"/>
  <c r="J1078" i="104"/>
  <c r="K1077" i="104" s="1"/>
  <c r="E145" i="104"/>
  <c r="C144" i="104"/>
  <c r="C145" i="104" l="1"/>
  <c r="E146" i="104"/>
  <c r="F1080" i="104"/>
  <c r="J1079" i="104"/>
  <c r="K1078" i="104" s="1"/>
  <c r="L1079" i="104"/>
  <c r="M1078" i="104" s="1"/>
  <c r="H1079" i="104"/>
  <c r="I1078" i="104" s="1"/>
  <c r="A144" i="104"/>
  <c r="B144" i="104" s="1"/>
  <c r="D145" i="104"/>
  <c r="A145" i="104" l="1"/>
  <c r="B145" i="104" s="1"/>
  <c r="D146" i="104"/>
  <c r="F1081" i="104"/>
  <c r="H1080" i="104"/>
  <c r="I1079" i="104" s="1"/>
  <c r="L1080" i="104"/>
  <c r="M1079" i="104" s="1"/>
  <c r="J1080" i="104"/>
  <c r="K1079" i="104" s="1"/>
  <c r="E147" i="104"/>
  <c r="C146" i="104"/>
  <c r="C147" i="104" l="1"/>
  <c r="E148" i="104"/>
  <c r="F1082" i="104"/>
  <c r="H1081" i="104"/>
  <c r="I1080" i="104" s="1"/>
  <c r="J1081" i="104"/>
  <c r="K1080" i="104" s="1"/>
  <c r="L1081" i="104"/>
  <c r="M1080" i="104" s="1"/>
  <c r="D147" i="104"/>
  <c r="A146" i="104"/>
  <c r="B146" i="104" s="1"/>
  <c r="D148" i="104" l="1"/>
  <c r="A147" i="104"/>
  <c r="B147" i="104" s="1"/>
  <c r="F1083" i="104"/>
  <c r="H1082" i="104"/>
  <c r="I1081" i="104" s="1"/>
  <c r="J1082" i="104"/>
  <c r="K1081" i="104" s="1"/>
  <c r="L1082" i="104"/>
  <c r="M1081" i="104" s="1"/>
  <c r="C148" i="104"/>
  <c r="E149" i="104"/>
  <c r="C149" i="104" l="1"/>
  <c r="E150" i="104"/>
  <c r="F1084" i="104"/>
  <c r="H1083" i="104"/>
  <c r="I1082" i="104" s="1"/>
  <c r="J1083" i="104"/>
  <c r="K1082" i="104" s="1"/>
  <c r="L1083" i="104"/>
  <c r="M1082" i="104" s="1"/>
  <c r="D149" i="104"/>
  <c r="A148" i="104"/>
  <c r="B148" i="104" s="1"/>
  <c r="A149" i="104" l="1"/>
  <c r="B149" i="104" s="1"/>
  <c r="D150" i="104"/>
  <c r="F1085" i="104"/>
  <c r="H1084" i="104"/>
  <c r="I1083" i="104" s="1"/>
  <c r="J1084" i="104"/>
  <c r="K1083" i="104" s="1"/>
  <c r="L1084" i="104"/>
  <c r="M1083" i="104" s="1"/>
  <c r="E151" i="104"/>
  <c r="C150" i="104"/>
  <c r="C151" i="104" l="1"/>
  <c r="E152" i="104"/>
  <c r="F1086" i="104"/>
  <c r="H1085" i="104"/>
  <c r="I1084" i="104" s="1"/>
  <c r="L1085" i="104"/>
  <c r="M1084" i="104" s="1"/>
  <c r="J1085" i="104"/>
  <c r="K1084" i="104" s="1"/>
  <c r="D151" i="104"/>
  <c r="A150" i="104"/>
  <c r="B150" i="104" s="1"/>
  <c r="D152" i="104" l="1"/>
  <c r="A151" i="104"/>
  <c r="B151" i="104" s="1"/>
  <c r="F1087" i="104"/>
  <c r="H1086" i="104"/>
  <c r="I1085" i="104" s="1"/>
  <c r="J1086" i="104"/>
  <c r="K1085" i="104" s="1"/>
  <c r="L1086" i="104"/>
  <c r="M1085" i="104" s="1"/>
  <c r="C152" i="104"/>
  <c r="E153" i="104"/>
  <c r="C153" i="104" l="1"/>
  <c r="E154" i="104"/>
  <c r="F1088" i="104"/>
  <c r="H1087" i="104"/>
  <c r="I1086" i="104" s="1"/>
  <c r="J1087" i="104"/>
  <c r="K1086" i="104" s="1"/>
  <c r="L1087" i="104"/>
  <c r="M1086" i="104" s="1"/>
  <c r="A152" i="104"/>
  <c r="B152" i="104" s="1"/>
  <c r="D153" i="104"/>
  <c r="A153" i="104" l="1"/>
  <c r="B153" i="104" s="1"/>
  <c r="D154" i="104"/>
  <c r="F1089" i="104"/>
  <c r="H1088" i="104"/>
  <c r="I1087" i="104" s="1"/>
  <c r="J1088" i="104"/>
  <c r="K1087" i="104" s="1"/>
  <c r="L1088" i="104"/>
  <c r="M1087" i="104" s="1"/>
  <c r="E155" i="104"/>
  <c r="C154" i="104"/>
  <c r="C155" i="104" l="1"/>
  <c r="E156" i="104"/>
  <c r="J1089" i="104"/>
  <c r="K1088" i="104" s="1"/>
  <c r="F1090" i="104"/>
  <c r="H1089" i="104"/>
  <c r="I1088" i="104" s="1"/>
  <c r="L1089" i="104"/>
  <c r="M1088" i="104" s="1"/>
  <c r="D155" i="104"/>
  <c r="A154" i="104"/>
  <c r="B154" i="104" s="1"/>
  <c r="D156" i="104" l="1"/>
  <c r="A155" i="104"/>
  <c r="B155" i="104" s="1"/>
  <c r="F1091" i="104"/>
  <c r="J1090" i="104"/>
  <c r="K1089" i="104" s="1"/>
  <c r="H1090" i="104"/>
  <c r="I1089" i="104" s="1"/>
  <c r="L1090" i="104"/>
  <c r="M1089" i="104" s="1"/>
  <c r="C156" i="104"/>
  <c r="E157" i="104"/>
  <c r="E158" i="104" l="1"/>
  <c r="C157" i="104"/>
  <c r="F1092" i="104"/>
  <c r="J1091" i="104"/>
  <c r="K1090" i="104" s="1"/>
  <c r="L1091" i="104"/>
  <c r="M1090" i="104" s="1"/>
  <c r="H1091" i="104"/>
  <c r="I1090" i="104" s="1"/>
  <c r="D157" i="104"/>
  <c r="A156" i="104"/>
  <c r="B156" i="104" s="1"/>
  <c r="A157" i="104" l="1"/>
  <c r="B157" i="104" s="1"/>
  <c r="D158" i="104"/>
  <c r="F1093" i="104"/>
  <c r="H1092" i="104"/>
  <c r="I1091" i="104" s="1"/>
  <c r="J1092" i="104"/>
  <c r="K1091" i="104" s="1"/>
  <c r="L1092" i="104"/>
  <c r="M1091" i="104" s="1"/>
  <c r="E159" i="104"/>
  <c r="C158" i="104"/>
  <c r="C159" i="104" l="1"/>
  <c r="E160" i="104"/>
  <c r="H1093" i="104"/>
  <c r="I1092" i="104" s="1"/>
  <c r="L1093" i="104"/>
  <c r="M1092" i="104" s="1"/>
  <c r="F1094" i="104"/>
  <c r="J1093" i="104"/>
  <c r="K1092" i="104" s="1"/>
  <c r="A158" i="104"/>
  <c r="B158" i="104" s="1"/>
  <c r="D159" i="104"/>
  <c r="D160" i="104" l="1"/>
  <c r="A159" i="104"/>
  <c r="B159" i="104" s="1"/>
  <c r="F1095" i="104"/>
  <c r="H1094" i="104"/>
  <c r="I1093" i="104" s="1"/>
  <c r="L1094" i="104"/>
  <c r="M1093" i="104" s="1"/>
  <c r="J1094" i="104"/>
  <c r="K1093" i="104" s="1"/>
  <c r="C160" i="104"/>
  <c r="E161" i="104"/>
  <c r="E162" i="104" l="1"/>
  <c r="C161" i="104"/>
  <c r="F1096" i="104"/>
  <c r="J1095" i="104"/>
  <c r="K1094" i="104" s="1"/>
  <c r="L1095" i="104"/>
  <c r="M1094" i="104" s="1"/>
  <c r="H1095" i="104"/>
  <c r="I1094" i="104" s="1"/>
  <c r="A160" i="104"/>
  <c r="B160" i="104" s="1"/>
  <c r="D161" i="104"/>
  <c r="A161" i="104" l="1"/>
  <c r="B161" i="104" s="1"/>
  <c r="D162" i="104"/>
  <c r="F1097" i="104"/>
  <c r="H1096" i="104"/>
  <c r="I1095" i="104" s="1"/>
  <c r="J1096" i="104"/>
  <c r="K1095" i="104" s="1"/>
  <c r="L1096" i="104"/>
  <c r="M1095" i="104" s="1"/>
  <c r="E163" i="104"/>
  <c r="C162" i="104"/>
  <c r="C163" i="104" l="1"/>
  <c r="E164" i="104"/>
  <c r="F1098" i="104"/>
  <c r="H1097" i="104"/>
  <c r="I1096" i="104" s="1"/>
  <c r="J1097" i="104"/>
  <c r="K1096" i="104" s="1"/>
  <c r="L1097" i="104"/>
  <c r="M1096" i="104" s="1"/>
  <c r="D163" i="104"/>
  <c r="A162" i="104"/>
  <c r="B162" i="104" s="1"/>
  <c r="D164" i="104" l="1"/>
  <c r="A163" i="104"/>
  <c r="B163" i="104" s="1"/>
  <c r="F1099" i="104"/>
  <c r="H1098" i="104"/>
  <c r="I1097" i="104" s="1"/>
  <c r="J1098" i="104"/>
  <c r="K1097" i="104" s="1"/>
  <c r="L1098" i="104"/>
  <c r="M1097" i="104" s="1"/>
  <c r="E165" i="104"/>
  <c r="C164" i="104"/>
  <c r="E166" i="104" l="1"/>
  <c r="C165" i="104"/>
  <c r="F1100" i="104"/>
  <c r="H1099" i="104"/>
  <c r="I1098" i="104" s="1"/>
  <c r="J1099" i="104"/>
  <c r="K1098" i="104" s="1"/>
  <c r="L1099" i="104"/>
  <c r="M1098" i="104" s="1"/>
  <c r="A164" i="104"/>
  <c r="B164" i="104" s="1"/>
  <c r="D165" i="104"/>
  <c r="A165" i="104" l="1"/>
  <c r="B165" i="104" s="1"/>
  <c r="D166" i="104"/>
  <c r="F1101" i="104"/>
  <c r="H1100" i="104"/>
  <c r="I1099" i="104" s="1"/>
  <c r="J1100" i="104"/>
  <c r="K1099" i="104" s="1"/>
  <c r="L1100" i="104"/>
  <c r="M1099" i="104" s="1"/>
  <c r="E167" i="104"/>
  <c r="C166" i="104"/>
  <c r="C167" i="104" l="1"/>
  <c r="E168" i="104"/>
  <c r="H1101" i="104"/>
  <c r="I1100" i="104" s="1"/>
  <c r="J1101" i="104"/>
  <c r="K1100" i="104" s="1"/>
  <c r="L1101" i="104"/>
  <c r="M1100" i="104" s="1"/>
  <c r="A166" i="104"/>
  <c r="B166" i="104" s="1"/>
  <c r="D167" i="104"/>
  <c r="D168" i="104" l="1"/>
  <c r="A167" i="104"/>
  <c r="B167" i="104" s="1"/>
  <c r="C168" i="104"/>
  <c r="E169" i="104"/>
  <c r="E170" i="104" l="1"/>
  <c r="C169" i="104"/>
  <c r="A168" i="104"/>
  <c r="B168" i="104" s="1"/>
  <c r="D169" i="104"/>
  <c r="A169" i="104" l="1"/>
  <c r="B169" i="104" s="1"/>
  <c r="D170" i="104"/>
  <c r="E171" i="104"/>
  <c r="C170" i="104"/>
  <c r="C171" i="104" l="1"/>
  <c r="E172" i="104"/>
  <c r="D171" i="104"/>
  <c r="A170" i="104"/>
  <c r="B170" i="104" s="1"/>
  <c r="D172" i="104" l="1"/>
  <c r="A171" i="104"/>
  <c r="B171" i="104" s="1"/>
  <c r="E173" i="104"/>
  <c r="C172" i="104"/>
  <c r="C173" i="104" l="1"/>
  <c r="E174" i="104"/>
  <c r="A172" i="104"/>
  <c r="B172" i="104" s="1"/>
  <c r="D173" i="104"/>
  <c r="A173" i="104" l="1"/>
  <c r="B173" i="104" s="1"/>
  <c r="D174" i="104"/>
  <c r="E175" i="104"/>
  <c r="C174" i="104"/>
  <c r="C175" i="104" l="1"/>
  <c r="E176" i="104"/>
  <c r="A174" i="104"/>
  <c r="B174" i="104" s="1"/>
  <c r="D175" i="104"/>
  <c r="D176" i="104" l="1"/>
  <c r="A175" i="104"/>
  <c r="B175" i="104" s="1"/>
  <c r="E177" i="104"/>
  <c r="C176" i="104"/>
  <c r="C177" i="104" l="1"/>
  <c r="E178" i="104"/>
  <c r="A176" i="104"/>
  <c r="B176" i="104" s="1"/>
  <c r="D177" i="104"/>
  <c r="A177" i="104" l="1"/>
  <c r="B177" i="104" s="1"/>
  <c r="D178" i="104"/>
  <c r="E179" i="104"/>
  <c r="C178" i="104"/>
  <c r="C179" i="104" l="1"/>
  <c r="E180" i="104"/>
  <c r="D179" i="104"/>
  <c r="A178" i="104"/>
  <c r="B178" i="104" s="1"/>
  <c r="D180" i="104" l="1"/>
  <c r="A179" i="104"/>
  <c r="B179" i="104" s="1"/>
  <c r="C180" i="104"/>
  <c r="E181" i="104"/>
  <c r="E182" i="104" l="1"/>
  <c r="C181" i="104"/>
  <c r="A180" i="104"/>
  <c r="B180" i="104" s="1"/>
  <c r="D181" i="104"/>
  <c r="A181" i="104" l="1"/>
  <c r="B181" i="104" s="1"/>
  <c r="D182" i="104"/>
  <c r="E183" i="104"/>
  <c r="C182" i="104"/>
  <c r="C183" i="104" l="1"/>
  <c r="E184" i="104"/>
  <c r="D183" i="104"/>
  <c r="A182" i="104"/>
  <c r="B182" i="104" s="1"/>
  <c r="D184" i="104" l="1"/>
  <c r="A183" i="104"/>
  <c r="B183" i="104" s="1"/>
  <c r="C184" i="104"/>
  <c r="E185" i="104"/>
  <c r="C185" i="104" l="1"/>
  <c r="E186" i="104"/>
  <c r="A184" i="104"/>
  <c r="B184" i="104" s="1"/>
  <c r="D185" i="104"/>
  <c r="A185" i="104" l="1"/>
  <c r="B185" i="104" s="1"/>
  <c r="D186" i="104"/>
  <c r="E187" i="104"/>
  <c r="C186" i="104"/>
  <c r="C187" i="104" l="1"/>
  <c r="E188" i="104"/>
  <c r="D187" i="104"/>
  <c r="A186" i="104"/>
  <c r="B186" i="104" s="1"/>
  <c r="D188" i="104" l="1"/>
  <c r="A187" i="104"/>
  <c r="B187" i="104" s="1"/>
  <c r="C188" i="104"/>
  <c r="E189" i="104"/>
  <c r="E190" i="104" l="1"/>
  <c r="C189" i="104"/>
  <c r="D189" i="104"/>
  <c r="A188" i="104"/>
  <c r="B188" i="104" s="1"/>
  <c r="A189" i="104" l="1"/>
  <c r="B189" i="104" s="1"/>
  <c r="D190" i="104"/>
  <c r="E191" i="104"/>
  <c r="C190" i="104"/>
  <c r="C191" i="104" l="1"/>
  <c r="E192" i="104"/>
  <c r="A190" i="104"/>
  <c r="B190" i="104" s="1"/>
  <c r="D191" i="104"/>
  <c r="D192" i="104" l="1"/>
  <c r="A191" i="104"/>
  <c r="B191" i="104" s="1"/>
  <c r="C192" i="104"/>
  <c r="E193" i="104"/>
  <c r="C193" i="104" l="1"/>
  <c r="E194" i="104"/>
  <c r="A192" i="104"/>
  <c r="B192" i="104" s="1"/>
  <c r="D193" i="104"/>
  <c r="A193" i="104" l="1"/>
  <c r="B193" i="104" s="1"/>
  <c r="D194" i="104"/>
  <c r="E195" i="104"/>
  <c r="C194" i="104"/>
  <c r="C195" i="104" l="1"/>
  <c r="E196" i="104"/>
  <c r="D195" i="104"/>
  <c r="A194" i="104"/>
  <c r="B194" i="104" s="1"/>
  <c r="D196" i="104" l="1"/>
  <c r="A195" i="104"/>
  <c r="B195" i="104" s="1"/>
  <c r="E197" i="104"/>
  <c r="C196" i="104"/>
  <c r="E198" i="104" l="1"/>
  <c r="C197" i="104"/>
  <c r="A196" i="104"/>
  <c r="B196" i="104" s="1"/>
  <c r="D197" i="104"/>
  <c r="A197" i="104" l="1"/>
  <c r="B197" i="104" s="1"/>
  <c r="D198" i="104"/>
  <c r="E199" i="104"/>
  <c r="C198" i="104"/>
  <c r="C199" i="104" l="1"/>
  <c r="E200" i="104"/>
  <c r="A198" i="104"/>
  <c r="B198" i="104" s="1"/>
  <c r="D199" i="104"/>
  <c r="D200" i="104" l="1"/>
  <c r="A199" i="104"/>
  <c r="B199" i="104" s="1"/>
  <c r="E201" i="104"/>
  <c r="C200" i="104"/>
  <c r="E202" i="104" l="1"/>
  <c r="C201" i="104"/>
  <c r="A200" i="104"/>
  <c r="B200" i="104" s="1"/>
  <c r="D201" i="104"/>
  <c r="A201" i="104" l="1"/>
  <c r="B201" i="104" s="1"/>
  <c r="D202" i="104"/>
  <c r="E203" i="104"/>
  <c r="C202" i="104"/>
  <c r="C203" i="104" l="1"/>
  <c r="E204" i="104"/>
  <c r="D203" i="104"/>
  <c r="A202" i="104"/>
  <c r="B202" i="104" s="1"/>
  <c r="D204" i="104" l="1"/>
  <c r="A203" i="104"/>
  <c r="B203" i="104" s="1"/>
  <c r="E205" i="104"/>
  <c r="C204" i="104"/>
  <c r="C205" i="104" l="1"/>
  <c r="E206" i="104"/>
  <c r="A204" i="104"/>
  <c r="B204" i="104" s="1"/>
  <c r="D205" i="104"/>
  <c r="A205" i="104" l="1"/>
  <c r="B205" i="104" s="1"/>
  <c r="D206" i="104"/>
  <c r="E207" i="104"/>
  <c r="C206" i="104"/>
  <c r="C207" i="104" l="1"/>
  <c r="E208" i="104"/>
  <c r="A206" i="104"/>
  <c r="B206" i="104" s="1"/>
  <c r="D207" i="104"/>
  <c r="D208" i="104" l="1"/>
  <c r="A207" i="104"/>
  <c r="B207" i="104" s="1"/>
  <c r="E209" i="104"/>
  <c r="C208" i="104"/>
  <c r="C209" i="104" l="1"/>
  <c r="E210" i="104"/>
  <c r="A208" i="104"/>
  <c r="B208" i="104" s="1"/>
  <c r="D209" i="104"/>
  <c r="A209" i="104" l="1"/>
  <c r="B209" i="104" s="1"/>
  <c r="D210" i="104"/>
  <c r="E211" i="104"/>
  <c r="C210" i="104"/>
  <c r="C211" i="104" l="1"/>
  <c r="E212" i="104"/>
  <c r="D211" i="104"/>
  <c r="A210" i="104"/>
  <c r="B210" i="104" s="1"/>
  <c r="D212" i="104" l="1"/>
  <c r="A211" i="104"/>
  <c r="B211" i="104" s="1"/>
  <c r="C212" i="104"/>
  <c r="E213" i="104"/>
  <c r="C213" i="104" l="1"/>
  <c r="E214" i="104"/>
  <c r="D213" i="104"/>
  <c r="A212" i="104"/>
  <c r="B212" i="104" s="1"/>
  <c r="A213" i="104" l="1"/>
  <c r="B213" i="104" s="1"/>
  <c r="D214" i="104"/>
  <c r="E215" i="104"/>
  <c r="C214" i="104"/>
  <c r="C215" i="104" l="1"/>
  <c r="E216" i="104"/>
  <c r="D215" i="104"/>
  <c r="A214" i="104"/>
  <c r="B214" i="104" s="1"/>
  <c r="D216" i="104" l="1"/>
  <c r="A215" i="104"/>
  <c r="B215" i="104" s="1"/>
  <c r="C216" i="104"/>
  <c r="E217" i="104"/>
  <c r="C217" i="104" l="1"/>
  <c r="E218" i="104"/>
  <c r="A216" i="104"/>
  <c r="B216" i="104" s="1"/>
  <c r="D217" i="104"/>
  <c r="A217" i="104" l="1"/>
  <c r="B217" i="104" s="1"/>
  <c r="D218" i="104"/>
  <c r="E219" i="104"/>
  <c r="C218" i="104"/>
  <c r="C219" i="104" l="1"/>
  <c r="E220" i="104"/>
  <c r="D219" i="104"/>
  <c r="A218" i="104"/>
  <c r="B218" i="104" s="1"/>
  <c r="D220" i="104" l="1"/>
  <c r="A219" i="104"/>
  <c r="B219" i="104" s="1"/>
  <c r="C220" i="104"/>
  <c r="E221" i="104"/>
  <c r="E222" i="104" l="1"/>
  <c r="C221" i="104"/>
  <c r="D221" i="104"/>
  <c r="A220" i="104"/>
  <c r="B220" i="104" s="1"/>
  <c r="A221" i="104" l="1"/>
  <c r="B221" i="104" s="1"/>
  <c r="D222" i="104"/>
  <c r="E223" i="104"/>
  <c r="C222" i="104"/>
  <c r="C223" i="104" l="1"/>
  <c r="E224" i="104"/>
  <c r="D223" i="104"/>
  <c r="A222" i="104"/>
  <c r="B222" i="104" s="1"/>
  <c r="D224" i="104" l="1"/>
  <c r="A223" i="104"/>
  <c r="B223" i="104" s="1"/>
  <c r="C224" i="104"/>
  <c r="E225" i="104"/>
  <c r="E226" i="104" l="1"/>
  <c r="C225" i="104"/>
  <c r="A224" i="104"/>
  <c r="B224" i="104" s="1"/>
  <c r="D225" i="104"/>
  <c r="A225" i="104" l="1"/>
  <c r="B225" i="104" s="1"/>
  <c r="D226" i="104"/>
  <c r="E227" i="104"/>
  <c r="C226" i="104"/>
  <c r="C227" i="104" l="1"/>
  <c r="E228" i="104"/>
  <c r="D227" i="104"/>
  <c r="A226" i="104"/>
  <c r="B226" i="104" s="1"/>
  <c r="D228" i="104" l="1"/>
  <c r="A227" i="104"/>
  <c r="B227" i="104" s="1"/>
  <c r="E229" i="104"/>
  <c r="C228" i="104"/>
  <c r="E230" i="104" l="1"/>
  <c r="C229" i="104"/>
  <c r="A228" i="104"/>
  <c r="B228" i="104" s="1"/>
  <c r="D229" i="104"/>
  <c r="A229" i="104" l="1"/>
  <c r="B229" i="104" s="1"/>
  <c r="D230" i="104"/>
  <c r="E231" i="104"/>
  <c r="C230" i="104"/>
  <c r="C231" i="104" l="1"/>
  <c r="E232" i="104"/>
  <c r="A230" i="104"/>
  <c r="B230" i="104" s="1"/>
  <c r="D231" i="104"/>
  <c r="D232" i="104" l="1"/>
  <c r="A231" i="104"/>
  <c r="B231" i="104" s="1"/>
  <c r="C232" i="104"/>
  <c r="E233" i="104"/>
  <c r="E234" i="104" l="1"/>
  <c r="C233" i="104"/>
  <c r="A232" i="104"/>
  <c r="B232" i="104" s="1"/>
  <c r="D233" i="104"/>
  <c r="A233" i="104" l="1"/>
  <c r="B233" i="104" s="1"/>
  <c r="D234" i="104"/>
  <c r="E235" i="104"/>
  <c r="C234" i="104"/>
  <c r="C235" i="104" l="1"/>
  <c r="E236" i="104"/>
  <c r="D235" i="104"/>
  <c r="A234" i="104"/>
  <c r="B234" i="104" s="1"/>
  <c r="D236" i="104" l="1"/>
  <c r="A235" i="104"/>
  <c r="B235" i="104" s="1"/>
  <c r="E237" i="104"/>
  <c r="C236" i="104"/>
  <c r="C237" i="104" l="1"/>
  <c r="E238" i="104"/>
  <c r="A236" i="104"/>
  <c r="B236" i="104" s="1"/>
  <c r="D237" i="104"/>
  <c r="A237" i="104" l="1"/>
  <c r="B237" i="104" s="1"/>
  <c r="D238" i="104"/>
  <c r="E239" i="104"/>
  <c r="C238" i="104"/>
  <c r="C239" i="104" l="1"/>
  <c r="E240" i="104"/>
  <c r="A238" i="104"/>
  <c r="B238" i="104" s="1"/>
  <c r="D239" i="104"/>
  <c r="D240" i="104" l="1"/>
  <c r="A239" i="104"/>
  <c r="B239" i="104" s="1"/>
  <c r="E241" i="104"/>
  <c r="C240" i="104"/>
  <c r="C241" i="104" l="1"/>
  <c r="E242" i="104"/>
  <c r="A240" i="104"/>
  <c r="B240" i="104" s="1"/>
  <c r="D241" i="104"/>
  <c r="A241" i="104" l="1"/>
  <c r="B241" i="104" s="1"/>
  <c r="D242" i="104"/>
  <c r="E243" i="104"/>
  <c r="C242" i="104"/>
  <c r="C243" i="104" l="1"/>
  <c r="E244" i="104"/>
  <c r="D243" i="104"/>
  <c r="A242" i="104"/>
  <c r="B242" i="104" s="1"/>
  <c r="D244" i="104" l="1"/>
  <c r="A243" i="104"/>
  <c r="B243" i="104" s="1"/>
  <c r="C244" i="104"/>
  <c r="E245" i="104"/>
  <c r="C245" i="104" l="1"/>
  <c r="E246" i="104"/>
  <c r="D245" i="104"/>
  <c r="A244" i="104"/>
  <c r="B244" i="104" s="1"/>
  <c r="A245" i="104" l="1"/>
  <c r="B245" i="104" s="1"/>
  <c r="D246" i="104"/>
  <c r="E247" i="104"/>
  <c r="C246" i="104"/>
  <c r="C247" i="104" l="1"/>
  <c r="E248" i="104"/>
  <c r="D247" i="104"/>
  <c r="A246" i="104"/>
  <c r="B246" i="104" s="1"/>
  <c r="D248" i="104" l="1"/>
  <c r="A247" i="104"/>
  <c r="B247" i="104" s="1"/>
  <c r="C248" i="104"/>
  <c r="E249" i="104"/>
  <c r="C249" i="104" l="1"/>
  <c r="E250" i="104"/>
  <c r="A248" i="104"/>
  <c r="B248" i="104" s="1"/>
  <c r="D249" i="104"/>
  <c r="A249" i="104" l="1"/>
  <c r="B249" i="104" s="1"/>
  <c r="D250" i="104"/>
  <c r="E251" i="104"/>
  <c r="C250" i="104"/>
  <c r="C251" i="104" l="1"/>
  <c r="E252" i="104"/>
  <c r="D251" i="104"/>
  <c r="A250" i="104"/>
  <c r="B250" i="104" s="1"/>
  <c r="D252" i="104" l="1"/>
  <c r="A251" i="104"/>
  <c r="B251" i="104" s="1"/>
  <c r="C252" i="104"/>
  <c r="E253" i="104"/>
  <c r="E254" i="104" l="1"/>
  <c r="C253" i="104"/>
  <c r="D253" i="104"/>
  <c r="A252" i="104"/>
  <c r="B252" i="104" s="1"/>
  <c r="A253" i="104" l="1"/>
  <c r="B253" i="104" s="1"/>
  <c r="D254" i="104"/>
  <c r="E255" i="104"/>
  <c r="C254" i="104"/>
  <c r="C255" i="104" l="1"/>
  <c r="E256" i="104"/>
  <c r="D255" i="104"/>
  <c r="A254" i="104"/>
  <c r="B254" i="104" s="1"/>
  <c r="D256" i="104" l="1"/>
  <c r="A255" i="104"/>
  <c r="B255" i="104" s="1"/>
  <c r="C256" i="104"/>
  <c r="E257" i="104"/>
  <c r="C257" i="104" l="1"/>
  <c r="E258" i="104"/>
  <c r="A256" i="104"/>
  <c r="B256" i="104" s="1"/>
  <c r="D257" i="104"/>
  <c r="A257" i="104" l="1"/>
  <c r="B257" i="104" s="1"/>
  <c r="D258" i="104"/>
  <c r="E259" i="104"/>
  <c r="C258" i="104"/>
  <c r="C259" i="104" l="1"/>
  <c r="E260" i="104"/>
  <c r="D259" i="104"/>
  <c r="A258" i="104"/>
  <c r="B258" i="104" s="1"/>
  <c r="D260" i="104" l="1"/>
  <c r="A259" i="104"/>
  <c r="B259" i="104" s="1"/>
  <c r="E261" i="104"/>
  <c r="C260" i="104"/>
  <c r="E262" i="104" l="1"/>
  <c r="C261" i="104"/>
  <c r="A260" i="104"/>
  <c r="B260" i="104" s="1"/>
  <c r="D261" i="104"/>
  <c r="A261" i="104" l="1"/>
  <c r="B261" i="104" s="1"/>
  <c r="D262" i="104"/>
  <c r="E263" i="104"/>
  <c r="C262" i="104"/>
  <c r="C263" i="104" l="1"/>
  <c r="E264" i="104"/>
  <c r="A262" i="104"/>
  <c r="B262" i="104" s="1"/>
  <c r="D263" i="104"/>
  <c r="D264" i="104" l="1"/>
  <c r="A263" i="104"/>
  <c r="B263" i="104" s="1"/>
  <c r="E265" i="104"/>
  <c r="C264" i="104"/>
  <c r="E266" i="104" l="1"/>
  <c r="C265" i="104"/>
  <c r="A264" i="104"/>
  <c r="B264" i="104" s="1"/>
  <c r="D265" i="104"/>
  <c r="A265" i="104" l="1"/>
  <c r="B265" i="104" s="1"/>
  <c r="D266" i="104"/>
  <c r="E267" i="104"/>
  <c r="C266" i="104"/>
  <c r="C267" i="104" l="1"/>
  <c r="E268" i="104"/>
  <c r="D267" i="104"/>
  <c r="A266" i="104"/>
  <c r="B266" i="104" s="1"/>
  <c r="D268" i="104" l="1"/>
  <c r="A267" i="104"/>
  <c r="B267" i="104" s="1"/>
  <c r="E269" i="104"/>
  <c r="C268" i="104"/>
  <c r="C269" i="104" l="1"/>
  <c r="E270" i="104"/>
  <c r="A268" i="104"/>
  <c r="B268" i="104" s="1"/>
  <c r="D269" i="104"/>
  <c r="A269" i="104" l="1"/>
  <c r="B269" i="104" s="1"/>
  <c r="D270" i="104"/>
  <c r="E271" i="104"/>
  <c r="C270" i="104"/>
  <c r="C271" i="104" l="1"/>
  <c r="E272" i="104"/>
  <c r="A270" i="104"/>
  <c r="B270" i="104" s="1"/>
  <c r="D271" i="104"/>
  <c r="D272" i="104" l="1"/>
  <c r="A271" i="104"/>
  <c r="B271" i="104" s="1"/>
  <c r="E273" i="104"/>
  <c r="C272" i="104"/>
  <c r="C273" i="104" l="1"/>
  <c r="E274" i="104"/>
  <c r="A272" i="104"/>
  <c r="B272" i="104" s="1"/>
  <c r="D273" i="104"/>
  <c r="A273" i="104" l="1"/>
  <c r="B273" i="104" s="1"/>
  <c r="D274" i="104"/>
  <c r="E275" i="104"/>
  <c r="C274" i="104"/>
  <c r="C275" i="104" l="1"/>
  <c r="E276" i="104"/>
  <c r="D275" i="104"/>
  <c r="A274" i="104"/>
  <c r="B274" i="104" s="1"/>
  <c r="D276" i="104" l="1"/>
  <c r="A275" i="104"/>
  <c r="B275" i="104" s="1"/>
  <c r="C276" i="104"/>
  <c r="E277" i="104"/>
  <c r="C277" i="104" l="1"/>
  <c r="E278" i="104"/>
  <c r="D277" i="104"/>
  <c r="A276" i="104"/>
  <c r="B276" i="104" s="1"/>
  <c r="A277" i="104" l="1"/>
  <c r="B277" i="104" s="1"/>
  <c r="D278" i="104"/>
  <c r="E279" i="104"/>
  <c r="C278" i="104"/>
  <c r="C279" i="104" l="1"/>
  <c r="E280" i="104"/>
  <c r="D279" i="104"/>
  <c r="A278" i="104"/>
  <c r="B278" i="104" s="1"/>
  <c r="D280" i="104" l="1"/>
  <c r="A279" i="104"/>
  <c r="B279" i="104" s="1"/>
  <c r="C280" i="104"/>
  <c r="E281" i="104"/>
  <c r="C281" i="104" l="1"/>
  <c r="E282" i="104"/>
  <c r="A280" i="104"/>
  <c r="B280" i="104" s="1"/>
  <c r="D281" i="104"/>
  <c r="A281" i="104" l="1"/>
  <c r="B281" i="104" s="1"/>
  <c r="D282" i="104"/>
  <c r="E283" i="104"/>
  <c r="C282" i="104"/>
  <c r="C283" i="104" l="1"/>
  <c r="E284" i="104"/>
  <c r="D283" i="104"/>
  <c r="A282" i="104"/>
  <c r="B282" i="104" s="1"/>
  <c r="D284" i="104" l="1"/>
  <c r="A283" i="104"/>
  <c r="B283" i="104" s="1"/>
  <c r="E285" i="104"/>
  <c r="C284" i="104"/>
  <c r="E286" i="104" l="1"/>
  <c r="C285" i="104"/>
  <c r="D285" i="104"/>
  <c r="A284" i="104"/>
  <c r="B284" i="104" s="1"/>
  <c r="A285" i="104" l="1"/>
  <c r="B285" i="104" s="1"/>
  <c r="D286" i="104"/>
  <c r="E287" i="104"/>
  <c r="C286" i="104"/>
  <c r="C287" i="104" l="1"/>
  <c r="E288" i="104"/>
  <c r="A286" i="104"/>
  <c r="B286" i="104" s="1"/>
  <c r="D287" i="104"/>
  <c r="D288" i="104" l="1"/>
  <c r="A287" i="104"/>
  <c r="B287" i="104" s="1"/>
  <c r="C288" i="104"/>
  <c r="E289" i="104"/>
  <c r="E290" i="104" l="1"/>
  <c r="C289" i="104"/>
  <c r="A288" i="104"/>
  <c r="B288" i="104" s="1"/>
  <c r="D289" i="104"/>
  <c r="A289" i="104" l="1"/>
  <c r="B289" i="104" s="1"/>
  <c r="D290" i="104"/>
  <c r="E291" i="104"/>
  <c r="C290" i="104"/>
  <c r="C291" i="104" l="1"/>
  <c r="E292" i="104"/>
  <c r="D291" i="104"/>
  <c r="A290" i="104"/>
  <c r="B290" i="104" s="1"/>
  <c r="D292" i="104" l="1"/>
  <c r="A291" i="104"/>
  <c r="B291" i="104" s="1"/>
  <c r="E293" i="104"/>
  <c r="C292" i="104"/>
  <c r="E294" i="104" l="1"/>
  <c r="C293" i="104"/>
  <c r="D293" i="104"/>
  <c r="A292" i="104"/>
  <c r="B292" i="104" s="1"/>
  <c r="A293" i="104" l="1"/>
  <c r="B293" i="104" s="1"/>
  <c r="D294" i="104"/>
  <c r="E295" i="104"/>
  <c r="C294" i="104"/>
  <c r="C295" i="104" l="1"/>
  <c r="E296" i="104"/>
  <c r="A294" i="104"/>
  <c r="B294" i="104" s="1"/>
  <c r="D295" i="104"/>
  <c r="D296" i="104" l="1"/>
  <c r="A295" i="104"/>
  <c r="B295" i="104" s="1"/>
  <c r="C296" i="104"/>
  <c r="E297" i="104"/>
  <c r="E298" i="104" l="1"/>
  <c r="C297" i="104"/>
  <c r="A296" i="104"/>
  <c r="B296" i="104" s="1"/>
  <c r="D297" i="104"/>
  <c r="A297" i="104" l="1"/>
  <c r="B297" i="104" s="1"/>
  <c r="D298" i="104"/>
  <c r="E299" i="104"/>
  <c r="C298" i="104"/>
  <c r="C299" i="104" l="1"/>
  <c r="E300" i="104"/>
  <c r="D299" i="104"/>
  <c r="A298" i="104"/>
  <c r="B298" i="104" s="1"/>
  <c r="D300" i="104" l="1"/>
  <c r="A299" i="104"/>
  <c r="B299" i="104" s="1"/>
  <c r="E301" i="104"/>
  <c r="C300" i="104"/>
  <c r="C301" i="104" l="1"/>
  <c r="E302" i="104"/>
  <c r="A300" i="104"/>
  <c r="B300" i="104" s="1"/>
  <c r="D301" i="104"/>
  <c r="A301" i="104" l="1"/>
  <c r="B301" i="104" s="1"/>
  <c r="D302" i="104"/>
  <c r="E303" i="104"/>
  <c r="C302" i="104"/>
  <c r="C303" i="104" l="1"/>
  <c r="E304" i="104"/>
  <c r="A302" i="104"/>
  <c r="B302" i="104" s="1"/>
  <c r="D303" i="104"/>
  <c r="D304" i="104" l="1"/>
  <c r="A303" i="104"/>
  <c r="B303" i="104" s="1"/>
  <c r="E305" i="104"/>
  <c r="C304" i="104"/>
  <c r="C305" i="104" l="1"/>
  <c r="E306" i="104"/>
  <c r="A304" i="104"/>
  <c r="B304" i="104" s="1"/>
  <c r="D305" i="104"/>
  <c r="A305" i="104" l="1"/>
  <c r="B305" i="104" s="1"/>
  <c r="D306" i="104"/>
  <c r="E307" i="104"/>
  <c r="C306" i="104"/>
  <c r="C307" i="104" l="1"/>
  <c r="E308" i="104"/>
  <c r="D307" i="104"/>
  <c r="A306" i="104"/>
  <c r="B306" i="104" s="1"/>
  <c r="D308" i="104" l="1"/>
  <c r="A307" i="104"/>
  <c r="B307" i="104" s="1"/>
  <c r="C308" i="104"/>
  <c r="E309" i="104"/>
  <c r="C309" i="104" l="1"/>
  <c r="E310" i="104"/>
  <c r="D309" i="104"/>
  <c r="A308" i="104"/>
  <c r="B308" i="104" s="1"/>
  <c r="A309" i="104" l="1"/>
  <c r="B309" i="104" s="1"/>
  <c r="D310" i="104"/>
  <c r="E311" i="104"/>
  <c r="C310" i="104"/>
  <c r="C311" i="104" l="1"/>
  <c r="E312" i="104"/>
  <c r="D311" i="104"/>
  <c r="A310" i="104"/>
  <c r="B310" i="104" s="1"/>
  <c r="D312" i="104" l="1"/>
  <c r="A311" i="104"/>
  <c r="B311" i="104" s="1"/>
  <c r="C312" i="104"/>
  <c r="E313" i="104"/>
  <c r="C313" i="104" l="1"/>
  <c r="E314" i="104"/>
  <c r="A312" i="104"/>
  <c r="B312" i="104" s="1"/>
  <c r="D313" i="104"/>
  <c r="A313" i="104" l="1"/>
  <c r="B313" i="104" s="1"/>
  <c r="D314" i="104"/>
  <c r="E315" i="104"/>
  <c r="C314" i="104"/>
  <c r="C315" i="104" l="1"/>
  <c r="E316" i="104"/>
  <c r="D315" i="104"/>
  <c r="A314" i="104"/>
  <c r="B314" i="104" s="1"/>
  <c r="D316" i="104" l="1"/>
  <c r="A315" i="104"/>
  <c r="B315" i="104" s="1"/>
  <c r="C316" i="104"/>
  <c r="E317" i="104"/>
  <c r="E318" i="104" l="1"/>
  <c r="C317" i="104"/>
  <c r="D317" i="104"/>
  <c r="A316" i="104"/>
  <c r="B316" i="104" s="1"/>
  <c r="A317" i="104" l="1"/>
  <c r="B317" i="104" s="1"/>
  <c r="D318" i="104"/>
  <c r="E319" i="104"/>
  <c r="C318" i="104"/>
  <c r="C319" i="104" l="1"/>
  <c r="E320" i="104"/>
  <c r="A318" i="104"/>
  <c r="B318" i="104" s="1"/>
  <c r="D319" i="104"/>
  <c r="D320" i="104" l="1"/>
  <c r="A319" i="104"/>
  <c r="B319" i="104" s="1"/>
  <c r="C320" i="104"/>
  <c r="E321" i="104"/>
  <c r="C321" i="104" l="1"/>
  <c r="E322" i="104"/>
  <c r="A320" i="104"/>
  <c r="B320" i="104" s="1"/>
  <c r="D321" i="104"/>
  <c r="A321" i="104" l="1"/>
  <c r="B321" i="104" s="1"/>
  <c r="D322" i="104"/>
  <c r="E323" i="104"/>
  <c r="C322" i="104"/>
  <c r="C323" i="104" l="1"/>
  <c r="E324" i="104"/>
  <c r="D323" i="104"/>
  <c r="A322" i="104"/>
  <c r="B322" i="104" s="1"/>
  <c r="D324" i="104" l="1"/>
  <c r="A323" i="104"/>
  <c r="B323" i="104" s="1"/>
  <c r="E325" i="104"/>
  <c r="C324" i="104"/>
  <c r="E326" i="104" l="1"/>
  <c r="C325" i="104"/>
  <c r="A324" i="104"/>
  <c r="B324" i="104" s="1"/>
  <c r="D325" i="104"/>
  <c r="A325" i="104" l="1"/>
  <c r="B325" i="104" s="1"/>
  <c r="D326" i="104"/>
  <c r="E327" i="104"/>
  <c r="C326" i="104"/>
  <c r="C327" i="104" l="1"/>
  <c r="E328" i="104"/>
  <c r="D327" i="104"/>
  <c r="A326" i="104"/>
  <c r="B326" i="104" s="1"/>
  <c r="D328" i="104" l="1"/>
  <c r="A327" i="104"/>
  <c r="B327" i="104" s="1"/>
  <c r="E329" i="104"/>
  <c r="C328" i="104"/>
  <c r="E330" i="104" l="1"/>
  <c r="C329" i="104"/>
  <c r="A328" i="104"/>
  <c r="B328" i="104" s="1"/>
  <c r="D329" i="104"/>
  <c r="A329" i="104" l="1"/>
  <c r="B329" i="104" s="1"/>
  <c r="D330" i="104"/>
  <c r="E331" i="104"/>
  <c r="C330" i="104"/>
  <c r="C331" i="104" l="1"/>
  <c r="E332" i="104"/>
  <c r="D331" i="104"/>
  <c r="A330" i="104"/>
  <c r="B330" i="104" s="1"/>
  <c r="D332" i="104" l="1"/>
  <c r="A331" i="104"/>
  <c r="B331" i="104" s="1"/>
  <c r="E333" i="104"/>
  <c r="C332" i="104"/>
  <c r="C333" i="104" l="1"/>
  <c r="E334" i="104"/>
  <c r="A332" i="104"/>
  <c r="B332" i="104" s="1"/>
  <c r="D333" i="104"/>
  <c r="A333" i="104" l="1"/>
  <c r="B333" i="104" s="1"/>
  <c r="D334" i="104"/>
  <c r="E335" i="104"/>
  <c r="C334" i="104"/>
  <c r="C335" i="104" l="1"/>
  <c r="E336" i="104"/>
  <c r="A334" i="104"/>
  <c r="B334" i="104" s="1"/>
  <c r="D335" i="104"/>
  <c r="D336" i="104" l="1"/>
  <c r="A335" i="104"/>
  <c r="B335" i="104" s="1"/>
  <c r="E337" i="104"/>
  <c r="C336" i="104"/>
  <c r="C337" i="104" l="1"/>
  <c r="E338" i="104"/>
  <c r="A336" i="104"/>
  <c r="B336" i="104" s="1"/>
  <c r="D337" i="104"/>
  <c r="A337" i="104" l="1"/>
  <c r="B337" i="104" s="1"/>
  <c r="D338" i="104"/>
  <c r="E339" i="104"/>
  <c r="C338" i="104"/>
  <c r="C339" i="104" l="1"/>
  <c r="E340" i="104"/>
  <c r="D339" i="104"/>
  <c r="A338" i="104"/>
  <c r="B338" i="104" s="1"/>
  <c r="D340" i="104" l="1"/>
  <c r="A339" i="104"/>
  <c r="B339" i="104" s="1"/>
  <c r="C340" i="104"/>
  <c r="E341" i="104"/>
  <c r="C341" i="104" l="1"/>
  <c r="E342" i="104"/>
  <c r="D341" i="104"/>
  <c r="A340" i="104"/>
  <c r="B340" i="104" s="1"/>
  <c r="A341" i="104" l="1"/>
  <c r="B341" i="104" s="1"/>
  <c r="D342" i="104"/>
  <c r="E343" i="104"/>
  <c r="C342" i="104"/>
  <c r="C343" i="104" l="1"/>
  <c r="E344" i="104"/>
  <c r="D343" i="104"/>
  <c r="A342" i="104"/>
  <c r="B342" i="104" s="1"/>
  <c r="D344" i="104" l="1"/>
  <c r="A343" i="104"/>
  <c r="B343" i="104" s="1"/>
  <c r="C344" i="104"/>
  <c r="E345" i="104"/>
  <c r="C345" i="104" l="1"/>
  <c r="E346" i="104"/>
  <c r="A344" i="104"/>
  <c r="B344" i="104" s="1"/>
  <c r="D345" i="104"/>
  <c r="A345" i="104" l="1"/>
  <c r="B345" i="104" s="1"/>
  <c r="D346" i="104"/>
  <c r="E347" i="104"/>
  <c r="C346" i="104"/>
  <c r="C347" i="104" l="1"/>
  <c r="E348" i="104"/>
  <c r="D347" i="104"/>
  <c r="A346" i="104"/>
  <c r="B346" i="104" s="1"/>
  <c r="D348" i="104" l="1"/>
  <c r="A347" i="104"/>
  <c r="B347" i="104" s="1"/>
  <c r="C348" i="104"/>
  <c r="E349" i="104"/>
  <c r="E350" i="104" l="1"/>
  <c r="C349" i="104"/>
  <c r="D349" i="104"/>
  <c r="A348" i="104"/>
  <c r="B348" i="104" s="1"/>
  <c r="A349" i="104" l="1"/>
  <c r="B349" i="104" s="1"/>
  <c r="D350" i="104"/>
  <c r="E351" i="104"/>
  <c r="C350" i="104"/>
  <c r="C351" i="104" l="1"/>
  <c r="E352" i="104"/>
  <c r="D351" i="104"/>
  <c r="A350" i="104"/>
  <c r="B350" i="104" s="1"/>
  <c r="D352" i="104" l="1"/>
  <c r="A351" i="104"/>
  <c r="B351" i="104" s="1"/>
  <c r="C352" i="104"/>
  <c r="E353" i="104"/>
  <c r="E354" i="104" l="1"/>
  <c r="C353" i="104"/>
  <c r="A352" i="104"/>
  <c r="B352" i="104" s="1"/>
  <c r="D353" i="104"/>
  <c r="A353" i="104" l="1"/>
  <c r="B353" i="104" s="1"/>
  <c r="D354" i="104"/>
  <c r="E355" i="104"/>
  <c r="C354" i="104"/>
  <c r="C355" i="104" l="1"/>
  <c r="E356" i="104"/>
  <c r="D355" i="104"/>
  <c r="A354" i="104"/>
  <c r="B354" i="104" s="1"/>
  <c r="D356" i="104" l="1"/>
  <c r="A355" i="104"/>
  <c r="B355" i="104" s="1"/>
  <c r="E357" i="104"/>
  <c r="C356" i="104"/>
  <c r="E358" i="104" l="1"/>
  <c r="C357" i="104"/>
  <c r="D357" i="104"/>
  <c r="A356" i="104"/>
  <c r="B356" i="104" s="1"/>
  <c r="A357" i="104" l="1"/>
  <c r="B357" i="104" s="1"/>
  <c r="D358" i="104"/>
  <c r="E359" i="104"/>
  <c r="C358" i="104"/>
  <c r="C359" i="104" l="1"/>
  <c r="E360" i="104"/>
  <c r="A358" i="104"/>
  <c r="B358" i="104" s="1"/>
  <c r="D359" i="104"/>
  <c r="D360" i="104" l="1"/>
  <c r="A359" i="104"/>
  <c r="B359" i="104" s="1"/>
  <c r="C360" i="104"/>
  <c r="E361" i="104"/>
  <c r="E362" i="104" l="1"/>
  <c r="C361" i="104"/>
  <c r="A360" i="104"/>
  <c r="B360" i="104" s="1"/>
  <c r="D361" i="104"/>
  <c r="A361" i="104" l="1"/>
  <c r="B361" i="104" s="1"/>
  <c r="D362" i="104"/>
  <c r="E363" i="104"/>
  <c r="C362" i="104"/>
  <c r="C363" i="104" l="1"/>
  <c r="E364" i="104"/>
  <c r="D363" i="104"/>
  <c r="A362" i="104"/>
  <c r="B362" i="104" s="1"/>
  <c r="D364" i="104" l="1"/>
  <c r="A363" i="104"/>
  <c r="B363" i="104" s="1"/>
  <c r="E365" i="104"/>
  <c r="C364" i="104"/>
  <c r="C365" i="104" l="1"/>
  <c r="E366" i="104"/>
  <c r="A364" i="104"/>
  <c r="B364" i="104" s="1"/>
  <c r="D365" i="104"/>
  <c r="A365" i="104" l="1"/>
  <c r="B365" i="104" s="1"/>
  <c r="D366" i="104"/>
  <c r="E367" i="104"/>
  <c r="C366" i="104"/>
  <c r="C367" i="104" l="1"/>
  <c r="E368" i="104"/>
  <c r="A366" i="104"/>
  <c r="B366" i="104" s="1"/>
  <c r="D367" i="104"/>
  <c r="D368" i="104" l="1"/>
  <c r="A367" i="104"/>
  <c r="B367" i="104" s="1"/>
  <c r="E369" i="104"/>
  <c r="C368" i="104"/>
  <c r="C369" i="104" l="1"/>
  <c r="E370" i="104"/>
  <c r="A368" i="104"/>
  <c r="B368" i="104" s="1"/>
  <c r="D369" i="104"/>
  <c r="A369" i="104" l="1"/>
  <c r="B369" i="104" s="1"/>
  <c r="D370" i="104"/>
  <c r="E371" i="104"/>
  <c r="C370" i="104"/>
  <c r="C371" i="104" l="1"/>
  <c r="E372" i="104"/>
  <c r="D371" i="104"/>
  <c r="A370" i="104"/>
  <c r="B370" i="104" s="1"/>
  <c r="D372" i="104" l="1"/>
  <c r="A371" i="104"/>
  <c r="B371" i="104" s="1"/>
  <c r="C372" i="104"/>
  <c r="E373" i="104"/>
  <c r="C373" i="104" l="1"/>
  <c r="E374" i="104"/>
  <c r="A372" i="104"/>
  <c r="B372" i="104" s="1"/>
  <c r="D373" i="104"/>
  <c r="A373" i="104" l="1"/>
  <c r="B373" i="104" s="1"/>
  <c r="D374" i="104"/>
  <c r="E375" i="104"/>
  <c r="C374" i="104"/>
  <c r="C375" i="104" l="1"/>
  <c r="E376" i="104"/>
  <c r="D375" i="104"/>
  <c r="A374" i="104"/>
  <c r="B374" i="104" s="1"/>
  <c r="D376" i="104" l="1"/>
  <c r="A375" i="104"/>
  <c r="B375" i="104" s="1"/>
  <c r="C376" i="104"/>
  <c r="E377" i="104"/>
  <c r="C377" i="104" l="1"/>
  <c r="E378" i="104"/>
  <c r="A376" i="104"/>
  <c r="B376" i="104" s="1"/>
  <c r="D377" i="104"/>
  <c r="A377" i="104" l="1"/>
  <c r="B377" i="104" s="1"/>
  <c r="D378" i="104"/>
  <c r="E379" i="104"/>
  <c r="C378" i="104"/>
  <c r="C379" i="104" l="1"/>
  <c r="E380" i="104"/>
  <c r="D379" i="104"/>
  <c r="A378" i="104"/>
  <c r="B378" i="104" s="1"/>
  <c r="D380" i="104" l="1"/>
  <c r="A379" i="104"/>
  <c r="B379" i="104" s="1"/>
  <c r="C380" i="104"/>
  <c r="E381" i="104"/>
  <c r="E382" i="104" l="1"/>
  <c r="C381" i="104"/>
  <c r="D381" i="104"/>
  <c r="A380" i="104"/>
  <c r="B380" i="104" s="1"/>
  <c r="A381" i="104" l="1"/>
  <c r="B381" i="104" s="1"/>
  <c r="D382" i="104"/>
  <c r="E383" i="104"/>
  <c r="C382" i="104"/>
  <c r="C383" i="104" l="1"/>
  <c r="E384" i="104"/>
  <c r="A382" i="104"/>
  <c r="B382" i="104" s="1"/>
  <c r="D383" i="104"/>
  <c r="D384" i="104" l="1"/>
  <c r="A383" i="104"/>
  <c r="B383" i="104" s="1"/>
  <c r="C384" i="104"/>
  <c r="E385" i="104"/>
  <c r="C385" i="104" l="1"/>
  <c r="E386" i="104"/>
  <c r="A384" i="104"/>
  <c r="B384" i="104" s="1"/>
  <c r="D385" i="104"/>
  <c r="A385" i="104" l="1"/>
  <c r="B385" i="104" s="1"/>
  <c r="D386" i="104"/>
  <c r="E387" i="104"/>
  <c r="C386" i="104"/>
  <c r="C387" i="104" l="1"/>
  <c r="E388" i="104"/>
  <c r="D387" i="104"/>
  <c r="A386" i="104"/>
  <c r="B386" i="104" s="1"/>
  <c r="D388" i="104" l="1"/>
  <c r="A387" i="104"/>
  <c r="B387" i="104" s="1"/>
  <c r="E389" i="104"/>
  <c r="C388" i="104"/>
  <c r="E390" i="104" l="1"/>
  <c r="C389" i="104"/>
  <c r="A388" i="104"/>
  <c r="B388" i="104" s="1"/>
  <c r="D389" i="104"/>
  <c r="A389" i="104" l="1"/>
  <c r="B389" i="104" s="1"/>
  <c r="D390" i="104"/>
  <c r="E391" i="104"/>
  <c r="C390" i="104"/>
  <c r="C391" i="104" l="1"/>
  <c r="E392" i="104"/>
  <c r="D391" i="104"/>
  <c r="A390" i="104"/>
  <c r="B390" i="104" s="1"/>
  <c r="D392" i="104" l="1"/>
  <c r="A391" i="104"/>
  <c r="B391" i="104" s="1"/>
  <c r="E393" i="104"/>
  <c r="C392" i="104"/>
  <c r="E394" i="104" l="1"/>
  <c r="C393" i="104"/>
  <c r="A392" i="104"/>
  <c r="B392" i="104" s="1"/>
  <c r="D393" i="104"/>
  <c r="A393" i="104" l="1"/>
  <c r="B393" i="104" s="1"/>
  <c r="D394" i="104"/>
  <c r="E395" i="104"/>
  <c r="C394" i="104"/>
  <c r="C395" i="104" l="1"/>
  <c r="E396" i="104"/>
  <c r="D395" i="104"/>
  <c r="A394" i="104"/>
  <c r="B394" i="104" s="1"/>
  <c r="D396" i="104" l="1"/>
  <c r="A395" i="104"/>
  <c r="B395" i="104" s="1"/>
  <c r="E397" i="104"/>
  <c r="C396" i="104"/>
  <c r="C397" i="104" l="1"/>
  <c r="E398" i="104"/>
  <c r="A396" i="104"/>
  <c r="B396" i="104" s="1"/>
  <c r="D397" i="104"/>
  <c r="A397" i="104" l="1"/>
  <c r="B397" i="104" s="1"/>
  <c r="D398" i="104"/>
  <c r="E399" i="104"/>
  <c r="C398" i="104"/>
  <c r="C399" i="104" l="1"/>
  <c r="E400" i="104"/>
  <c r="A398" i="104"/>
  <c r="B398" i="104" s="1"/>
  <c r="D399" i="104"/>
  <c r="D400" i="104" l="1"/>
  <c r="A399" i="104"/>
  <c r="B399" i="104" s="1"/>
  <c r="E401" i="104"/>
  <c r="C400" i="104"/>
  <c r="C401" i="104" l="1"/>
  <c r="E402" i="104"/>
  <c r="A400" i="104"/>
  <c r="B400" i="104" s="1"/>
  <c r="D401" i="104"/>
  <c r="A401" i="104" l="1"/>
  <c r="B401" i="104" s="1"/>
  <c r="D402" i="104"/>
  <c r="E403" i="104"/>
  <c r="C402" i="104"/>
  <c r="C403" i="104" l="1"/>
  <c r="E404" i="104"/>
  <c r="D403" i="104"/>
  <c r="A402" i="104"/>
  <c r="B402" i="104" s="1"/>
  <c r="D404" i="104" l="1"/>
  <c r="A403" i="104"/>
  <c r="B403" i="104" s="1"/>
  <c r="C404" i="104"/>
  <c r="E405" i="104"/>
  <c r="C405" i="104" l="1"/>
  <c r="E406" i="104"/>
  <c r="D405" i="104"/>
  <c r="A404" i="104"/>
  <c r="B404" i="104" s="1"/>
  <c r="A405" i="104" l="1"/>
  <c r="B405" i="104" s="1"/>
  <c r="D406" i="104"/>
  <c r="E407" i="104"/>
  <c r="C406" i="104"/>
  <c r="C407" i="104" l="1"/>
  <c r="E408" i="104"/>
  <c r="D407" i="104"/>
  <c r="A406" i="104"/>
  <c r="B406" i="104" s="1"/>
  <c r="D408" i="104" l="1"/>
  <c r="A407" i="104"/>
  <c r="B407" i="104" s="1"/>
  <c r="C408" i="104"/>
  <c r="E409" i="104"/>
  <c r="C409" i="104" l="1"/>
  <c r="E410" i="104"/>
  <c r="A408" i="104"/>
  <c r="B408" i="104" s="1"/>
  <c r="D409" i="104"/>
  <c r="A409" i="104" l="1"/>
  <c r="B409" i="104" s="1"/>
  <c r="D410" i="104"/>
  <c r="E411" i="104"/>
  <c r="C410" i="104"/>
  <c r="C411" i="104" l="1"/>
  <c r="E412" i="104"/>
  <c r="D411" i="104"/>
  <c r="A410" i="104"/>
  <c r="B410" i="104" s="1"/>
  <c r="D412" i="104" l="1"/>
  <c r="A411" i="104"/>
  <c r="B411" i="104" s="1"/>
  <c r="C412" i="104"/>
  <c r="E413" i="104"/>
  <c r="E414" i="104" l="1"/>
  <c r="C413" i="104"/>
  <c r="D413" i="104"/>
  <c r="A412" i="104"/>
  <c r="B412" i="104" s="1"/>
  <c r="A413" i="104" l="1"/>
  <c r="B413" i="104" s="1"/>
  <c r="D414" i="104"/>
  <c r="E415" i="104"/>
  <c r="C414" i="104"/>
  <c r="C415" i="104" l="1"/>
  <c r="E416" i="104"/>
  <c r="D415" i="104"/>
  <c r="A414" i="104"/>
  <c r="B414" i="104" s="1"/>
  <c r="D416" i="104" l="1"/>
  <c r="A415" i="104"/>
  <c r="B415" i="104" s="1"/>
  <c r="C416" i="104"/>
  <c r="E417" i="104"/>
  <c r="E418" i="104" l="1"/>
  <c r="C417" i="104"/>
  <c r="A416" i="104"/>
  <c r="B416" i="104" s="1"/>
  <c r="D417" i="104"/>
  <c r="A417" i="104" l="1"/>
  <c r="B417" i="104" s="1"/>
  <c r="D418" i="104"/>
  <c r="E419" i="104"/>
  <c r="C418" i="104"/>
  <c r="C419" i="104" l="1"/>
  <c r="E420" i="104"/>
  <c r="D419" i="104"/>
  <c r="A418" i="104"/>
  <c r="B418" i="104" s="1"/>
  <c r="D420" i="104" l="1"/>
  <c r="A419" i="104"/>
  <c r="B419" i="104" s="1"/>
  <c r="E421" i="104"/>
  <c r="C420" i="104"/>
  <c r="E422" i="104" l="1"/>
  <c r="C421" i="104"/>
  <c r="A420" i="104"/>
  <c r="B420" i="104" s="1"/>
  <c r="D421" i="104"/>
  <c r="A421" i="104" l="1"/>
  <c r="B421" i="104" s="1"/>
  <c r="D422" i="104"/>
  <c r="E423" i="104"/>
  <c r="C422" i="104"/>
  <c r="C423" i="104" l="1"/>
  <c r="E424" i="104"/>
  <c r="A422" i="104"/>
  <c r="B422" i="104" s="1"/>
  <c r="D423" i="104"/>
  <c r="D424" i="104" l="1"/>
  <c r="A423" i="104"/>
  <c r="B423" i="104" s="1"/>
  <c r="C424" i="104"/>
  <c r="E425" i="104"/>
  <c r="E426" i="104" l="1"/>
  <c r="C425" i="104"/>
  <c r="A424" i="104"/>
  <c r="B424" i="104" s="1"/>
  <c r="D425" i="104"/>
  <c r="A425" i="104" l="1"/>
  <c r="B425" i="104" s="1"/>
  <c r="D426" i="104"/>
  <c r="E427" i="104"/>
  <c r="C426" i="104"/>
  <c r="C427" i="104" l="1"/>
  <c r="E428" i="104"/>
  <c r="D427" i="104"/>
  <c r="A426" i="104"/>
  <c r="B426" i="104" s="1"/>
  <c r="D428" i="104" l="1"/>
  <c r="A427" i="104"/>
  <c r="B427" i="104" s="1"/>
  <c r="E429" i="104"/>
  <c r="C428" i="104"/>
  <c r="C429" i="104" l="1"/>
  <c r="E430" i="104"/>
  <c r="A428" i="104"/>
  <c r="B428" i="104" s="1"/>
  <c r="D429" i="104"/>
  <c r="A429" i="104" l="1"/>
  <c r="B429" i="104" s="1"/>
  <c r="D430" i="104"/>
  <c r="E431" i="104"/>
  <c r="C430" i="104"/>
  <c r="C431" i="104" l="1"/>
  <c r="E432" i="104"/>
  <c r="A430" i="104"/>
  <c r="B430" i="104" s="1"/>
  <c r="D431" i="104"/>
  <c r="D432" i="104" l="1"/>
  <c r="A431" i="104"/>
  <c r="B431" i="104" s="1"/>
  <c r="E433" i="104"/>
  <c r="C432" i="104"/>
  <c r="C433" i="104" l="1"/>
  <c r="E434" i="104"/>
  <c r="A432" i="104"/>
  <c r="B432" i="104" s="1"/>
  <c r="D433" i="104"/>
  <c r="A433" i="104" l="1"/>
  <c r="B433" i="104" s="1"/>
  <c r="D434" i="104"/>
  <c r="E435" i="104"/>
  <c r="C434" i="104"/>
  <c r="C435" i="104" l="1"/>
  <c r="E436" i="104"/>
  <c r="D435" i="104"/>
  <c r="A434" i="104"/>
  <c r="B434" i="104" s="1"/>
  <c r="D436" i="104" l="1"/>
  <c r="A435" i="104"/>
  <c r="B435" i="104" s="1"/>
  <c r="C436" i="104"/>
  <c r="E437" i="104"/>
  <c r="E438" i="104" l="1"/>
  <c r="C437" i="104"/>
  <c r="A436" i="104"/>
  <c r="B436" i="104" s="1"/>
  <c r="D437" i="104"/>
  <c r="A437" i="104" l="1"/>
  <c r="B437" i="104" s="1"/>
  <c r="D438" i="104"/>
  <c r="E439" i="104"/>
  <c r="C438" i="104"/>
  <c r="C439" i="104" l="1"/>
  <c r="E440" i="104"/>
  <c r="D439" i="104"/>
  <c r="A438" i="104"/>
  <c r="B438" i="104" s="1"/>
  <c r="D440" i="104" l="1"/>
  <c r="A439" i="104"/>
  <c r="B439" i="104" s="1"/>
  <c r="C440" i="104"/>
  <c r="E441" i="104"/>
  <c r="C441" i="104" l="1"/>
  <c r="E442" i="104"/>
  <c r="A440" i="104"/>
  <c r="B440" i="104" s="1"/>
  <c r="D441" i="104"/>
  <c r="A441" i="104" l="1"/>
  <c r="B441" i="104" s="1"/>
  <c r="D442" i="104"/>
  <c r="E443" i="104"/>
  <c r="C442" i="104"/>
  <c r="C443" i="104" l="1"/>
  <c r="E444" i="104"/>
  <c r="D443" i="104"/>
  <c r="A442" i="104"/>
  <c r="B442" i="104" s="1"/>
  <c r="D444" i="104" l="1"/>
  <c r="A443" i="104"/>
  <c r="B443" i="104" s="1"/>
  <c r="C444" i="104"/>
  <c r="E445" i="104"/>
  <c r="E446" i="104" l="1"/>
  <c r="C445" i="104"/>
  <c r="D445" i="104"/>
  <c r="A444" i="104"/>
  <c r="B444" i="104" s="1"/>
  <c r="A445" i="104" l="1"/>
  <c r="B445" i="104" s="1"/>
  <c r="D446" i="104"/>
  <c r="E447" i="104"/>
  <c r="C446" i="104"/>
  <c r="C447" i="104" l="1"/>
  <c r="E448" i="104"/>
  <c r="A446" i="104"/>
  <c r="B446" i="104" s="1"/>
  <c r="D447" i="104"/>
  <c r="D448" i="104" l="1"/>
  <c r="A447" i="104"/>
  <c r="B447" i="104" s="1"/>
  <c r="C448" i="104"/>
  <c r="E449" i="104"/>
  <c r="C449" i="104" l="1"/>
  <c r="E450" i="104"/>
  <c r="A448" i="104"/>
  <c r="B448" i="104" s="1"/>
  <c r="D449" i="104"/>
  <c r="A449" i="104" l="1"/>
  <c r="B449" i="104" s="1"/>
  <c r="D450" i="104"/>
  <c r="E451" i="104"/>
  <c r="C450" i="104"/>
  <c r="C451" i="104" l="1"/>
  <c r="E452" i="104"/>
  <c r="D451" i="104"/>
  <c r="A450" i="104"/>
  <c r="B450" i="104" s="1"/>
  <c r="D452" i="104" l="1"/>
  <c r="A451" i="104"/>
  <c r="B451" i="104" s="1"/>
  <c r="E453" i="104"/>
  <c r="C452" i="104"/>
  <c r="E454" i="104" l="1"/>
  <c r="C453" i="104"/>
  <c r="A452" i="104"/>
  <c r="B452" i="104" s="1"/>
  <c r="D453" i="104"/>
  <c r="A453" i="104" l="1"/>
  <c r="B453" i="104" s="1"/>
  <c r="D454" i="104"/>
  <c r="E455" i="104"/>
  <c r="C454" i="104"/>
  <c r="C455" i="104" l="1"/>
  <c r="E456" i="104"/>
  <c r="A454" i="104"/>
  <c r="B454" i="104" s="1"/>
  <c r="D455" i="104"/>
  <c r="D456" i="104" l="1"/>
  <c r="A455" i="104"/>
  <c r="B455" i="104" s="1"/>
  <c r="E457" i="104"/>
  <c r="C456" i="104"/>
  <c r="E458" i="104" l="1"/>
  <c r="C457" i="104"/>
  <c r="A456" i="104"/>
  <c r="B456" i="104" s="1"/>
  <c r="D457" i="104"/>
  <c r="A457" i="104" l="1"/>
  <c r="B457" i="104" s="1"/>
  <c r="D458" i="104"/>
  <c r="E459" i="104"/>
  <c r="C458" i="104"/>
  <c r="C459" i="104" l="1"/>
  <c r="E460" i="104"/>
  <c r="D459" i="104"/>
  <c r="A458" i="104"/>
  <c r="B458" i="104" s="1"/>
  <c r="D460" i="104" l="1"/>
  <c r="A459" i="104"/>
  <c r="B459" i="104" s="1"/>
  <c r="E461" i="104"/>
  <c r="C460" i="104"/>
  <c r="C461" i="104" l="1"/>
  <c r="E462" i="104"/>
  <c r="A460" i="104"/>
  <c r="B460" i="104" s="1"/>
  <c r="D461" i="104"/>
  <c r="A461" i="104" l="1"/>
  <c r="B461" i="104" s="1"/>
  <c r="D462" i="104"/>
  <c r="E463" i="104"/>
  <c r="C462" i="104"/>
  <c r="C463" i="104" l="1"/>
  <c r="E464" i="104"/>
  <c r="A462" i="104"/>
  <c r="B462" i="104" s="1"/>
  <c r="D463" i="104"/>
  <c r="D464" i="104" l="1"/>
  <c r="A463" i="104"/>
  <c r="B463" i="104" s="1"/>
  <c r="E465" i="104"/>
  <c r="C464" i="104"/>
  <c r="C465" i="104" l="1"/>
  <c r="E466" i="104"/>
  <c r="A464" i="104"/>
  <c r="B464" i="104" s="1"/>
  <c r="D465" i="104"/>
  <c r="A465" i="104" l="1"/>
  <c r="B465" i="104" s="1"/>
  <c r="D466" i="104"/>
  <c r="E467" i="104"/>
  <c r="C466" i="104"/>
  <c r="C467" i="104" l="1"/>
  <c r="E468" i="104"/>
  <c r="D467" i="104"/>
  <c r="A466" i="104"/>
  <c r="B466" i="104" s="1"/>
  <c r="D468" i="104" l="1"/>
  <c r="A467" i="104"/>
  <c r="B467" i="104" s="1"/>
  <c r="C468" i="104"/>
  <c r="E469" i="104"/>
  <c r="C469" i="104" l="1"/>
  <c r="E470" i="104"/>
  <c r="D469" i="104"/>
  <c r="A468" i="104"/>
  <c r="B468" i="104" s="1"/>
  <c r="A469" i="104" l="1"/>
  <c r="B469" i="104" s="1"/>
  <c r="D470" i="104"/>
  <c r="E471" i="104"/>
  <c r="C470" i="104"/>
  <c r="C471" i="104" l="1"/>
  <c r="E472" i="104"/>
  <c r="D471" i="104"/>
  <c r="A470" i="104"/>
  <c r="B470" i="104" s="1"/>
  <c r="A471" i="104" l="1"/>
  <c r="B471" i="104" s="1"/>
  <c r="D472" i="104"/>
  <c r="C472" i="104"/>
  <c r="E473" i="104"/>
  <c r="C473" i="104" l="1"/>
  <c r="E474" i="104"/>
  <c r="A472" i="104"/>
  <c r="B472" i="104" s="1"/>
  <c r="D473" i="104"/>
  <c r="A473" i="104" l="1"/>
  <c r="B473" i="104" s="1"/>
  <c r="D474" i="104"/>
  <c r="E475" i="104"/>
  <c r="C474" i="104"/>
  <c r="C475" i="104" l="1"/>
  <c r="E476" i="104"/>
  <c r="D475" i="104"/>
  <c r="A474" i="104"/>
  <c r="B474" i="104" s="1"/>
  <c r="D476" i="104" l="1"/>
  <c r="A475" i="104"/>
  <c r="B475" i="104" s="1"/>
  <c r="C476" i="104"/>
  <c r="E477" i="104"/>
  <c r="E478" i="104" l="1"/>
  <c r="C477" i="104"/>
  <c r="A476" i="104"/>
  <c r="B476" i="104" s="1"/>
  <c r="D477" i="104"/>
  <c r="D478" i="104" l="1"/>
  <c r="A477" i="104"/>
  <c r="B477" i="104" s="1"/>
  <c r="E479" i="104"/>
  <c r="C478" i="104"/>
  <c r="C479" i="104" l="1"/>
  <c r="E480" i="104"/>
  <c r="D479" i="104"/>
  <c r="A478" i="104"/>
  <c r="B478" i="104" s="1"/>
  <c r="D480" i="104" l="1"/>
  <c r="A479" i="104"/>
  <c r="B479" i="104" s="1"/>
  <c r="C480" i="104"/>
  <c r="E481" i="104"/>
  <c r="E482" i="104" l="1"/>
  <c r="C481" i="104"/>
  <c r="A480" i="104"/>
  <c r="B480" i="104" s="1"/>
  <c r="D481" i="104"/>
  <c r="A481" i="104" l="1"/>
  <c r="B481" i="104" s="1"/>
  <c r="D482" i="104"/>
  <c r="E483" i="104"/>
  <c r="C482" i="104"/>
  <c r="C483" i="104" l="1"/>
  <c r="E484" i="104"/>
  <c r="D483" i="104"/>
  <c r="A482" i="104"/>
  <c r="B482" i="104" s="1"/>
  <c r="D484" i="104" l="1"/>
  <c r="A483" i="104"/>
  <c r="B483" i="104" s="1"/>
  <c r="E485" i="104"/>
  <c r="C484" i="104"/>
  <c r="E486" i="104" l="1"/>
  <c r="C485" i="104"/>
  <c r="D485" i="104"/>
  <c r="A484" i="104"/>
  <c r="B484" i="104" s="1"/>
  <c r="A485" i="104" l="1"/>
  <c r="B485" i="104" s="1"/>
  <c r="D486" i="104"/>
  <c r="E487" i="104"/>
  <c r="C486" i="104"/>
  <c r="C487" i="104" l="1"/>
  <c r="E488" i="104"/>
  <c r="D487" i="104"/>
  <c r="A486" i="104"/>
  <c r="B486" i="104" s="1"/>
  <c r="A487" i="104" l="1"/>
  <c r="B487" i="104" s="1"/>
  <c r="D488" i="104"/>
  <c r="C488" i="104"/>
  <c r="E489" i="104"/>
  <c r="E490" i="104" l="1"/>
  <c r="C489" i="104"/>
  <c r="A488" i="104"/>
  <c r="B488" i="104" s="1"/>
  <c r="D489" i="104"/>
  <c r="A489" i="104" l="1"/>
  <c r="B489" i="104" s="1"/>
  <c r="D490" i="104"/>
  <c r="E491" i="104"/>
  <c r="C490" i="104"/>
  <c r="C491" i="104" l="1"/>
  <c r="E492" i="104"/>
  <c r="D491" i="104"/>
  <c r="A490" i="104"/>
  <c r="B490" i="104" s="1"/>
  <c r="D492" i="104" l="1"/>
  <c r="A491" i="104"/>
  <c r="B491" i="104" s="1"/>
  <c r="E493" i="104"/>
  <c r="C492" i="104"/>
  <c r="C493" i="104" l="1"/>
  <c r="E494" i="104"/>
  <c r="A492" i="104"/>
  <c r="B492" i="104" s="1"/>
  <c r="D493" i="104"/>
  <c r="D494" i="104" l="1"/>
  <c r="A493" i="104"/>
  <c r="B493" i="104" s="1"/>
  <c r="E495" i="104"/>
  <c r="C494" i="104"/>
  <c r="C495" i="104" l="1"/>
  <c r="E496" i="104"/>
  <c r="A494" i="104"/>
  <c r="B494" i="104" s="1"/>
  <c r="D495" i="104"/>
  <c r="D496" i="104" l="1"/>
  <c r="A495" i="104"/>
  <c r="B495" i="104" s="1"/>
  <c r="E497" i="104"/>
  <c r="C496" i="104"/>
  <c r="C497" i="104" l="1"/>
  <c r="E498" i="104"/>
  <c r="A496" i="104"/>
  <c r="B496" i="104" s="1"/>
  <c r="D497" i="104"/>
  <c r="A497" i="104" l="1"/>
  <c r="B497" i="104" s="1"/>
  <c r="D498" i="104"/>
  <c r="E499" i="104"/>
  <c r="C498" i="104"/>
  <c r="C499" i="104" l="1"/>
  <c r="E500" i="104"/>
  <c r="D499" i="104"/>
  <c r="A498" i="104"/>
  <c r="B498" i="104" s="1"/>
  <c r="D500" i="104" l="1"/>
  <c r="A499" i="104"/>
  <c r="B499" i="104" s="1"/>
  <c r="C500" i="104"/>
  <c r="E501" i="104"/>
  <c r="C501" i="104" l="1"/>
  <c r="E502" i="104"/>
  <c r="D501" i="104"/>
  <c r="A500" i="104"/>
  <c r="B500" i="104" s="1"/>
  <c r="A501" i="104" l="1"/>
  <c r="B501" i="104" s="1"/>
  <c r="D502" i="104"/>
  <c r="E503" i="104"/>
  <c r="C502" i="104"/>
  <c r="C503" i="104" l="1"/>
  <c r="E504" i="104"/>
  <c r="D503" i="104"/>
  <c r="A502" i="104"/>
  <c r="B502" i="104" s="1"/>
  <c r="D504" i="104" l="1"/>
  <c r="A503" i="104"/>
  <c r="B503" i="104" s="1"/>
  <c r="C504" i="104"/>
  <c r="E505" i="104"/>
  <c r="C505" i="104" l="1"/>
  <c r="E506" i="104"/>
  <c r="A504" i="104"/>
  <c r="B504" i="104" s="1"/>
  <c r="D505" i="104"/>
  <c r="A505" i="104" l="1"/>
  <c r="B505" i="104" s="1"/>
  <c r="D506" i="104"/>
  <c r="E507" i="104"/>
  <c r="C506" i="104"/>
  <c r="C507" i="104" l="1"/>
  <c r="E508" i="104"/>
  <c r="D507" i="104"/>
  <c r="A506" i="104"/>
  <c r="B506" i="104" s="1"/>
  <c r="D508" i="104" l="1"/>
  <c r="A507" i="104"/>
  <c r="B507" i="104" s="1"/>
  <c r="C508" i="104"/>
  <c r="E509" i="104"/>
  <c r="E510" i="104" l="1"/>
  <c r="C509" i="104"/>
  <c r="A508" i="104"/>
  <c r="B508" i="104" s="1"/>
  <c r="D509" i="104"/>
  <c r="D510" i="104" l="1"/>
  <c r="A509" i="104"/>
  <c r="B509" i="104" s="1"/>
  <c r="E511" i="104"/>
  <c r="C510" i="104"/>
  <c r="C511" i="104" l="1"/>
  <c r="E512" i="104"/>
  <c r="A510" i="104"/>
  <c r="B510" i="104" s="1"/>
  <c r="D511" i="104"/>
  <c r="D512" i="104" l="1"/>
  <c r="A511" i="104"/>
  <c r="B511" i="104" s="1"/>
  <c r="C512" i="104"/>
  <c r="E513" i="104"/>
  <c r="C513" i="104" l="1"/>
  <c r="E514" i="104"/>
  <c r="A512" i="104"/>
  <c r="B512" i="104" s="1"/>
  <c r="D513" i="104"/>
  <c r="A513" i="104" l="1"/>
  <c r="B513" i="104" s="1"/>
  <c r="D514" i="104"/>
  <c r="E515" i="104"/>
  <c r="C514" i="104"/>
  <c r="C515" i="104" l="1"/>
  <c r="E516" i="104"/>
  <c r="D515" i="104"/>
  <c r="A514" i="104"/>
  <c r="B514" i="104" s="1"/>
  <c r="D516" i="104" l="1"/>
  <c r="A515" i="104"/>
  <c r="B515" i="104" s="1"/>
  <c r="E517" i="104"/>
  <c r="C516" i="104"/>
  <c r="E518" i="104" l="1"/>
  <c r="C517" i="104"/>
  <c r="D517" i="104"/>
  <c r="A516" i="104"/>
  <c r="B516" i="104" s="1"/>
  <c r="A517" i="104" l="1"/>
  <c r="B517" i="104" s="1"/>
  <c r="D518" i="104"/>
  <c r="E519" i="104"/>
  <c r="C518" i="104"/>
  <c r="C519" i="104" l="1"/>
  <c r="E520" i="104"/>
  <c r="D519" i="104"/>
  <c r="A518" i="104"/>
  <c r="B518" i="104" s="1"/>
  <c r="A519" i="104" l="1"/>
  <c r="B519" i="104" s="1"/>
  <c r="D520" i="104"/>
  <c r="E521" i="104"/>
  <c r="C520" i="104"/>
  <c r="E522" i="104" l="1"/>
  <c r="C521" i="104"/>
  <c r="A520" i="104"/>
  <c r="B520" i="104" s="1"/>
  <c r="D521" i="104"/>
  <c r="A521" i="104" l="1"/>
  <c r="B521" i="104" s="1"/>
  <c r="D522" i="104"/>
  <c r="E523" i="104"/>
  <c r="C522" i="104"/>
  <c r="C523" i="104" l="1"/>
  <c r="E524" i="104"/>
  <c r="D523" i="104"/>
  <c r="A522" i="104"/>
  <c r="B522" i="104" s="1"/>
  <c r="D524" i="104" l="1"/>
  <c r="A523" i="104"/>
  <c r="B523" i="104" s="1"/>
  <c r="E525" i="104"/>
  <c r="C524" i="104"/>
  <c r="C525" i="104" l="1"/>
  <c r="E526" i="104"/>
  <c r="A524" i="104"/>
  <c r="B524" i="104" s="1"/>
  <c r="D525" i="104"/>
  <c r="D526" i="104" l="1"/>
  <c r="A525" i="104"/>
  <c r="B525" i="104" s="1"/>
  <c r="E527" i="104"/>
  <c r="C526" i="104"/>
  <c r="C527" i="104" l="1"/>
  <c r="E528" i="104"/>
  <c r="A526" i="104"/>
  <c r="B526" i="104" s="1"/>
  <c r="D527" i="104"/>
  <c r="A527" i="104" l="1"/>
  <c r="B527" i="104" s="1"/>
  <c r="D528" i="104"/>
  <c r="E529" i="104"/>
  <c r="C528" i="104"/>
  <c r="C529" i="104" l="1"/>
  <c r="E530" i="104"/>
  <c r="A528" i="104"/>
  <c r="B528" i="104" s="1"/>
  <c r="D529" i="104"/>
  <c r="A529" i="104" l="1"/>
  <c r="B529" i="104" s="1"/>
  <c r="D530" i="104"/>
  <c r="E531" i="104"/>
  <c r="C530" i="104"/>
  <c r="C531" i="104" l="1"/>
  <c r="E532" i="104"/>
  <c r="D531" i="104"/>
  <c r="A530" i="104"/>
  <c r="B530" i="104" s="1"/>
  <c r="D532" i="104" l="1"/>
  <c r="A531" i="104"/>
  <c r="B531" i="104" s="1"/>
  <c r="C532" i="104"/>
  <c r="E533" i="104"/>
  <c r="C533" i="104" l="1"/>
  <c r="E534" i="104"/>
  <c r="D533" i="104"/>
  <c r="A532" i="104"/>
  <c r="B532" i="104" s="1"/>
  <c r="A533" i="104" l="1"/>
  <c r="B533" i="104" s="1"/>
  <c r="D534" i="104"/>
  <c r="E535" i="104"/>
  <c r="C534" i="104"/>
  <c r="C535" i="104" l="1"/>
  <c r="E536" i="104"/>
  <c r="D535" i="104"/>
  <c r="A534" i="104"/>
  <c r="B534" i="104" s="1"/>
  <c r="D536" i="104" l="1"/>
  <c r="A535" i="104"/>
  <c r="B535" i="104" s="1"/>
  <c r="C536" i="104"/>
  <c r="E537" i="104"/>
  <c r="E538" i="104" l="1"/>
  <c r="C537" i="104"/>
  <c r="A536" i="104"/>
  <c r="B536" i="104" s="1"/>
  <c r="D537" i="104"/>
  <c r="A537" i="104" l="1"/>
  <c r="B537" i="104" s="1"/>
  <c r="D538" i="104"/>
  <c r="E539" i="104"/>
  <c r="C538" i="104"/>
  <c r="C539" i="104" l="1"/>
  <c r="E540" i="104"/>
  <c r="D539" i="104"/>
  <c r="A538" i="104"/>
  <c r="B538" i="104" s="1"/>
  <c r="D540" i="104" l="1"/>
  <c r="A539" i="104"/>
  <c r="B539" i="104" s="1"/>
  <c r="E541" i="104"/>
  <c r="C540" i="104"/>
  <c r="E542" i="104" l="1"/>
  <c r="C541" i="104"/>
  <c r="A540" i="104"/>
  <c r="B540" i="104" s="1"/>
  <c r="D541" i="104"/>
  <c r="D542" i="104" l="1"/>
  <c r="A541" i="104"/>
  <c r="B541" i="104" s="1"/>
  <c r="E543" i="104"/>
  <c r="C542" i="104"/>
  <c r="C543" i="104" l="1"/>
  <c r="E544" i="104"/>
  <c r="D543" i="104"/>
  <c r="A542" i="104"/>
  <c r="B542" i="104" s="1"/>
  <c r="D544" i="104" l="1"/>
  <c r="A543" i="104"/>
  <c r="B543" i="104" s="1"/>
  <c r="E545" i="104"/>
  <c r="C544" i="104"/>
  <c r="C545" i="104" l="1"/>
  <c r="E546" i="104"/>
  <c r="A544" i="104"/>
  <c r="B544" i="104" s="1"/>
  <c r="D545" i="104"/>
  <c r="A545" i="104" l="1"/>
  <c r="B545" i="104" s="1"/>
  <c r="D546" i="104"/>
  <c r="E547" i="104"/>
  <c r="C546" i="104"/>
  <c r="C547" i="104" l="1"/>
  <c r="E548" i="104"/>
  <c r="D547" i="104"/>
  <c r="A546" i="104"/>
  <c r="B546" i="104" s="1"/>
  <c r="D548" i="104" l="1"/>
  <c r="A547" i="104"/>
  <c r="B547" i="104" s="1"/>
  <c r="E549" i="104"/>
  <c r="C548" i="104"/>
  <c r="C549" i="104" l="1"/>
  <c r="E550" i="104"/>
  <c r="D549" i="104"/>
  <c r="A548" i="104"/>
  <c r="B548" i="104" s="1"/>
  <c r="A549" i="104" l="1"/>
  <c r="B549" i="104" s="1"/>
  <c r="D550" i="104"/>
  <c r="E551" i="104"/>
  <c r="C550" i="104"/>
  <c r="C551" i="104" l="1"/>
  <c r="E552" i="104"/>
  <c r="D551" i="104"/>
  <c r="A550" i="104"/>
  <c r="B550" i="104" s="1"/>
  <c r="D552" i="104" l="1"/>
  <c r="A551" i="104"/>
  <c r="B551" i="104" s="1"/>
  <c r="E553" i="104"/>
  <c r="C552" i="104"/>
  <c r="E554" i="104" l="1"/>
  <c r="C553" i="104"/>
  <c r="A552" i="104"/>
  <c r="B552" i="104" s="1"/>
  <c r="D553" i="104"/>
  <c r="A553" i="104" l="1"/>
  <c r="B553" i="104" s="1"/>
  <c r="D554" i="104"/>
  <c r="E555" i="104"/>
  <c r="C554" i="104"/>
  <c r="C555" i="104" l="1"/>
  <c r="E556" i="104"/>
  <c r="D555" i="104"/>
  <c r="A554" i="104"/>
  <c r="B554" i="104" s="1"/>
  <c r="D556" i="104" l="1"/>
  <c r="A555" i="104"/>
  <c r="B555" i="104" s="1"/>
  <c r="C556" i="104"/>
  <c r="E557" i="104"/>
  <c r="C557" i="104" l="1"/>
  <c r="E558" i="104"/>
  <c r="D557" i="104"/>
  <c r="A556" i="104"/>
  <c r="B556" i="104" s="1"/>
  <c r="A557" i="104" l="1"/>
  <c r="B557" i="104" s="1"/>
  <c r="D558" i="104"/>
  <c r="E559" i="104"/>
  <c r="C558" i="104"/>
  <c r="C559" i="104" l="1"/>
  <c r="E560" i="104"/>
  <c r="A558" i="104"/>
  <c r="B558" i="104" s="1"/>
  <c r="D559" i="104"/>
  <c r="D560" i="104" l="1"/>
  <c r="A559" i="104"/>
  <c r="B559" i="104" s="1"/>
  <c r="E561" i="104"/>
  <c r="C560" i="104"/>
  <c r="C561" i="104" l="1"/>
  <c r="E562" i="104"/>
  <c r="A560" i="104"/>
  <c r="B560" i="104" s="1"/>
  <c r="D561" i="104"/>
  <c r="A561" i="104" l="1"/>
  <c r="B561" i="104" s="1"/>
  <c r="D562" i="104"/>
  <c r="E563" i="104"/>
  <c r="C562" i="104"/>
  <c r="C563" i="104" l="1"/>
  <c r="E564" i="104"/>
  <c r="D563" i="104"/>
  <c r="A562" i="104"/>
  <c r="B562" i="104" s="1"/>
  <c r="D564" i="104" l="1"/>
  <c r="A563" i="104"/>
  <c r="B563" i="104" s="1"/>
  <c r="C564" i="104"/>
  <c r="E565" i="104"/>
  <c r="C565" i="104" l="1"/>
  <c r="E566" i="104"/>
  <c r="A564" i="104"/>
  <c r="B564" i="104" s="1"/>
  <c r="D565" i="104"/>
  <c r="A565" i="104" l="1"/>
  <c r="B565" i="104" s="1"/>
  <c r="D566" i="104"/>
  <c r="E567" i="104"/>
  <c r="C566" i="104"/>
  <c r="C567" i="104" l="1"/>
  <c r="E568" i="104"/>
  <c r="A566" i="104"/>
  <c r="B566" i="104" s="1"/>
  <c r="D567" i="104"/>
  <c r="D568" i="104" l="1"/>
  <c r="A567" i="104"/>
  <c r="B567" i="104" s="1"/>
  <c r="C568" i="104"/>
  <c r="E569" i="104"/>
  <c r="E570" i="104" l="1"/>
  <c r="C569" i="104"/>
  <c r="A568" i="104"/>
  <c r="B568" i="104" s="1"/>
  <c r="D569" i="104"/>
  <c r="A569" i="104" l="1"/>
  <c r="B569" i="104" s="1"/>
  <c r="D570" i="104"/>
  <c r="E571" i="104"/>
  <c r="C570" i="104"/>
  <c r="C571" i="104" l="1"/>
  <c r="E572" i="104"/>
  <c r="D571" i="104"/>
  <c r="A570" i="104"/>
  <c r="B570" i="104" s="1"/>
  <c r="D572" i="104" l="1"/>
  <c r="A571" i="104"/>
  <c r="B571" i="104" s="1"/>
  <c r="E573" i="104"/>
  <c r="C572" i="104"/>
  <c r="E574" i="104" l="1"/>
  <c r="C573" i="104"/>
  <c r="A572" i="104"/>
  <c r="B572" i="104" s="1"/>
  <c r="D573" i="104"/>
  <c r="A573" i="104" l="1"/>
  <c r="B573" i="104" s="1"/>
  <c r="D574" i="104"/>
  <c r="E575" i="104"/>
  <c r="C574" i="104"/>
  <c r="C575" i="104" l="1"/>
  <c r="E576" i="104"/>
  <c r="A574" i="104"/>
  <c r="B574" i="104" s="1"/>
  <c r="D575" i="104"/>
  <c r="D576" i="104" l="1"/>
  <c r="A575" i="104"/>
  <c r="B575" i="104" s="1"/>
  <c r="E577" i="104"/>
  <c r="C576" i="104"/>
  <c r="E578" i="104" l="1"/>
  <c r="C577" i="104"/>
  <c r="A576" i="104"/>
  <c r="B576" i="104" s="1"/>
  <c r="D577" i="104"/>
  <c r="A577" i="104" l="1"/>
  <c r="B577" i="104" s="1"/>
  <c r="D578" i="104"/>
  <c r="E579" i="104"/>
  <c r="C578" i="104"/>
  <c r="C579" i="104" l="1"/>
  <c r="E580" i="104"/>
  <c r="D579" i="104"/>
  <c r="A578" i="104"/>
  <c r="B578" i="104" s="1"/>
  <c r="D580" i="104" l="1"/>
  <c r="A579" i="104"/>
  <c r="B579" i="104" s="1"/>
  <c r="E581" i="104"/>
  <c r="C580" i="104"/>
  <c r="E582" i="104" l="1"/>
  <c r="C581" i="104"/>
  <c r="A580" i="104"/>
  <c r="B580" i="104" s="1"/>
  <c r="D581" i="104"/>
  <c r="A581" i="104" l="1"/>
  <c r="B581" i="104" s="1"/>
  <c r="D582" i="104"/>
  <c r="E583" i="104"/>
  <c r="C582" i="104"/>
  <c r="C583" i="104" l="1"/>
  <c r="E584" i="104"/>
  <c r="D583" i="104"/>
  <c r="A582" i="104"/>
  <c r="B582" i="104" s="1"/>
  <c r="D584" i="104" l="1"/>
  <c r="A583" i="104"/>
  <c r="B583" i="104" s="1"/>
  <c r="E585" i="104"/>
  <c r="C584" i="104"/>
  <c r="E586" i="104" l="1"/>
  <c r="C585" i="104"/>
  <c r="A584" i="104"/>
  <c r="B584" i="104" s="1"/>
  <c r="D585" i="104"/>
  <c r="A585" i="104" l="1"/>
  <c r="B585" i="104" s="1"/>
  <c r="D586" i="104"/>
  <c r="E587" i="104"/>
  <c r="C586" i="104"/>
  <c r="C587" i="104" l="1"/>
  <c r="E588" i="104"/>
  <c r="D587" i="104"/>
  <c r="A586" i="104"/>
  <c r="B586" i="104" s="1"/>
  <c r="D588" i="104" l="1"/>
  <c r="A587" i="104"/>
  <c r="B587" i="104" s="1"/>
  <c r="E589" i="104"/>
  <c r="C588" i="104"/>
  <c r="C589" i="104" l="1"/>
  <c r="E590" i="104"/>
  <c r="D589" i="104"/>
  <c r="A588" i="104"/>
  <c r="B588" i="104" s="1"/>
  <c r="A589" i="104" l="1"/>
  <c r="B589" i="104" s="1"/>
  <c r="D590" i="104"/>
  <c r="E591" i="104"/>
  <c r="C590" i="104"/>
  <c r="C591" i="104" l="1"/>
  <c r="E592" i="104"/>
  <c r="D591" i="104"/>
  <c r="A590" i="104"/>
  <c r="B590" i="104" s="1"/>
  <c r="D592" i="104" l="1"/>
  <c r="A591" i="104"/>
  <c r="B591" i="104" s="1"/>
  <c r="E593" i="104"/>
  <c r="C592" i="104"/>
  <c r="C593" i="104" l="1"/>
  <c r="E594" i="104"/>
  <c r="A592" i="104"/>
  <c r="B592" i="104" s="1"/>
  <c r="D593" i="104"/>
  <c r="A593" i="104" l="1"/>
  <c r="B593" i="104" s="1"/>
  <c r="D594" i="104"/>
  <c r="E595" i="104"/>
  <c r="C594" i="104"/>
  <c r="C595" i="104" l="1"/>
  <c r="E596" i="104"/>
  <c r="D595" i="104"/>
  <c r="A594" i="104"/>
  <c r="B594" i="104" s="1"/>
  <c r="D596" i="104" l="1"/>
  <c r="A595" i="104"/>
  <c r="B595" i="104" s="1"/>
  <c r="C596" i="104"/>
  <c r="E597" i="104"/>
  <c r="E598" i="104" l="1"/>
  <c r="C597" i="104"/>
  <c r="A596" i="104"/>
  <c r="B596" i="104" s="1"/>
  <c r="D597" i="104"/>
  <c r="A597" i="104" l="1"/>
  <c r="B597" i="104" s="1"/>
  <c r="D598" i="104"/>
  <c r="E599" i="104"/>
  <c r="C598" i="104"/>
  <c r="C599" i="104" l="1"/>
  <c r="E600" i="104"/>
  <c r="A598" i="104"/>
  <c r="B598" i="104" s="1"/>
  <c r="D599" i="104"/>
  <c r="D600" i="104" l="1"/>
  <c r="A599" i="104"/>
  <c r="B599" i="104" s="1"/>
  <c r="C600" i="104"/>
  <c r="E601" i="104"/>
  <c r="E602" i="104" l="1"/>
  <c r="C601" i="104"/>
  <c r="A600" i="104"/>
  <c r="B600" i="104" s="1"/>
  <c r="D601" i="104"/>
  <c r="A601" i="104" l="1"/>
  <c r="B601" i="104" s="1"/>
  <c r="D602" i="104"/>
  <c r="E603" i="104"/>
  <c r="C602" i="104"/>
  <c r="C603" i="104" l="1"/>
  <c r="E604" i="104"/>
  <c r="D603" i="104"/>
  <c r="A602" i="104"/>
  <c r="B602" i="104" s="1"/>
  <c r="D604" i="104" l="1"/>
  <c r="A603" i="104"/>
  <c r="B603" i="104" s="1"/>
  <c r="E605" i="104"/>
  <c r="C604" i="104"/>
  <c r="E606" i="104" l="1"/>
  <c r="C605" i="104"/>
  <c r="A604" i="104"/>
  <c r="B604" i="104" s="1"/>
  <c r="D605" i="104"/>
  <c r="A605" i="104" l="1"/>
  <c r="B605" i="104" s="1"/>
  <c r="D606" i="104"/>
  <c r="E607" i="104"/>
  <c r="C606" i="104"/>
  <c r="C607" i="104" l="1"/>
  <c r="E608" i="104"/>
  <c r="A606" i="104"/>
  <c r="B606" i="104" s="1"/>
  <c r="D607" i="104"/>
  <c r="D608" i="104" l="1"/>
  <c r="A607" i="104"/>
  <c r="B607" i="104" s="1"/>
  <c r="E609" i="104"/>
  <c r="C608" i="104"/>
  <c r="C609" i="104" l="1"/>
  <c r="E610" i="104"/>
  <c r="A608" i="104"/>
  <c r="B608" i="104" s="1"/>
  <c r="D609" i="104"/>
  <c r="A609" i="104" l="1"/>
  <c r="B609" i="104" s="1"/>
  <c r="D610" i="104"/>
  <c r="E611" i="104"/>
  <c r="C610" i="104"/>
  <c r="C611" i="104" l="1"/>
  <c r="E612" i="104"/>
  <c r="D611" i="104"/>
  <c r="A610" i="104"/>
  <c r="B610" i="104" s="1"/>
  <c r="D612" i="104" l="1"/>
  <c r="A611" i="104"/>
  <c r="B611" i="104" s="1"/>
  <c r="E613" i="104"/>
  <c r="C612" i="104"/>
  <c r="E614" i="104" l="1"/>
  <c r="C613" i="104"/>
  <c r="D613" i="104"/>
  <c r="A612" i="104"/>
  <c r="B612" i="104" s="1"/>
  <c r="A613" i="104" l="1"/>
  <c r="B613" i="104" s="1"/>
  <c r="D614" i="104"/>
  <c r="E615" i="104"/>
  <c r="C614" i="104"/>
  <c r="C615" i="104" l="1"/>
  <c r="E616" i="104"/>
  <c r="D615" i="104"/>
  <c r="A614" i="104"/>
  <c r="B614" i="104" s="1"/>
  <c r="D616" i="104" l="1"/>
  <c r="A615" i="104"/>
  <c r="B615" i="104" s="1"/>
  <c r="C616" i="104"/>
  <c r="E617" i="104"/>
  <c r="E618" i="104" l="1"/>
  <c r="C617" i="104"/>
  <c r="A616" i="104"/>
  <c r="B616" i="104" s="1"/>
  <c r="D617" i="104"/>
  <c r="A617" i="104" l="1"/>
  <c r="B617" i="104" s="1"/>
  <c r="D618" i="104"/>
  <c r="E619" i="104"/>
  <c r="C618" i="104"/>
  <c r="C619" i="104" l="1"/>
  <c r="E620" i="104"/>
  <c r="D619" i="104"/>
  <c r="A618" i="104"/>
  <c r="B618" i="104" s="1"/>
  <c r="D620" i="104" l="1"/>
  <c r="A619" i="104"/>
  <c r="B619" i="104" s="1"/>
  <c r="C620" i="104"/>
  <c r="E621" i="104"/>
  <c r="C621" i="104" l="1"/>
  <c r="E622" i="104"/>
  <c r="D621" i="104"/>
  <c r="A620" i="104"/>
  <c r="B620" i="104" s="1"/>
  <c r="A621" i="104" l="1"/>
  <c r="B621" i="104" s="1"/>
  <c r="D622" i="104"/>
  <c r="E623" i="104"/>
  <c r="C622" i="104"/>
  <c r="C623" i="104" l="1"/>
  <c r="E624" i="104"/>
  <c r="A622" i="104"/>
  <c r="B622" i="104" s="1"/>
  <c r="D623" i="104"/>
  <c r="D624" i="104" l="1"/>
  <c r="A623" i="104"/>
  <c r="B623" i="104" s="1"/>
  <c r="E625" i="104"/>
  <c r="C624" i="104"/>
  <c r="C625" i="104" l="1"/>
  <c r="E626" i="104"/>
  <c r="A624" i="104"/>
  <c r="B624" i="104" s="1"/>
  <c r="D625" i="104"/>
  <c r="A625" i="104" l="1"/>
  <c r="B625" i="104" s="1"/>
  <c r="D626" i="104"/>
  <c r="E627" i="104"/>
  <c r="C626" i="104"/>
  <c r="C627" i="104" l="1"/>
  <c r="E628" i="104"/>
  <c r="D627" i="104"/>
  <c r="A626" i="104"/>
  <c r="B626" i="104" s="1"/>
  <c r="D628" i="104" l="1"/>
  <c r="A627" i="104"/>
  <c r="B627" i="104" s="1"/>
  <c r="C628" i="104"/>
  <c r="E629" i="104"/>
  <c r="C629" i="104" l="1"/>
  <c r="E630" i="104"/>
  <c r="A628" i="104"/>
  <c r="B628" i="104" s="1"/>
  <c r="D629" i="104"/>
  <c r="A629" i="104" l="1"/>
  <c r="B629" i="104" s="1"/>
  <c r="D630" i="104"/>
  <c r="E631" i="104"/>
  <c r="C630" i="104"/>
  <c r="C631" i="104" l="1"/>
  <c r="E632" i="104"/>
  <c r="A630" i="104"/>
  <c r="B630" i="104" s="1"/>
  <c r="D631" i="104"/>
  <c r="D632" i="104" l="1"/>
  <c r="A631" i="104"/>
  <c r="B631" i="104" s="1"/>
  <c r="C632" i="104"/>
  <c r="E633" i="104"/>
  <c r="E634" i="104" l="1"/>
  <c r="C633" i="104"/>
  <c r="A632" i="104"/>
  <c r="B632" i="104" s="1"/>
  <c r="D633" i="104"/>
  <c r="A633" i="104" l="1"/>
  <c r="B633" i="104" s="1"/>
  <c r="D634" i="104"/>
  <c r="E635" i="104"/>
  <c r="C634" i="104"/>
  <c r="C635" i="104" l="1"/>
  <c r="E636" i="104"/>
  <c r="D635" i="104"/>
  <c r="A634" i="104"/>
  <c r="B634" i="104" s="1"/>
  <c r="D636" i="104" l="1"/>
  <c r="A635" i="104"/>
  <c r="B635" i="104" s="1"/>
  <c r="C636" i="104"/>
  <c r="E637" i="104"/>
  <c r="E638" i="104" l="1"/>
  <c r="C637" i="104"/>
  <c r="A636" i="104"/>
  <c r="B636" i="104" s="1"/>
  <c r="D637" i="104"/>
  <c r="A637" i="104" l="1"/>
  <c r="B637" i="104" s="1"/>
  <c r="D638" i="104"/>
  <c r="E639" i="104"/>
  <c r="C638" i="104"/>
  <c r="C639" i="104" l="1"/>
  <c r="E640" i="104"/>
  <c r="A638" i="104"/>
  <c r="B638" i="104" s="1"/>
  <c r="D639" i="104"/>
  <c r="D640" i="104" l="1"/>
  <c r="A639" i="104"/>
  <c r="B639" i="104" s="1"/>
  <c r="E641" i="104"/>
  <c r="C640" i="104"/>
  <c r="E642" i="104" l="1"/>
  <c r="C641" i="104"/>
  <c r="A640" i="104"/>
  <c r="B640" i="104" s="1"/>
  <c r="D641" i="104"/>
  <c r="A641" i="104" l="1"/>
  <c r="B641" i="104" s="1"/>
  <c r="D642" i="104"/>
  <c r="E643" i="104"/>
  <c r="C642" i="104"/>
  <c r="C643" i="104" l="1"/>
  <c r="E644" i="104"/>
  <c r="D643" i="104"/>
  <c r="A642" i="104"/>
  <c r="B642" i="104" s="1"/>
  <c r="D644" i="104" l="1"/>
  <c r="A643" i="104"/>
  <c r="B643" i="104" s="1"/>
  <c r="E645" i="104"/>
  <c r="C644" i="104"/>
  <c r="E646" i="104" l="1"/>
  <c r="C645" i="104"/>
  <c r="D645" i="104"/>
  <c r="A644" i="104"/>
  <c r="B644" i="104" s="1"/>
  <c r="A645" i="104" l="1"/>
  <c r="B645" i="104" s="1"/>
  <c r="D646" i="104"/>
  <c r="E647" i="104"/>
  <c r="C646" i="104"/>
  <c r="C647" i="104" l="1"/>
  <c r="E648" i="104"/>
  <c r="D647" i="104"/>
  <c r="A646" i="104"/>
  <c r="B646" i="104" s="1"/>
  <c r="D648" i="104" l="1"/>
  <c r="A647" i="104"/>
  <c r="B647" i="104" s="1"/>
  <c r="C648" i="104"/>
  <c r="E649" i="104"/>
  <c r="E650" i="104" l="1"/>
  <c r="C649" i="104"/>
  <c r="A648" i="104"/>
  <c r="B648" i="104" s="1"/>
  <c r="D649" i="104"/>
  <c r="A649" i="104" l="1"/>
  <c r="B649" i="104" s="1"/>
  <c r="D650" i="104"/>
  <c r="E651" i="104"/>
  <c r="C650" i="104"/>
  <c r="C651" i="104" l="1"/>
  <c r="E652" i="104"/>
  <c r="D651" i="104"/>
  <c r="A650" i="104"/>
  <c r="B650" i="104" s="1"/>
  <c r="D652" i="104" l="1"/>
  <c r="A651" i="104"/>
  <c r="B651" i="104" s="1"/>
  <c r="C652" i="104"/>
  <c r="E653" i="104"/>
  <c r="C653" i="104" l="1"/>
  <c r="E654" i="104"/>
  <c r="D653" i="104"/>
  <c r="A652" i="104"/>
  <c r="B652" i="104" s="1"/>
  <c r="A653" i="104" l="1"/>
  <c r="B653" i="104" s="1"/>
  <c r="D654" i="104"/>
  <c r="E655" i="104"/>
  <c r="C654" i="104"/>
  <c r="C655" i="104" l="1"/>
  <c r="E656" i="104"/>
  <c r="D655" i="104"/>
  <c r="A654" i="104"/>
  <c r="B654" i="104" s="1"/>
  <c r="D656" i="104" l="1"/>
  <c r="A655" i="104"/>
  <c r="B655" i="104" s="1"/>
  <c r="E657" i="104"/>
  <c r="C656" i="104"/>
  <c r="C657" i="104" l="1"/>
  <c r="E658" i="104"/>
  <c r="A656" i="104"/>
  <c r="B656" i="104" s="1"/>
  <c r="D657" i="104"/>
  <c r="A657" i="104" l="1"/>
  <c r="B657" i="104" s="1"/>
  <c r="D658" i="104"/>
  <c r="E659" i="104"/>
  <c r="C658" i="104"/>
  <c r="C659" i="104" l="1"/>
  <c r="E660" i="104"/>
  <c r="D659" i="104"/>
  <c r="A658" i="104"/>
  <c r="B658" i="104" s="1"/>
  <c r="D660" i="104" l="1"/>
  <c r="A659" i="104"/>
  <c r="B659" i="104" s="1"/>
  <c r="C660" i="104"/>
  <c r="E661" i="104"/>
  <c r="E662" i="104" l="1"/>
  <c r="C661" i="104"/>
  <c r="A660" i="104"/>
  <c r="B660" i="104" s="1"/>
  <c r="D661" i="104"/>
  <c r="A661" i="104" l="1"/>
  <c r="B661" i="104" s="1"/>
  <c r="D662" i="104"/>
  <c r="E663" i="104"/>
  <c r="C662" i="104"/>
  <c r="C663" i="104" l="1"/>
  <c r="E664" i="104"/>
  <c r="A662" i="104"/>
  <c r="B662" i="104" s="1"/>
  <c r="D663" i="104"/>
  <c r="D664" i="104" l="1"/>
  <c r="A663" i="104"/>
  <c r="B663" i="104" s="1"/>
  <c r="C664" i="104"/>
  <c r="E665" i="104"/>
  <c r="E666" i="104" l="1"/>
  <c r="C665" i="104"/>
  <c r="A664" i="104"/>
  <c r="B664" i="104" s="1"/>
  <c r="D665" i="104"/>
  <c r="A665" i="104" l="1"/>
  <c r="B665" i="104" s="1"/>
  <c r="D666" i="104"/>
  <c r="E667" i="104"/>
  <c r="C666" i="104"/>
  <c r="C667" i="104" l="1"/>
  <c r="E668" i="104"/>
  <c r="D667" i="104"/>
  <c r="A666" i="104"/>
  <c r="B666" i="104" s="1"/>
  <c r="D668" i="104" l="1"/>
  <c r="A667" i="104"/>
  <c r="B667" i="104" s="1"/>
  <c r="C668" i="104"/>
  <c r="E669" i="104"/>
  <c r="E670" i="104" l="1"/>
  <c r="C669" i="104"/>
  <c r="A668" i="104"/>
  <c r="B668" i="104" s="1"/>
  <c r="D669" i="104"/>
  <c r="A669" i="104" l="1"/>
  <c r="B669" i="104" s="1"/>
  <c r="D670" i="104"/>
  <c r="E671" i="104"/>
  <c r="C670" i="104"/>
  <c r="C671" i="104" l="1"/>
  <c r="E672" i="104"/>
  <c r="A670" i="104"/>
  <c r="B670" i="104" s="1"/>
  <c r="D671" i="104"/>
  <c r="D672" i="104" l="1"/>
  <c r="A671" i="104"/>
  <c r="B671" i="104" s="1"/>
  <c r="E673" i="104"/>
  <c r="C672" i="104"/>
  <c r="C673" i="104" l="1"/>
  <c r="E674" i="104"/>
  <c r="A672" i="104"/>
  <c r="B672" i="104" s="1"/>
  <c r="D673" i="104"/>
  <c r="A673" i="104" l="1"/>
  <c r="B673" i="104" s="1"/>
  <c r="D674" i="104"/>
  <c r="E675" i="104"/>
  <c r="C674" i="104"/>
  <c r="C675" i="104" l="1"/>
  <c r="E676" i="104"/>
  <c r="D675" i="104"/>
  <c r="A674" i="104"/>
  <c r="B674" i="104" s="1"/>
  <c r="D676" i="104" l="1"/>
  <c r="A675" i="104"/>
  <c r="B675" i="104" s="1"/>
  <c r="E677" i="104"/>
  <c r="C676" i="104"/>
  <c r="C677" i="104" l="1"/>
  <c r="E678" i="104"/>
  <c r="D677" i="104"/>
  <c r="A676" i="104"/>
  <c r="B676" i="104" s="1"/>
  <c r="A677" i="104" l="1"/>
  <c r="B677" i="104" s="1"/>
  <c r="D678" i="104"/>
  <c r="E679" i="104"/>
  <c r="C678" i="104"/>
  <c r="C679" i="104" l="1"/>
  <c r="E680" i="104"/>
  <c r="D679" i="104"/>
  <c r="A678" i="104"/>
  <c r="B678" i="104" s="1"/>
  <c r="D680" i="104" l="1"/>
  <c r="A679" i="104"/>
  <c r="B679" i="104" s="1"/>
  <c r="E681" i="104"/>
  <c r="C680" i="104"/>
  <c r="E682" i="104" l="1"/>
  <c r="C681" i="104"/>
  <c r="A680" i="104"/>
  <c r="B680" i="104" s="1"/>
  <c r="D681" i="104"/>
  <c r="A681" i="104" l="1"/>
  <c r="B681" i="104" s="1"/>
  <c r="D682" i="104"/>
  <c r="E683" i="104"/>
  <c r="C682" i="104"/>
  <c r="C683" i="104" l="1"/>
  <c r="E684" i="104"/>
  <c r="D683" i="104"/>
  <c r="A682" i="104"/>
  <c r="B682" i="104" s="1"/>
  <c r="D684" i="104" l="1"/>
  <c r="A683" i="104"/>
  <c r="B683" i="104" s="1"/>
  <c r="E685" i="104"/>
  <c r="C684" i="104"/>
  <c r="C685" i="104" l="1"/>
  <c r="E686" i="104"/>
  <c r="D685" i="104"/>
  <c r="A684" i="104"/>
  <c r="B684" i="104" s="1"/>
  <c r="A685" i="104" l="1"/>
  <c r="B685" i="104" s="1"/>
  <c r="D686" i="104"/>
  <c r="E687" i="104"/>
  <c r="C686" i="104"/>
  <c r="C687" i="104" l="1"/>
  <c r="E688" i="104"/>
  <c r="D687" i="104"/>
  <c r="A686" i="104"/>
  <c r="B686" i="104" s="1"/>
  <c r="D688" i="104" l="1"/>
  <c r="A687" i="104"/>
  <c r="B687" i="104" s="1"/>
  <c r="E689" i="104"/>
  <c r="C688" i="104"/>
  <c r="C689" i="104" l="1"/>
  <c r="E690" i="104"/>
  <c r="A688" i="104"/>
  <c r="B688" i="104" s="1"/>
  <c r="D689" i="104"/>
  <c r="A689" i="104" l="1"/>
  <c r="B689" i="104" s="1"/>
  <c r="D690" i="104"/>
  <c r="E691" i="104"/>
  <c r="C690" i="104"/>
  <c r="C691" i="104" l="1"/>
  <c r="E692" i="104"/>
  <c r="D691" i="104"/>
  <c r="A690" i="104"/>
  <c r="B690" i="104" s="1"/>
  <c r="D692" i="104" l="1"/>
  <c r="A691" i="104"/>
  <c r="B691" i="104" s="1"/>
  <c r="C692" i="104"/>
  <c r="E693" i="104"/>
  <c r="C693" i="104" l="1"/>
  <c r="E694" i="104"/>
  <c r="D693" i="104"/>
  <c r="A692" i="104"/>
  <c r="B692" i="104" s="1"/>
  <c r="A693" i="104" l="1"/>
  <c r="B693" i="104" s="1"/>
  <c r="D694" i="104"/>
  <c r="E695" i="104"/>
  <c r="C694" i="104"/>
  <c r="C695" i="104" l="1"/>
  <c r="E696" i="104"/>
  <c r="A694" i="104"/>
  <c r="B694" i="104" s="1"/>
  <c r="D695" i="104"/>
  <c r="D696" i="104" l="1"/>
  <c r="A695" i="104"/>
  <c r="B695" i="104" s="1"/>
  <c r="C696" i="104"/>
  <c r="E697" i="104"/>
  <c r="E698" i="104" l="1"/>
  <c r="C697" i="104"/>
  <c r="A696" i="104"/>
  <c r="B696" i="104" s="1"/>
  <c r="D697" i="104"/>
  <c r="A697" i="104" l="1"/>
  <c r="B697" i="104" s="1"/>
  <c r="D698" i="104"/>
  <c r="E699" i="104"/>
  <c r="C698" i="104"/>
  <c r="C699" i="104" l="1"/>
  <c r="E700" i="104"/>
  <c r="D699" i="104"/>
  <c r="A698" i="104"/>
  <c r="B698" i="104" s="1"/>
  <c r="D700" i="104" l="1"/>
  <c r="A699" i="104"/>
  <c r="B699" i="104" s="1"/>
  <c r="E701" i="104"/>
  <c r="C700" i="104"/>
  <c r="E702" i="104" l="1"/>
  <c r="C701" i="104"/>
  <c r="A700" i="104"/>
  <c r="B700" i="104" s="1"/>
  <c r="D701" i="104"/>
  <c r="A701" i="104" l="1"/>
  <c r="B701" i="104" s="1"/>
  <c r="D702" i="104"/>
  <c r="E703" i="104"/>
  <c r="C702" i="104"/>
  <c r="C703" i="104" l="1"/>
  <c r="E704" i="104"/>
  <c r="A702" i="104"/>
  <c r="B702" i="104" s="1"/>
  <c r="D703" i="104"/>
  <c r="D704" i="104" l="1"/>
  <c r="A703" i="104"/>
  <c r="B703" i="104" s="1"/>
  <c r="E705" i="104"/>
  <c r="C704" i="104"/>
  <c r="E706" i="104" l="1"/>
  <c r="C705" i="104"/>
  <c r="A704" i="104"/>
  <c r="B704" i="104" s="1"/>
  <c r="D705" i="104"/>
  <c r="A705" i="104" l="1"/>
  <c r="B705" i="104" s="1"/>
  <c r="D706" i="104"/>
  <c r="E707" i="104"/>
  <c r="C706" i="104"/>
  <c r="C707" i="104" l="1"/>
  <c r="E708" i="104"/>
  <c r="D707" i="104"/>
  <c r="A706" i="104"/>
  <c r="B706" i="104" s="1"/>
  <c r="D708" i="104" l="1"/>
  <c r="A707" i="104"/>
  <c r="B707" i="104" s="1"/>
  <c r="E709" i="104"/>
  <c r="C708" i="104"/>
  <c r="C709" i="104" l="1"/>
  <c r="E710" i="104"/>
  <c r="A708" i="104"/>
  <c r="B708" i="104" s="1"/>
  <c r="D709" i="104"/>
  <c r="A709" i="104" l="1"/>
  <c r="B709" i="104" s="1"/>
  <c r="D710" i="104"/>
  <c r="E711" i="104"/>
  <c r="C710" i="104"/>
  <c r="C711" i="104" l="1"/>
  <c r="E712" i="104"/>
  <c r="D711" i="104"/>
  <c r="A710" i="104"/>
  <c r="B710" i="104" s="1"/>
  <c r="D712" i="104" l="1"/>
  <c r="A711" i="104"/>
  <c r="B711" i="104" s="1"/>
  <c r="C712" i="104"/>
  <c r="E713" i="104"/>
  <c r="E714" i="104" l="1"/>
  <c r="C713" i="104"/>
  <c r="A712" i="104"/>
  <c r="B712" i="104" s="1"/>
  <c r="D713" i="104"/>
  <c r="A713" i="104" l="1"/>
  <c r="B713" i="104" s="1"/>
  <c r="D714" i="104"/>
  <c r="E715" i="104"/>
  <c r="C714" i="104"/>
  <c r="C715" i="104" l="1"/>
  <c r="E716" i="104"/>
  <c r="D715" i="104"/>
  <c r="A714" i="104"/>
  <c r="B714" i="104" s="1"/>
  <c r="D716" i="104" l="1"/>
  <c r="A715" i="104"/>
  <c r="B715" i="104" s="1"/>
  <c r="E717" i="104"/>
  <c r="C716" i="104"/>
  <c r="C717" i="104" l="1"/>
  <c r="E718" i="104"/>
  <c r="D717" i="104"/>
  <c r="A716" i="104"/>
  <c r="B716" i="104" s="1"/>
  <c r="A717" i="104" l="1"/>
  <c r="B717" i="104" s="1"/>
  <c r="D718" i="104"/>
  <c r="E719" i="104"/>
  <c r="C718" i="104"/>
  <c r="C719" i="104" l="1"/>
  <c r="E720" i="104"/>
  <c r="A718" i="104"/>
  <c r="B718" i="104" s="1"/>
  <c r="D719" i="104"/>
  <c r="D720" i="104" l="1"/>
  <c r="A719" i="104"/>
  <c r="B719" i="104" s="1"/>
  <c r="E721" i="104"/>
  <c r="C720" i="104"/>
  <c r="C721" i="104" l="1"/>
  <c r="E722" i="104"/>
  <c r="A720" i="104"/>
  <c r="B720" i="104" s="1"/>
  <c r="D721" i="104"/>
  <c r="A721" i="104" l="1"/>
  <c r="B721" i="104" s="1"/>
  <c r="D722" i="104"/>
  <c r="E723" i="104"/>
  <c r="C722" i="104"/>
  <c r="C723" i="104" l="1"/>
  <c r="E724" i="104"/>
  <c r="D723" i="104"/>
  <c r="A722" i="104"/>
  <c r="B722" i="104" s="1"/>
  <c r="D724" i="104" l="1"/>
  <c r="A723" i="104"/>
  <c r="B723" i="104" s="1"/>
  <c r="C724" i="104"/>
  <c r="E725" i="104"/>
  <c r="E726" i="104" l="1"/>
  <c r="C725" i="104"/>
  <c r="A724" i="104"/>
  <c r="B724" i="104" s="1"/>
  <c r="D725" i="104"/>
  <c r="A725" i="104" l="1"/>
  <c r="B725" i="104" s="1"/>
  <c r="D726" i="104"/>
  <c r="E727" i="104"/>
  <c r="C726" i="104"/>
  <c r="C727" i="104" l="1"/>
  <c r="E728" i="104"/>
  <c r="D727" i="104"/>
  <c r="A726" i="104"/>
  <c r="B726" i="104" s="1"/>
  <c r="D728" i="104" l="1"/>
  <c r="A727" i="104"/>
  <c r="B727" i="104" s="1"/>
  <c r="C728" i="104"/>
  <c r="E729" i="104"/>
  <c r="E730" i="104" l="1"/>
  <c r="C729" i="104"/>
  <c r="A728" i="104"/>
  <c r="B728" i="104" s="1"/>
  <c r="D729" i="104"/>
  <c r="A729" i="104" l="1"/>
  <c r="B729" i="104" s="1"/>
  <c r="D730" i="104"/>
  <c r="E731" i="104"/>
  <c r="C730" i="104"/>
  <c r="C731" i="104" l="1"/>
  <c r="E732" i="104"/>
  <c r="D731" i="104"/>
  <c r="A730" i="104"/>
  <c r="B730" i="104" s="1"/>
  <c r="D732" i="104" l="1"/>
  <c r="A731" i="104"/>
  <c r="B731" i="104" s="1"/>
  <c r="C732" i="104"/>
  <c r="E733" i="104"/>
  <c r="E734" i="104" l="1"/>
  <c r="C733" i="104"/>
  <c r="A732" i="104"/>
  <c r="B732" i="104" s="1"/>
  <c r="D733" i="104"/>
  <c r="A733" i="104" l="1"/>
  <c r="B733" i="104" s="1"/>
  <c r="D734" i="104"/>
  <c r="E735" i="104"/>
  <c r="C734" i="104"/>
  <c r="C735" i="104" l="1"/>
  <c r="E736" i="104"/>
  <c r="A734" i="104"/>
  <c r="B734" i="104" s="1"/>
  <c r="D735" i="104"/>
  <c r="D736" i="104" l="1"/>
  <c r="A735" i="104"/>
  <c r="B735" i="104" s="1"/>
  <c r="E737" i="104"/>
  <c r="C736" i="104"/>
  <c r="E738" i="104" l="1"/>
  <c r="C737" i="104"/>
  <c r="A736" i="104"/>
  <c r="B736" i="104" s="1"/>
  <c r="D737" i="104"/>
  <c r="A737" i="104" l="1"/>
  <c r="B737" i="104" s="1"/>
  <c r="D738" i="104"/>
  <c r="E739" i="104"/>
  <c r="C738" i="104"/>
  <c r="C739" i="104" l="1"/>
  <c r="E740" i="104"/>
  <c r="D739" i="104"/>
  <c r="A738" i="104"/>
  <c r="B738" i="104" s="1"/>
  <c r="D740" i="104" l="1"/>
  <c r="A739" i="104"/>
  <c r="B739" i="104" s="1"/>
  <c r="E741" i="104"/>
  <c r="C740" i="104"/>
  <c r="E742" i="104" l="1"/>
  <c r="C741" i="104"/>
  <c r="D741" i="104"/>
  <c r="A740" i="104"/>
  <c r="B740" i="104" s="1"/>
  <c r="A741" i="104" l="1"/>
  <c r="B741" i="104" s="1"/>
  <c r="D742" i="104"/>
  <c r="E743" i="104"/>
  <c r="C742" i="104"/>
  <c r="C743" i="104" l="1"/>
  <c r="E744" i="104"/>
  <c r="D743" i="104"/>
  <c r="A742" i="104"/>
  <c r="B742" i="104" s="1"/>
  <c r="D744" i="104" l="1"/>
  <c r="A743" i="104"/>
  <c r="B743" i="104" s="1"/>
  <c r="E745" i="104"/>
  <c r="C744" i="104"/>
  <c r="E746" i="104" l="1"/>
  <c r="C745" i="104"/>
  <c r="A744" i="104"/>
  <c r="B744" i="104" s="1"/>
  <c r="D745" i="104"/>
  <c r="A745" i="104" l="1"/>
  <c r="B745" i="104" s="1"/>
  <c r="D746" i="104"/>
  <c r="E747" i="104"/>
  <c r="C746" i="104"/>
  <c r="C747" i="104" l="1"/>
  <c r="E748" i="104"/>
  <c r="D747" i="104"/>
  <c r="A746" i="104"/>
  <c r="B746" i="104" s="1"/>
  <c r="D748" i="104" l="1"/>
  <c r="A747" i="104"/>
  <c r="B747" i="104" s="1"/>
  <c r="E749" i="104"/>
  <c r="C748" i="104"/>
  <c r="C749" i="104" l="1"/>
  <c r="E750" i="104"/>
  <c r="D749" i="104"/>
  <c r="A748" i="104"/>
  <c r="B748" i="104" s="1"/>
  <c r="A749" i="104" l="1"/>
  <c r="B749" i="104" s="1"/>
  <c r="D750" i="104"/>
  <c r="E751" i="104"/>
  <c r="C750" i="104"/>
  <c r="C751" i="104" l="1"/>
  <c r="E752" i="104"/>
  <c r="D751" i="104"/>
  <c r="A750" i="104"/>
  <c r="B750" i="104" s="1"/>
  <c r="D752" i="104" l="1"/>
  <c r="A751" i="104"/>
  <c r="B751" i="104" s="1"/>
  <c r="E753" i="104"/>
  <c r="C752" i="104"/>
  <c r="C753" i="104" l="1"/>
  <c r="E754" i="104"/>
  <c r="A752" i="104"/>
  <c r="B752" i="104" s="1"/>
  <c r="D753" i="104"/>
  <c r="A753" i="104" l="1"/>
  <c r="B753" i="104" s="1"/>
  <c r="D754" i="104"/>
  <c r="E755" i="104"/>
  <c r="C754" i="104"/>
  <c r="C755" i="104" l="1"/>
  <c r="E756" i="104"/>
  <c r="D755" i="104"/>
  <c r="A754" i="104"/>
  <c r="B754" i="104" s="1"/>
  <c r="D756" i="104" l="1"/>
  <c r="A755" i="104"/>
  <c r="B755" i="104" s="1"/>
  <c r="C756" i="104"/>
  <c r="E757" i="104"/>
  <c r="E758" i="104" l="1"/>
  <c r="C757" i="104"/>
  <c r="D757" i="104"/>
  <c r="A756" i="104"/>
  <c r="B756" i="104" s="1"/>
  <c r="A757" i="104" l="1"/>
  <c r="B757" i="104" s="1"/>
  <c r="D758" i="104"/>
  <c r="E759" i="104"/>
  <c r="C758" i="104"/>
  <c r="C759" i="104" l="1"/>
  <c r="E760" i="104"/>
  <c r="A758" i="104"/>
  <c r="B758" i="104" s="1"/>
  <c r="D759" i="104"/>
  <c r="D760" i="104" l="1"/>
  <c r="A759" i="104"/>
  <c r="B759" i="104" s="1"/>
  <c r="C760" i="104"/>
  <c r="E761" i="104"/>
  <c r="E762" i="104" l="1"/>
  <c r="C761" i="104"/>
  <c r="A760" i="104"/>
  <c r="B760" i="104" s="1"/>
  <c r="D761" i="104"/>
  <c r="A761" i="104" l="1"/>
  <c r="B761" i="104" s="1"/>
  <c r="D762" i="104"/>
  <c r="E763" i="104"/>
  <c r="C762" i="104"/>
  <c r="C763" i="104" l="1"/>
  <c r="E764" i="104"/>
  <c r="D763" i="104"/>
  <c r="A762" i="104"/>
  <c r="B762" i="104" s="1"/>
  <c r="D764" i="104" l="1"/>
  <c r="A763" i="104"/>
  <c r="B763" i="104" s="1"/>
  <c r="C764" i="104"/>
  <c r="E765" i="104"/>
  <c r="E766" i="104" l="1"/>
  <c r="C765" i="104"/>
  <c r="A764" i="104"/>
  <c r="B764" i="104" s="1"/>
  <c r="D765" i="104"/>
  <c r="A765" i="104" l="1"/>
  <c r="B765" i="104" s="1"/>
  <c r="D766" i="104"/>
  <c r="C766" i="104"/>
  <c r="E767" i="104"/>
  <c r="C767" i="104" l="1"/>
  <c r="E768" i="104"/>
  <c r="A766" i="104"/>
  <c r="B766" i="104" s="1"/>
  <c r="D767" i="104"/>
  <c r="D768" i="104" l="1"/>
  <c r="A767" i="104"/>
  <c r="B767" i="104" s="1"/>
  <c r="C768" i="104"/>
  <c r="E769" i="104"/>
  <c r="C769" i="104" l="1"/>
  <c r="E770" i="104"/>
  <c r="A768" i="104"/>
  <c r="B768" i="104" s="1"/>
  <c r="D769" i="104"/>
  <c r="A769" i="104" l="1"/>
  <c r="B769" i="104" s="1"/>
  <c r="D770" i="104"/>
  <c r="C770" i="104"/>
  <c r="E771" i="104"/>
  <c r="C771" i="104" l="1"/>
  <c r="E772" i="104"/>
  <c r="D771" i="104"/>
  <c r="A770" i="104"/>
  <c r="B770" i="104" s="1"/>
  <c r="D772" i="104" l="1"/>
  <c r="A771" i="104"/>
  <c r="B771" i="104" s="1"/>
  <c r="C772" i="104"/>
  <c r="E773" i="104"/>
  <c r="C773" i="104" l="1"/>
  <c r="E774" i="104"/>
  <c r="A772" i="104"/>
  <c r="B772" i="104" s="1"/>
  <c r="D773" i="104"/>
  <c r="A773" i="104" l="1"/>
  <c r="B773" i="104" s="1"/>
  <c r="D774" i="104"/>
  <c r="C774" i="104"/>
  <c r="E775" i="104"/>
  <c r="C775" i="104" l="1"/>
  <c r="E776" i="104"/>
  <c r="D775" i="104"/>
  <c r="A774" i="104"/>
  <c r="B774" i="104" s="1"/>
  <c r="D776" i="104" l="1"/>
  <c r="A775" i="104"/>
  <c r="B775" i="104" s="1"/>
  <c r="E777" i="104"/>
  <c r="C776" i="104"/>
  <c r="C777" i="104" l="1"/>
  <c r="E778" i="104"/>
  <c r="A776" i="104"/>
  <c r="B776" i="104" s="1"/>
  <c r="D777" i="104"/>
  <c r="A777" i="104" l="1"/>
  <c r="B777" i="104" s="1"/>
  <c r="D778" i="104"/>
  <c r="C778" i="104"/>
  <c r="E779" i="104"/>
  <c r="C779" i="104" l="1"/>
  <c r="E780" i="104"/>
  <c r="D779" i="104"/>
  <c r="A778" i="104"/>
  <c r="B778" i="104" s="1"/>
  <c r="D780" i="104" l="1"/>
  <c r="A779" i="104"/>
  <c r="B779" i="104" s="1"/>
  <c r="C780" i="104"/>
  <c r="E781" i="104"/>
  <c r="E782" i="104" l="1"/>
  <c r="C781" i="104"/>
  <c r="D781" i="104"/>
  <c r="A780" i="104"/>
  <c r="B780" i="104" s="1"/>
  <c r="A781" i="104" l="1"/>
  <c r="B781" i="104" s="1"/>
  <c r="D782" i="104"/>
  <c r="C782" i="104"/>
  <c r="E783" i="104"/>
  <c r="C783" i="104" l="1"/>
  <c r="E784" i="104"/>
  <c r="A782" i="104"/>
  <c r="B782" i="104" s="1"/>
  <c r="D783" i="104"/>
  <c r="D784" i="104" l="1"/>
  <c r="A783" i="104"/>
  <c r="B783" i="104" s="1"/>
  <c r="C784" i="104"/>
  <c r="E785" i="104"/>
  <c r="C785" i="104" l="1"/>
  <c r="E786" i="104"/>
  <c r="A784" i="104"/>
  <c r="B784" i="104" s="1"/>
  <c r="D785" i="104"/>
  <c r="A785" i="104" l="1"/>
  <c r="B785" i="104" s="1"/>
  <c r="D786" i="104"/>
  <c r="C786" i="104"/>
  <c r="E787" i="104"/>
  <c r="C787" i="104" l="1"/>
  <c r="E788" i="104"/>
  <c r="D787" i="104"/>
  <c r="A786" i="104"/>
  <c r="B786" i="104" s="1"/>
  <c r="D788" i="104" l="1"/>
  <c r="A787" i="104"/>
  <c r="B787" i="104" s="1"/>
  <c r="E789" i="104"/>
  <c r="C788" i="104"/>
  <c r="C789" i="104" l="1"/>
  <c r="E790" i="104"/>
  <c r="A788" i="104"/>
  <c r="B788" i="104" s="1"/>
  <c r="D789" i="104"/>
  <c r="A789" i="104" l="1"/>
  <c r="B789" i="104" s="1"/>
  <c r="D790" i="104"/>
  <c r="C790" i="104"/>
  <c r="E791" i="104"/>
  <c r="C791" i="104" l="1"/>
  <c r="E792" i="104"/>
  <c r="A790" i="104"/>
  <c r="B790" i="104" s="1"/>
  <c r="D791" i="104"/>
  <c r="D792" i="104" l="1"/>
  <c r="A791" i="104"/>
  <c r="B791" i="104" s="1"/>
  <c r="E793" i="104"/>
  <c r="C792" i="104"/>
  <c r="E794" i="104" l="1"/>
  <c r="C793" i="104"/>
  <c r="A792" i="104"/>
  <c r="B792" i="104" s="1"/>
  <c r="D793" i="104"/>
  <c r="A793" i="104" l="1"/>
  <c r="B793" i="104" s="1"/>
  <c r="D794" i="104"/>
  <c r="C794" i="104"/>
  <c r="E795" i="104"/>
  <c r="C795" i="104" l="1"/>
  <c r="E796" i="104"/>
  <c r="D795" i="104"/>
  <c r="A794" i="104"/>
  <c r="B794" i="104" s="1"/>
  <c r="D796" i="104" l="1"/>
  <c r="A795" i="104"/>
  <c r="B795" i="104" s="1"/>
  <c r="E797" i="104"/>
  <c r="C796" i="104"/>
  <c r="E798" i="104" l="1"/>
  <c r="C797" i="104"/>
  <c r="A796" i="104"/>
  <c r="B796" i="104" s="1"/>
  <c r="D797" i="104"/>
  <c r="A797" i="104" l="1"/>
  <c r="B797" i="104" s="1"/>
  <c r="D798" i="104"/>
  <c r="C798" i="104"/>
  <c r="E799" i="104"/>
  <c r="C799" i="104" l="1"/>
  <c r="E800" i="104"/>
  <c r="A798" i="104"/>
  <c r="B798" i="104" s="1"/>
  <c r="D799" i="104"/>
  <c r="D800" i="104" l="1"/>
  <c r="A799" i="104"/>
  <c r="B799" i="104" s="1"/>
  <c r="C800" i="104"/>
  <c r="E801" i="104"/>
  <c r="E802" i="104" l="1"/>
  <c r="C801" i="104"/>
  <c r="A800" i="104"/>
  <c r="B800" i="104" s="1"/>
  <c r="D801" i="104"/>
  <c r="A801" i="104" l="1"/>
  <c r="B801" i="104" s="1"/>
  <c r="D802" i="104"/>
  <c r="C802" i="104"/>
  <c r="E803" i="104"/>
  <c r="C803" i="104" l="1"/>
  <c r="E804" i="104"/>
  <c r="D803" i="104"/>
  <c r="A802" i="104"/>
  <c r="B802" i="104" s="1"/>
  <c r="D804" i="104" l="1"/>
  <c r="A803" i="104"/>
  <c r="B803" i="104" s="1"/>
  <c r="C804" i="104"/>
  <c r="E805" i="104"/>
  <c r="C805" i="104" l="1"/>
  <c r="E806" i="104"/>
  <c r="D805" i="104"/>
  <c r="A804" i="104"/>
  <c r="B804" i="104" s="1"/>
  <c r="A805" i="104" l="1"/>
  <c r="B805" i="104" s="1"/>
  <c r="D806" i="104"/>
  <c r="C806" i="104"/>
  <c r="E807" i="104"/>
  <c r="C807" i="104" l="1"/>
  <c r="E808" i="104"/>
  <c r="D807" i="104"/>
  <c r="A806" i="104"/>
  <c r="B806" i="104" s="1"/>
  <c r="D808" i="104" l="1"/>
  <c r="A807" i="104"/>
  <c r="B807" i="104" s="1"/>
  <c r="E809" i="104"/>
  <c r="C808" i="104"/>
  <c r="E810" i="104" l="1"/>
  <c r="C809" i="104"/>
  <c r="A808" i="104"/>
  <c r="B808" i="104" s="1"/>
  <c r="D809" i="104"/>
  <c r="A809" i="104" l="1"/>
  <c r="B809" i="104" s="1"/>
  <c r="D810" i="104"/>
  <c r="C810" i="104"/>
  <c r="E811" i="104"/>
  <c r="C811" i="104" l="1"/>
  <c r="E812" i="104"/>
  <c r="D811" i="104"/>
  <c r="A810" i="104"/>
  <c r="B810" i="104" s="1"/>
  <c r="D812" i="104" l="1"/>
  <c r="A811" i="104"/>
  <c r="B811" i="104" s="1"/>
  <c r="C812" i="104"/>
  <c r="E813" i="104"/>
  <c r="E814" i="104" l="1"/>
  <c r="C813" i="104"/>
  <c r="D813" i="104"/>
  <c r="A812" i="104"/>
  <c r="B812" i="104" s="1"/>
  <c r="A813" i="104" l="1"/>
  <c r="B813" i="104" s="1"/>
  <c r="D814" i="104"/>
  <c r="C814" i="104"/>
  <c r="E815" i="104"/>
  <c r="C815" i="104" l="1"/>
  <c r="E816" i="104"/>
  <c r="D815" i="104"/>
  <c r="A814" i="104"/>
  <c r="B814" i="104" s="1"/>
  <c r="D816" i="104" l="1"/>
  <c r="A815" i="104"/>
  <c r="B815" i="104" s="1"/>
  <c r="E817" i="104"/>
  <c r="C816" i="104"/>
  <c r="E818" i="104" l="1"/>
  <c r="C817" i="104"/>
  <c r="A816" i="104"/>
  <c r="B816" i="104" s="1"/>
  <c r="D817" i="104"/>
  <c r="A817" i="104" l="1"/>
  <c r="B817" i="104" s="1"/>
  <c r="D818" i="104"/>
  <c r="C818" i="104"/>
  <c r="E819" i="104"/>
  <c r="C819" i="104" l="1"/>
  <c r="E820" i="104"/>
  <c r="D819" i="104"/>
  <c r="A818" i="104"/>
  <c r="B818" i="104" s="1"/>
  <c r="D820" i="104" l="1"/>
  <c r="A819" i="104"/>
  <c r="B819" i="104" s="1"/>
  <c r="C820" i="104"/>
  <c r="E821" i="104"/>
  <c r="C821" i="104" l="1"/>
  <c r="E822" i="104"/>
  <c r="D821" i="104"/>
  <c r="A820" i="104"/>
  <c r="B820" i="104" s="1"/>
  <c r="A821" i="104" l="1"/>
  <c r="B821" i="104" s="1"/>
  <c r="D822" i="104"/>
  <c r="E823" i="104"/>
  <c r="C822" i="104"/>
  <c r="C823" i="104" l="1"/>
  <c r="E824" i="104"/>
  <c r="A822" i="104"/>
  <c r="B822" i="104" s="1"/>
  <c r="D823" i="104"/>
  <c r="D824" i="104" l="1"/>
  <c r="A823" i="104"/>
  <c r="B823" i="104" s="1"/>
  <c r="E825" i="104"/>
  <c r="C824" i="104"/>
  <c r="C825" i="104" l="1"/>
  <c r="E826" i="104"/>
  <c r="A824" i="104"/>
  <c r="B824" i="104" s="1"/>
  <c r="D825" i="104"/>
  <c r="A825" i="104" l="1"/>
  <c r="B825" i="104" s="1"/>
  <c r="D826" i="104"/>
  <c r="C826" i="104"/>
  <c r="E827" i="104"/>
  <c r="C827" i="104" l="1"/>
  <c r="E828" i="104"/>
  <c r="D827" i="104"/>
  <c r="A826" i="104"/>
  <c r="B826" i="104" s="1"/>
  <c r="D828" i="104" l="1"/>
  <c r="A827" i="104"/>
  <c r="B827" i="104" s="1"/>
  <c r="E829" i="104"/>
  <c r="C828" i="104"/>
  <c r="C829" i="104" l="1"/>
  <c r="E830" i="104"/>
  <c r="A828" i="104"/>
  <c r="B828" i="104" s="1"/>
  <c r="D829" i="104"/>
  <c r="A829" i="104" l="1"/>
  <c r="B829" i="104" s="1"/>
  <c r="D830" i="104"/>
  <c r="C830" i="104"/>
  <c r="E831" i="104"/>
  <c r="C831" i="104" l="1"/>
  <c r="E832" i="104"/>
  <c r="A830" i="104"/>
  <c r="B830" i="104" s="1"/>
  <c r="D831" i="104"/>
  <c r="D832" i="104" l="1"/>
  <c r="A831" i="104"/>
  <c r="B831" i="104" s="1"/>
  <c r="C832" i="104"/>
  <c r="E833" i="104"/>
  <c r="E834" i="104" l="1"/>
  <c r="C833" i="104"/>
  <c r="A832" i="104"/>
  <c r="B832" i="104" s="1"/>
  <c r="D833" i="104"/>
  <c r="A833" i="104" l="1"/>
  <c r="B833" i="104" s="1"/>
  <c r="D834" i="104"/>
  <c r="C834" i="104"/>
  <c r="E835" i="104"/>
  <c r="C835" i="104" l="1"/>
  <c r="E836" i="104"/>
  <c r="D835" i="104"/>
  <c r="A834" i="104"/>
  <c r="B834" i="104" s="1"/>
  <c r="D836" i="104" l="1"/>
  <c r="A835" i="104"/>
  <c r="B835" i="104" s="1"/>
  <c r="E837" i="104"/>
  <c r="C836" i="104"/>
  <c r="C837" i="104" l="1"/>
  <c r="E838" i="104"/>
  <c r="D837" i="104"/>
  <c r="A836" i="104"/>
  <c r="B836" i="104" s="1"/>
  <c r="A837" i="104" l="1"/>
  <c r="B837" i="104" s="1"/>
  <c r="D838" i="104"/>
  <c r="C838" i="104"/>
  <c r="E839" i="104"/>
  <c r="C839" i="104" l="1"/>
  <c r="E840" i="104"/>
  <c r="D839" i="104"/>
  <c r="A838" i="104"/>
  <c r="B838" i="104" s="1"/>
  <c r="D840" i="104" l="1"/>
  <c r="A839" i="104"/>
  <c r="B839" i="104" s="1"/>
  <c r="E841" i="104"/>
  <c r="C840" i="104"/>
  <c r="C841" i="104" l="1"/>
  <c r="E842" i="104"/>
  <c r="A840" i="104"/>
  <c r="B840" i="104" s="1"/>
  <c r="D841" i="104"/>
  <c r="A841" i="104" l="1"/>
  <c r="B841" i="104" s="1"/>
  <c r="D842" i="104"/>
  <c r="E843" i="104"/>
  <c r="C842" i="104"/>
  <c r="C843" i="104" l="1"/>
  <c r="E844" i="104"/>
  <c r="D843" i="104"/>
  <c r="A842" i="104"/>
  <c r="B842" i="104" s="1"/>
  <c r="D844" i="104" l="1"/>
  <c r="A843" i="104"/>
  <c r="B843" i="104" s="1"/>
  <c r="E845" i="104"/>
  <c r="C844" i="104"/>
  <c r="E846" i="104" l="1"/>
  <c r="C845" i="104"/>
  <c r="D845" i="104"/>
  <c r="A844" i="104"/>
  <c r="B844" i="104" s="1"/>
  <c r="A845" i="104" l="1"/>
  <c r="B845" i="104" s="1"/>
  <c r="D846" i="104"/>
  <c r="C846" i="104"/>
  <c r="E847" i="104"/>
  <c r="C847" i="104" l="1"/>
  <c r="E848" i="104"/>
  <c r="A846" i="104"/>
  <c r="B846" i="104" s="1"/>
  <c r="D847" i="104"/>
  <c r="D848" i="104" l="1"/>
  <c r="A847" i="104"/>
  <c r="B847" i="104" s="1"/>
  <c r="E849" i="104"/>
  <c r="C848" i="104"/>
  <c r="C849" i="104" l="1"/>
  <c r="E850" i="104"/>
  <c r="A848" i="104"/>
  <c r="B848" i="104" s="1"/>
  <c r="D849" i="104"/>
  <c r="A849" i="104" l="1"/>
  <c r="B849" i="104" s="1"/>
  <c r="D850" i="104"/>
  <c r="C850" i="104"/>
  <c r="E851" i="104"/>
  <c r="C851" i="104" l="1"/>
  <c r="E852" i="104"/>
  <c r="D851" i="104"/>
  <c r="A850" i="104"/>
  <c r="B850" i="104" s="1"/>
  <c r="D852" i="104" l="1"/>
  <c r="A851" i="104"/>
  <c r="B851" i="104" s="1"/>
  <c r="C852" i="104"/>
  <c r="E853" i="104"/>
  <c r="E854" i="104" l="1"/>
  <c r="C853" i="104"/>
  <c r="A852" i="104"/>
  <c r="B852" i="104" s="1"/>
  <c r="D853" i="104"/>
  <c r="A853" i="104" l="1"/>
  <c r="B853" i="104" s="1"/>
  <c r="D854" i="104"/>
  <c r="E855" i="104"/>
  <c r="C854" i="104"/>
  <c r="C855" i="104" l="1"/>
  <c r="E856" i="104"/>
  <c r="D855" i="104"/>
  <c r="A854" i="104"/>
  <c r="B854" i="104" s="1"/>
  <c r="D856" i="104" l="1"/>
  <c r="A855" i="104"/>
  <c r="B855" i="104" s="1"/>
  <c r="E857" i="104"/>
  <c r="C856" i="104"/>
  <c r="C857" i="104" l="1"/>
  <c r="E858" i="104"/>
  <c r="A856" i="104"/>
  <c r="B856" i="104" s="1"/>
  <c r="D857" i="104"/>
  <c r="A857" i="104" l="1"/>
  <c r="B857" i="104" s="1"/>
  <c r="D858" i="104"/>
  <c r="C858" i="104"/>
  <c r="E859" i="104"/>
  <c r="C859" i="104" l="1"/>
  <c r="E860" i="104"/>
  <c r="D859" i="104"/>
  <c r="A858" i="104"/>
  <c r="B858" i="104" s="1"/>
  <c r="D860" i="104" l="1"/>
  <c r="A859" i="104"/>
  <c r="B859" i="104" s="1"/>
  <c r="E861" i="104"/>
  <c r="C860" i="104"/>
  <c r="C861" i="104" l="1"/>
  <c r="E862" i="104"/>
  <c r="A860" i="104"/>
  <c r="B860" i="104" s="1"/>
  <c r="D861" i="104"/>
  <c r="A861" i="104" l="1"/>
  <c r="B861" i="104" s="1"/>
  <c r="D862" i="104"/>
  <c r="E863" i="104"/>
  <c r="C862" i="104"/>
  <c r="C863" i="104" l="1"/>
  <c r="E864" i="104"/>
  <c r="A862" i="104"/>
  <c r="B862" i="104" s="1"/>
  <c r="D863" i="104"/>
  <c r="D864" i="104" l="1"/>
  <c r="A863" i="104"/>
  <c r="B863" i="104" s="1"/>
  <c r="C864" i="104"/>
  <c r="E865" i="104"/>
  <c r="E866" i="104" l="1"/>
  <c r="C865" i="104"/>
  <c r="A864" i="104"/>
  <c r="B864" i="104" s="1"/>
  <c r="D865" i="104"/>
  <c r="A865" i="104" l="1"/>
  <c r="B865" i="104" s="1"/>
  <c r="D866" i="104"/>
  <c r="E867" i="104"/>
  <c r="C866" i="104"/>
  <c r="C867" i="104" l="1"/>
  <c r="E868" i="104"/>
  <c r="D867" i="104"/>
  <c r="A866" i="104"/>
  <c r="B866" i="104" s="1"/>
  <c r="D868" i="104" l="1"/>
  <c r="A867" i="104"/>
  <c r="B867" i="104" s="1"/>
  <c r="E869" i="104"/>
  <c r="C868" i="104"/>
  <c r="C869" i="104" l="1"/>
  <c r="E870" i="104"/>
  <c r="D869" i="104"/>
  <c r="A868" i="104"/>
  <c r="B868" i="104" s="1"/>
  <c r="A869" i="104" l="1"/>
  <c r="B869" i="104" s="1"/>
  <c r="D870" i="104"/>
  <c r="C870" i="104"/>
  <c r="E871" i="104"/>
  <c r="C871" i="104" l="1"/>
  <c r="E872" i="104"/>
  <c r="D871" i="104"/>
  <c r="A870" i="104"/>
  <c r="B870" i="104" s="1"/>
  <c r="D872" i="104" l="1"/>
  <c r="A871" i="104"/>
  <c r="B871" i="104" s="1"/>
  <c r="E873" i="104"/>
  <c r="C872" i="104"/>
  <c r="C873" i="104" l="1"/>
  <c r="E874" i="104"/>
  <c r="A872" i="104"/>
  <c r="B872" i="104" s="1"/>
  <c r="D873" i="104"/>
  <c r="A873" i="104" l="1"/>
  <c r="B873" i="104" s="1"/>
  <c r="D874" i="104"/>
  <c r="E875" i="104"/>
  <c r="C874" i="104"/>
  <c r="C875" i="104" l="1"/>
  <c r="E876" i="104"/>
  <c r="D875" i="104"/>
  <c r="A874" i="104"/>
  <c r="B874" i="104" s="1"/>
  <c r="A875" i="104" l="1"/>
  <c r="B875" i="104" s="1"/>
  <c r="D876" i="104"/>
  <c r="C876" i="104"/>
  <c r="E877" i="104"/>
  <c r="E878" i="104" l="1"/>
  <c r="C877" i="104"/>
  <c r="A876" i="104"/>
  <c r="B876" i="104" s="1"/>
  <c r="D877" i="104"/>
  <c r="A877" i="104" l="1"/>
  <c r="B877" i="104" s="1"/>
  <c r="D878" i="104"/>
  <c r="E879" i="104"/>
  <c r="C878" i="104"/>
  <c r="C879" i="104" l="1"/>
  <c r="E880" i="104"/>
  <c r="D879" i="104"/>
  <c r="A878" i="104"/>
  <c r="B878" i="104" s="1"/>
  <c r="D880" i="104" l="1"/>
  <c r="A879" i="104"/>
  <c r="B879" i="104" s="1"/>
  <c r="C880" i="104"/>
  <c r="E881" i="104"/>
  <c r="C881" i="104" l="1"/>
  <c r="E882" i="104"/>
  <c r="A880" i="104"/>
  <c r="B880" i="104" s="1"/>
  <c r="D881" i="104"/>
  <c r="D882" i="104" l="1"/>
  <c r="A881" i="104"/>
  <c r="B881" i="104" s="1"/>
  <c r="C882" i="104"/>
  <c r="E883" i="104"/>
  <c r="C883" i="104" l="1"/>
  <c r="E884" i="104"/>
  <c r="D883" i="104"/>
  <c r="A882" i="104"/>
  <c r="B882" i="104" s="1"/>
  <c r="D884" i="104" l="1"/>
  <c r="A883" i="104"/>
  <c r="B883" i="104" s="1"/>
  <c r="C884" i="104"/>
  <c r="E885" i="104"/>
  <c r="C885" i="104" l="1"/>
  <c r="E886" i="104"/>
  <c r="A884" i="104"/>
  <c r="B884" i="104" s="1"/>
  <c r="D885" i="104"/>
  <c r="A885" i="104" l="1"/>
  <c r="B885" i="104" s="1"/>
  <c r="D886" i="104"/>
  <c r="E887" i="104"/>
  <c r="C886" i="104"/>
  <c r="C887" i="104" l="1"/>
  <c r="E888" i="104"/>
  <c r="D887" i="104"/>
  <c r="A886" i="104"/>
  <c r="B886" i="104" s="1"/>
  <c r="A887" i="104" l="1"/>
  <c r="B887" i="104" s="1"/>
  <c r="D888" i="104"/>
  <c r="E889" i="104"/>
  <c r="C888" i="104"/>
  <c r="E890" i="104" l="1"/>
  <c r="C889" i="104"/>
  <c r="A888" i="104"/>
  <c r="B888" i="104" s="1"/>
  <c r="D889" i="104"/>
  <c r="D890" i="104" l="1"/>
  <c r="A889" i="104"/>
  <c r="B889" i="104" s="1"/>
  <c r="E891" i="104"/>
  <c r="C890" i="104"/>
  <c r="C891" i="104" l="1"/>
  <c r="E892" i="104"/>
  <c r="D891" i="104"/>
  <c r="A890" i="104"/>
  <c r="B890" i="104" s="1"/>
  <c r="A891" i="104" l="1"/>
  <c r="B891" i="104" s="1"/>
  <c r="D892" i="104"/>
  <c r="C892" i="104"/>
  <c r="E893" i="104"/>
  <c r="C893" i="104" l="1"/>
  <c r="E894" i="104"/>
  <c r="A892" i="104"/>
  <c r="B892" i="104" s="1"/>
  <c r="D893" i="104"/>
  <c r="D894" i="104" l="1"/>
  <c r="A893" i="104"/>
  <c r="B893" i="104" s="1"/>
  <c r="C894" i="104"/>
  <c r="E895" i="104"/>
  <c r="C895" i="104" l="1"/>
  <c r="E896" i="104"/>
  <c r="D895" i="104"/>
  <c r="A894" i="104"/>
  <c r="B894" i="104" s="1"/>
  <c r="D896" i="104" l="1"/>
  <c r="A895" i="104"/>
  <c r="B895" i="104" s="1"/>
  <c r="C896" i="104"/>
  <c r="E897" i="104"/>
  <c r="E898" i="104" l="1"/>
  <c r="C897" i="104"/>
  <c r="A896" i="104"/>
  <c r="B896" i="104" s="1"/>
  <c r="D897" i="104"/>
  <c r="D898" i="104" l="1"/>
  <c r="A897" i="104"/>
  <c r="B897" i="104" s="1"/>
  <c r="C898" i="104"/>
  <c r="E899" i="104"/>
  <c r="C899" i="104" l="1"/>
  <c r="E900" i="104"/>
  <c r="D899" i="104"/>
  <c r="A898" i="104"/>
  <c r="B898" i="104" s="1"/>
  <c r="D900" i="104" l="1"/>
  <c r="A899" i="104"/>
  <c r="B899" i="104" s="1"/>
  <c r="E901" i="104"/>
  <c r="C900" i="104"/>
  <c r="E902" i="104" l="1"/>
  <c r="C901" i="104"/>
  <c r="A900" i="104"/>
  <c r="B900" i="104" s="1"/>
  <c r="D901" i="104"/>
  <c r="D902" i="104" l="1"/>
  <c r="A901" i="104"/>
  <c r="B901" i="104" s="1"/>
  <c r="C902" i="104"/>
  <c r="E903" i="104"/>
  <c r="C903" i="104" l="1"/>
  <c r="E904" i="104"/>
  <c r="D903" i="104"/>
  <c r="A902" i="104"/>
  <c r="B902" i="104" s="1"/>
  <c r="A903" i="104" l="1"/>
  <c r="B903" i="104" s="1"/>
  <c r="D904" i="104"/>
  <c r="C904" i="104"/>
  <c r="E905" i="104"/>
  <c r="C905" i="104" l="1"/>
  <c r="E906" i="104"/>
  <c r="A904" i="104"/>
  <c r="B904" i="104" s="1"/>
  <c r="D905" i="104"/>
  <c r="A905" i="104" l="1"/>
  <c r="B905" i="104" s="1"/>
  <c r="D906" i="104"/>
  <c r="E907" i="104"/>
  <c r="C906" i="104"/>
  <c r="C907" i="104" l="1"/>
  <c r="E908" i="104"/>
  <c r="D907" i="104"/>
  <c r="A906" i="104"/>
  <c r="B906" i="104" s="1"/>
  <c r="D908" i="104" l="1"/>
  <c r="A907" i="104"/>
  <c r="B907" i="104" s="1"/>
  <c r="E909" i="104"/>
  <c r="C908" i="104"/>
  <c r="E910" i="104" l="1"/>
  <c r="C909" i="104"/>
  <c r="A908" i="104"/>
  <c r="B908" i="104" s="1"/>
  <c r="D909" i="104"/>
  <c r="A909" i="104" l="1"/>
  <c r="B909" i="104" s="1"/>
  <c r="D910" i="104"/>
  <c r="C910" i="104"/>
  <c r="E911" i="104"/>
  <c r="C911" i="104" l="1"/>
  <c r="E912" i="104"/>
  <c r="D911" i="104"/>
  <c r="A910" i="104"/>
  <c r="B910" i="104" s="1"/>
  <c r="D912" i="104" l="1"/>
  <c r="A911" i="104"/>
  <c r="B911" i="104" s="1"/>
  <c r="C912" i="104"/>
  <c r="E913" i="104"/>
  <c r="E914" i="104" l="1"/>
  <c r="C913" i="104"/>
  <c r="A912" i="104"/>
  <c r="B912" i="104" s="1"/>
  <c r="D913" i="104"/>
  <c r="D914" i="104" l="1"/>
  <c r="A913" i="104"/>
  <c r="B913" i="104" s="1"/>
  <c r="C914" i="104"/>
  <c r="E915" i="104"/>
  <c r="C915" i="104" l="1"/>
  <c r="E916" i="104"/>
  <c r="D915" i="104"/>
  <c r="A914" i="104"/>
  <c r="B914" i="104" s="1"/>
  <c r="D916" i="104" l="1"/>
  <c r="A915" i="104"/>
  <c r="B915" i="104" s="1"/>
  <c r="C916" i="104"/>
  <c r="E917" i="104"/>
  <c r="E918" i="104" l="1"/>
  <c r="C917" i="104"/>
  <c r="A916" i="104"/>
  <c r="B916" i="104" s="1"/>
  <c r="D917" i="104"/>
  <c r="A917" i="104" l="1"/>
  <c r="B917" i="104" s="1"/>
  <c r="D918" i="104"/>
  <c r="E919" i="104"/>
  <c r="C918" i="104"/>
  <c r="C919" i="104" l="1"/>
  <c r="E920" i="104"/>
  <c r="D919" i="104"/>
  <c r="A918" i="104"/>
  <c r="B918" i="104" s="1"/>
  <c r="A919" i="104" l="1"/>
  <c r="B919" i="104" s="1"/>
  <c r="D920" i="104"/>
  <c r="E921" i="104"/>
  <c r="C920" i="104"/>
  <c r="E922" i="104" l="1"/>
  <c r="C921" i="104"/>
  <c r="A920" i="104"/>
  <c r="B920" i="104" s="1"/>
  <c r="D921" i="104"/>
  <c r="A921" i="104" l="1"/>
  <c r="B921" i="104" s="1"/>
  <c r="D922" i="104"/>
  <c r="C922" i="104"/>
  <c r="E923" i="104"/>
  <c r="C923" i="104" l="1"/>
  <c r="E924" i="104"/>
  <c r="D923" i="104"/>
  <c r="A922" i="104"/>
  <c r="B922" i="104" s="1"/>
  <c r="A923" i="104" l="1"/>
  <c r="B923" i="104" s="1"/>
  <c r="D924" i="104"/>
  <c r="C924" i="104"/>
  <c r="E925" i="104"/>
  <c r="C925" i="104" l="1"/>
  <c r="E926" i="104"/>
  <c r="A924" i="104"/>
  <c r="B924" i="104" s="1"/>
  <c r="D925" i="104"/>
  <c r="D926" i="104" l="1"/>
  <c r="A925" i="104"/>
  <c r="B925" i="104" s="1"/>
  <c r="E927" i="104"/>
  <c r="C926" i="104"/>
  <c r="C927" i="104" l="1"/>
  <c r="E928" i="104"/>
  <c r="D927" i="104"/>
  <c r="A926" i="104"/>
  <c r="B926" i="104" s="1"/>
  <c r="D928" i="104" l="1"/>
  <c r="A927" i="104"/>
  <c r="B927" i="104" s="1"/>
  <c r="C928" i="104"/>
  <c r="E929" i="104"/>
  <c r="E930" i="104" l="1"/>
  <c r="C929" i="104"/>
  <c r="A928" i="104"/>
  <c r="B928" i="104" s="1"/>
  <c r="D929" i="104"/>
  <c r="D930" i="104" l="1"/>
  <c r="A929" i="104"/>
  <c r="B929" i="104" s="1"/>
  <c r="C930" i="104"/>
  <c r="E931" i="104"/>
  <c r="C931" i="104" l="1"/>
  <c r="E932" i="104"/>
  <c r="D931" i="104"/>
  <c r="A930" i="104"/>
  <c r="B930" i="104" s="1"/>
  <c r="D932" i="104" l="1"/>
  <c r="A931" i="104"/>
  <c r="B931" i="104" s="1"/>
  <c r="E933" i="104"/>
  <c r="C932" i="104"/>
  <c r="E934" i="104" l="1"/>
  <c r="C933" i="104"/>
  <c r="A932" i="104"/>
  <c r="B932" i="104" s="1"/>
  <c r="D933" i="104"/>
  <c r="D934" i="104" l="1"/>
  <c r="A933" i="104"/>
  <c r="B933" i="104" s="1"/>
  <c r="C934" i="104"/>
  <c r="E935" i="104"/>
  <c r="C935" i="104" l="1"/>
  <c r="E936" i="104"/>
  <c r="D935" i="104"/>
  <c r="A934" i="104"/>
  <c r="B934" i="104" s="1"/>
  <c r="A935" i="104" l="1"/>
  <c r="B935" i="104" s="1"/>
  <c r="D936" i="104"/>
  <c r="C936" i="104"/>
  <c r="E937" i="104"/>
  <c r="C937" i="104" l="1"/>
  <c r="E938" i="104"/>
  <c r="A936" i="104"/>
  <c r="B936" i="104" s="1"/>
  <c r="D937" i="104"/>
  <c r="A937" i="104" l="1"/>
  <c r="B937" i="104" s="1"/>
  <c r="D938" i="104"/>
  <c r="E939" i="104"/>
  <c r="C938" i="104"/>
  <c r="C939" i="104" l="1"/>
  <c r="E940" i="104"/>
  <c r="D939" i="104"/>
  <c r="A938" i="104"/>
  <c r="B938" i="104" s="1"/>
  <c r="D940" i="104" l="1"/>
  <c r="A939" i="104"/>
  <c r="B939" i="104" s="1"/>
  <c r="C940" i="104"/>
  <c r="E941" i="104"/>
  <c r="E942" i="104" l="1"/>
  <c r="C941" i="104"/>
  <c r="A940" i="104"/>
  <c r="B940" i="104" s="1"/>
  <c r="D941" i="104"/>
  <c r="D942" i="104" l="1"/>
  <c r="A941" i="104"/>
  <c r="B941" i="104" s="1"/>
  <c r="C942" i="104"/>
  <c r="E943" i="104"/>
  <c r="C943" i="104" l="1"/>
  <c r="E944" i="104"/>
  <c r="D943" i="104"/>
  <c r="A942" i="104"/>
  <c r="B942" i="104" s="1"/>
  <c r="D944" i="104" l="1"/>
  <c r="A943" i="104"/>
  <c r="B943" i="104" s="1"/>
  <c r="C944" i="104"/>
  <c r="E945" i="104"/>
  <c r="E946" i="104" l="1"/>
  <c r="C945" i="104"/>
  <c r="A944" i="104"/>
  <c r="B944" i="104" s="1"/>
  <c r="D945" i="104"/>
  <c r="D946" i="104" l="1"/>
  <c r="A945" i="104"/>
  <c r="B945" i="104" s="1"/>
  <c r="C946" i="104"/>
  <c r="E947" i="104"/>
  <c r="C947" i="104" l="1"/>
  <c r="E948" i="104"/>
  <c r="D947" i="104"/>
  <c r="A946" i="104"/>
  <c r="B946" i="104" s="1"/>
  <c r="D948" i="104" l="1"/>
  <c r="A947" i="104"/>
  <c r="B947" i="104" s="1"/>
  <c r="C948" i="104"/>
  <c r="E949" i="104"/>
  <c r="C949" i="104" l="1"/>
  <c r="E950" i="104"/>
  <c r="A948" i="104"/>
  <c r="B948" i="104" s="1"/>
  <c r="D949" i="104"/>
  <c r="A949" i="104" l="1"/>
  <c r="B949" i="104" s="1"/>
  <c r="D950" i="104"/>
  <c r="E951" i="104"/>
  <c r="C950" i="104"/>
  <c r="C951" i="104" l="1"/>
  <c r="E952" i="104"/>
  <c r="D951" i="104"/>
  <c r="A950" i="104"/>
  <c r="B950" i="104" s="1"/>
  <c r="A951" i="104" l="1"/>
  <c r="B951" i="104" s="1"/>
  <c r="D952" i="104"/>
  <c r="E953" i="104"/>
  <c r="C952" i="104"/>
  <c r="C953" i="104" l="1"/>
  <c r="E954" i="104"/>
  <c r="A952" i="104"/>
  <c r="B952" i="104" s="1"/>
  <c r="D953" i="104"/>
  <c r="D954" i="104" l="1"/>
  <c r="A953" i="104"/>
  <c r="B953" i="104" s="1"/>
  <c r="C954" i="104"/>
  <c r="E955" i="104"/>
  <c r="C955" i="104" l="1"/>
  <c r="E956" i="104"/>
  <c r="D955" i="104"/>
  <c r="A954" i="104"/>
  <c r="B954" i="104" s="1"/>
  <c r="A955" i="104" l="1"/>
  <c r="B955" i="104" s="1"/>
  <c r="D956" i="104"/>
  <c r="C956" i="104"/>
  <c r="E957" i="104"/>
  <c r="C957" i="104" l="1"/>
  <c r="E958" i="104"/>
  <c r="A956" i="104"/>
  <c r="B956" i="104" s="1"/>
  <c r="D957" i="104"/>
  <c r="A957" i="104" l="1"/>
  <c r="B957" i="104" s="1"/>
  <c r="D958" i="104"/>
  <c r="C958" i="104"/>
  <c r="E959" i="104"/>
  <c r="C959" i="104" l="1"/>
  <c r="E960" i="104"/>
  <c r="D959" i="104"/>
  <c r="A958" i="104"/>
  <c r="B958" i="104" s="1"/>
  <c r="D960" i="104" l="1"/>
  <c r="A959" i="104"/>
  <c r="B959" i="104" s="1"/>
  <c r="C960" i="104"/>
  <c r="E961" i="104"/>
  <c r="E962" i="104" l="1"/>
  <c r="C961" i="104"/>
  <c r="A960" i="104"/>
  <c r="B960" i="104" s="1"/>
  <c r="D961" i="104"/>
  <c r="D962" i="104" l="1"/>
  <c r="A961" i="104"/>
  <c r="B961" i="104" s="1"/>
  <c r="E963" i="104"/>
  <c r="C962" i="104"/>
  <c r="C963" i="104" l="1"/>
  <c r="E964" i="104"/>
  <c r="D963" i="104"/>
  <c r="A962" i="104"/>
  <c r="B962" i="104" s="1"/>
  <c r="D964" i="104" l="1"/>
  <c r="A963" i="104"/>
  <c r="B963" i="104" s="1"/>
  <c r="E965" i="104"/>
  <c r="C964" i="104"/>
  <c r="C965" i="104" l="1"/>
  <c r="E966" i="104"/>
  <c r="A964" i="104"/>
  <c r="B964" i="104" s="1"/>
  <c r="D965" i="104"/>
  <c r="D966" i="104" l="1"/>
  <c r="A965" i="104"/>
  <c r="B965" i="104" s="1"/>
  <c r="C966" i="104"/>
  <c r="E967" i="104"/>
  <c r="C967" i="104" l="1"/>
  <c r="E968" i="104"/>
  <c r="D967" i="104"/>
  <c r="A966" i="104"/>
  <c r="B966" i="104" s="1"/>
  <c r="A967" i="104" l="1"/>
  <c r="B967" i="104" s="1"/>
  <c r="D968" i="104"/>
  <c r="C968" i="104"/>
  <c r="E969" i="104"/>
  <c r="C969" i="104" l="1"/>
  <c r="E970" i="104"/>
  <c r="A968" i="104"/>
  <c r="B968" i="104" s="1"/>
  <c r="D969" i="104"/>
  <c r="A969" i="104" l="1"/>
  <c r="B969" i="104" s="1"/>
  <c r="D970" i="104"/>
  <c r="E971" i="104"/>
  <c r="C970" i="104"/>
  <c r="C971" i="104" l="1"/>
  <c r="E972" i="104"/>
  <c r="D971" i="104"/>
  <c r="A970" i="104"/>
  <c r="B970" i="104" s="1"/>
  <c r="D972" i="104" l="1"/>
  <c r="A971" i="104"/>
  <c r="B971" i="104" s="1"/>
  <c r="E973" i="104"/>
  <c r="C972" i="104"/>
  <c r="E974" i="104" l="1"/>
  <c r="C973" i="104"/>
  <c r="A972" i="104"/>
  <c r="B972" i="104" s="1"/>
  <c r="D973" i="104"/>
  <c r="D974" i="104" l="1"/>
  <c r="A973" i="104"/>
  <c r="B973" i="104" s="1"/>
  <c r="E975" i="104"/>
  <c r="C974" i="104"/>
  <c r="C975" i="104" l="1"/>
  <c r="E976" i="104"/>
  <c r="D975" i="104"/>
  <c r="A974" i="104"/>
  <c r="B974" i="104" s="1"/>
  <c r="D976" i="104" l="1"/>
  <c r="A975" i="104"/>
  <c r="B975" i="104" s="1"/>
  <c r="E977" i="104"/>
  <c r="C976" i="104"/>
  <c r="C977" i="104" l="1"/>
  <c r="E978" i="104"/>
  <c r="A976" i="104"/>
  <c r="B976" i="104" s="1"/>
  <c r="D977" i="104"/>
  <c r="D978" i="104" l="1"/>
  <c r="A977" i="104"/>
  <c r="B977" i="104" s="1"/>
  <c r="C978" i="104"/>
  <c r="E979" i="104"/>
  <c r="C979" i="104" l="1"/>
  <c r="E980" i="104"/>
  <c r="D979" i="104"/>
  <c r="A978" i="104"/>
  <c r="B978" i="104" s="1"/>
  <c r="D980" i="104" l="1"/>
  <c r="A979" i="104"/>
  <c r="B979" i="104" s="1"/>
  <c r="C980" i="104"/>
  <c r="E981" i="104"/>
  <c r="E982" i="104" l="1"/>
  <c r="C981" i="104"/>
  <c r="A980" i="104"/>
  <c r="B980" i="104" s="1"/>
  <c r="D981" i="104"/>
  <c r="A981" i="104" l="1"/>
  <c r="B981" i="104" s="1"/>
  <c r="D982" i="104"/>
  <c r="E983" i="104"/>
  <c r="C982" i="104"/>
  <c r="C983" i="104" l="1"/>
  <c r="E984" i="104"/>
  <c r="D983" i="104"/>
  <c r="A982" i="104"/>
  <c r="B982" i="104" s="1"/>
  <c r="A983" i="104" l="1"/>
  <c r="B983" i="104" s="1"/>
  <c r="D984" i="104"/>
  <c r="E985" i="104"/>
  <c r="C984" i="104"/>
  <c r="C985" i="104" l="1"/>
  <c r="E986" i="104"/>
  <c r="A984" i="104"/>
  <c r="B984" i="104" s="1"/>
  <c r="D985" i="104"/>
  <c r="A985" i="104" l="1"/>
  <c r="B985" i="104" s="1"/>
  <c r="D986" i="104"/>
  <c r="E987" i="104"/>
  <c r="C986" i="104"/>
  <c r="C987" i="104" l="1"/>
  <c r="E988" i="104"/>
  <c r="D987" i="104"/>
  <c r="A986" i="104"/>
  <c r="B986" i="104" s="1"/>
  <c r="A987" i="104" l="1"/>
  <c r="B987" i="104" s="1"/>
  <c r="D988" i="104"/>
  <c r="E989" i="104"/>
  <c r="C988" i="104"/>
  <c r="C989" i="104" l="1"/>
  <c r="E990" i="104"/>
  <c r="A988" i="104"/>
  <c r="B988" i="104" s="1"/>
  <c r="D989" i="104"/>
  <c r="A989" i="104" l="1"/>
  <c r="B989" i="104" s="1"/>
  <c r="D990" i="104"/>
  <c r="E991" i="104"/>
  <c r="C990" i="104"/>
  <c r="C991" i="104" l="1"/>
  <c r="E992" i="104"/>
  <c r="D991" i="104"/>
  <c r="A990" i="104"/>
  <c r="B990" i="104" s="1"/>
  <c r="D992" i="104" l="1"/>
  <c r="A991" i="104"/>
  <c r="B991" i="104" s="1"/>
  <c r="C992" i="104"/>
  <c r="E993" i="104"/>
  <c r="E994" i="104" l="1"/>
  <c r="C993" i="104"/>
  <c r="A992" i="104"/>
  <c r="B992" i="104" s="1"/>
  <c r="D993" i="104"/>
  <c r="D994" i="104" l="1"/>
  <c r="A993" i="104"/>
  <c r="B993" i="104" s="1"/>
  <c r="E995" i="104"/>
  <c r="C994" i="104"/>
  <c r="C995" i="104" l="1"/>
  <c r="E996" i="104"/>
  <c r="D995" i="104"/>
  <c r="A994" i="104"/>
  <c r="B994" i="104" s="1"/>
  <c r="A995" i="104" l="1"/>
  <c r="B995" i="104" s="1"/>
  <c r="D996" i="104"/>
  <c r="E997" i="104"/>
  <c r="C996" i="104"/>
  <c r="C997" i="104" l="1"/>
  <c r="E998" i="104"/>
  <c r="A996" i="104"/>
  <c r="B996" i="104" s="1"/>
  <c r="D997" i="104"/>
  <c r="D998" i="104" l="1"/>
  <c r="A997" i="104"/>
  <c r="B997" i="104" s="1"/>
  <c r="C998" i="104"/>
  <c r="E999" i="104"/>
  <c r="C999" i="104" l="1"/>
  <c r="E1000" i="104"/>
  <c r="D999" i="104"/>
  <c r="A998" i="104"/>
  <c r="B998" i="104" s="1"/>
  <c r="A999" i="104" l="1"/>
  <c r="B999" i="104" s="1"/>
  <c r="D1000" i="104"/>
  <c r="E1001" i="104"/>
  <c r="C1000" i="104"/>
  <c r="C1001" i="104" l="1"/>
  <c r="E1002" i="104"/>
  <c r="A1000" i="104"/>
  <c r="B1000" i="104" s="1"/>
  <c r="D1001" i="104"/>
  <c r="A1001" i="104" l="1"/>
  <c r="B1001" i="104" s="1"/>
  <c r="D1002" i="104"/>
  <c r="E1003" i="104"/>
  <c r="C1002" i="104"/>
  <c r="C1003" i="104" l="1"/>
  <c r="E1004" i="104"/>
  <c r="D1003" i="104"/>
  <c r="A1002" i="104"/>
  <c r="B1002" i="104" s="1"/>
  <c r="A1003" i="104" l="1"/>
  <c r="B1003" i="104" s="1"/>
  <c r="D1004" i="104"/>
  <c r="C1004" i="104"/>
  <c r="E1005" i="104"/>
  <c r="E1006" i="104" l="1"/>
  <c r="C1005" i="104"/>
  <c r="A1004" i="104"/>
  <c r="B1004" i="104" s="1"/>
  <c r="D1005" i="104"/>
  <c r="D1006" i="104" l="1"/>
  <c r="A1005" i="104"/>
  <c r="B1005" i="104" s="1"/>
  <c r="E1007" i="104"/>
  <c r="C1006" i="104"/>
  <c r="C1007" i="104" l="1"/>
  <c r="E1008" i="104"/>
  <c r="D1007" i="104"/>
  <c r="A1006" i="104"/>
  <c r="B1006" i="104" s="1"/>
  <c r="D1008" i="104" l="1"/>
  <c r="A1007" i="104"/>
  <c r="B1007" i="104" s="1"/>
  <c r="C1008" i="104"/>
  <c r="E1009" i="104"/>
  <c r="C1009" i="104" l="1"/>
  <c r="E1010" i="104"/>
  <c r="A1008" i="104"/>
  <c r="B1008" i="104" s="1"/>
  <c r="D1009" i="104"/>
  <c r="D1010" i="104" l="1"/>
  <c r="A1009" i="104"/>
  <c r="B1009" i="104" s="1"/>
  <c r="C1010" i="104"/>
  <c r="E1011" i="104"/>
  <c r="C1011" i="104" l="1"/>
  <c r="E1012" i="104"/>
  <c r="D1011" i="104"/>
  <c r="A1010" i="104"/>
  <c r="B1010" i="104" s="1"/>
  <c r="D1012" i="104" l="1"/>
  <c r="A1011" i="104"/>
  <c r="B1011" i="104" s="1"/>
  <c r="C1012" i="104"/>
  <c r="E1013" i="104"/>
  <c r="C1013" i="104" l="1"/>
  <c r="E1014" i="104"/>
  <c r="A1012" i="104"/>
  <c r="B1012" i="104" s="1"/>
  <c r="D1013" i="104"/>
  <c r="A1013" i="104" l="1"/>
  <c r="B1013" i="104" s="1"/>
  <c r="D1014" i="104"/>
  <c r="E1015" i="104"/>
  <c r="C1014" i="104"/>
  <c r="C1015" i="104" l="1"/>
  <c r="E1016" i="104"/>
  <c r="D1015" i="104"/>
  <c r="A1014" i="104"/>
  <c r="B1014" i="104" s="1"/>
  <c r="A1015" i="104" l="1"/>
  <c r="B1015" i="104" s="1"/>
  <c r="D1016" i="104"/>
  <c r="E1017" i="104"/>
  <c r="C1016" i="104"/>
  <c r="C1017" i="104" l="1"/>
  <c r="E1018" i="104"/>
  <c r="A1016" i="104"/>
  <c r="B1016" i="104" s="1"/>
  <c r="D1017" i="104"/>
  <c r="A1017" i="104" l="1"/>
  <c r="B1017" i="104" s="1"/>
  <c r="D1018" i="104"/>
  <c r="E1019" i="104"/>
  <c r="C1018" i="104"/>
  <c r="C1019" i="104" l="1"/>
  <c r="E1020" i="104"/>
  <c r="D1019" i="104"/>
  <c r="A1018" i="104"/>
  <c r="B1018" i="104" s="1"/>
  <c r="A1019" i="104" l="1"/>
  <c r="B1019" i="104" s="1"/>
  <c r="D1020" i="104"/>
  <c r="C1020" i="104"/>
  <c r="E1021" i="104"/>
  <c r="C1021" i="104" l="1"/>
  <c r="E1022" i="104"/>
  <c r="A1020" i="104"/>
  <c r="B1020" i="104" s="1"/>
  <c r="D1021" i="104"/>
  <c r="D1022" i="104" l="1"/>
  <c r="A1021" i="104"/>
  <c r="B1021" i="104" s="1"/>
  <c r="C1022" i="104"/>
  <c r="E1023" i="104"/>
  <c r="C1023" i="104" l="1"/>
  <c r="E1024" i="104"/>
  <c r="D1023" i="104"/>
  <c r="A1022" i="104"/>
  <c r="B1022" i="104" s="1"/>
  <c r="D1024" i="104" l="1"/>
  <c r="A1023" i="104"/>
  <c r="B1023" i="104" s="1"/>
  <c r="C1024" i="104"/>
  <c r="E1025" i="104"/>
  <c r="E1026" i="104" l="1"/>
  <c r="C1025" i="104"/>
  <c r="A1024" i="104"/>
  <c r="B1024" i="104" s="1"/>
  <c r="D1025" i="104"/>
  <c r="D1026" i="104" l="1"/>
  <c r="A1025" i="104"/>
  <c r="B1025" i="104" s="1"/>
  <c r="C1026" i="104"/>
  <c r="E1027" i="104"/>
  <c r="C1027" i="104" l="1"/>
  <c r="E1028" i="104"/>
  <c r="D1027" i="104"/>
  <c r="A1026" i="104"/>
  <c r="B1026" i="104" s="1"/>
  <c r="D1028" i="104" l="1"/>
  <c r="A1027" i="104"/>
  <c r="B1027" i="104" s="1"/>
  <c r="E1029" i="104"/>
  <c r="C1028" i="104"/>
  <c r="C1029" i="104" l="1"/>
  <c r="E1030" i="104"/>
  <c r="A1028" i="104"/>
  <c r="B1028" i="104" s="1"/>
  <c r="D1029" i="104"/>
  <c r="D1030" i="104" l="1"/>
  <c r="A1029" i="104"/>
  <c r="B1029" i="104" s="1"/>
  <c r="C1030" i="104"/>
  <c r="E1031" i="104"/>
  <c r="C1031" i="104" l="1"/>
  <c r="E1032" i="104"/>
  <c r="D1031" i="104"/>
  <c r="A1030" i="104"/>
  <c r="B1030" i="104" s="1"/>
  <c r="A1031" i="104" l="1"/>
  <c r="B1031" i="104" s="1"/>
  <c r="D1032" i="104"/>
  <c r="C1032" i="104"/>
  <c r="E1033" i="104"/>
  <c r="C1033" i="104" l="1"/>
  <c r="E1034" i="104"/>
  <c r="A1032" i="104"/>
  <c r="B1032" i="104" s="1"/>
  <c r="D1033" i="104"/>
  <c r="A1033" i="104" l="1"/>
  <c r="B1033" i="104" s="1"/>
  <c r="D1034" i="104"/>
  <c r="E1035" i="104"/>
  <c r="C1034" i="104"/>
  <c r="C1035" i="104" l="1"/>
  <c r="E1036" i="104"/>
  <c r="D1035" i="104"/>
  <c r="A1034" i="104"/>
  <c r="B1034" i="104" s="1"/>
  <c r="A1035" i="104" l="1"/>
  <c r="B1035" i="104" s="1"/>
  <c r="D1036" i="104"/>
  <c r="E1037" i="104"/>
  <c r="C1036" i="104"/>
  <c r="E1038" i="104" l="1"/>
  <c r="C1037" i="104"/>
  <c r="A1036" i="104"/>
  <c r="B1036" i="104" s="1"/>
  <c r="D1037" i="104"/>
  <c r="A1037" i="104" l="1"/>
  <c r="B1037" i="104" s="1"/>
  <c r="D1038" i="104"/>
  <c r="C1038" i="104"/>
  <c r="E1039" i="104"/>
  <c r="C1039" i="104" l="1"/>
  <c r="E1040" i="104"/>
  <c r="D1039" i="104"/>
  <c r="A1038" i="104"/>
  <c r="B1038" i="104" s="1"/>
  <c r="D1040" i="104" l="1"/>
  <c r="A1039" i="104"/>
  <c r="B1039" i="104" s="1"/>
  <c r="C1040" i="104"/>
  <c r="E1041" i="104"/>
  <c r="C1041" i="104" l="1"/>
  <c r="E1042" i="104"/>
  <c r="A1040" i="104"/>
  <c r="B1040" i="104" s="1"/>
  <c r="D1041" i="104"/>
  <c r="D1042" i="104" l="1"/>
  <c r="A1041" i="104"/>
  <c r="B1041" i="104" s="1"/>
  <c r="C1042" i="104"/>
  <c r="E1043" i="104"/>
  <c r="C1043" i="104" l="1"/>
  <c r="E1044" i="104"/>
  <c r="D1043" i="104"/>
  <c r="A1042" i="104"/>
  <c r="B1042" i="104" s="1"/>
  <c r="D1044" i="104" l="1"/>
  <c r="A1043" i="104"/>
  <c r="B1043" i="104" s="1"/>
  <c r="C1044" i="104"/>
  <c r="E1045" i="104"/>
  <c r="E1046" i="104" l="1"/>
  <c r="C1045" i="104"/>
  <c r="A1044" i="104"/>
  <c r="B1044" i="104" s="1"/>
  <c r="D1045" i="104"/>
  <c r="A1045" i="104" l="1"/>
  <c r="B1045" i="104" s="1"/>
  <c r="D1046" i="104"/>
  <c r="E1047" i="104"/>
  <c r="C1046" i="104"/>
  <c r="C1047" i="104" l="1"/>
  <c r="E1048" i="104"/>
  <c r="D1047" i="104"/>
  <c r="A1046" i="104"/>
  <c r="B1046" i="104" s="1"/>
  <c r="A1047" i="104" l="1"/>
  <c r="B1047" i="104" s="1"/>
  <c r="D1048" i="104"/>
  <c r="E1049" i="104"/>
  <c r="C1048" i="104"/>
  <c r="E1050" i="104" l="1"/>
  <c r="C1049" i="104"/>
  <c r="A1048" i="104"/>
  <c r="B1048" i="104" s="1"/>
  <c r="D1049" i="104"/>
  <c r="D1050" i="104" l="1"/>
  <c r="A1049" i="104"/>
  <c r="B1049" i="104" s="1"/>
  <c r="C1050" i="104"/>
  <c r="E1051" i="104"/>
  <c r="C1051" i="104" l="1"/>
  <c r="E1052" i="104"/>
  <c r="D1051" i="104"/>
  <c r="A1050" i="104"/>
  <c r="B1050" i="104" s="1"/>
  <c r="A1051" i="104" l="1"/>
  <c r="B1051" i="104" s="1"/>
  <c r="D1052" i="104"/>
  <c r="C1052" i="104"/>
  <c r="E1053" i="104"/>
  <c r="C1053" i="104" l="1"/>
  <c r="E1054" i="104"/>
  <c r="A1052" i="104"/>
  <c r="B1052" i="104" s="1"/>
  <c r="D1053" i="104"/>
  <c r="D1054" i="104" l="1"/>
  <c r="A1053" i="104"/>
  <c r="B1053" i="104" s="1"/>
  <c r="E1055" i="104"/>
  <c r="C1054" i="104"/>
  <c r="C1055" i="104" l="1"/>
  <c r="E1056" i="104"/>
  <c r="D1055" i="104"/>
  <c r="A1054" i="104"/>
  <c r="B1054" i="104" s="1"/>
  <c r="A1055" i="104" l="1"/>
  <c r="B1055" i="104" s="1"/>
  <c r="D1056" i="104"/>
  <c r="C1056" i="104"/>
  <c r="E1057" i="104"/>
  <c r="E1058" i="104" l="1"/>
  <c r="C1057" i="104"/>
  <c r="A1056" i="104"/>
  <c r="B1056" i="104" s="1"/>
  <c r="D1057" i="104"/>
  <c r="D1058" i="104" l="1"/>
  <c r="A1057" i="104"/>
  <c r="B1057" i="104" s="1"/>
  <c r="C1058" i="104"/>
  <c r="E1059" i="104"/>
  <c r="C1059" i="104" l="1"/>
  <c r="E1060" i="104"/>
  <c r="D1059" i="104"/>
  <c r="A1058" i="104"/>
  <c r="B1058" i="104" s="1"/>
  <c r="A1059" i="104" l="1"/>
  <c r="B1059" i="104" s="1"/>
  <c r="D1060" i="104"/>
  <c r="E1061" i="104"/>
  <c r="C1060" i="104"/>
  <c r="E1062" i="104" l="1"/>
  <c r="C1061" i="104"/>
  <c r="A1060" i="104"/>
  <c r="B1060" i="104" s="1"/>
  <c r="D1061" i="104"/>
  <c r="D1062" i="104" l="1"/>
  <c r="A1061" i="104"/>
  <c r="B1061" i="104" s="1"/>
  <c r="C1062" i="104"/>
  <c r="E1063" i="104"/>
  <c r="C1063" i="104" l="1"/>
  <c r="E1064" i="104"/>
  <c r="D1063" i="104"/>
  <c r="A1062" i="104"/>
  <c r="B1062" i="104" s="1"/>
  <c r="A1063" i="104" l="1"/>
  <c r="B1063" i="104" s="1"/>
  <c r="D1064" i="104"/>
  <c r="C1064" i="104"/>
  <c r="E1065" i="104"/>
  <c r="C1065" i="104" l="1"/>
  <c r="E1066" i="104"/>
  <c r="A1064" i="104"/>
  <c r="B1064" i="104" s="1"/>
  <c r="D1065" i="104"/>
  <c r="A1065" i="104" l="1"/>
  <c r="B1065" i="104" s="1"/>
  <c r="D1066" i="104"/>
  <c r="E1067" i="104"/>
  <c r="C1066" i="104"/>
  <c r="C1067" i="104" l="1"/>
  <c r="E1068" i="104"/>
  <c r="D1067" i="104"/>
  <c r="A1066" i="104"/>
  <c r="B1066" i="104" s="1"/>
  <c r="A1067" i="104" l="1"/>
  <c r="B1067" i="104" s="1"/>
  <c r="D1068" i="104"/>
  <c r="C1068" i="104"/>
  <c r="E1069" i="104"/>
  <c r="E1070" i="104" l="1"/>
  <c r="C1069" i="104"/>
  <c r="A1068" i="104"/>
  <c r="B1068" i="104" s="1"/>
  <c r="D1069" i="104"/>
  <c r="D1070" i="104" l="1"/>
  <c r="A1069" i="104"/>
  <c r="B1069" i="104" s="1"/>
  <c r="C1070" i="104"/>
  <c r="E1071" i="104"/>
  <c r="C1071" i="104" l="1"/>
  <c r="E1072" i="104"/>
  <c r="D1071" i="104"/>
  <c r="A1070" i="104"/>
  <c r="B1070" i="104" s="1"/>
  <c r="A1071" i="104" l="1"/>
  <c r="B1071" i="104" s="1"/>
  <c r="D1072" i="104"/>
  <c r="E1073" i="104"/>
  <c r="C1072" i="104"/>
  <c r="C1073" i="104" l="1"/>
  <c r="E1074" i="104"/>
  <c r="A1072" i="104"/>
  <c r="B1072" i="104" s="1"/>
  <c r="D1073" i="104"/>
  <c r="D1074" i="104" l="1"/>
  <c r="A1073" i="104"/>
  <c r="B1073" i="104" s="1"/>
  <c r="C1074" i="104"/>
  <c r="E1075" i="104"/>
  <c r="C1075" i="104" l="1"/>
  <c r="E1076" i="104"/>
  <c r="D1075" i="104"/>
  <c r="A1074" i="104"/>
  <c r="B1074" i="104" s="1"/>
  <c r="D1076" i="104" l="1"/>
  <c r="A1075" i="104"/>
  <c r="B1075" i="104" s="1"/>
  <c r="C1076" i="104"/>
  <c r="E1077" i="104"/>
  <c r="E1078" i="104" l="1"/>
  <c r="C1077" i="104"/>
  <c r="A1076" i="104"/>
  <c r="B1076" i="104" s="1"/>
  <c r="D1077" i="104"/>
  <c r="D1078" i="104" l="1"/>
  <c r="A1077" i="104"/>
  <c r="B1077" i="104" s="1"/>
  <c r="E1079" i="104"/>
  <c r="C1078" i="104"/>
  <c r="C1079" i="104" l="1"/>
  <c r="E1080" i="104"/>
  <c r="D1079" i="104"/>
  <c r="A1078" i="104"/>
  <c r="B1078" i="104" s="1"/>
  <c r="A1079" i="104" l="1"/>
  <c r="B1079" i="104" s="1"/>
  <c r="D1080" i="104"/>
  <c r="E1081" i="104"/>
  <c r="C1080" i="104"/>
  <c r="E1082" i="104" l="1"/>
  <c r="C1081" i="104"/>
  <c r="A1080" i="104"/>
  <c r="B1080" i="104" s="1"/>
  <c r="D1081" i="104"/>
  <c r="A1081" i="104" l="1"/>
  <c r="B1081" i="104" s="1"/>
  <c r="D1082" i="104"/>
  <c r="E1083" i="104"/>
  <c r="C1082" i="104"/>
  <c r="C1083" i="104" l="1"/>
  <c r="E1084" i="104"/>
  <c r="D1083" i="104"/>
  <c r="A1082" i="104"/>
  <c r="B1082" i="104" s="1"/>
  <c r="A1083" i="104" l="1"/>
  <c r="B1083" i="104" s="1"/>
  <c r="D1084" i="104"/>
  <c r="C1084" i="104"/>
  <c r="E1085" i="104"/>
  <c r="E1086" i="104" l="1"/>
  <c r="C1085" i="104"/>
  <c r="A1084" i="104"/>
  <c r="B1084" i="104" s="1"/>
  <c r="D1085" i="104"/>
  <c r="A1085" i="104" l="1"/>
  <c r="B1085" i="104" s="1"/>
  <c r="D1086" i="104"/>
  <c r="C1086" i="104"/>
  <c r="E1087" i="104"/>
  <c r="C1087" i="104" l="1"/>
  <c r="E1088" i="104"/>
  <c r="D1087" i="104"/>
  <c r="A1086" i="104"/>
  <c r="B1086" i="104" s="1"/>
  <c r="A1087" i="104" l="1"/>
  <c r="B1087" i="104" s="1"/>
  <c r="D1088" i="104"/>
  <c r="C1088" i="104"/>
  <c r="E1089" i="104"/>
  <c r="C1089" i="104" l="1"/>
  <c r="E1090" i="104"/>
  <c r="A1088" i="104"/>
  <c r="B1088" i="104" s="1"/>
  <c r="D1089" i="104"/>
  <c r="A1089" i="104" l="1"/>
  <c r="B1089" i="104" s="1"/>
  <c r="D1090" i="104"/>
  <c r="E1091" i="104"/>
  <c r="C1090" i="104"/>
  <c r="C1091" i="104" l="1"/>
  <c r="E1092" i="104"/>
  <c r="D1091" i="104"/>
  <c r="A1090" i="104"/>
  <c r="B1090" i="104" s="1"/>
  <c r="A1091" i="104" l="1"/>
  <c r="B1091" i="104" s="1"/>
  <c r="D1092" i="104"/>
  <c r="E1093" i="104"/>
  <c r="C1092" i="104"/>
  <c r="E1094" i="104" l="1"/>
  <c r="C1093" i="104"/>
  <c r="A1092" i="104"/>
  <c r="B1092" i="104" s="1"/>
  <c r="D1093" i="104"/>
  <c r="D1094" i="104" l="1"/>
  <c r="A1093" i="104"/>
  <c r="B1093" i="104" s="1"/>
  <c r="C1094" i="104"/>
  <c r="E1095" i="104"/>
  <c r="C1095" i="104" l="1"/>
  <c r="E1096" i="104"/>
  <c r="D1095" i="104"/>
  <c r="A1094" i="104"/>
  <c r="B1094" i="104" s="1"/>
  <c r="A1095" i="104" l="1"/>
  <c r="B1095" i="104" s="1"/>
  <c r="D1096" i="104"/>
  <c r="C1096" i="104"/>
  <c r="E1097" i="104"/>
  <c r="C1097" i="104" l="1"/>
  <c r="E1098" i="104"/>
  <c r="A1096" i="104"/>
  <c r="B1096" i="104" s="1"/>
  <c r="D1097" i="104"/>
  <c r="A1097" i="104" l="1"/>
  <c r="B1097" i="104" s="1"/>
  <c r="D1098" i="104"/>
  <c r="E1099" i="104"/>
  <c r="C1098" i="104"/>
  <c r="C1099" i="104" l="1"/>
  <c r="E1100" i="104"/>
  <c r="D1099" i="104"/>
  <c r="A1098" i="104"/>
  <c r="B1098" i="104" s="1"/>
  <c r="A1099" i="104" l="1"/>
  <c r="B1099" i="104" s="1"/>
  <c r="D1100" i="104"/>
  <c r="C1100" i="104"/>
  <c r="E1101" i="104"/>
  <c r="C1101" i="104" s="1"/>
  <c r="DS5" i="104" l="1"/>
  <c r="DK5" i="104"/>
  <c r="EZ5" i="104"/>
  <c r="ER71" i="103" s="1"/>
  <c r="DM5" i="104"/>
  <c r="CJ5" i="104"/>
  <c r="EA5" i="104"/>
  <c r="CV5" i="104"/>
  <c r="CX5" i="104"/>
  <c r="FF5" i="104"/>
  <c r="EX71" i="103" s="1"/>
  <c r="DQ5" i="104"/>
  <c r="DW5" i="104"/>
  <c r="EL5" i="104"/>
  <c r="CB5" i="104"/>
  <c r="FD5" i="104"/>
  <c r="BS5" i="104"/>
  <c r="EC5" i="104"/>
  <c r="CI5" i="104"/>
  <c r="BP5" i="104"/>
  <c r="DH5" i="104"/>
  <c r="DR5" i="104"/>
  <c r="FL5" i="104"/>
  <c r="FD71" i="103" s="1"/>
  <c r="FK5" i="104"/>
  <c r="FC71" i="103" s="1"/>
  <c r="FC72" i="103" s="1"/>
  <c r="EW5" i="104"/>
  <c r="EO71" i="103" s="1"/>
  <c r="DP5" i="104"/>
  <c r="BM5" i="104"/>
  <c r="CC5" i="104"/>
  <c r="DC5" i="104"/>
  <c r="CH5" i="104"/>
  <c r="ER5" i="104"/>
  <c r="EJ71" i="103" s="1"/>
  <c r="BU5" i="104"/>
  <c r="FE5" i="104"/>
  <c r="EW71" i="103" s="1"/>
  <c r="BN5" i="104"/>
  <c r="EP5" i="104"/>
  <c r="EH71" i="103" s="1"/>
  <c r="FA5" i="104"/>
  <c r="ES71" i="103" s="1"/>
  <c r="CL5" i="104"/>
  <c r="CQ5" i="104"/>
  <c r="BR5" i="104"/>
  <c r="CM5" i="104"/>
  <c r="EJ5" i="104"/>
  <c r="DX5" i="104"/>
  <c r="FI5" i="104"/>
  <c r="CW5" i="104"/>
  <c r="CN5" i="104"/>
  <c r="EU5" i="104"/>
  <c r="EM71" i="103" s="1"/>
  <c r="CG5" i="104"/>
  <c r="BY5" i="104"/>
  <c r="DF5" i="104"/>
  <c r="EK5" i="104"/>
  <c r="EY5" i="104"/>
  <c r="EH5" i="104"/>
  <c r="EV5" i="104"/>
  <c r="EN71" i="103" s="1"/>
  <c r="EF5" i="104"/>
  <c r="CE5" i="104"/>
  <c r="CR5" i="104"/>
  <c r="CY5" i="104"/>
  <c r="DN5" i="104"/>
  <c r="EO5" i="104"/>
  <c r="FJ5" i="104"/>
  <c r="FB71" i="103" s="1"/>
  <c r="DZ5" i="104"/>
  <c r="CD5" i="104"/>
  <c r="EB5" i="104"/>
  <c r="EQ5" i="104"/>
  <c r="EI71" i="103" s="1"/>
  <c r="FB5" i="104"/>
  <c r="ET71" i="103" s="1"/>
  <c r="ET72" i="103" s="1"/>
  <c r="BW5" i="104"/>
  <c r="FG5" i="104"/>
  <c r="EY71" i="103" s="1"/>
  <c r="ET5" i="104"/>
  <c r="CS5" i="104"/>
  <c r="BT5" i="104"/>
  <c r="CT5" i="104"/>
  <c r="BO5" i="104"/>
  <c r="CO5" i="104"/>
  <c r="DD5" i="104"/>
  <c r="DA5" i="104"/>
  <c r="DU5" i="104"/>
  <c r="EG5" i="104"/>
  <c r="DG5" i="104"/>
  <c r="DB5" i="104"/>
  <c r="DI5" i="104"/>
  <c r="DL5" i="104"/>
  <c r="EM5" i="104"/>
  <c r="EE71" i="103" s="1"/>
  <c r="BX5" i="104"/>
  <c r="DV5" i="104"/>
  <c r="BZ5" i="104"/>
  <c r="EE5" i="104"/>
  <c r="A1100" i="104"/>
  <c r="B1100" i="104" s="1"/>
  <c r="D1101" i="104"/>
  <c r="A1101" i="104" s="1"/>
  <c r="B1101" i="104" s="1"/>
  <c r="EM72" i="103" l="1"/>
  <c r="EO72" i="103"/>
  <c r="CA5" i="104"/>
  <c r="DJ5" i="104"/>
  <c r="EW72" i="103"/>
  <c r="DT5" i="104"/>
  <c r="CK5" i="104"/>
  <c r="ER72" i="103"/>
  <c r="BV5" i="104"/>
  <c r="EJ72" i="103"/>
  <c r="EJ106" i="103"/>
  <c r="FD72" i="103"/>
  <c r="CF5" i="104"/>
  <c r="FH5" i="104"/>
  <c r="EZ71" i="103" s="1"/>
  <c r="EV71" i="103"/>
  <c r="EI5" i="104"/>
  <c r="CU5" i="104"/>
  <c r="ED5" i="104"/>
  <c r="CP5" i="104"/>
  <c r="DY5" i="104"/>
  <c r="ES72" i="103"/>
  <c r="DO5" i="104"/>
  <c r="EN5" i="104"/>
  <c r="EF71" i="103" s="1"/>
  <c r="EF72" i="103" s="1"/>
  <c r="CZ5" i="104"/>
  <c r="BP10" i="104"/>
  <c r="FK4" i="104"/>
  <c r="FK6" i="104" s="1"/>
  <c r="CL4" i="104"/>
  <c r="DK16" i="104"/>
  <c r="EV4" i="104"/>
  <c r="EV6" i="104" s="1"/>
  <c r="EQ4" i="104"/>
  <c r="EQ6" i="104" s="1"/>
  <c r="FE16" i="104"/>
  <c r="BX15" i="104"/>
  <c r="DF4" i="104"/>
  <c r="CJ4" i="104"/>
  <c r="CJ6" i="104" s="1"/>
  <c r="EE15" i="104"/>
  <c r="EC16" i="104"/>
  <c r="DS16" i="104"/>
  <c r="CB4" i="104"/>
  <c r="CM16" i="104"/>
  <c r="FJ4" i="104"/>
  <c r="FJ6" i="104" s="1"/>
  <c r="FE15" i="104"/>
  <c r="EW73" i="103" s="1"/>
  <c r="EW68" i="103" s="1"/>
  <c r="CW15" i="104"/>
  <c r="DF15" i="104"/>
  <c r="BO21" i="104"/>
  <c r="DM15" i="104"/>
  <c r="EP15" i="104"/>
  <c r="EH73" i="103" s="1"/>
  <c r="EH68" i="103" s="1"/>
  <c r="EW15" i="104"/>
  <c r="EO73" i="103" s="1"/>
  <c r="EO68" i="103" s="1"/>
  <c r="CX16" i="104"/>
  <c r="EF4" i="104"/>
  <c r="EF6" i="104" s="1"/>
  <c r="EG15" i="104"/>
  <c r="DV4" i="104"/>
  <c r="DV6" i="104" s="1"/>
  <c r="DD4" i="104"/>
  <c r="DD6" i="104" s="1"/>
  <c r="CY4" i="104"/>
  <c r="CY6" i="104" s="1"/>
  <c r="EY16" i="104"/>
  <c r="BY4" i="104"/>
  <c r="BY6" i="104" s="1"/>
  <c r="ER16" i="104"/>
  <c r="FB4" i="104"/>
  <c r="FB6" i="104" s="1"/>
  <c r="DX4" i="104"/>
  <c r="DX6" i="104" s="1"/>
  <c r="EN72" i="103"/>
  <c r="FB72" i="103"/>
  <c r="DE5" i="104"/>
  <c r="EY72" i="103"/>
  <c r="BQ5" i="104"/>
  <c r="EX72" i="103"/>
  <c r="BM4" i="104"/>
  <c r="FE4" i="104"/>
  <c r="FE6" i="104" s="1"/>
  <c r="DQ4" i="104"/>
  <c r="DQ6" i="104" s="1"/>
  <c r="DQ16" i="104"/>
  <c r="BM10" i="104"/>
  <c r="BU4" i="104"/>
  <c r="BU6" i="104" s="1"/>
  <c r="EO4" i="104"/>
  <c r="BP4" i="104"/>
  <c r="BP6" i="104" s="1"/>
  <c r="CG16" i="104"/>
  <c r="DN16" i="104"/>
  <c r="BX4" i="104"/>
  <c r="BX6" i="104" s="1"/>
  <c r="DW4" i="104"/>
  <c r="DW6" i="104" s="1"/>
  <c r="DH15" i="104"/>
  <c r="DC15" i="104"/>
  <c r="BR4" i="104"/>
  <c r="CO4" i="104"/>
  <c r="CO6" i="104" s="1"/>
  <c r="DM4" i="104"/>
  <c r="DM6" i="104" s="1"/>
  <c r="BM21" i="104"/>
  <c r="CG15" i="104"/>
  <c r="FD4" i="104"/>
  <c r="DB4" i="104"/>
  <c r="DB6" i="104" s="1"/>
  <c r="CN4" i="104"/>
  <c r="CN6" i="104" s="1"/>
  <c r="EC4" i="104"/>
  <c r="EC6" i="104" s="1"/>
  <c r="FK15" i="104"/>
  <c r="FC73" i="103" s="1"/>
  <c r="FC68" i="103" s="1"/>
  <c r="EH16" i="104"/>
  <c r="BM16" i="104"/>
  <c r="CN16" i="104"/>
  <c r="CS4" i="104"/>
  <c r="CS6" i="104" s="1"/>
  <c r="EV15" i="104"/>
  <c r="EN73" i="103" s="1"/>
  <c r="EN68" i="103" s="1"/>
  <c r="ET15" i="104"/>
  <c r="EL73" i="103" s="1"/>
  <c r="EL68" i="103" s="1"/>
  <c r="BO4" i="104"/>
  <c r="BO6" i="104" s="1"/>
  <c r="DR15" i="104"/>
  <c r="EJ4" i="104"/>
  <c r="CX4" i="104"/>
  <c r="CX6" i="104" s="1"/>
  <c r="CV16" i="104"/>
  <c r="CE15" i="104"/>
  <c r="DZ15" i="104"/>
  <c r="DR16" i="104"/>
  <c r="CG4" i="104"/>
  <c r="DN4" i="104"/>
  <c r="DN6" i="104" s="1"/>
  <c r="BM11" i="104"/>
  <c r="EO15" i="104"/>
  <c r="EG73" i="103" s="1"/>
  <c r="EG68" i="103" s="1"/>
  <c r="CI16" i="104"/>
  <c r="FL4" i="104"/>
  <c r="FL6" i="104" s="1"/>
  <c r="CQ15" i="104"/>
  <c r="FD15" i="104"/>
  <c r="EV73" i="103" s="1"/>
  <c r="EV68" i="103" s="1"/>
  <c r="BO15" i="104"/>
  <c r="FA16" i="104"/>
  <c r="EM16" i="104"/>
  <c r="DM16" i="104"/>
  <c r="FF16" i="104"/>
  <c r="CW4" i="104"/>
  <c r="CW6" i="104" s="1"/>
  <c r="EJ16" i="104"/>
  <c r="CD16" i="104"/>
  <c r="CJ15" i="104"/>
  <c r="FI15" i="104"/>
  <c r="FA73" i="103" s="1"/>
  <c r="FA68" i="103" s="1"/>
  <c r="DA16" i="104"/>
  <c r="DP15" i="104"/>
  <c r="BW15" i="104"/>
  <c r="BM15" i="104"/>
  <c r="BN11" i="104"/>
  <c r="DX15" i="104"/>
  <c r="BO16" i="104"/>
  <c r="BN10" i="104"/>
  <c r="DF16" i="104"/>
  <c r="EL16" i="104"/>
  <c r="EL4" i="104"/>
  <c r="EL6" i="104" s="1"/>
  <c r="EJ15" i="104"/>
  <c r="CO16" i="104"/>
  <c r="FF4" i="104"/>
  <c r="FF6" i="104" s="1"/>
  <c r="DH16" i="104"/>
  <c r="EY4" i="104"/>
  <c r="DD15" i="104"/>
  <c r="BS15" i="104"/>
  <c r="BM20" i="104"/>
  <c r="DI4" i="104"/>
  <c r="DI6" i="104" s="1"/>
  <c r="BT4" i="104"/>
  <c r="BT6" i="104" s="1"/>
  <c r="ET4" i="104"/>
  <c r="BS4" i="104"/>
  <c r="BS6" i="104" s="1"/>
  <c r="DG15" i="104"/>
  <c r="BZ4" i="104"/>
  <c r="BZ6" i="104" s="1"/>
  <c r="CH4" i="104"/>
  <c r="CH6" i="104" s="1"/>
  <c r="CW16" i="104"/>
  <c r="CD15" i="104"/>
  <c r="FG15" i="104"/>
  <c r="BO10" i="104"/>
  <c r="EB15" i="104"/>
  <c r="CT4" i="104"/>
  <c r="CT6" i="104" s="1"/>
  <c r="CI15" i="104"/>
  <c r="DQ15" i="104"/>
  <c r="EP16" i="104"/>
  <c r="DB16" i="104"/>
  <c r="BW16" i="104"/>
  <c r="DW15" i="104"/>
  <c r="DV16" i="104"/>
  <c r="CC15" i="104"/>
  <c r="EB4" i="104"/>
  <c r="EB6" i="104" s="1"/>
  <c r="CX15" i="104"/>
  <c r="FA4" i="104"/>
  <c r="FA6" i="104" s="1"/>
  <c r="DU4" i="104"/>
  <c r="BN4" i="104"/>
  <c r="BN6" i="104" s="1"/>
  <c r="CR15" i="104"/>
  <c r="CR4" i="104"/>
  <c r="CR6" i="104" s="1"/>
  <c r="BZ16" i="104"/>
  <c r="EV16" i="104"/>
  <c r="EU4" i="104"/>
  <c r="EU6" i="104" s="1"/>
  <c r="BP21" i="104"/>
  <c r="FL16" i="104"/>
  <c r="FM16" i="104" s="1"/>
  <c r="EP4" i="104"/>
  <c r="EP6" i="104" s="1"/>
  <c r="DK4" i="104"/>
  <c r="DP4" i="104"/>
  <c r="EM4" i="104"/>
  <c r="EM6" i="104" s="1"/>
  <c r="BY16" i="104"/>
  <c r="FL15" i="104"/>
  <c r="EH15" i="104"/>
  <c r="EZ16" i="104"/>
  <c r="DC4" i="104"/>
  <c r="DC6" i="104" s="1"/>
  <c r="CM4" i="104"/>
  <c r="CM6" i="104" s="1"/>
  <c r="DS15" i="104"/>
  <c r="CJ16" i="104"/>
  <c r="FB16" i="104"/>
  <c r="ER15" i="104"/>
  <c r="EJ73" i="103" s="1"/>
  <c r="EJ68" i="103" s="1"/>
  <c r="DZ16" i="104"/>
  <c r="DV15" i="104"/>
  <c r="EQ15" i="104"/>
  <c r="EI73" i="103" s="1"/>
  <c r="EI68" i="103" s="1"/>
  <c r="CV15" i="104"/>
  <c r="DW16" i="104"/>
  <c r="DN15" i="104"/>
  <c r="FD16" i="104"/>
  <c r="EE16" i="104"/>
  <c r="EE4" i="104"/>
  <c r="BX16" i="104"/>
  <c r="DG16" i="104"/>
  <c r="BT15" i="104"/>
  <c r="EH4" i="104"/>
  <c r="EH6" i="104" s="1"/>
  <c r="ER4" i="104"/>
  <c r="ER6" i="104" s="1"/>
  <c r="EC15" i="104"/>
  <c r="EB16" i="104"/>
  <c r="FJ16" i="104"/>
  <c r="BO11" i="104"/>
  <c r="CH15" i="104"/>
  <c r="DP16" i="104"/>
  <c r="CN15" i="104"/>
  <c r="CY16" i="104"/>
  <c r="CQ4" i="104"/>
  <c r="EK4" i="104"/>
  <c r="EK6" i="104" s="1"/>
  <c r="BN16" i="104"/>
  <c r="EK15" i="104"/>
  <c r="CR16" i="104"/>
  <c r="EU16" i="104"/>
  <c r="DH4" i="104"/>
  <c r="DH6" i="104" s="1"/>
  <c r="DL4" i="104"/>
  <c r="DL6" i="104" s="1"/>
  <c r="DI16" i="104"/>
  <c r="CD4" i="104"/>
  <c r="CD6" i="104" s="1"/>
  <c r="BP15" i="104"/>
  <c r="DB15" i="104"/>
  <c r="BW4" i="104"/>
  <c r="CH16" i="104"/>
  <c r="CE16" i="104"/>
  <c r="EO16" i="104"/>
  <c r="CE4" i="104"/>
  <c r="CE6" i="104" s="1"/>
  <c r="DL15" i="104"/>
  <c r="BU15" i="104"/>
  <c r="CB15" i="104"/>
  <c r="CI4" i="104"/>
  <c r="CI6" i="104" s="1"/>
  <c r="BR16" i="104"/>
  <c r="BN15" i="104"/>
  <c r="CS15" i="104"/>
  <c r="EZ4" i="104"/>
  <c r="EZ6" i="104" s="1"/>
  <c r="CV4" i="104"/>
  <c r="CC16" i="104"/>
  <c r="CS16" i="104"/>
  <c r="DK15" i="104"/>
  <c r="DZ4" i="104"/>
  <c r="CY15" i="104"/>
  <c r="BP20" i="104"/>
  <c r="EF15" i="104"/>
  <c r="EW16" i="104"/>
  <c r="DD16" i="104"/>
  <c r="EM15" i="104"/>
  <c r="EE73" i="103" s="1"/>
  <c r="EE68" i="103" s="1"/>
  <c r="DA4" i="104"/>
  <c r="BN21" i="104"/>
  <c r="ET16" i="104"/>
  <c r="EF16" i="104"/>
  <c r="CL15" i="104"/>
  <c r="EQ16" i="104"/>
  <c r="FI4" i="104"/>
  <c r="DX16" i="104"/>
  <c r="FI16" i="104"/>
  <c r="EG16" i="104"/>
  <c r="CQ16" i="104"/>
  <c r="EK16" i="104"/>
  <c r="EA16" i="104"/>
  <c r="FG4" i="104"/>
  <c r="FG6" i="104" s="1"/>
  <c r="BZ15" i="104"/>
  <c r="BP16" i="104"/>
  <c r="DR4" i="104"/>
  <c r="DR6" i="104" s="1"/>
  <c r="FK16" i="104"/>
  <c r="FB15" i="104"/>
  <c r="ET73" i="103" s="1"/>
  <c r="ET68" i="103" s="1"/>
  <c r="BU16" i="104"/>
  <c r="FJ15" i="104"/>
  <c r="FB73" i="103" s="1"/>
  <c r="FB68" i="103" s="1"/>
  <c r="CO15" i="104"/>
  <c r="DL16" i="104"/>
  <c r="EY15" i="104"/>
  <c r="EQ73" i="103" s="1"/>
  <c r="EQ68" i="103" s="1"/>
  <c r="DS4" i="104"/>
  <c r="DS6" i="104" s="1"/>
  <c r="BO20" i="104"/>
  <c r="DC16" i="104"/>
  <c r="FF15" i="104"/>
  <c r="EX73" i="103" s="1"/>
  <c r="EX68" i="103" s="1"/>
  <c r="FG16" i="104"/>
  <c r="FH16" i="104" s="1"/>
  <c r="BP11" i="104"/>
  <c r="EZ15" i="104"/>
  <c r="ER73" i="103" s="1"/>
  <c r="ER68" i="103" s="1"/>
  <c r="BR15" i="104"/>
  <c r="EL15" i="104"/>
  <c r="DI15" i="104"/>
  <c r="DA15" i="104"/>
  <c r="CT16" i="104"/>
  <c r="CB16" i="104"/>
  <c r="CC4" i="104"/>
  <c r="CC6" i="104" s="1"/>
  <c r="FA15" i="104"/>
  <c r="ES73" i="103" s="1"/>
  <c r="ES68" i="103" s="1"/>
  <c r="CL16" i="104"/>
  <c r="BS16" i="104"/>
  <c r="EW4" i="104"/>
  <c r="EW6" i="104" s="1"/>
  <c r="BT16" i="104"/>
  <c r="CT15" i="104"/>
  <c r="EA15" i="104"/>
  <c r="DG4" i="104"/>
  <c r="DG6" i="104" s="1"/>
  <c r="CM15" i="104"/>
  <c r="EG4" i="104"/>
  <c r="EG6" i="104" s="1"/>
  <c r="BY15" i="104"/>
  <c r="EU15" i="104"/>
  <c r="EM73" i="103" s="1"/>
  <c r="EM68" i="103" s="1"/>
  <c r="BN20" i="104"/>
  <c r="DU16" i="104"/>
  <c r="EA4" i="104"/>
  <c r="EA6" i="104" s="1"/>
  <c r="DU15" i="104"/>
  <c r="EE72" i="103"/>
  <c r="EE106" i="103"/>
  <c r="EE107" i="103" s="1"/>
  <c r="EX5" i="104"/>
  <c r="EP71" i="103" s="1"/>
  <c r="EL71" i="103"/>
  <c r="EI72" i="103"/>
  <c r="EI106" i="103"/>
  <c r="EI107" i="103" s="1"/>
  <c r="ES5" i="104"/>
  <c r="EK71" i="103" s="1"/>
  <c r="EG71" i="103"/>
  <c r="FC5" i="104"/>
  <c r="EU71" i="103" s="1"/>
  <c r="EQ71" i="103"/>
  <c r="FM5" i="104"/>
  <c r="FE71" i="103" s="1"/>
  <c r="FA71" i="103"/>
  <c r="EF106" i="103"/>
  <c r="EF107" i="103" s="1"/>
  <c r="EH106" i="103"/>
  <c r="EH107" i="103" s="1"/>
  <c r="EH72" i="103"/>
  <c r="EL72" i="103" l="1"/>
  <c r="EJ107" i="103"/>
  <c r="FA72" i="103"/>
  <c r="EO69" i="103"/>
  <c r="EO40" i="103"/>
  <c r="EO65" i="103" s="1"/>
  <c r="EO70" i="103"/>
  <c r="EV72" i="103"/>
  <c r="EH40" i="103"/>
  <c r="EH70" i="103"/>
  <c r="EH69" i="103"/>
  <c r="CB6" i="104"/>
  <c r="CF4" i="104"/>
  <c r="CF6" i="104" s="1"/>
  <c r="EZ106" i="103"/>
  <c r="EZ72" i="103"/>
  <c r="EQ72" i="103"/>
  <c r="CL6" i="104"/>
  <c r="CP4" i="104"/>
  <c r="CP6" i="104" s="1"/>
  <c r="EW69" i="103"/>
  <c r="EW40" i="103"/>
  <c r="EW70" i="103"/>
  <c r="DJ4" i="104"/>
  <c r="DJ6" i="104" s="1"/>
  <c r="DF6" i="104"/>
  <c r="FE72" i="103"/>
  <c r="FE106" i="103"/>
  <c r="EU72" i="103"/>
  <c r="EU106" i="103"/>
  <c r="EG72" i="103"/>
  <c r="EG106" i="103"/>
  <c r="EG107" i="103" s="1"/>
  <c r="EK72" i="103"/>
  <c r="EK106" i="103"/>
  <c r="EK107" i="103" s="1"/>
  <c r="EP106" i="103"/>
  <c r="EP72" i="103"/>
  <c r="EM70" i="103"/>
  <c r="EM69" i="103"/>
  <c r="EM40" i="103"/>
  <c r="ES70" i="103"/>
  <c r="ES69" i="103"/>
  <c r="ES40" i="103"/>
  <c r="ER69" i="103"/>
  <c r="ER70" i="103"/>
  <c r="ER40" i="103"/>
  <c r="EX69" i="103"/>
  <c r="EX70" i="103"/>
  <c r="EX40" i="103"/>
  <c r="EQ70" i="103"/>
  <c r="EQ69" i="103"/>
  <c r="EQ40" i="103"/>
  <c r="FB69" i="103"/>
  <c r="FB70" i="103"/>
  <c r="FB40" i="103"/>
  <c r="ET69" i="103"/>
  <c r="ET70" i="103"/>
  <c r="ET40" i="103"/>
  <c r="FM4" i="104"/>
  <c r="FM6" i="104" s="1"/>
  <c r="FI6" i="104"/>
  <c r="DE4" i="104"/>
  <c r="DE6" i="104" s="1"/>
  <c r="DA6" i="104"/>
  <c r="EE69" i="103"/>
  <c r="EE70" i="103"/>
  <c r="EE40" i="103"/>
  <c r="ED4" i="104"/>
  <c r="ED6" i="104" s="1"/>
  <c r="DZ6" i="104"/>
  <c r="CZ4" i="104"/>
  <c r="CZ6" i="104" s="1"/>
  <c r="CV6" i="104"/>
  <c r="CA4" i="104"/>
  <c r="CA6" i="104" s="1"/>
  <c r="BW6" i="104"/>
  <c r="CQ6" i="104"/>
  <c r="CU4" i="104"/>
  <c r="CU6" i="104" s="1"/>
  <c r="EI4" i="104"/>
  <c r="EI6" i="104" s="1"/>
  <c r="EE6" i="104"/>
  <c r="EI70" i="103"/>
  <c r="EI69" i="103"/>
  <c r="EI40" i="103"/>
  <c r="EJ69" i="103"/>
  <c r="EJ70" i="103"/>
  <c r="EJ40" i="103"/>
  <c r="FM15" i="104"/>
  <c r="FE73" i="103" s="1"/>
  <c r="FE68" i="103" s="1"/>
  <c r="FD73" i="103"/>
  <c r="FD68" i="103" s="1"/>
  <c r="DT4" i="104"/>
  <c r="DT6" i="104" s="1"/>
  <c r="DP6" i="104"/>
  <c r="DO4" i="104"/>
  <c r="DO6" i="104" s="1"/>
  <c r="DK6" i="104"/>
  <c r="DY4" i="104"/>
  <c r="DY6" i="104" s="1"/>
  <c r="DU6" i="104"/>
  <c r="FH15" i="104"/>
  <c r="EZ73" i="103" s="1"/>
  <c r="EZ68" i="103" s="1"/>
  <c r="EY73" i="103"/>
  <c r="EY68" i="103" s="1"/>
  <c r="EX4" i="104"/>
  <c r="EX6" i="104" s="1"/>
  <c r="ET6" i="104"/>
  <c r="FC4" i="104"/>
  <c r="FC6" i="104" s="1"/>
  <c r="EY6" i="104"/>
  <c r="FA70" i="103"/>
  <c r="FA69" i="103"/>
  <c r="FA40" i="103"/>
  <c r="EV69" i="103"/>
  <c r="EV70" i="103"/>
  <c r="EV40" i="103"/>
  <c r="EG70" i="103"/>
  <c r="EG69" i="103"/>
  <c r="EG40" i="103"/>
  <c r="CK4" i="104"/>
  <c r="CK6" i="104" s="1"/>
  <c r="CG6" i="104"/>
  <c r="EN4" i="104"/>
  <c r="EN6" i="104" s="1"/>
  <c r="EJ6" i="104"/>
  <c r="EL69" i="103"/>
  <c r="EL70" i="103"/>
  <c r="EL40" i="103"/>
  <c r="EN70" i="103"/>
  <c r="EN69" i="103"/>
  <c r="EN40" i="103"/>
  <c r="FC70" i="103"/>
  <c r="FC69" i="103"/>
  <c r="FC40" i="103"/>
  <c r="FH4" i="104"/>
  <c r="FH6" i="104" s="1"/>
  <c r="FD6" i="104"/>
  <c r="BR6" i="104"/>
  <c r="BV4" i="104"/>
  <c r="BV6" i="104" s="1"/>
  <c r="ES4" i="104"/>
  <c r="ES6" i="104" s="1"/>
  <c r="EO6" i="104"/>
  <c r="BQ4" i="104"/>
  <c r="BQ6" i="104" s="1"/>
  <c r="BM6" i="104"/>
  <c r="FE107" i="103" l="1"/>
  <c r="EP107" i="103"/>
  <c r="EU107" i="103"/>
  <c r="EH65" i="103"/>
  <c r="EH41" i="103"/>
  <c r="EW36" i="103"/>
  <c r="EW41" i="103"/>
  <c r="EW47" i="103"/>
  <c r="EZ40" i="103"/>
  <c r="EZ70" i="103"/>
  <c r="FE40" i="103"/>
  <c r="FE70" i="103"/>
  <c r="FE69" i="103"/>
  <c r="EZ107" i="103"/>
  <c r="EO47" i="103"/>
  <c r="BM37" i="8" s="1"/>
  <c r="EO41" i="103"/>
  <c r="FC47" i="103"/>
  <c r="FC41" i="103"/>
  <c r="FC36" i="103"/>
  <c r="EN47" i="103"/>
  <c r="EN65" i="103"/>
  <c r="EN41" i="103"/>
  <c r="EL41" i="103"/>
  <c r="EL47" i="103"/>
  <c r="EL65" i="103"/>
  <c r="EP40" i="103"/>
  <c r="EK40" i="103"/>
  <c r="EG65" i="103"/>
  <c r="EG41" i="103"/>
  <c r="EG47" i="103"/>
  <c r="EV36" i="103"/>
  <c r="EV47" i="103"/>
  <c r="EV41" i="103"/>
  <c r="FA41" i="103"/>
  <c r="FA47" i="103"/>
  <c r="FA36" i="103"/>
  <c r="EY70" i="103"/>
  <c r="EY69" i="103"/>
  <c r="EY40" i="103"/>
  <c r="FD69" i="103"/>
  <c r="FD70" i="103"/>
  <c r="FD40" i="103"/>
  <c r="EJ47" i="103"/>
  <c r="EJ65" i="103"/>
  <c r="EJ41" i="103"/>
  <c r="EI65" i="103"/>
  <c r="EI41" i="103"/>
  <c r="EE32" i="103"/>
  <c r="EE41" i="103"/>
  <c r="EE36" i="103"/>
  <c r="EE47" i="103"/>
  <c r="EE48" i="103" s="1"/>
  <c r="EF40" i="103"/>
  <c r="ET41" i="103"/>
  <c r="ET36" i="103"/>
  <c r="ET47" i="103"/>
  <c r="FB41" i="103"/>
  <c r="FB47" i="103"/>
  <c r="FB36" i="103"/>
  <c r="EQ36" i="103"/>
  <c r="EU40" i="103"/>
  <c r="EQ41" i="103"/>
  <c r="EQ47" i="103"/>
  <c r="EX47" i="103"/>
  <c r="EX36" i="103"/>
  <c r="EX41" i="103"/>
  <c r="ER41" i="103"/>
  <c r="ER36" i="103"/>
  <c r="ER47" i="103"/>
  <c r="ES41" i="103"/>
  <c r="ES36" i="103"/>
  <c r="ES47" i="103"/>
  <c r="EM47" i="103"/>
  <c r="EM41" i="103"/>
  <c r="EM65" i="103"/>
  <c r="ES48" i="103" l="1"/>
  <c r="BQ36" i="8" s="1"/>
  <c r="FB48" i="103"/>
  <c r="FC48" i="103"/>
  <c r="EQ48" i="103"/>
  <c r="BO36" i="8" s="1"/>
  <c r="ER48" i="103"/>
  <c r="BP36" i="8" s="1"/>
  <c r="EO48" i="103"/>
  <c r="EP36" i="103"/>
  <c r="EP65" i="103" s="1"/>
  <c r="EO38" i="103"/>
  <c r="EO37" i="103"/>
  <c r="EO66" i="103"/>
  <c r="EW48" i="103"/>
  <c r="EW126" i="103"/>
  <c r="EW66" i="103"/>
  <c r="EW33" i="103"/>
  <c r="EW120" i="103" s="1"/>
  <c r="EW198" i="103" s="1"/>
  <c r="EW38" i="103"/>
  <c r="EW37" i="103"/>
  <c r="EZ47" i="103"/>
  <c r="EZ41" i="103"/>
  <c r="FA48" i="103"/>
  <c r="EV48" i="103"/>
  <c r="EX48" i="103"/>
  <c r="ET48" i="103"/>
  <c r="BR36" i="8" s="1"/>
  <c r="FE41" i="103"/>
  <c r="FE47" i="103"/>
  <c r="EH66" i="103"/>
  <c r="EM66" i="103"/>
  <c r="EM48" i="103"/>
  <c r="BK37" i="8"/>
  <c r="ES37" i="103"/>
  <c r="ES126" i="103"/>
  <c r="ES38" i="103"/>
  <c r="ES66" i="103"/>
  <c r="ES33" i="103"/>
  <c r="ER126" i="103"/>
  <c r="ER37" i="103"/>
  <c r="ER66" i="103"/>
  <c r="ER38" i="103"/>
  <c r="ER33" i="103"/>
  <c r="EX37" i="103"/>
  <c r="EX38" i="103"/>
  <c r="EX33" i="103"/>
  <c r="EX120" i="103" s="1"/>
  <c r="EX198" i="103" s="1"/>
  <c r="EX126" i="103"/>
  <c r="EX66" i="103"/>
  <c r="EU47" i="103"/>
  <c r="EU41" i="103"/>
  <c r="EU68" i="103"/>
  <c r="EZ69" i="103" s="1"/>
  <c r="EQ38" i="103"/>
  <c r="EU36" i="103"/>
  <c r="ER39" i="103" s="1"/>
  <c r="EQ37" i="103"/>
  <c r="EQ66" i="103"/>
  <c r="EQ126" i="103"/>
  <c r="EQ33" i="103"/>
  <c r="FB33" i="103"/>
  <c r="FB120" i="103" s="1"/>
  <c r="FB198" i="103" s="1"/>
  <c r="FB37" i="103"/>
  <c r="FB38" i="103"/>
  <c r="FB126" i="103"/>
  <c r="FB66" i="103"/>
  <c r="ET37" i="103"/>
  <c r="ET38" i="103"/>
  <c r="ET126" i="103"/>
  <c r="ET66" i="103"/>
  <c r="ET33" i="103"/>
  <c r="EF47" i="103"/>
  <c r="EF48" i="103" s="1"/>
  <c r="EF68" i="103"/>
  <c r="EF41" i="103"/>
  <c r="EG38" i="103"/>
  <c r="FH38" i="103" s="1"/>
  <c r="CF35" i="8" s="1"/>
  <c r="EE37" i="103"/>
  <c r="EE66" i="103"/>
  <c r="EE123" i="103"/>
  <c r="EE128" i="103"/>
  <c r="EF36" i="103"/>
  <c r="EF65" i="103" s="1"/>
  <c r="EE38" i="103"/>
  <c r="EE113" i="103"/>
  <c r="EF113" i="103" s="1"/>
  <c r="EJ128" i="103"/>
  <c r="EJ37" i="103"/>
  <c r="EE118" i="103"/>
  <c r="EF118" i="103" s="1"/>
  <c r="EI66" i="103"/>
  <c r="EJ66" i="103"/>
  <c r="EJ48" i="103"/>
  <c r="BH37" i="8"/>
  <c r="FD36" i="103"/>
  <c r="FD47" i="103"/>
  <c r="FD41" i="103"/>
  <c r="EY36" i="103"/>
  <c r="FA38" i="103" s="1"/>
  <c r="EY47" i="103"/>
  <c r="EY48" i="103" s="1"/>
  <c r="EY41" i="103"/>
  <c r="FA33" i="103"/>
  <c r="FA120" i="103" s="1"/>
  <c r="FA198" i="103" s="1"/>
  <c r="FA37" i="103"/>
  <c r="FA126" i="103"/>
  <c r="FA66" i="103"/>
  <c r="EV38" i="103"/>
  <c r="EV66" i="103"/>
  <c r="EV37" i="103"/>
  <c r="EV126" i="103"/>
  <c r="EG48" i="103"/>
  <c r="BE37" i="8"/>
  <c r="EG66" i="103"/>
  <c r="EK68" i="103"/>
  <c r="EK41" i="103"/>
  <c r="EK47" i="103"/>
  <c r="EK65" i="103"/>
  <c r="EK66" i="103" s="1"/>
  <c r="EP47" i="103"/>
  <c r="BN37" i="8" s="1"/>
  <c r="EP41" i="103"/>
  <c r="EP68" i="103"/>
  <c r="EL66" i="103"/>
  <c r="EL48" i="103"/>
  <c r="BJ37" i="8"/>
  <c r="EN66" i="103"/>
  <c r="EN48" i="103"/>
  <c r="BL37" i="8"/>
  <c r="FC33" i="103"/>
  <c r="FC120" i="103" s="1"/>
  <c r="FC198" i="103" s="1"/>
  <c r="FC38" i="103"/>
  <c r="FC126" i="103"/>
  <c r="FC37" i="103"/>
  <c r="FC66" i="103"/>
  <c r="FK38" i="103" l="1"/>
  <c r="CI35" i="8" s="1"/>
  <c r="EU65" i="103"/>
  <c r="EZ65" i="103" s="1"/>
  <c r="EZ36" i="103" s="1"/>
  <c r="EF115" i="103"/>
  <c r="EG115" i="103" s="1"/>
  <c r="EH115" i="103" s="1"/>
  <c r="EG67" i="103"/>
  <c r="EE39" i="103"/>
  <c r="EL67" i="103"/>
  <c r="EM67" i="103"/>
  <c r="EN67" i="103"/>
  <c r="EJ67" i="103"/>
  <c r="EQ39" i="103"/>
  <c r="ET39" i="103"/>
  <c r="EI67" i="103"/>
  <c r="EE116" i="103"/>
  <c r="EF116" i="103" s="1"/>
  <c r="EF117" i="103" s="1"/>
  <c r="EG117" i="103" s="1"/>
  <c r="EH117" i="103" s="1"/>
  <c r="EI117" i="103" s="1"/>
  <c r="EJ117" i="103" s="1"/>
  <c r="EN39" i="103"/>
  <c r="EP37" i="103"/>
  <c r="EM39" i="103"/>
  <c r="EP118" i="103"/>
  <c r="EL39" i="103"/>
  <c r="EP126" i="103"/>
  <c r="EO207" i="103"/>
  <c r="EO128" i="103"/>
  <c r="EO127" i="103"/>
  <c r="EO120" i="103"/>
  <c r="EO198" i="103" s="1"/>
  <c r="EP33" i="103"/>
  <c r="FD48" i="103"/>
  <c r="ES39" i="103"/>
  <c r="EH67" i="103"/>
  <c r="EW207" i="103"/>
  <c r="EW161" i="103" s="1"/>
  <c r="EW128" i="103"/>
  <c r="EW127" i="103"/>
  <c r="EO39" i="103"/>
  <c r="FE48" i="103"/>
  <c r="CC37" i="8"/>
  <c r="EZ48" i="103"/>
  <c r="BX37" i="8"/>
  <c r="EE120" i="103"/>
  <c r="EE173" i="103" s="1"/>
  <c r="FC128" i="103"/>
  <c r="FC127" i="103"/>
  <c r="FC207" i="103"/>
  <c r="FC161" i="103" s="1"/>
  <c r="EP69" i="103"/>
  <c r="EP70" i="103"/>
  <c r="EP48" i="103"/>
  <c r="EO67" i="103"/>
  <c r="EP66" i="103"/>
  <c r="EK48" i="103"/>
  <c r="BI37" i="8"/>
  <c r="EK70" i="103"/>
  <c r="EK69" i="103"/>
  <c r="EV207" i="103"/>
  <c r="EV161" i="103" s="1"/>
  <c r="EV128" i="103"/>
  <c r="EV127" i="103"/>
  <c r="FA127" i="103"/>
  <c r="FA128" i="103"/>
  <c r="FA207" i="103"/>
  <c r="FA161" i="103" s="1"/>
  <c r="EY37" i="103"/>
  <c r="EY33" i="103"/>
  <c r="EY120" i="103" s="1"/>
  <c r="EY198" i="103" s="1"/>
  <c r="EY126" i="103"/>
  <c r="EY38" i="103"/>
  <c r="EY66" i="103"/>
  <c r="FD37" i="103"/>
  <c r="FD33" i="103"/>
  <c r="FD120" i="103" s="1"/>
  <c r="FD198" i="103" s="1"/>
  <c r="FD38" i="103"/>
  <c r="FD126" i="103"/>
  <c r="FD66" i="103"/>
  <c r="EC39" i="103"/>
  <c r="EF37" i="103"/>
  <c r="EB39" i="103"/>
  <c r="EF123" i="103"/>
  <c r="ED39" i="103"/>
  <c r="EF128" i="103"/>
  <c r="EK128" i="103"/>
  <c r="EK37" i="103"/>
  <c r="EE125" i="103"/>
  <c r="FK125" i="103" s="1"/>
  <c r="EG125" i="103"/>
  <c r="FH125" i="103" s="1"/>
  <c r="EE124" i="103"/>
  <c r="EJ124" i="103"/>
  <c r="EE67" i="103"/>
  <c r="FK67" i="103" s="1"/>
  <c r="EF66" i="103"/>
  <c r="EB67" i="103"/>
  <c r="FH67" i="103" s="1"/>
  <c r="ED67" i="103"/>
  <c r="FJ67" i="103" s="1"/>
  <c r="EC67" i="103"/>
  <c r="FI67" i="103" s="1"/>
  <c r="EF69" i="103"/>
  <c r="EF70" i="103"/>
  <c r="ET120" i="103"/>
  <c r="ET198" i="103" s="1"/>
  <c r="BR33" i="8"/>
  <c r="BR31" i="8" s="1"/>
  <c r="BR5" i="8" s="1"/>
  <c r="ET128" i="103"/>
  <c r="ET127" i="103"/>
  <c r="ET207" i="103"/>
  <c r="FB128" i="103"/>
  <c r="FB207" i="103"/>
  <c r="FB161" i="103" s="1"/>
  <c r="FB127" i="103"/>
  <c r="EU33" i="103"/>
  <c r="EQ120" i="103"/>
  <c r="EQ198" i="103" s="1"/>
  <c r="BO33" i="8"/>
  <c r="EQ128" i="103"/>
  <c r="EU126" i="103"/>
  <c r="EQ127" i="103"/>
  <c r="EQ207" i="103"/>
  <c r="EQ209" i="103" s="1"/>
  <c r="EU37" i="103"/>
  <c r="EU118" i="103"/>
  <c r="EU69" i="103"/>
  <c r="EU70" i="103"/>
  <c r="EU48" i="103"/>
  <c r="BS37" i="8"/>
  <c r="EX207" i="103"/>
  <c r="EX161" i="103" s="1"/>
  <c r="EX127" i="103"/>
  <c r="EX128" i="103"/>
  <c r="ER120" i="103"/>
  <c r="ER198" i="103" s="1"/>
  <c r="BP33" i="8"/>
  <c r="ER207" i="103"/>
  <c r="ER127" i="103"/>
  <c r="ER128" i="103"/>
  <c r="ES120" i="103"/>
  <c r="ES198" i="103" s="1"/>
  <c r="BQ33" i="8"/>
  <c r="ES127" i="103"/>
  <c r="ES128" i="103"/>
  <c r="ES207" i="103"/>
  <c r="ER209" i="103" l="1"/>
  <c r="ET209" i="103"/>
  <c r="ES209" i="103"/>
  <c r="EQ67" i="103"/>
  <c r="EG113" i="103"/>
  <c r="EG116" i="103" s="1"/>
  <c r="EW163" i="103"/>
  <c r="ER67" i="103"/>
  <c r="ES67" i="103"/>
  <c r="ET67" i="103"/>
  <c r="EU66" i="103"/>
  <c r="ER161" i="103"/>
  <c r="EF120" i="103"/>
  <c r="EF119" i="103" s="1"/>
  <c r="EE198" i="103"/>
  <c r="EE200" i="103" s="1"/>
  <c r="EQ161" i="103"/>
  <c r="EE169" i="103"/>
  <c r="EF169" i="103" s="1"/>
  <c r="EE172" i="103" s="1"/>
  <c r="EE191" i="103"/>
  <c r="ET161" i="103"/>
  <c r="EX163" i="103"/>
  <c r="FC163" i="103"/>
  <c r="EP120" i="103"/>
  <c r="EP35" i="103"/>
  <c r="EE165" i="103"/>
  <c r="EF165" i="103" s="1"/>
  <c r="EE168" i="103" s="1"/>
  <c r="EZ118" i="103"/>
  <c r="EZ37" i="103"/>
  <c r="EZ126" i="103"/>
  <c r="EZ33" i="103"/>
  <c r="EX39" i="103"/>
  <c r="EW39" i="103"/>
  <c r="EV39" i="103"/>
  <c r="FP69" i="103"/>
  <c r="FP71" i="103"/>
  <c r="FP70" i="103"/>
  <c r="EE121" i="103"/>
  <c r="EO161" i="103"/>
  <c r="EO163" i="103" s="1"/>
  <c r="EP207" i="103"/>
  <c r="EP127" i="103"/>
  <c r="EP123" i="103"/>
  <c r="EP124" i="103" s="1"/>
  <c r="EP128" i="103"/>
  <c r="EP204" i="103"/>
  <c r="FB163" i="103"/>
  <c r="ES161" i="103"/>
  <c r="BR7" i="8"/>
  <c r="EY39" i="103"/>
  <c r="BQ35" i="8"/>
  <c r="BQ34" i="8"/>
  <c r="BQ100" i="8"/>
  <c r="BQ31" i="8"/>
  <c r="BQ5" i="8" s="1"/>
  <c r="BP35" i="8"/>
  <c r="BP34" i="8"/>
  <c r="BP100" i="8"/>
  <c r="BP31" i="8"/>
  <c r="BP5" i="8" s="1"/>
  <c r="FE65" i="103"/>
  <c r="FE36" i="103" s="1"/>
  <c r="EZ66" i="103"/>
  <c r="EV67" i="103"/>
  <c r="EW67" i="103"/>
  <c r="EX67" i="103"/>
  <c r="EY67" i="103"/>
  <c r="EU128" i="103"/>
  <c r="EU204" i="103"/>
  <c r="EU127" i="103"/>
  <c r="EU207" i="103"/>
  <c r="EU123" i="103"/>
  <c r="BS33" i="8"/>
  <c r="BO34" i="8"/>
  <c r="BO100" i="8"/>
  <c r="BO35" i="8"/>
  <c r="BO31" i="8"/>
  <c r="BO5" i="8" s="1"/>
  <c r="EU35" i="103"/>
  <c r="EU120" i="103"/>
  <c r="BR34" i="8"/>
  <c r="BR35" i="8"/>
  <c r="BR100" i="8"/>
  <c r="EE174" i="103"/>
  <c r="EF173" i="103"/>
  <c r="EE176" i="103" s="1"/>
  <c r="EF124" i="103"/>
  <c r="EK124" i="103"/>
  <c r="EI115" i="103"/>
  <c r="EH113" i="103"/>
  <c r="EH116" i="103" s="1"/>
  <c r="FD207" i="103"/>
  <c r="FD161" i="103" s="1"/>
  <c r="FD163" i="103" s="1"/>
  <c r="FD128" i="103"/>
  <c r="FD127" i="103"/>
  <c r="EY127" i="103"/>
  <c r="EY207" i="103"/>
  <c r="EY161" i="103" s="1"/>
  <c r="EY163" i="103" s="1"/>
  <c r="EY128" i="103"/>
  <c r="EF191" i="103" l="1"/>
  <c r="EE166" i="103"/>
  <c r="ER163" i="103"/>
  <c r="ES163" i="103"/>
  <c r="EE201" i="103"/>
  <c r="EE202" i="103" s="1"/>
  <c r="EK121" i="103"/>
  <c r="EE199" i="103"/>
  <c r="EF263" i="103"/>
  <c r="EE161" i="103"/>
  <c r="EE163" i="103" s="1"/>
  <c r="EE157" i="103"/>
  <c r="EE158" i="103" s="1"/>
  <c r="EF121" i="103"/>
  <c r="EE170" i="103"/>
  <c r="EE160" i="103"/>
  <c r="EF198" i="103"/>
  <c r="EF297" i="103" s="1"/>
  <c r="ET163" i="103"/>
  <c r="EV163" i="103"/>
  <c r="BS34" i="8"/>
  <c r="EP219" i="103"/>
  <c r="EP311" i="103"/>
  <c r="EP205" i="103"/>
  <c r="FE126" i="103"/>
  <c r="FE37" i="103"/>
  <c r="FE33" i="103"/>
  <c r="FE118" i="103"/>
  <c r="FB39" i="103"/>
  <c r="FA39" i="103"/>
  <c r="FC39" i="103"/>
  <c r="FD39" i="103"/>
  <c r="BR98" i="8"/>
  <c r="BR96" i="8" s="1"/>
  <c r="EP208" i="103"/>
  <c r="EP242" i="103" s="1"/>
  <c r="EP241" i="103" s="1"/>
  <c r="BR45" i="8"/>
  <c r="EZ120" i="103"/>
  <c r="EZ35" i="103"/>
  <c r="BX33" i="8"/>
  <c r="EP121" i="103"/>
  <c r="EP198" i="103"/>
  <c r="EP160" i="103" s="1"/>
  <c r="EP165" i="103"/>
  <c r="EP166" i="103" s="1"/>
  <c r="EP263" i="103"/>
  <c r="EP173" i="103"/>
  <c r="EP174" i="103" s="1"/>
  <c r="EP191" i="103"/>
  <c r="EP169" i="103"/>
  <c r="EP170" i="103" s="1"/>
  <c r="BS100" i="8"/>
  <c r="BS101" i="8" s="1"/>
  <c r="BX101" i="8" s="1"/>
  <c r="BX100" i="8" s="1"/>
  <c r="FA163" i="103"/>
  <c r="EZ204" i="103"/>
  <c r="EZ207" i="103"/>
  <c r="EZ127" i="103"/>
  <c r="EZ128" i="103"/>
  <c r="EQ163" i="103"/>
  <c r="EJ115" i="103"/>
  <c r="EJ113" i="103" s="1"/>
  <c r="EJ116" i="103" s="1"/>
  <c r="EI113" i="103"/>
  <c r="EI116" i="103" s="1"/>
  <c r="EB168" i="103"/>
  <c r="EF167" i="103"/>
  <c r="EC168" i="103"/>
  <c r="EF166" i="103"/>
  <c r="ED168" i="103"/>
  <c r="EK166" i="103"/>
  <c r="EB172" i="103"/>
  <c r="EF170" i="103"/>
  <c r="EF171" i="103"/>
  <c r="EC172" i="103"/>
  <c r="ED172" i="103"/>
  <c r="EK170" i="103"/>
  <c r="EF174" i="103"/>
  <c r="EF175" i="103"/>
  <c r="EB176" i="103"/>
  <c r="EC176" i="103"/>
  <c r="ED176" i="103"/>
  <c r="EK174" i="103"/>
  <c r="EU169" i="103"/>
  <c r="EU198" i="103"/>
  <c r="EU281" i="103" s="1"/>
  <c r="EU173" i="103"/>
  <c r="EU121" i="103"/>
  <c r="EU165" i="103"/>
  <c r="EU263" i="103"/>
  <c r="EU191" i="103"/>
  <c r="BS31" i="8"/>
  <c r="BS32" i="8" s="1"/>
  <c r="BX32" i="8" s="1"/>
  <c r="CC32" i="8" s="1"/>
  <c r="BO7" i="8"/>
  <c r="BO45" i="8"/>
  <c r="EZ124" i="103"/>
  <c r="EU124" i="103"/>
  <c r="EU208" i="103"/>
  <c r="EU242" i="103" s="1"/>
  <c r="EU205" i="103"/>
  <c r="EU219" i="103"/>
  <c r="EU311" i="103"/>
  <c r="FE66" i="103"/>
  <c r="FA67" i="103"/>
  <c r="FB67" i="103"/>
  <c r="FC67" i="103"/>
  <c r="FD67" i="103"/>
  <c r="BP7" i="8"/>
  <c r="BQ7" i="8"/>
  <c r="FK163" i="103" l="1"/>
  <c r="CI101" i="8" s="1"/>
  <c r="EE194" i="103"/>
  <c r="EE195" i="103" s="1"/>
  <c r="EE203" i="103"/>
  <c r="EF201" i="103"/>
  <c r="EK202" i="103" s="1"/>
  <c r="EK160" i="103"/>
  <c r="EK199" i="103"/>
  <c r="EF199" i="103"/>
  <c r="CC101" i="8"/>
  <c r="EK116" i="103"/>
  <c r="EF279" i="103"/>
  <c r="EF210" i="103"/>
  <c r="EF160" i="103"/>
  <c r="EF157" i="103"/>
  <c r="EF158" i="103" s="1"/>
  <c r="EF286" i="103"/>
  <c r="EU170" i="103"/>
  <c r="EF281" i="103"/>
  <c r="EF292" i="103"/>
  <c r="EE159" i="103"/>
  <c r="FK159" i="103" s="1"/>
  <c r="EE162" i="103"/>
  <c r="EF161" i="103"/>
  <c r="EK162" i="103" s="1"/>
  <c r="EP161" i="103"/>
  <c r="EP162" i="103" s="1"/>
  <c r="BR182" i="8"/>
  <c r="BR140" i="8"/>
  <c r="EP281" i="103"/>
  <c r="EP286" i="103"/>
  <c r="EP199" i="103"/>
  <c r="EP292" i="103"/>
  <c r="EP279" i="103"/>
  <c r="EP201" i="103"/>
  <c r="EP297" i="103"/>
  <c r="EU241" i="103"/>
  <c r="EP269" i="103"/>
  <c r="EP305" i="103" s="1"/>
  <c r="EP157" i="103"/>
  <c r="EP158" i="103" s="1"/>
  <c r="FE204" i="103"/>
  <c r="FE127" i="103"/>
  <c r="FE128" i="103"/>
  <c r="FE207" i="103"/>
  <c r="EU160" i="103"/>
  <c r="EU161" i="103"/>
  <c r="BR8" i="8"/>
  <c r="BR46" i="8"/>
  <c r="EU166" i="103"/>
  <c r="BX34" i="8"/>
  <c r="BX31" i="8"/>
  <c r="BX5" i="8" s="1"/>
  <c r="BR97" i="8"/>
  <c r="BR92" i="8"/>
  <c r="FE35" i="103"/>
  <c r="FE120" i="103"/>
  <c r="CC33" i="8"/>
  <c r="EP221" i="103"/>
  <c r="EP230" i="103" s="1"/>
  <c r="EZ208" i="103"/>
  <c r="EZ242" i="103" s="1"/>
  <c r="EK113" i="103"/>
  <c r="EK115" i="103" s="1"/>
  <c r="EP115" i="103" s="1"/>
  <c r="BR6" i="8"/>
  <c r="EU157" i="103"/>
  <c r="EU174" i="103"/>
  <c r="EZ219" i="103"/>
  <c r="EZ311" i="103"/>
  <c r="EZ205" i="103"/>
  <c r="EZ173" i="103"/>
  <c r="EZ174" i="103" s="1"/>
  <c r="EZ263" i="103"/>
  <c r="EZ169" i="103"/>
  <c r="EZ170" i="103" s="1"/>
  <c r="EZ165" i="103"/>
  <c r="EZ166" i="103" s="1"/>
  <c r="EZ121" i="103"/>
  <c r="EZ191" i="103"/>
  <c r="EZ198" i="103"/>
  <c r="EZ160" i="103" s="1"/>
  <c r="BQ45" i="8"/>
  <c r="BQ6" i="8"/>
  <c r="BQ8" i="8"/>
  <c r="BQ98" i="8"/>
  <c r="BQ96" i="8" s="1"/>
  <c r="BP8" i="8"/>
  <c r="BP98" i="8"/>
  <c r="BP96" i="8" s="1"/>
  <c r="BP45" i="8"/>
  <c r="BP6" i="8"/>
  <c r="EU221" i="103"/>
  <c r="EU222" i="103" s="1"/>
  <c r="EU224" i="103" s="1"/>
  <c r="BO6" i="8"/>
  <c r="BS5" i="8"/>
  <c r="BS7" i="8"/>
  <c r="BO8" i="8"/>
  <c r="BO98" i="8"/>
  <c r="EU199" i="103"/>
  <c r="EU201" i="103"/>
  <c r="EU290" i="103" s="1"/>
  <c r="EU297" i="103"/>
  <c r="EU279" i="103"/>
  <c r="EU292" i="103"/>
  <c r="EU286" i="103"/>
  <c r="EE179" i="103" l="1"/>
  <c r="EE188" i="103" s="1"/>
  <c r="EF188" i="103" s="1"/>
  <c r="BS45" i="8"/>
  <c r="EF290" i="103"/>
  <c r="EK258" i="103" s="1"/>
  <c r="EK259" i="103" s="1"/>
  <c r="EK272" i="103" s="1"/>
  <c r="EF202" i="103"/>
  <c r="EF162" i="103"/>
  <c r="EK158" i="103"/>
  <c r="EU158" i="103"/>
  <c r="BS8" i="8"/>
  <c r="EP222" i="103"/>
  <c r="EP224" i="103" s="1"/>
  <c r="EU162" i="103"/>
  <c r="EU230" i="103"/>
  <c r="EU234" i="103" s="1"/>
  <c r="EZ157" i="103"/>
  <c r="EZ158" i="103" s="1"/>
  <c r="BS6" i="8"/>
  <c r="EP231" i="103"/>
  <c r="EP234" i="103"/>
  <c r="EP235" i="103" s="1"/>
  <c r="EP246" i="103"/>
  <c r="EP316" i="103"/>
  <c r="BR94" i="8"/>
  <c r="BR175" i="8"/>
  <c r="BR173" i="8" s="1"/>
  <c r="BR171" i="8" s="1"/>
  <c r="EU269" i="103"/>
  <c r="EU305" i="103" s="1"/>
  <c r="EZ241" i="103"/>
  <c r="EZ161" i="103"/>
  <c r="EZ162" i="103" s="1"/>
  <c r="FE169" i="103"/>
  <c r="FE170" i="103" s="1"/>
  <c r="FE198" i="103"/>
  <c r="FE161" i="103" s="1"/>
  <c r="FE165" i="103"/>
  <c r="FE166" i="103" s="1"/>
  <c r="FE173" i="103"/>
  <c r="FE174" i="103" s="1"/>
  <c r="FE263" i="103"/>
  <c r="FE121" i="103"/>
  <c r="FE191" i="103"/>
  <c r="EU115" i="103"/>
  <c r="EP113" i="103"/>
  <c r="BR278" i="8"/>
  <c r="EZ221" i="103"/>
  <c r="EZ222" i="103" s="1"/>
  <c r="EZ224" i="103" s="1"/>
  <c r="BX7" i="8"/>
  <c r="BX8" i="8" s="1"/>
  <c r="FE208" i="103"/>
  <c r="FE242" i="103" s="1"/>
  <c r="EP202" i="103"/>
  <c r="EP194" i="103"/>
  <c r="EP290" i="103"/>
  <c r="EP294" i="103" s="1"/>
  <c r="EP299" i="103" s="1"/>
  <c r="BR280" i="8"/>
  <c r="BS280" i="8" s="1"/>
  <c r="BR269" i="8"/>
  <c r="BW269" i="8" s="1"/>
  <c r="CB269" i="8" s="1"/>
  <c r="BR270" i="8"/>
  <c r="FE205" i="103"/>
  <c r="FE219" i="103"/>
  <c r="FE311" i="103"/>
  <c r="BR122" i="8"/>
  <c r="CC34" i="8"/>
  <c r="CC31" i="8"/>
  <c r="CC5" i="8" s="1"/>
  <c r="EZ281" i="103"/>
  <c r="EZ199" i="103"/>
  <c r="EZ286" i="103"/>
  <c r="EZ279" i="103"/>
  <c r="EZ201" i="103"/>
  <c r="EZ297" i="103"/>
  <c r="EZ292" i="103"/>
  <c r="EU294" i="103"/>
  <c r="EU299" i="103" s="1"/>
  <c r="CC100" i="8"/>
  <c r="EK117" i="103"/>
  <c r="EP117" i="103" s="1"/>
  <c r="EU117" i="103" s="1"/>
  <c r="EZ117" i="103" s="1"/>
  <c r="FE117" i="103" s="1"/>
  <c r="EE186" i="103"/>
  <c r="EF186" i="103" s="1"/>
  <c r="EE187" i="103"/>
  <c r="EF187" i="103" s="1"/>
  <c r="EE185" i="103"/>
  <c r="EF185" i="103" s="1"/>
  <c r="EE184" i="103"/>
  <c r="EF184" i="103" s="1"/>
  <c r="EF179" i="103"/>
  <c r="EU202" i="103"/>
  <c r="EU194" i="103"/>
  <c r="BO96" i="8"/>
  <c r="BS98" i="8"/>
  <c r="BS99" i="8" s="1"/>
  <c r="BX99" i="8" s="1"/>
  <c r="CC99" i="8" s="1"/>
  <c r="BO182" i="8"/>
  <c r="BO46" i="8"/>
  <c r="BO140" i="8"/>
  <c r="BO122" i="8" s="1"/>
  <c r="BP46" i="8"/>
  <c r="BP182" i="8"/>
  <c r="BP140" i="8"/>
  <c r="BP122" i="8" s="1"/>
  <c r="BP97" i="8"/>
  <c r="BP92" i="8"/>
  <c r="BQ97" i="8"/>
  <c r="BQ92" i="8"/>
  <c r="BQ140" i="8"/>
  <c r="BQ122" i="8" s="1"/>
  <c r="BQ182" i="8"/>
  <c r="BQ46" i="8"/>
  <c r="EE181" i="103" l="1"/>
  <c r="EE180" i="103"/>
  <c r="EF294" i="103"/>
  <c r="EF299" i="103" s="1"/>
  <c r="EF308" i="103" s="1"/>
  <c r="EF258" i="103"/>
  <c r="EF259" i="103" s="1"/>
  <c r="EF265" i="103" s="1"/>
  <c r="EU246" i="103"/>
  <c r="EU254" i="103" s="1"/>
  <c r="EU231" i="103"/>
  <c r="EU232" i="103" s="1"/>
  <c r="EU251" i="103" s="1"/>
  <c r="FE157" i="103"/>
  <c r="FE158" i="103" s="1"/>
  <c r="FE160" i="103"/>
  <c r="EZ230" i="103"/>
  <c r="EZ246" i="103" s="1"/>
  <c r="EK265" i="103"/>
  <c r="EP258" i="103"/>
  <c r="FE162" i="103"/>
  <c r="EP116" i="103"/>
  <c r="EU235" i="103"/>
  <c r="EU258" i="103"/>
  <c r="EU316" i="103"/>
  <c r="BR153" i="8"/>
  <c r="CC7" i="8"/>
  <c r="CC8" i="8" s="1"/>
  <c r="FE241" i="103"/>
  <c r="FE269" i="103" s="1"/>
  <c r="EZ269" i="103"/>
  <c r="EZ305" i="103" s="1"/>
  <c r="EZ115" i="103"/>
  <c r="EU113" i="103"/>
  <c r="EU116" i="103" s="1"/>
  <c r="EP195" i="103"/>
  <c r="EP179" i="103"/>
  <c r="BN240" i="8"/>
  <c r="EP247" i="103"/>
  <c r="EP248" i="103" s="1"/>
  <c r="EP254" i="103"/>
  <c r="EK180" i="103"/>
  <c r="EF194" i="103"/>
  <c r="EE182" i="103"/>
  <c r="BR123" i="8"/>
  <c r="BR125" i="8"/>
  <c r="BR164" i="8"/>
  <c r="BR184" i="8"/>
  <c r="BS270" i="8"/>
  <c r="BX6" i="8"/>
  <c r="BX45" i="8"/>
  <c r="BR141" i="8"/>
  <c r="FE221" i="103"/>
  <c r="FE230" i="103" s="1"/>
  <c r="EZ290" i="103"/>
  <c r="EZ294" i="103" s="1"/>
  <c r="EZ299" i="103" s="1"/>
  <c r="EZ194" i="103"/>
  <c r="EZ202" i="103"/>
  <c r="BR183" i="8"/>
  <c r="BR282" i="8"/>
  <c r="BR287" i="8" s="1"/>
  <c r="BS278" i="8"/>
  <c r="FE281" i="103"/>
  <c r="FE286" i="103"/>
  <c r="FE279" i="103"/>
  <c r="FE201" i="103"/>
  <c r="FE199" i="103"/>
  <c r="FE292" i="103"/>
  <c r="FE297" i="103"/>
  <c r="BR132" i="8"/>
  <c r="BR196" i="8"/>
  <c r="EP232" i="103"/>
  <c r="EP251" i="103" s="1"/>
  <c r="EP250" i="103" s="1"/>
  <c r="FO235" i="103"/>
  <c r="FP236" i="103" s="1"/>
  <c r="BQ184" i="8"/>
  <c r="BQ123" i="8"/>
  <c r="BQ125" i="8"/>
  <c r="BQ164" i="8"/>
  <c r="BQ270" i="8"/>
  <c r="BQ280" i="8"/>
  <c r="BQ183" i="8"/>
  <c r="BQ269" i="8"/>
  <c r="BV269" i="8" s="1"/>
  <c r="CA269" i="8" s="1"/>
  <c r="BQ141" i="8"/>
  <c r="BQ278" i="8"/>
  <c r="BQ95" i="8"/>
  <c r="BQ175" i="8"/>
  <c r="BQ173" i="8" s="1"/>
  <c r="BQ171" i="8" s="1"/>
  <c r="BQ94" i="8"/>
  <c r="BQ93" i="8"/>
  <c r="BP95" i="8"/>
  <c r="BP94" i="8"/>
  <c r="BP175" i="8"/>
  <c r="BP173" i="8" s="1"/>
  <c r="BP171" i="8" s="1"/>
  <c r="BP93" i="8"/>
  <c r="BP141" i="8"/>
  <c r="BP278" i="8"/>
  <c r="BP270" i="8"/>
  <c r="BP280" i="8"/>
  <c r="BP183" i="8"/>
  <c r="BP269" i="8"/>
  <c r="BU269" i="8" s="1"/>
  <c r="BZ269" i="8" s="1"/>
  <c r="BP184" i="8"/>
  <c r="BP125" i="8"/>
  <c r="BP123" i="8"/>
  <c r="BP164" i="8"/>
  <c r="BS140" i="8"/>
  <c r="BO141" i="8"/>
  <c r="BO278" i="8"/>
  <c r="BO270" i="8"/>
  <c r="BO280" i="8"/>
  <c r="BO183" i="8"/>
  <c r="BO269" i="8"/>
  <c r="BT269" i="8" s="1"/>
  <c r="BY269" i="8" s="1"/>
  <c r="BO184" i="8"/>
  <c r="BO123" i="8"/>
  <c r="BO125" i="8"/>
  <c r="BO127" i="8" s="1"/>
  <c r="BS122" i="8"/>
  <c r="BO164" i="8"/>
  <c r="BS46" i="8"/>
  <c r="BS182" i="8"/>
  <c r="BS269" i="8" s="1"/>
  <c r="BX269" i="8" s="1"/>
  <c r="CC269" i="8" s="1"/>
  <c r="BS240" i="8"/>
  <c r="BX98" i="8"/>
  <c r="BX96" i="8" s="1"/>
  <c r="BO97" i="8"/>
  <c r="BO92" i="8"/>
  <c r="BS96" i="8"/>
  <c r="BS97" i="8" s="1"/>
  <c r="EU195" i="103"/>
  <c r="EU179" i="103"/>
  <c r="EF181" i="103"/>
  <c r="EF180" i="103"/>
  <c r="EC182" i="103"/>
  <c r="EB182" i="103"/>
  <c r="ED182" i="103"/>
  <c r="EF272" i="103" l="1"/>
  <c r="EF275" i="103" s="1"/>
  <c r="EU247" i="103"/>
  <c r="EU248" i="103" s="1"/>
  <c r="EZ234" i="103"/>
  <c r="EZ235" i="103" s="1"/>
  <c r="EZ231" i="103"/>
  <c r="EZ232" i="103" s="1"/>
  <c r="EZ251" i="103" s="1"/>
  <c r="FE222" i="103"/>
  <c r="FE224" i="103" s="1"/>
  <c r="BR235" i="8"/>
  <c r="CC98" i="8"/>
  <c r="CC96" i="8" s="1"/>
  <c r="CC97" i="8" s="1"/>
  <c r="EU259" i="103"/>
  <c r="EU265" i="103" s="1"/>
  <c r="FE231" i="103"/>
  <c r="FE246" i="103"/>
  <c r="FE234" i="103"/>
  <c r="FE305" i="103"/>
  <c r="FE316" i="103" s="1"/>
  <c r="EZ316" i="103"/>
  <c r="BR198" i="8"/>
  <c r="BR199" i="8" s="1"/>
  <c r="BR202" i="8" s="1"/>
  <c r="BN269" i="8"/>
  <c r="N7" i="105"/>
  <c r="BN286" i="8"/>
  <c r="EK195" i="103"/>
  <c r="EB196" i="103"/>
  <c r="ED196" i="103"/>
  <c r="EE196" i="103"/>
  <c r="EC196" i="103"/>
  <c r="EF195" i="103"/>
  <c r="EU250" i="103"/>
  <c r="EP252" i="103"/>
  <c r="EP268" i="103"/>
  <c r="EP304" i="103" s="1"/>
  <c r="BS282" i="8"/>
  <c r="BS287" i="8" s="1"/>
  <c r="BS279" i="8"/>
  <c r="BX279" i="8" s="1"/>
  <c r="CC279" i="8" s="1"/>
  <c r="EP259" i="103"/>
  <c r="BS271" i="8"/>
  <c r="BX271" i="8" s="1"/>
  <c r="CC271" i="8" s="1"/>
  <c r="BR185" i="8"/>
  <c r="BR186" i="8"/>
  <c r="BP282" i="8"/>
  <c r="BP287" i="8" s="1"/>
  <c r="BQ235" i="8"/>
  <c r="EZ258" i="103"/>
  <c r="BR126" i="8"/>
  <c r="BR127" i="8"/>
  <c r="FE115" i="103"/>
  <c r="FE113" i="103" s="1"/>
  <c r="FE116" i="103" s="1"/>
  <c r="EZ113" i="103"/>
  <c r="EZ116" i="103" s="1"/>
  <c r="BS281" i="8"/>
  <c r="BX281" i="8" s="1"/>
  <c r="CC281" i="8" s="1"/>
  <c r="BR95" i="8"/>
  <c r="BR93" i="8"/>
  <c r="BO282" i="8"/>
  <c r="BO287" i="8" s="1"/>
  <c r="BR128" i="8"/>
  <c r="CC6" i="8"/>
  <c r="CC45" i="8"/>
  <c r="BR156" i="8"/>
  <c r="BP235" i="8"/>
  <c r="BQ282" i="8"/>
  <c r="BQ287" i="8" s="1"/>
  <c r="BX182" i="8"/>
  <c r="BX46" i="8"/>
  <c r="EP184" i="103"/>
  <c r="EP185" i="103"/>
  <c r="EP186" i="103"/>
  <c r="EP188" i="103"/>
  <c r="EP180" i="103"/>
  <c r="EP181" i="103"/>
  <c r="EP187" i="103"/>
  <c r="FE290" i="103"/>
  <c r="FE294" i="103" s="1"/>
  <c r="FE299" i="103" s="1"/>
  <c r="FE202" i="103"/>
  <c r="FE194" i="103"/>
  <c r="EZ195" i="103"/>
  <c r="EZ179" i="103"/>
  <c r="EZ247" i="103"/>
  <c r="EZ254" i="103"/>
  <c r="EU180" i="103"/>
  <c r="EU181" i="103"/>
  <c r="EU184" i="103"/>
  <c r="EU186" i="103"/>
  <c r="EU185" i="103"/>
  <c r="EU188" i="103"/>
  <c r="EU187" i="103"/>
  <c r="BO95" i="8"/>
  <c r="BO94" i="8"/>
  <c r="BS92" i="8"/>
  <c r="BO175" i="8"/>
  <c r="BO93" i="8"/>
  <c r="BX97" i="8"/>
  <c r="O7" i="105"/>
  <c r="BS183" i="8"/>
  <c r="BS286" i="8"/>
  <c r="BS184" i="8"/>
  <c r="BS123" i="8"/>
  <c r="BS125" i="8"/>
  <c r="BS164" i="8"/>
  <c r="BX164" i="8" s="1"/>
  <c r="CC164" i="8" s="1"/>
  <c r="BO126" i="8"/>
  <c r="BO185" i="8"/>
  <c r="BS142" i="8"/>
  <c r="BX142" i="8" s="1"/>
  <c r="BS141" i="8"/>
  <c r="BP126" i="8"/>
  <c r="BP127" i="8"/>
  <c r="BP185" i="8"/>
  <c r="BP153" i="8"/>
  <c r="BP186" i="8" s="1"/>
  <c r="BP172" i="8"/>
  <c r="BP128" i="8"/>
  <c r="BP196" i="8"/>
  <c r="BP131" i="8"/>
  <c r="BP135" i="8"/>
  <c r="BP174" i="8"/>
  <c r="BP132" i="8"/>
  <c r="BQ135" i="8"/>
  <c r="BQ128" i="8"/>
  <c r="BQ132" i="8"/>
  <c r="BQ196" i="8"/>
  <c r="BQ174" i="8"/>
  <c r="BQ131" i="8"/>
  <c r="BQ172" i="8"/>
  <c r="BQ153" i="8"/>
  <c r="BQ186" i="8" s="1"/>
  <c r="BQ126" i="8"/>
  <c r="BQ127" i="8"/>
  <c r="BQ185" i="8"/>
  <c r="BQ134" i="8" l="1"/>
  <c r="BR134" i="8"/>
  <c r="EK273" i="103"/>
  <c r="EK275" i="103" s="1"/>
  <c r="EF278" i="103"/>
  <c r="EZ248" i="103"/>
  <c r="FE232" i="103"/>
  <c r="FE251" i="103" s="1"/>
  <c r="FE235" i="103"/>
  <c r="EZ259" i="103"/>
  <c r="EZ265" i="103" s="1"/>
  <c r="BR130" i="8"/>
  <c r="BN279" i="8"/>
  <c r="BX268" i="8"/>
  <c r="BX183" i="8"/>
  <c r="BX280" i="8"/>
  <c r="BX239" i="8"/>
  <c r="BX270" i="8"/>
  <c r="BX286" i="8"/>
  <c r="P7" i="105"/>
  <c r="P8" i="105" s="1"/>
  <c r="EP307" i="103"/>
  <c r="FE195" i="103"/>
  <c r="FE179" i="103"/>
  <c r="EZ250" i="103"/>
  <c r="EU252" i="103"/>
  <c r="EU268" i="103"/>
  <c r="EU304" i="103" s="1"/>
  <c r="FE258" i="103"/>
  <c r="EP265" i="103"/>
  <c r="BN237" i="8"/>
  <c r="BN236" i="8"/>
  <c r="N14" i="105"/>
  <c r="BR205" i="8"/>
  <c r="BR203" i="8"/>
  <c r="BR224" i="8"/>
  <c r="BS126" i="8"/>
  <c r="BR136" i="8"/>
  <c r="BR188" i="8"/>
  <c r="CC182" i="8"/>
  <c r="CC46" i="8"/>
  <c r="FE254" i="103"/>
  <c r="FE247" i="103"/>
  <c r="FE248" i="103" s="1"/>
  <c r="EZ184" i="103"/>
  <c r="EZ187" i="103"/>
  <c r="EZ185" i="103"/>
  <c r="EZ181" i="103"/>
  <c r="EZ188" i="103"/>
  <c r="EZ186" i="103"/>
  <c r="EZ180" i="103"/>
  <c r="EP317" i="103"/>
  <c r="EP271" i="103"/>
  <c r="EP272" i="103" s="1"/>
  <c r="N8" i="105"/>
  <c r="N20" i="105"/>
  <c r="N21" i="105"/>
  <c r="BQ187" i="8"/>
  <c r="BQ188" i="8"/>
  <c r="BQ136" i="8"/>
  <c r="BQ156" i="8"/>
  <c r="BQ154" i="8"/>
  <c r="BQ198" i="8"/>
  <c r="BQ199" i="8" s="1"/>
  <c r="BQ202" i="8" s="1"/>
  <c r="BQ133" i="8"/>
  <c r="BQ129" i="8"/>
  <c r="BQ130" i="8"/>
  <c r="BP133" i="8"/>
  <c r="BP198" i="8"/>
  <c r="BP199" i="8" s="1"/>
  <c r="BP202" i="8" s="1"/>
  <c r="BP129" i="8"/>
  <c r="BP154" i="8"/>
  <c r="BP156" i="8"/>
  <c r="BP136" i="8"/>
  <c r="BP187" i="8"/>
  <c r="CC142" i="8"/>
  <c r="CC140" i="8" s="1"/>
  <c r="CC122" i="8" s="1"/>
  <c r="BX140" i="8"/>
  <c r="BX122" i="8" s="1"/>
  <c r="BS185" i="8"/>
  <c r="O8" i="105"/>
  <c r="O20" i="105"/>
  <c r="O21" i="105"/>
  <c r="BO173" i="8"/>
  <c r="BS175" i="8"/>
  <c r="BS93" i="8"/>
  <c r="BS94" i="8"/>
  <c r="BS95" i="8"/>
  <c r="BO171" i="8" l="1"/>
  <c r="BO132" i="8"/>
  <c r="BR138" i="8"/>
  <c r="BQ138" i="8"/>
  <c r="EF312" i="103"/>
  <c r="EF313" i="103" s="1"/>
  <c r="EF283" i="103"/>
  <c r="EF287" i="103" s="1"/>
  <c r="EF309" i="103" s="1"/>
  <c r="FO233" i="103"/>
  <c r="EK278" i="103"/>
  <c r="EP273" i="103"/>
  <c r="EP275" i="103" s="1"/>
  <c r="FE259" i="103"/>
  <c r="FE265" i="103" s="1"/>
  <c r="CC184" i="8"/>
  <c r="CC123" i="8"/>
  <c r="CC125" i="8"/>
  <c r="CC162" i="8"/>
  <c r="EU307" i="103"/>
  <c r="BR231" i="8"/>
  <c r="BR174" i="8"/>
  <c r="BR131" i="8"/>
  <c r="BR135" i="8"/>
  <c r="EZ268" i="103"/>
  <c r="EZ304" i="103" s="1"/>
  <c r="EZ252" i="103"/>
  <c r="FE250" i="103"/>
  <c r="FE187" i="103"/>
  <c r="FE184" i="103"/>
  <c r="FE185" i="103"/>
  <c r="FE180" i="103"/>
  <c r="FE188" i="103"/>
  <c r="FE186" i="103"/>
  <c r="FE181" i="103"/>
  <c r="EP308" i="103"/>
  <c r="BX184" i="8"/>
  <c r="BX125" i="8"/>
  <c r="BX126" i="8" s="1"/>
  <c r="BX162" i="8"/>
  <c r="BX123" i="8"/>
  <c r="BX243" i="8"/>
  <c r="P15" i="105" s="1"/>
  <c r="P21" i="105" s="1"/>
  <c r="BX241" i="8"/>
  <c r="BX253" i="8"/>
  <c r="CC280" i="8"/>
  <c r="CC270" i="8"/>
  <c r="CC286" i="8"/>
  <c r="Q7" i="105"/>
  <c r="CC239" i="8"/>
  <c r="CC268" i="8"/>
  <c r="CC183" i="8"/>
  <c r="BO153" i="8"/>
  <c r="BO186" i="8" s="1"/>
  <c r="BO172" i="8"/>
  <c r="BS171" i="8"/>
  <c r="BR233" i="8"/>
  <c r="BR238" i="8" s="1"/>
  <c r="BR226" i="8"/>
  <c r="EU317" i="103"/>
  <c r="EU271" i="103"/>
  <c r="EU272" i="103" s="1"/>
  <c r="BO196" i="8"/>
  <c r="BO128" i="8"/>
  <c r="BP130" i="8" s="1"/>
  <c r="BO174" i="8"/>
  <c r="BS173" i="8"/>
  <c r="BO131" i="8"/>
  <c r="BO135" i="8"/>
  <c r="BX141" i="8"/>
  <c r="BX278" i="8"/>
  <c r="BX282" i="8" s="1"/>
  <c r="BX287" i="8" s="1"/>
  <c r="CC278" i="8"/>
  <c r="CC141" i="8"/>
  <c r="BP137" i="8"/>
  <c r="BP203" i="8"/>
  <c r="BP224" i="8"/>
  <c r="BP205" i="8"/>
  <c r="BP206" i="8" s="1"/>
  <c r="BQ205" i="8"/>
  <c r="BQ206" i="8" s="1"/>
  <c r="BQ224" i="8"/>
  <c r="BQ203" i="8"/>
  <c r="BQ137" i="8"/>
  <c r="BO134" i="8" l="1"/>
  <c r="BP134" i="8"/>
  <c r="EU273" i="103"/>
  <c r="EU275" i="103" s="1"/>
  <c r="EZ273" i="103" s="1"/>
  <c r="EP278" i="103"/>
  <c r="EP283" i="103" s="1"/>
  <c r="EP287" i="103" s="1"/>
  <c r="EP309" i="103" s="1"/>
  <c r="EK312" i="103"/>
  <c r="EK313" i="103" s="1"/>
  <c r="EK283" i="103"/>
  <c r="EK287" i="103" s="1"/>
  <c r="EK309" i="103" s="1"/>
  <c r="CC126" i="8"/>
  <c r="BO154" i="8"/>
  <c r="BO156" i="8"/>
  <c r="CC282" i="8"/>
  <c r="CC287" i="8" s="1"/>
  <c r="BR260" i="8"/>
  <c r="BR244" i="8"/>
  <c r="CC253" i="8"/>
  <c r="CC243" i="8"/>
  <c r="Q15" i="105" s="1"/>
  <c r="Q21" i="105" s="1"/>
  <c r="R21" i="105" s="1"/>
  <c r="S21" i="105" s="1"/>
  <c r="T21" i="105" s="1"/>
  <c r="U21" i="105" s="1"/>
  <c r="V21" i="105" s="1"/>
  <c r="BX166" i="8"/>
  <c r="BX169" i="8" s="1"/>
  <c r="BX118" i="8" s="1"/>
  <c r="BX163" i="8"/>
  <c r="BX165" i="8"/>
  <c r="P11" i="105"/>
  <c r="P20" i="105" s="1"/>
  <c r="BX234" i="8"/>
  <c r="EU308" i="103"/>
  <c r="Q8" i="105"/>
  <c r="R7" i="105"/>
  <c r="R14" i="105" s="1"/>
  <c r="FE252" i="103"/>
  <c r="FE268" i="103"/>
  <c r="BR133" i="8"/>
  <c r="CC163" i="8"/>
  <c r="CC234" i="8"/>
  <c r="Q11" i="105"/>
  <c r="Q20" i="105" s="1"/>
  <c r="BS172" i="8"/>
  <c r="BR172" i="8"/>
  <c r="BX185" i="8"/>
  <c r="BR129" i="8"/>
  <c r="CC235" i="8"/>
  <c r="BS153" i="8"/>
  <c r="BX235" i="8"/>
  <c r="EZ271" i="103"/>
  <c r="EZ272" i="103" s="1"/>
  <c r="EZ317" i="103"/>
  <c r="N10" i="105"/>
  <c r="N19" i="105" s="1"/>
  <c r="EZ307" i="103"/>
  <c r="CC185" i="8"/>
  <c r="BQ204" i="8"/>
  <c r="BQ231" i="8"/>
  <c r="BQ233" i="8"/>
  <c r="BQ238" i="8" s="1"/>
  <c r="BQ226" i="8"/>
  <c r="BQ227" i="8" s="1"/>
  <c r="BP226" i="8"/>
  <c r="BP227" i="8" s="1"/>
  <c r="BP233" i="8"/>
  <c r="BP238" i="8" s="1"/>
  <c r="BP204" i="8"/>
  <c r="BP231" i="8"/>
  <c r="BO133" i="8"/>
  <c r="O10" i="105"/>
  <c r="BS135" i="8"/>
  <c r="BS128" i="8"/>
  <c r="BS196" i="8"/>
  <c r="BS174" i="8"/>
  <c r="BS132" i="8"/>
  <c r="BS133" i="8" s="1"/>
  <c r="BS131" i="8"/>
  <c r="BO129" i="8"/>
  <c r="BO130" i="8"/>
  <c r="BO198" i="8"/>
  <c r="BS198" i="8" s="1"/>
  <c r="EP312" i="103" l="1"/>
  <c r="EP313" i="103" s="1"/>
  <c r="O19" i="105"/>
  <c r="O13" i="105"/>
  <c r="BO155" i="8"/>
  <c r="BS186" i="8"/>
  <c r="EU278" i="103"/>
  <c r="EU283" i="103" s="1"/>
  <c r="EU287" i="103" s="1"/>
  <c r="EU309" i="103" s="1"/>
  <c r="EZ275" i="103"/>
  <c r="FE273" i="103" s="1"/>
  <c r="BS129" i="8"/>
  <c r="BO199" i="8"/>
  <c r="BO202" i="8" s="1"/>
  <c r="BO205" i="8" s="1"/>
  <c r="BO206" i="8" s="1"/>
  <c r="BX178" i="8"/>
  <c r="BX119" i="8"/>
  <c r="R15" i="105"/>
  <c r="S7" i="105"/>
  <c r="S14" i="105" s="1"/>
  <c r="EZ308" i="103"/>
  <c r="FE317" i="103"/>
  <c r="FE271" i="103"/>
  <c r="FE272" i="103" s="1"/>
  <c r="Q14" i="105"/>
  <c r="CC237" i="8"/>
  <c r="CC236" i="8"/>
  <c r="BS197" i="8"/>
  <c r="CC166" i="8"/>
  <c r="BX92" i="8"/>
  <c r="BX236" i="8"/>
  <c r="P14" i="105"/>
  <c r="BR154" i="8"/>
  <c r="BO188" i="8"/>
  <c r="FE304" i="103"/>
  <c r="FE307" i="103" s="1"/>
  <c r="BR155" i="8"/>
  <c r="BP155" i="8"/>
  <c r="BQ155" i="8"/>
  <c r="BS156" i="8"/>
  <c r="BS154" i="8"/>
  <c r="BX274" i="8"/>
  <c r="BX273" i="8"/>
  <c r="BP188" i="8"/>
  <c r="BO187" i="8"/>
  <c r="BO136" i="8"/>
  <c r="BS228" i="8"/>
  <c r="BS199" i="8"/>
  <c r="BS202" i="8" s="1"/>
  <c r="BP244" i="8"/>
  <c r="BP260" i="8"/>
  <c r="BQ244" i="8"/>
  <c r="BQ260" i="8"/>
  <c r="CF188" i="8" l="1"/>
  <c r="CI188" i="8"/>
  <c r="CH188" i="8"/>
  <c r="CG188" i="8"/>
  <c r="BO138" i="8"/>
  <c r="BP138" i="8"/>
  <c r="CG186" i="8"/>
  <c r="CG185" i="8"/>
  <c r="CX227" i="8"/>
  <c r="CX232" i="8" s="1"/>
  <c r="CX234" i="8" s="1"/>
  <c r="R11" i="105"/>
  <c r="BO189" i="8"/>
  <c r="EU312" i="103"/>
  <c r="EU313" i="103" s="1"/>
  <c r="EZ278" i="103"/>
  <c r="EZ283" i="103" s="1"/>
  <c r="EZ287" i="103" s="1"/>
  <c r="EZ309" i="103" s="1"/>
  <c r="BO224" i="8"/>
  <c r="BO233" i="8" s="1"/>
  <c r="BO203" i="8"/>
  <c r="BO231" i="8" s="1"/>
  <c r="FE275" i="103"/>
  <c r="FE278" i="103" s="1"/>
  <c r="FE283" i="103" s="1"/>
  <c r="FE287" i="103" s="1"/>
  <c r="BO137" i="8"/>
  <c r="CW227" i="8"/>
  <c r="CW232" i="8" s="1"/>
  <c r="BR187" i="8"/>
  <c r="S15" i="105"/>
  <c r="S11" i="105"/>
  <c r="T7" i="105"/>
  <c r="T14" i="105" s="1"/>
  <c r="BS288" i="8"/>
  <c r="BQ189" i="8"/>
  <c r="BR189" i="8"/>
  <c r="BP189" i="8"/>
  <c r="O12" i="105"/>
  <c r="BS136" i="8"/>
  <c r="BJ155" i="8"/>
  <c r="CF155" i="8" s="1"/>
  <c r="BL155" i="8"/>
  <c r="CH155" i="8" s="1"/>
  <c r="BK155" i="8"/>
  <c r="CG155" i="8" s="1"/>
  <c r="BX95" i="8"/>
  <c r="BX94" i="8"/>
  <c r="BX93" i="8"/>
  <c r="BX175" i="8"/>
  <c r="BX173" i="8" s="1"/>
  <c r="CC92" i="8"/>
  <c r="CC169" i="8"/>
  <c r="CC118" i="8" s="1"/>
  <c r="CC274" i="8"/>
  <c r="BR206" i="8"/>
  <c r="BR204" i="8"/>
  <c r="CC273" i="8"/>
  <c r="CC241" i="8"/>
  <c r="CC165" i="8"/>
  <c r="FE308" i="103"/>
  <c r="BX197" i="8"/>
  <c r="BS205" i="8"/>
  <c r="BS203" i="8"/>
  <c r="CF203" i="8" s="1"/>
  <c r="BS207" i="8"/>
  <c r="BS224" i="8"/>
  <c r="BS226" i="8" s="1"/>
  <c r="EZ312" i="103" l="1"/>
  <c r="EZ313" i="103" s="1"/>
  <c r="FE312" i="103"/>
  <c r="FE313" i="103" s="1"/>
  <c r="BO204" i="8"/>
  <c r="BO226" i="8"/>
  <c r="BO227" i="8" s="1"/>
  <c r="FE309" i="103"/>
  <c r="BS206" i="8"/>
  <c r="CC178" i="8"/>
  <c r="CC119" i="8"/>
  <c r="BX171" i="8"/>
  <c r="BX196" i="8"/>
  <c r="BX198" i="8" s="1"/>
  <c r="BX135" i="8"/>
  <c r="BX132" i="8"/>
  <c r="BX133" i="8" s="1"/>
  <c r="P10" i="105"/>
  <c r="BX128" i="8"/>
  <c r="BX129" i="8" s="1"/>
  <c r="BX131" i="8"/>
  <c r="BX174" i="8"/>
  <c r="BN233" i="8"/>
  <c r="BR227" i="8"/>
  <c r="CT227" i="8"/>
  <c r="CT232" i="8" s="1"/>
  <c r="CT234" i="8" s="1"/>
  <c r="BJ189" i="8"/>
  <c r="N12" i="105"/>
  <c r="N16" i="105" s="1"/>
  <c r="CF100" i="8"/>
  <c r="T11" i="105"/>
  <c r="T15" i="105"/>
  <c r="U7" i="105"/>
  <c r="U14" i="105" s="1"/>
  <c r="BS227" i="8"/>
  <c r="CP155" i="8"/>
  <c r="CO155" i="8"/>
  <c r="BR137" i="8"/>
  <c r="BX223" i="8"/>
  <c r="BX225" i="8" s="1"/>
  <c r="CC197" i="8"/>
  <c r="CC93" i="8"/>
  <c r="CC175" i="8"/>
  <c r="CC95" i="8"/>
  <c r="CC94" i="8"/>
  <c r="BS208" i="8"/>
  <c r="BS187" i="8"/>
  <c r="BS233" i="8"/>
  <c r="BS204" i="8"/>
  <c r="BS231" i="8"/>
  <c r="P19" i="105" l="1"/>
  <c r="P13" i="105"/>
  <c r="CC173" i="8"/>
  <c r="CC174" i="8" s="1"/>
  <c r="N18" i="105"/>
  <c r="N17" i="105"/>
  <c r="CC223" i="8"/>
  <c r="CC225" i="8" s="1"/>
  <c r="BN244" i="8"/>
  <c r="U11" i="105"/>
  <c r="V7" i="105"/>
  <c r="V14" i="105" s="1"/>
  <c r="U15" i="105"/>
  <c r="BX199" i="8"/>
  <c r="BX202" i="8" s="1"/>
  <c r="BX153" i="8"/>
  <c r="BX172" i="8"/>
  <c r="BS137" i="8"/>
  <c r="CC132" i="8" l="1"/>
  <c r="CC133" i="8" s="1"/>
  <c r="CC131" i="8"/>
  <c r="CC196" i="8"/>
  <c r="CC198" i="8" s="1"/>
  <c r="CC171" i="8"/>
  <c r="CC172" i="8" s="1"/>
  <c r="Q10" i="105"/>
  <c r="CC135" i="8"/>
  <c r="CC128" i="8"/>
  <c r="CC129" i="8" s="1"/>
  <c r="V15" i="105"/>
  <c r="V11" i="105"/>
  <c r="W7" i="105"/>
  <c r="W14" i="105" s="1"/>
  <c r="BO292" i="8"/>
  <c r="BN296" i="8"/>
  <c r="BX203" i="8"/>
  <c r="BX207" i="8"/>
  <c r="BX208" i="8" s="1"/>
  <c r="BX224" i="8"/>
  <c r="BX205" i="8"/>
  <c r="BX206" i="8" s="1"/>
  <c r="BN245" i="8"/>
  <c r="BX156" i="8"/>
  <c r="BX154" i="8"/>
  <c r="BX186" i="8"/>
  <c r="CW204" i="8" l="1"/>
  <c r="CG203" i="8"/>
  <c r="Q19" i="105"/>
  <c r="R19" i="105" s="1"/>
  <c r="S19" i="105" s="1"/>
  <c r="T19" i="105" s="1"/>
  <c r="Q13" i="105"/>
  <c r="CC153" i="8"/>
  <c r="CC186" i="8" s="1"/>
  <c r="CC199" i="8"/>
  <c r="CC202" i="8" s="1"/>
  <c r="CC224" i="8" s="1"/>
  <c r="BN297" i="8"/>
  <c r="BX288" i="8"/>
  <c r="BX136" i="8"/>
  <c r="BX137" i="8" s="1"/>
  <c r="P12" i="105"/>
  <c r="P16" i="105" s="1"/>
  <c r="BX187" i="8"/>
  <c r="CH186" i="8"/>
  <c r="W11" i="105"/>
  <c r="X7" i="105"/>
  <c r="X14" i="105" s="1"/>
  <c r="W15" i="105"/>
  <c r="BX204" i="8"/>
  <c r="BX231" i="8"/>
  <c r="BP292" i="8"/>
  <c r="BO296" i="8"/>
  <c r="BO297" i="8" s="1"/>
  <c r="BX226" i="8"/>
  <c r="BX227" i="8" s="1"/>
  <c r="BX233" i="8"/>
  <c r="BX238" i="8" s="1"/>
  <c r="S10" i="105" l="1"/>
  <c r="S12" i="105" s="1"/>
  <c r="R10" i="105"/>
  <c r="R13" i="105" s="1"/>
  <c r="Y7" i="105"/>
  <c r="Y14" i="105" s="1"/>
  <c r="CC154" i="8"/>
  <c r="CC156" i="8"/>
  <c r="CC207" i="8"/>
  <c r="CC208" i="8" s="1"/>
  <c r="CC203" i="8"/>
  <c r="CC205" i="8"/>
  <c r="CC206" i="8" s="1"/>
  <c r="BQ292" i="8"/>
  <c r="BP296" i="8"/>
  <c r="BP297" i="8" s="1"/>
  <c r="P26" i="105"/>
  <c r="P17" i="105"/>
  <c r="U19" i="105"/>
  <c r="T10" i="105"/>
  <c r="CC288" i="8"/>
  <c r="Q12" i="105"/>
  <c r="Q16" i="105" s="1"/>
  <c r="CC187" i="8"/>
  <c r="CC136" i="8"/>
  <c r="CC137" i="8" s="1"/>
  <c r="CC226" i="8"/>
  <c r="CC227" i="8" s="1"/>
  <c r="CC233" i="8"/>
  <c r="CC238" i="8" s="1"/>
  <c r="BX244" i="8"/>
  <c r="BX245" i="8" s="1"/>
  <c r="BX260" i="8"/>
  <c r="X15" i="105"/>
  <c r="X11" i="105"/>
  <c r="CC204" i="8" l="1"/>
  <c r="CH203" i="8"/>
  <c r="S13" i="105"/>
  <c r="S16" i="105" s="1"/>
  <c r="R12" i="105"/>
  <c r="R16" i="105" s="1"/>
  <c r="R17" i="105" s="1"/>
  <c r="Y15" i="105"/>
  <c r="Y11" i="105"/>
  <c r="CC231" i="8"/>
  <c r="CC244" i="8"/>
  <c r="CC245" i="8" s="1"/>
  <c r="CC260" i="8"/>
  <c r="T13" i="105"/>
  <c r="T12" i="105"/>
  <c r="Q17" i="105"/>
  <c r="Q26" i="105"/>
  <c r="Q18" i="105"/>
  <c r="V19" i="105"/>
  <c r="U10" i="105"/>
  <c r="BQ296" i="8"/>
  <c r="BQ297" i="8" s="1"/>
  <c r="BR292" i="8"/>
  <c r="R18" i="105" l="1"/>
  <c r="R26" i="105"/>
  <c r="T16" i="105"/>
  <c r="T26" i="105" s="1"/>
  <c r="U13" i="105"/>
  <c r="U12" i="105"/>
  <c r="BR296" i="8"/>
  <c r="BR297" i="8" s="1"/>
  <c r="BS292" i="8"/>
  <c r="S18" i="105"/>
  <c r="S17" i="105"/>
  <c r="S26" i="105"/>
  <c r="W19" i="105"/>
  <c r="V10" i="105"/>
  <c r="T17" i="105" l="1"/>
  <c r="T18" i="105"/>
  <c r="U16" i="105"/>
  <c r="U17" i="105" s="1"/>
  <c r="X19" i="105"/>
  <c r="W10" i="105"/>
  <c r="BX292" i="8"/>
  <c r="BS296" i="8"/>
  <c r="V13" i="105"/>
  <c r="V12" i="105"/>
  <c r="U26" i="105" l="1"/>
  <c r="U18" i="105"/>
  <c r="X10" i="105"/>
  <c r="X12" i="105" s="1"/>
  <c r="Y10" i="105"/>
  <c r="V16" i="105"/>
  <c r="V26" i="105" s="1"/>
  <c r="W13" i="105"/>
  <c r="W12" i="105"/>
  <c r="BS297" i="8"/>
  <c r="CC292" i="8"/>
  <c r="CC296" i="8" s="1"/>
  <c r="CC297" i="8" s="1"/>
  <c r="BX296" i="8"/>
  <c r="X13" i="105" l="1"/>
  <c r="X16" i="105" s="1"/>
  <c r="V17" i="105"/>
  <c r="Y12" i="105"/>
  <c r="Y13" i="105"/>
  <c r="V18" i="105"/>
  <c r="W16" i="105"/>
  <c r="W26" i="105" s="1"/>
  <c r="BX297" i="8"/>
  <c r="W17" i="105" l="1"/>
  <c r="W18" i="105"/>
  <c r="Y16" i="105"/>
  <c r="X26" i="105"/>
  <c r="X18" i="105"/>
  <c r="X17" i="105"/>
  <c r="E39" i="105" l="1"/>
  <c r="E31" i="105"/>
  <c r="Y26" i="105"/>
  <c r="E30" i="105" s="1"/>
  <c r="Y18" i="105"/>
  <c r="Y17" i="105"/>
  <c r="E32" i="105" l="1"/>
  <c r="BN298" i="8" l="1"/>
  <c r="BM298" i="8"/>
  <c r="BM246" i="8" l="1"/>
  <c r="BM253" i="8"/>
  <c r="BM260" i="8" s="1"/>
  <c r="BM263" i="8" s="1"/>
  <c r="BN246" i="8"/>
  <c r="BN260" i="8"/>
  <c r="BN263" i="8"/>
  <c r="BN267" i="8" s="1"/>
  <c r="BS262" i="8"/>
  <c r="BN270" i="8" l="1"/>
  <c r="BN288" i="8"/>
  <c r="BN301" i="8"/>
  <c r="BN300" i="8"/>
  <c r="BM267" i="8"/>
  <c r="BO262" i="8"/>
  <c r="BM300" i="8" l="1"/>
  <c r="BM288" i="8"/>
  <c r="BM270" i="8"/>
  <c r="BM271" i="8" s="1"/>
  <c r="BO235" i="8"/>
  <c r="BN271" i="8"/>
  <c r="BO238" i="8" l="1"/>
  <c r="BS235" i="8"/>
  <c r="BX237" i="8" l="1"/>
  <c r="O14" i="105"/>
  <c r="O16" i="105" s="1"/>
  <c r="BS238" i="8"/>
  <c r="BS237" i="8"/>
  <c r="BS236" i="8"/>
  <c r="BO260" i="8"/>
  <c r="BO263" i="8" s="1"/>
  <c r="BO244" i="8"/>
  <c r="P18" i="105" l="1"/>
  <c r="O17" i="105"/>
  <c r="O18" i="105"/>
  <c r="BO267" i="8"/>
  <c r="BP262" i="8"/>
  <c r="BP263" i="8" s="1"/>
  <c r="BS260" i="8"/>
  <c r="BS263" i="8" s="1"/>
  <c r="BX262" i="8" s="1"/>
  <c r="BX263" i="8" s="1"/>
  <c r="BS244" i="8"/>
  <c r="CF244" i="8" s="1"/>
  <c r="CC262" i="8" l="1"/>
  <c r="CC263" i="8" s="1"/>
  <c r="CC267" i="8" s="1"/>
  <c r="BX267" i="8"/>
  <c r="BS245" i="8"/>
  <c r="CL244" i="8"/>
  <c r="BO300" i="8"/>
  <c r="BO272" i="8"/>
  <c r="BO275" i="8" s="1"/>
  <c r="BO298" i="8" s="1"/>
  <c r="BP267" i="8"/>
  <c r="BQ262" i="8"/>
  <c r="BQ263" i="8" s="1"/>
  <c r="BR262" i="8" l="1"/>
  <c r="BR263" i="8" s="1"/>
  <c r="BR267" i="8" s="1"/>
  <c r="BQ267" i="8"/>
  <c r="BP272" i="8"/>
  <c r="BP275" i="8" s="1"/>
  <c r="BP298" i="8" s="1"/>
  <c r="BP300" i="8"/>
  <c r="BX272" i="8"/>
  <c r="BX275" i="8" s="1"/>
  <c r="BX301" i="8"/>
  <c r="BX300" i="8"/>
  <c r="CC300" i="8"/>
  <c r="CC301" i="8"/>
  <c r="CC272" i="8"/>
  <c r="CC275" i="8" s="1"/>
  <c r="CC298" i="8" s="1"/>
  <c r="BR300" i="8" l="1"/>
  <c r="BR272" i="8"/>
  <c r="BR275" i="8" s="1"/>
  <c r="BR298" i="8" s="1"/>
  <c r="BS267" i="8"/>
  <c r="BX298" i="8"/>
  <c r="BQ272" i="8"/>
  <c r="BQ275" i="8" s="1"/>
  <c r="BQ298" i="8" s="1"/>
  <c r="BQ300" i="8"/>
  <c r="BS272" i="8" l="1"/>
  <c r="BS275" i="8" s="1"/>
  <c r="BS301" i="8"/>
  <c r="E34" i="105"/>
  <c r="BS300" i="8"/>
  <c r="O34" i="105" l="1"/>
  <c r="O40" i="105" s="1"/>
  <c r="K34" i="105"/>
  <c r="K40" i="105" s="1"/>
  <c r="M34" i="105"/>
  <c r="M40" i="105" s="1"/>
  <c r="O32" i="105"/>
  <c r="O38" i="105" s="1"/>
  <c r="N33" i="105"/>
  <c r="N39" i="105" s="1"/>
  <c r="M33" i="105"/>
  <c r="M39" i="105" s="1"/>
  <c r="N34" i="105"/>
  <c r="N40" i="105" s="1"/>
  <c r="L33" i="105"/>
  <c r="L39" i="105" s="1"/>
  <c r="M32" i="105"/>
  <c r="M38" i="105" s="1"/>
  <c r="O33" i="105"/>
  <c r="O39" i="105" s="1"/>
  <c r="L32" i="105"/>
  <c r="L38" i="105" s="1"/>
  <c r="N32" i="105"/>
  <c r="N38" i="105" s="1"/>
  <c r="K32" i="105"/>
  <c r="K38" i="105" s="1"/>
  <c r="L34" i="105"/>
  <c r="L40" i="105" s="1"/>
  <c r="K33" i="105"/>
  <c r="K39" i="105" s="1"/>
  <c r="BS298" i="8"/>
  <c r="E36" i="105"/>
  <c r="E38" i="105" s="1"/>
  <c r="J31" i="105" l="1"/>
  <c r="J37" i="105" l="1"/>
  <c r="CW206" i="8"/>
  <c r="CW205" i="8" l="1"/>
  <c r="CW208" i="8"/>
</calcChain>
</file>

<file path=xl/comments1.xml><?xml version="1.0" encoding="utf-8"?>
<comments xmlns="http://schemas.openxmlformats.org/spreadsheetml/2006/main">
  <authors>
    <author>vecchale</author>
  </authors>
  <commentList>
    <comment ref="A1" authorId="0">
      <text>
        <r>
          <rPr>
            <b/>
            <sz val="8"/>
            <color indexed="81"/>
            <rFont val="Tahoma"/>
            <family val="2"/>
          </rPr>
          <t>卟䙄_x0001_＀＀擄乧3㘲㘷㘳常南䱟䅅䕓䍟䵏䥍彔剙⠱㄰㈯〰ⰴ㄰㈯〰ⰴⰬ唬䑓착_x0018_＀＀_x0018_＀＀_x0008_＀＀_x0001_＀＀_x0001_＀＀ቯ삃Ǌ䀿擄乧3㘲㘷㘳常南䱟䅅䕓䍟䵏䥍彔剙⠱㄰㈯〰ⰵ㄰㈯〰ⰵⰬ唬䑓착_x0018_＀＀_x0018_＀＀_x0008_＀＀_x0001_＀＀_x0001_＀＀⛩࠱㲬䁉擄乧3㘲㘷㘳常南䱟䅅䕓䍟䵏䥍彔剙⠱㄰㈯〰ⰶ㄰㈯〰ⰶⰬ唬䑓착_x0018_＀＀_x0018_＀＀_x0008_＀＀_x0001_＀＀_x0001_＀＀绺뱪፴䁎擄乧3㘲㘷㘳常南䱟䅅䕓䍟䵏䥍彔剙⠱㄰㈯〰ⰷ㄰㈯〰ⰷⰬ唬䑓착_x0018_＀＀_x0018_＀＀_x0008_＀＀_x0001_＀＀_x0001_＀＀㔿멞鑉䁓擄乧3㘲㘷㘳常南䱟䅅䕓䍟䵏䥍彔夵⡒㄰㈯〰ⰳ㄰㈯〰ⰳⰬ唬䑓착_x0018_＀＀_x0018_＀＀_x0008_＀＀_x0001_＀＀_x0001_＀＀⼛ⓝĆ䀩擄乧3㘲㘷㘳常南䱟䅅䕓䍟䵏䥍彔剙⠱㄰㈯〰ⰸ㄰㈯〰ⰸⰬ唬䑓착_x0018_＀＀_x0018_＀＀_x0008_＀＀_x0001_＀＀_x0001_＀＀Წ摚㜻䁚擄乧3㘲㘷㘳常南䱟䅅䕓䍟䵏䥍彔夵⡒㄰㈯〰ⰴ㄰㈯〰ⰴⰬ唬䑓착_x0018_＀＀_x0018_＀＀_x0008_＀＀_x0001_＀＀_x0001_＀＀晦晦晦䀭擄乧3㘲㘷㘳常南䱟䅅䕓䍟䵏䥍彔剙⠱㄰㈯〰ⰹ㄰㈯〰ⰹⰬ唬䑓착_x0018_＀＀_x0018_＀＀_x0008_＀＀_x0001_＀＀_x0001_＀＀竡긔텇䁘擄乧3㘲㘷㘳常南䱟䅅䕓䍟䵏䥍彔夵⡒㄰㈯〰ⰵ㄰㈯〰ⰵⰬ唬䑓착_x0018_＀＀_x0018_＀＀_x0008_＀＀_x0001_＀＀_x0001_＀＀ꏗ㵰㜊䀶擄乧3㘲㘷㘳常南䱟䅅䕓䍟䵏䥍彔夵⡒㄰㈯〰ⰶ㄰㈯〰ⰶⰬ唬䑓착_x0018_＀＀_x0018_＀＀_x0008_＀＀_x0001_＀＀_x0001_＀＀뙆ﷳ㣔䀽擄乧3㘲㘷㘳常南䱟䅅䕓䍟䵏䥍彔夵⡒㄰㈯〰ⰷ㄰㈯〰ⰷⰬ唬䑓착_x0018_＀＀_x0018_＀＀_x0008_＀＀_x0001_＀＀_x0001_＀＀Ȍ蜫烙䁂擄乧3㘲㘷㘳常南䱟䅅䕓䍟䵏䥍彔夵⡒㄰㈯〰ⰸ㄰㈯〰ⰸⰬ唬䑓착_x0018_＀＀_x0018_＀＀_x0008_＀＀_x0001_＀＀_x0001_＀＀俟鞍≮䁓擄乧3㘲㘷㘳常南䱟䅅䕓䍟䵏䥍彔夵⡒㄰㈯〰ⰹ㄰㈯〰ⰹⰬ唬䑓착_x0018_＀＀_x0018_＀＀_x0008_＀＀_x0001_＀＀_x0001_＀＀ᑻ䞮ˡ䁐擄乧3㘲㘷㘳常南䱟䅅䕓䍟䵏䥍彔剙⠱㄰㈯㄰ⰰ㄰㈯㄰ⰰⰬ唬䑓착_x0018_＀＀_x0018_＀＀_x0008_＀＀_x0001_＀＀_x0001_＀＀凬Ẹꮅ䁜擄乧3㘲㘷㘳常南䱟䅅䕓䍟䵏䥍彔剙⠱㄰㈯㄰ⰱ㄰㈯㄰ⰱⰬ唬䑓착_x0018_＀＀_x0018_＀＀_x0008_＀＀_x0001_＀＀_x0001_＀＀컙号痣䁝擄乧3㘲㘷㘳常南䱟䅅䕓䍟䵏䥍彔夵⡒㄰㈯㄰ⰰ㄰㈯㄰ⰰⰬ唬䑓착_x0018_＀＀_x0018_＀＀_x0008_＀＀_x0001_＀＀_x0001_＀＀롑Ԟ䁏擄乧3㘲㘷㘳常南䱟䅅䕓䍟䵏䥍彔剙⠲㄰㈯〰ⰳ㄰㈯〰ⰳⰬ唬䑓착_x0018_＀＀_x0018_＀＀_x0008_＀＀_x0001_＀＀_x0001_＀＀਽ꏗ鵰䀸擄乧3㘲㘷㘳常南䱟䅅䕓䍟䵏䥍彔夵⡒㄰㈯㄰ⰱ㄰㈯㄰ⰱⰬ唬䑓착_x0018_＀＀_x0018_＀＀_x0008_＀＀_x0001_＀＀_x0001_＀＀鶲꟯䁄擄乧3㘲㘷㘳常南䱟䅅䕓䍟䵏䥍彔剙⠲㄰㈯〰ⰴ㄰㈯〰ⰴⰬ唬䑓착_x0018_＀＀_x0018_＀＀_x0008_＀＀_x0001_＀＀_x0001_＀＀俟鞍퉮䀻擄乧3㘲㘷㘳常南䱟䅅䕓䍟䵏䥍彔剙⠲㄰㈯〰ⰵ㄰㈯〰ⰵⰬ唬䑓착_x0018_＀＀_x0018_＀＀_x0008_＀＀_x0001_＀＀_x0001_＀＀糮㔿詞䁄擄乧3㘲㘷㘳常南䱟䅅䕓䍟䵏䥍彔剙⠲㄰㈯〰ⰶ㄰㈯〰ⰶⰬ唬䑓착_x0018_＀＀_x0018_＀＀_x0008_＀＀_x0001_＀＀_x0001_＀＀帵䦺䈌䁇擄乧3㘲㘷㘳常南䱟䅅䕓䍟䵏䥍彔剙⠲㄰㈯〰ⰷ㄰㈯〰ⰷⰬ唬䑓착_x0018_＀＀_x0018_＀＀_x0008_＀＀_x0001_＀＀_x0001_＀＀晦晦뙦䁎擄乧_㘲㘷㘳常南剟久䅔彌偏䱟䕓䕟偘〨⼱〲㌰〬⼱〲㌰ⰬⰬ单⥄䍀彁呒剟久彔䥍彎塅⡐㄰㈯〰ⰳ㄰㈯〰ⰳⰬ唬䑓착_x0018_＀＀_x0018_＀＀_x0008_＀＀_x0001_＀＀_x0001_＀＀馚香蓮䀶擄乧3㘲㘷㘳常南䱟䅅䕓䍟䵏䥍彔剙⠲㄰㈯〰ⰸ㄰㈯〰ⰸⰬ唬䑓착_x0018_＀＀_x0018_＀＀_x0008_＀＀_x0001_＀＀_x0001_＀＀尨劏䁕擄乧3㘲㘷㘳常南䱟䅅䕓䍟䵏䥍彔剙⠲㄰㈯〰ⰹ㄰㈯〰ⰹⰬ唬䑓착_x0018_＀＀_x0018_＀＀_x0008_＀＀_x0001_＀＀_x0001_＀＀溘茒勀䁓擄乧_㘲㘷㘳常南剟久䅔彌偏䱟䕓䕟偘〨⼱〲〱〬⼱〲〱ⰬⰬ单⥄䍀彁呒剟久彔䥍彎塅⡐㄰㈯㄰ⰰ㄰㈯㄰ⰰⰬ唬䑓착_x0018_＀＀_x0018_＀＀_x0008_＀＀_x0001_＀＀_x0001_＀＀䷓ၢ奘䁡擄乧)㘲㘷㘳常南䥟呎剟呁彅夵噁⡇㄰㈯㄰ⰰⰬ唬䑓착_x0018_＀＀_x0018_＀＀_x0008_＀＀_x0001_＀＀_x0001_＀＀祴䀞擄乧3㘲㘷㘳常南䱟䅅䕓䍟䵏䥍彔剙⠲㄰㈯㄰ⰰ㄰㈯㄰ⰰⰬ唬䑓착_x0018_＀＀_x0018_＀＀_x0008_＀＀_x0001_＀＀_x0001_＀＀빷᪟ԯ䁔擄乧3㘲㘷㘳常南䱟䅅䕓䍟䵏䥍彔剙⠲㄰㈯㄰ⰱ㄰㈯㄰ⰱⰬ唬䑓착_x0018_＀＀_x0018_＀＀_x0008_＀＀_x0001_＀＀_x0001_＀＀⣶轜᷂䁖擄乧3㘲㘷㘳常南䱟䅅䕓䍟䵏䥍彔剙⠳㄰㈯〰ⰳ㄰㈯〰ⰳⰬ唬䑓착_x0018_＀＀_x0018_＀＀_x0008_＀＀_x0001_＀＀_x0001_＀＀犰酨_xDCED_䀳擄乧3㘲㘷㘳常南䱟䅅䕓䍟䵏䥍彔剙⠳㄰㈯〰ⰴ㄰㈯〰ⰴⰬ唬䑓착_x0018_＀＀_x0018_＀＀_x0008_＀＀_x0001_＀＀_x0001_＀＀晦晦虦䀷擄乧3㘲㘷㘳常南䱟䅅䕓䍟䵏䥍彔剙⠳㄰㈯〰ⰵ㄰㈯〰ⰵⰬ唬䑓착_x0018_＀＀_x0018_＀＀_x0008_＀＀_x0001_＀＀_x0001_＀＀㭤俟ឍ䁀擄乧3㘲㘷㘳常南䱟䅅䕓䍟䵏䥍彔剙⠳㄰㈯〰ⰶ㄰㈯〰ⰶⰬ唬䑓착_x0018_＀＀_x0018_＀＀_x0008_＀＀_x0001_＀＀_x0001_＀＀⋑率ꩾ䁀擄乧3㘲㘷㘳常南䱟䅅䕓䍟䵏䥍彔剙⠳㄰㈯〰ⰷ㄰㈯〰ⰷⰬ唬䑓착_x0018_＀＀_x0018_＀＀_x0008_＀＀_x0001_＀＀_x0001_＀＀ㄦఈ䁇擄乧3㘲㘷㘳常南䱟䅅䕓䍟䵏䥍彔剙⠳㄰㈯〰ⰸ㄰㈯〰ⰸⰬ唬䑓착_x0018_＀＀_x0018_＀＀_x0008_＀＀_x0001_＀＀_x0001_＀＀⋑率㩾䁏勞乧_x0012_㘲㘷㘳常南䍟彏䅎䕍#＀＀_x0018_＀＀_x0013_＀＀_x0001_＀＀_x0008_＀＀呕⁉佗䱒坄䑉⁅义⹃찀擄乧3㘲㘷㘳常南䱟䅅䕓䍟䵏䥍彔剙⠳㄰㈯〰ⰹ㄰㈯〰ⰹⰬ唬䑓착_x0018_＀＀_x0018_＀＀_x0008_＀＀_x0001_＀＀_x0001_＀＀鞍ቮꂃ䁋擄乧+㘲㘷㘳常南䥟呎剟呁⡅㄰㈯〰ⰴ㄰㈯〰ⰴⰬ唬䑓착_x0018_＀＀_x0018_＀＀_x0008_＀＀_x0001_＀＀_x0001_＀＀즚䀳擄乧+㘲㘷㘳常南䥟呎剟呁⡅㄰㈯〰ⰵ㄰㈯〰ⰵⰬ唬䑓착_x0018_＀＀_x0018_＀＀_x0008_＀＀_x0001_＀＀_x0001_＀＀쉺༒ᬨ䀐擄乧+㘲㘷㘳常南䥟呎剟呁⡅㄰㈯〰ⰶ㄰㈯〰ⰶⰬ唬䑓착_x0018_＀＀_x0018_＀＀_x0008_＀＀_x0001_＀＀_x0001_＀＀_xDAB9_ﶊ䀙擄乧+㘲㘷㘳常南䥟呎剟呁⡅㄰㈯〰ⰷ㄰㈯〰ⰷⰬ唬䑓착_x0018_＀＀_x0018_＀＀_x0008_＀＀_x0001_＀＀_x0001_＀＀诫뚄⮜䀜擄乧+㘲㘷㘳常南䥟呎剟呁⡅㄰㈯〰ⰸ㄰㈯〰ⰸⰬ唬䑓착_x0018_＀＀_x0018_＀＀_x0008_＀＀_x0001_＀＀_x0001_＀＀뇙蠑ᗗ䀜擄乧3㘲㘷㘳常南䱟䅅䕓䍟䵏䥍彔剙⠳㄰㈯㄰ⰰ㄰㈯㄰ⰰⰬ唬䑓착_x0018_＀＀_x0018_＀＀_x0008_＀＀_x0001_＀＀_x0001_＀＀إ閁孃䁌擄乧+㘲㘷㘳常南䥟呎剟呁⡅㄰㈯〰ⰹ㄰㈯〰ⰹⰬ唬䑓착_x0018_＀＀_x0018_＀＀_x0008_＀＀_x0001_＀＀_x0001_＀＀偈᣼ꝳ䀤擄乧3㘲㘷㘳常南䱟䅅䕓䍟䵏䥍彔剙⠳㄰㈯㄰ⰱ㄰㈯㄰ⰱⰬ唬䑓착_x0018_＀＀_x0018_＀＀_x0008_＀＀_x0001_＀＀_x0001_＀＀࠱Წᑚ䁏擄乧3㘲㘷㘳常南䱟䅅䕓䍟䵏䥍彔剙⠴㄰㈯〰ⰳ㄰㈯〰ⰳⰬ唬䑓착_x0018_＀＀_x0018_＀＀_x0008_＀＀_x0001_＀＀_x0001_＀＀㥘좴Ṷ䀱擄乧3㘲㘷㘳常南䱟䅅䕓䍟䵏䥍彔剙⠴㄰㈯〰ⰴ㄰㈯〰ⰴⰬ唬䑓착_x0018_＀＀_x0018_＀＀_x0008_＀＀_x0001_＀＀_x0001_＀＀帵䦺∌䀱擄乧_㘲㘷㘳常南剟久䅔彌偏䱟䕓䕟偘〨⼱〲㤰〬⼱〲㤰ⰬⰬ单⥄䍀彁呒剟久彔䥍彎塅⡐㄰㈯〰ⰹ㄰㈯〰ⰹⰬ唬䑓착_x0018_＀＀_x0018_＀＀_x0008_＀＀_x0001_＀＀_x0001_＀＀㔿멞遉䁡擄乧3㘲㘷㘳常南䱟䅅䕓䍟䵏䥍彔剙⠴㄰㈯〰ⰵ㄰㈯〰ⰵⰬ唬䑓착_x0018_＀＀_x0018_＀＀_x0008_＀＀_x0001_＀＀_x0001_＀＀⃅犰ᅨ䀸擄乧3㘲㘷㘳常南䱟䅅䕓䍟䵏䥍彔剙⠴㄰㈯〰ⰶ㄰㈯〰ⰶⰬ唬䑓착_x0018_＀＀_x0018_＀＀_x0008_＀＀_x0001_＀＀_x0001_＀＀멞౉⬂䀺擄乧+㘲㘷㘳常南䥟呎剟呁⡅㄰㈯㄰ⰰ㄰㈯㄰ⰰⰬ唬䑓착_x0018_＀＀_x0018_＀＀_x0008_＀＀_x0001_＀＀_x0001_＀＀⃅犰텨䀜擄乧3㘲㘷㘳常南䱟䅅䕓䍟䵏䥍彔剙⠴㄰㈯〰ⰷ㄰㈯〰ⰷⰬ唬䑓착_x0018_＀＀_x0018_＀＀_x0008_＀＀_x0001_＀＀_x0001_＀＀䯇褷偁䁁擄乧+㘲㘷㘳常南䥟呎剟呁⡅㄰㈯㄰ⰱ㄰㈯㄰ⰱⰬ唬䑓착_x0018_＀＀_x0018_＀＀_x0008_＀＀_x0001_＀＀_x0001_＀＀癠ṏ쨖䀣擄乧)㘲㘷㘳常南䥟呎剟呁彅夵噁⡇㄰㈯㄰ⰱⰬ唬䑓착_x0018_＀＀_x0018_＀＀_x0008_＀＀_x0001_＀＀_x0001_＀＀琪捞颗䀠擄乧3㘲㘷㘳常南䱟䅅䕓䍟䵏䥍彔剙⠴㄰㈯〰ⰸ㄰㈯〰ⰸⰬ唬䑓착_x0018_＀＀_x0018_＀＀_x0008_＀＀_x0001_＀＀_x0001_＀＀䞮竡㸔䁅擄乧3㘲㘷㘳常南䱟䅅䕓䍟䵏䥍彔剙⠴㄰㈯〰ⰹ㄰㈯〰ⰹⰬ唬䑓착_x0018_＀＀_x0018_＀＀_x0008_＀＀_x0001_＀＀_x0001_＀＀_xDD2F_ؤ薁䁃靵仚$呕坉偞偟䥒䕃䅟䝖㜨ㄯ㈯㄰ⰱ⼹〳㈯㄰⤱_x0018_＀＀_x0018_＀＀_x0008_＀＀_x0001_＀＀_x0001_＀＀炤਽䀭擄乧3㘲㘷㘳常南䱟䅅䕓䍟䵏䥍彔剙⠴㄰㈯㄰ⰰ㄰㈯㄰ⰰⰬ唬䑓착_x0018_＀＀_x0018_＀＀_x0008_＀＀_x0001_＀＀_x0001_＀＀틲才砐䁃擄乧3㘲㘷㘳常南䱟䅅䕓䍟䵏䥍彔剙⠴㄰㈯㄰ⰱ㄰㈯㄰ⰱⰬ唬䑓착_x0018_＀＀_x0018_＀＀_x0008_＀＀_x0001_＀＀_x0001_＀＀鮦⃄䁆➾亸$䑏䱆偞偟䥒䕃䅟䝖㜨ㄯ㈯㄰ⰱ⼹〳㈯㄰⤱_x0018_＀＀_x0018_＀＀_x0008_＀＀_x0001_＀＀_x0001_＀＀⢷䆳锦䁀擄乧3㘲㘷㘳常南䱟䅅䕓䍟䵏䥍彔剙⠵㄰㈯〰ⰳ㄰㈯〰ⰳⰬ唬䑓착_x0018_＀＀_x0018_＀＀_x0008_＀＀_x0001_＀＀_x0001_＀＀Ẹ롑䀩擄乧3㘲㘷㘳常南䱟䅅䕓䍟䵏䥍彔剙⠵㄰㈯〰ⰴ㄰㈯〰ⰴⰬ唬䑓착_x0018_＀＀_x0018_＀＀_x0008_＀＀_x0001_＀＀_x0001_＀＀䦺Ȍ윫䀥擄乧_x001F_㘲㘷㘳常坍呟塁剟呁⡅低ⱗⰬ刢≐착_x0018_＀＀_x0018_＀＀_x0008_＀＀_x0001_＀＀_x0001_＀＀雷땉콏䀾擄乧3㘲㘷㘳常南䱟䅅䕓䍟䵏䥍彔剙⠵㄰㈯〰ⰵ㄰㈯〰ⰵⰬ唬䑓착_x0018_＀＀_x0018_＀＀_x0008_＀＀_x0001_＀＀_x0001_＀＀鮦⃄犰䀲擄乧3㘲㘷㘳常南䱟䅅䕓䍟䵏䥍彔剙⠵㄰㈯〰ⰶ㄰㈯〰ⰶⰬ唬䑓착_x0018_＀＀_x0018_＀＀_x0008_＀＀_x0001_＀＀_x0001_＀＀⼛ⓝĆ䀵擄乧3㘲㘷㘳常南䱟䅅䕓䍟䵏䥍彔剙⠵㄰㈯〰ⰷ㄰㈯〰ⰷⰬ唬䑓착_x0018_＀＀_x0018_＀＀_x0008_＀＀_x0001_＀＀_x0001_＀＀ꏗ㵰㜊䀷擄乧3㘲㘷㘳常南䱟䅅䕓䍟䵏䥍彔剙⠵㄰㈯〰ⰸ㄰㈯〰ⰸⰬ唬䑓착_x0018_＀＀_x0018_＀＀_x0008_＀＀_x0001_＀＀_x0001_＀＀炤਽䀽擄乧3㘲㘷㘳常南䱟䅅䕓䍟䵏䥍彔剙⠵㄰㈯〰ⰹ㄰㈯〰ⰹⰬ唬䑓착_x0018_＀＀_x0018_＀＀_x0008_＀＀_x0001_＀＀_x0001_＀＀㝌䆉䀻擄乧_㘲㘷㘳常南剟久䅔彌偏䱟䕓䕟偘〨⼱〲㠰〬⼱〲㠰ⰬⰬ单⥄䍀彁呒剟久彔䥍彎塅⡐㄰㈯〰ⰸ㄰㈯〰ⰸⰬ唬䑓착_x0018_＀＀_x0018_＀＀_x0008_＀＀_x0001_＀＀_x0001_＀＀扎堐_xDC39_䁞擄乧3㘲㘷㘳常南䱟䅅䕓䍟䵏䥍彔剙⠵㄰㈯㄰ⰱ㄰㈯㄰ⰱⰬ唬䑓착_x0018_＀＀_x0018_＀＀_x0008_＀＀_x0001_＀＀_x0001_＀＀_xDD2F_ؤᖁ䁁擄乧3㘲㘷㘳常南䱟䅅䕓䍟䵏䥍彔剙⠵㄰㈯㄰ⰰ㄰㈯㄰ⰰⰬ唬䑓착_x0018_＀＀_x0018_＀＀_x0008_＀＀_x0001_＀＀_x0001_＀＀㝌䆉蕠䀿擄乧_㘲㘷㘳常南剟久䅔彌偏䱟䕓䕟偘〨⼱〲㜰〬⼱〲㜰ⰬⰬ单⥄䍀彁呒剟久彔䥍彎塅⡐㄰㈯〰ⰷ㄰㈯〰ⰷⰬ唬䑓착_x0018_＀＀_x0018_＀＀_x0008_＀＀_x0001_＀＀_x0001_＀＀슏⣵轜䁑擄乧)㘲㘷㘳常南䥟呎剟呁彅夵噁⡇㄰㈯〰ⰷⰬ唬䑓착_x0018_＀＀_x0018_＀＀_x0008_＀＀_x0001_＀＀_x0001_＀＀ᑻ䞮뫡䀞擄乧_㘲㘷㘳常南剟久䅔彌偏䱟䕓䕟偘〨⼱〲㘰〬⼱〲㘰ⰬⰬ单⥄䍀彁呒剟久彔䥍彎塅⡐㄰㈯〰ⰶ㄰㈯〰ⰶⰬ唬䑓착_x0018_＀＀_x0018_＀＀_x0008_＀＀_x0001_＀＀_x0001_＀＀䁋擄乧)㘲㘷㘳常南䥟呎剟呁彅夵噁⡇㄰㈯〰ⰸⰬ唬䑓착_x0018_＀＀_x0018_＀＀_x0008_＀＀_x0001_＀＀_x0001_＀＀ヨ幟춀䀡擄乧_㘲㘷㘳常南剟久䅔彌偏䱟䕓䕟偘〨⼱〲㔰〬⼱〲㔰ⰬⰬ单⥄䍀彁呒剟久彔䥍彎塅⡐㄰㈯〰ⰵ㄰㈯〰ⰵⰬ唬䑓착_x0018_＀＀_x0018_＀＀_x0008_＀＀_x0001_＀＀_x0001_＀＀ㄦ_xDC08_䁅勞乧_x0016_㘲㘷㘳常南䥟体䍟䑏⡅⤰_x0014_＀＀_x0018_＀＀_x0004_＀＀_x0001_＀＀_x0008_＀＀单D勞乧_x001B_㘲㘷㘳常南䙟䍙〨䀩䅃䙟䍙〨착_x0018_＀＀_x0018_＀＀_x0008_＀＀_x0001_＀＀_x0008_＀＀㄰㈯㄰1擄乧_㘲㘷㘳常南剟久䅔彌偏䱟䕓䕟偘〨⼱〲㐰〬⼱〲㐰ⰬⰬ单⥄䍀彁呒剟久彔䥍彎塅⡐㄰㈯〰ⰴ㄰㈯〰ⰴⰬ唬䑓착_x0018_＀＀_x0018_＀＀_x0008_＀＀_x0001_＀＀_x0001_＀＀⋐᧛䁂擄乧)㘲㘷㘳常南䥟呎剟呁彅夵噁⡇㄰㈯〰ⰹⰬ唬䑓착_x0018_＀＀_x0018_＀＀_x0008_＀＀_x0001_＀＀_x0001_＀＀䅴쭽䀛擄乧_㘲㘷㘳常南剟久䅔彌偏䱟䕓䕟偘〨⼱〲ㄱ〬⼱〲ㄱⰬⰬ单⥄䍀彁呒剟久彔䥍彎塅⡐㄰㈯㄰ⰱ㄰㈯㄰ⰱⰬ唬䑓착_x0018_＀＀_x0018_＀＀_x0008_＀＀_x0001_＀＀_x0001_＀＀嘄ⴎ䶲䁡擄乧3㘲㘷㘳常南䱟䅅䕓䍟䵏䥍彔剙⠱㄰㈯〰ⰳ㄰㈯〰ⰳⰬ唬䑓착_x0018_＀＀_x0018_＀＀_x0008_＀＀_x0001_＀＀_x0001_＀＀퓽⥸䀻</t>
        </r>
      </text>
    </comment>
    <comment ref="B1" authorId="0">
      <text>
        <r>
          <rPr>
            <b/>
            <sz val="8"/>
            <color indexed="81"/>
            <rFont val="Tahoma"/>
            <family val="2"/>
          </rPr>
          <t>4016</t>
        </r>
      </text>
    </comment>
  </commentList>
</comments>
</file>

<file path=xl/comments2.xml><?xml version="1.0" encoding="utf-8"?>
<comments xmlns="http://schemas.openxmlformats.org/spreadsheetml/2006/main">
  <authors>
    <author>vecchale</author>
    <author>Huang, Diane (Research)</author>
    <author>Huang, Tracy (Research)</author>
    <author>Vecchio, Alexander (Research)</author>
    <author>corralab</author>
    <author>trahuang</author>
  </authors>
  <commentList>
    <comment ref="A2" authorId="0">
      <text>
        <r>
          <rPr>
            <b/>
            <sz val="8"/>
            <color indexed="81"/>
            <rFont val="Tahoma"/>
            <family val="2"/>
          </rPr>
          <t>vecchale:</t>
        </r>
        <r>
          <rPr>
            <sz val="8"/>
            <color indexed="81"/>
            <rFont val="Tahoma"/>
            <family val="2"/>
          </rPr>
          <t xml:space="preserve">
=TF($A$2,"TF.PR.PriceAverageOverRange(Sdate=7/1/12,Edate=9/30/12)")</t>
        </r>
      </text>
    </comment>
    <comment ref="BJ6" authorId="1">
      <text>
        <r>
          <rPr>
            <b/>
            <sz val="9"/>
            <color indexed="81"/>
            <rFont val="Tahoma"/>
            <family val="2"/>
          </rPr>
          <t>Huang, Diane (Research):</t>
        </r>
        <r>
          <rPr>
            <sz val="9"/>
            <color indexed="81"/>
            <rFont val="Tahoma"/>
            <family val="2"/>
          </rPr>
          <t xml:space="preserve">
Organic growth 3.4%</t>
        </r>
      </text>
    </comment>
    <comment ref="CS9" authorId="1">
      <text>
        <r>
          <rPr>
            <b/>
            <sz val="9"/>
            <color indexed="81"/>
            <rFont val="Tahoma"/>
            <family val="2"/>
          </rPr>
          <t>Huang, Diane (Research):</t>
        </r>
        <r>
          <rPr>
            <sz val="9"/>
            <color indexed="81"/>
            <rFont val="Tahoma"/>
            <family val="2"/>
          </rPr>
          <t xml:space="preserve">
$50-60m annual contract start in mid-2Q17</t>
        </r>
      </text>
    </comment>
    <comment ref="BH10" authorId="1">
      <text>
        <r>
          <rPr>
            <b/>
            <sz val="9"/>
            <color indexed="81"/>
            <rFont val="Tahoma"/>
            <family val="2"/>
          </rPr>
          <t>Huang, Diane (Research):</t>
        </r>
        <r>
          <rPr>
            <sz val="9"/>
            <color indexed="81"/>
            <rFont val="Tahoma"/>
            <family val="2"/>
          </rPr>
          <t xml:space="preserve">
truck brokerage vols increased 23% yoy</t>
        </r>
      </text>
    </comment>
    <comment ref="BE20" authorId="1">
      <text>
        <r>
          <rPr>
            <b/>
            <sz val="9"/>
            <color indexed="81"/>
            <rFont val="Tahoma"/>
            <family val="2"/>
          </rPr>
          <t>Huang, Diane (Research):</t>
        </r>
        <r>
          <rPr>
            <sz val="9"/>
            <color indexed="81"/>
            <rFont val="Tahoma"/>
            <family val="2"/>
          </rPr>
          <t xml:space="preserve">
~22% organic growth</t>
        </r>
      </text>
    </comment>
    <comment ref="BM23" authorId="1">
      <text>
        <r>
          <rPr>
            <b/>
            <sz val="9"/>
            <color indexed="81"/>
            <rFont val="Tahoma"/>
            <family val="2"/>
          </rPr>
          <t>Huang, Diane (Research):</t>
        </r>
        <r>
          <rPr>
            <sz val="9"/>
            <color indexed="81"/>
            <rFont val="Tahoma"/>
            <family val="2"/>
          </rPr>
          <t xml:space="preserve">
4-5% organic growth. FX and some fuel benefit</t>
        </r>
      </text>
    </comment>
    <comment ref="BJ39" authorId="1">
      <text>
        <r>
          <rPr>
            <b/>
            <sz val="9"/>
            <color indexed="81"/>
            <rFont val="Tahoma"/>
            <family val="2"/>
          </rPr>
          <t>Huang, Diane (Research):</t>
        </r>
        <r>
          <rPr>
            <sz val="9"/>
            <color indexed="81"/>
            <rFont val="Tahoma"/>
            <family val="2"/>
          </rPr>
          <t xml:space="preserve">
Organic growth 7.1%</t>
        </r>
      </text>
    </comment>
    <comment ref="BL41" authorId="1">
      <text>
        <r>
          <rPr>
            <b/>
            <sz val="9"/>
            <color indexed="81"/>
            <rFont val="Tahoma"/>
            <family val="2"/>
          </rPr>
          <t>Huang, Diane (Research):</t>
        </r>
        <r>
          <rPr>
            <sz val="9"/>
            <color indexed="81"/>
            <rFont val="Tahoma"/>
            <family val="2"/>
          </rPr>
          <t xml:space="preserve">
NA contract logistics growing HSD ex. MT</t>
        </r>
      </text>
    </comment>
    <comment ref="BL43" authorId="1">
      <text>
        <r>
          <rPr>
            <b/>
            <sz val="9"/>
            <color indexed="81"/>
            <rFont val="Tahoma"/>
            <family val="2"/>
          </rPr>
          <t>Huang, Diane (Research):</t>
        </r>
        <r>
          <rPr>
            <sz val="9"/>
            <color indexed="81"/>
            <rFont val="Tahoma"/>
            <family val="2"/>
          </rPr>
          <t xml:space="preserve">
organic growth was 11%. Received some tailwind from FX</t>
        </r>
      </text>
    </comment>
    <comment ref="BM43" authorId="1">
      <text>
        <r>
          <rPr>
            <b/>
            <sz val="9"/>
            <color indexed="81"/>
            <rFont val="Tahoma"/>
            <family val="2"/>
          </rPr>
          <t>Huang, Diane (Research):</t>
        </r>
        <r>
          <rPr>
            <sz val="9"/>
            <color indexed="81"/>
            <rFont val="Tahoma"/>
            <family val="2"/>
          </rPr>
          <t xml:space="preserve">
organic growth was 19%. (FX tailwind)
</t>
        </r>
      </text>
    </comment>
    <comment ref="BE46" authorId="2">
      <text>
        <r>
          <rPr>
            <b/>
            <sz val="8"/>
            <color indexed="81"/>
            <rFont val="Tahoma"/>
            <family val="2"/>
          </rPr>
          <t>Huang, Tracy (Research):</t>
        </r>
        <r>
          <rPr>
            <sz val="8"/>
            <color indexed="81"/>
            <rFont val="Tahoma"/>
            <family val="2"/>
          </rPr>
          <t xml:space="preserve">
12% Organic revenue growth ex. fuel</t>
        </r>
      </text>
    </comment>
    <comment ref="BH46" authorId="1">
      <text>
        <r>
          <rPr>
            <b/>
            <sz val="9"/>
            <color indexed="81"/>
            <rFont val="Tahoma"/>
            <family val="2"/>
          </rPr>
          <t>Huang, Diane (Research):</t>
        </r>
        <r>
          <rPr>
            <sz val="9"/>
            <color indexed="81"/>
            <rFont val="Tahoma"/>
            <family val="2"/>
          </rPr>
          <t xml:space="preserve">
pro forma organic growth 3.1% (pretend we had CNW in 4Q15 and 4Q16)</t>
        </r>
      </text>
    </comment>
    <comment ref="BJ46" authorId="1">
      <text>
        <r>
          <rPr>
            <b/>
            <sz val="9"/>
            <color indexed="81"/>
            <rFont val="Tahoma"/>
            <family val="2"/>
          </rPr>
          <t>Huang, Diane (Research):</t>
        </r>
        <r>
          <rPr>
            <sz val="9"/>
            <color indexed="81"/>
            <rFont val="Tahoma"/>
            <family val="2"/>
          </rPr>
          <t xml:space="preserve">
Organic growth 4.4% includes CNW completely</t>
        </r>
      </text>
    </comment>
    <comment ref="BK46" authorId="1">
      <text>
        <r>
          <rPr>
            <b/>
            <sz val="9"/>
            <color indexed="81"/>
            <rFont val="Tahoma"/>
            <family val="2"/>
          </rPr>
          <t>Huang, Diane (Research):</t>
        </r>
        <r>
          <rPr>
            <sz val="9"/>
            <color indexed="81"/>
            <rFont val="Tahoma"/>
            <family val="2"/>
          </rPr>
          <t xml:space="preserve">
Organic growth 7.5% (ex. TL and impact of FX)</t>
        </r>
      </text>
    </comment>
    <comment ref="BL46" authorId="1">
      <text>
        <r>
          <rPr>
            <b/>
            <sz val="9"/>
            <color indexed="81"/>
            <rFont val="Tahoma"/>
            <family val="2"/>
          </rPr>
          <t>Huang, Diane (Research):</t>
        </r>
        <r>
          <rPr>
            <sz val="9"/>
            <color indexed="81"/>
            <rFont val="Tahoma"/>
            <family val="2"/>
          </rPr>
          <t xml:space="preserve">
Organic growth 6.4% (ex. TL and impact of FX)</t>
        </r>
      </text>
    </comment>
    <comment ref="BM46" authorId="1">
      <text>
        <r>
          <rPr>
            <b/>
            <sz val="9"/>
            <color indexed="81"/>
            <rFont val="Tahoma"/>
            <family val="2"/>
          </rPr>
          <t>Huang, Diane (Research):</t>
        </r>
        <r>
          <rPr>
            <sz val="9"/>
            <color indexed="81"/>
            <rFont val="Tahoma"/>
            <family val="2"/>
          </rPr>
          <t xml:space="preserve">
Organic growth 10.4% (ex. TL and impact of FX)</t>
        </r>
      </text>
    </comment>
    <comment ref="BB92" authorId="2">
      <text>
        <r>
          <rPr>
            <b/>
            <sz val="8"/>
            <color indexed="81"/>
            <rFont val="Tahoma"/>
            <family val="2"/>
          </rPr>
          <t>Huang, Tracy (Research):</t>
        </r>
        <r>
          <rPr>
            <sz val="8"/>
            <color indexed="81"/>
            <rFont val="Tahoma"/>
            <family val="2"/>
          </rPr>
          <t xml:space="preserve">
Transaction and integration cost of $5.2</t>
        </r>
      </text>
    </comment>
    <comment ref="BB118" authorId="2">
      <text>
        <r>
          <rPr>
            <b/>
            <sz val="8"/>
            <color indexed="81"/>
            <rFont val="Tahoma"/>
            <family val="2"/>
          </rPr>
          <t>Huang, Tracy (Research):</t>
        </r>
        <r>
          <rPr>
            <sz val="8"/>
            <color indexed="81"/>
            <rFont val="Tahoma"/>
            <family val="2"/>
          </rPr>
          <t xml:space="preserve">
$5.2 of Transaction &amp; integration costs </t>
        </r>
      </text>
    </comment>
    <comment ref="BE118" authorId="2">
      <text>
        <r>
          <rPr>
            <b/>
            <sz val="8"/>
            <color indexed="81"/>
            <rFont val="Tahoma"/>
            <family val="2"/>
          </rPr>
          <t>Huang, Tracy (Research):</t>
        </r>
        <r>
          <rPr>
            <sz val="8"/>
            <color indexed="81"/>
            <rFont val="Tahoma"/>
            <family val="2"/>
          </rPr>
          <t xml:space="preserve">
$8.6m and $0.2m of Transaction &amp; integration costs </t>
        </r>
      </text>
    </comment>
    <comment ref="AX160" authorId="3">
      <text>
        <r>
          <rPr>
            <b/>
            <sz val="9"/>
            <color indexed="81"/>
            <rFont val="Tahoma"/>
            <family val="2"/>
          </rPr>
          <t>Vecchio, Alexander (Research):</t>
        </r>
        <r>
          <rPr>
            <sz val="9"/>
            <color indexed="81"/>
            <rFont val="Tahoma"/>
            <family val="2"/>
          </rPr>
          <t xml:space="preserve">
excludes $1.5M transaction and integration costs </t>
        </r>
      </text>
    </comment>
    <comment ref="BA160" authorId="2">
      <text>
        <r>
          <rPr>
            <b/>
            <sz val="8"/>
            <color indexed="81"/>
            <rFont val="Tahoma"/>
            <family val="2"/>
          </rPr>
          <t>Huang, Tracy (Research):</t>
        </r>
        <r>
          <rPr>
            <sz val="8"/>
            <color indexed="81"/>
            <rFont val="Tahoma"/>
            <family val="2"/>
          </rPr>
          <t xml:space="preserve">
Corporate expense included $39.8 million of one-time transaction expenses related to acquisitions, and $2.5 million of rebranding expenses.</t>
        </r>
      </text>
    </comment>
    <comment ref="BM160" authorId="1">
      <text>
        <r>
          <rPr>
            <b/>
            <sz val="9"/>
            <color indexed="81"/>
            <rFont val="Tahoma"/>
            <family val="2"/>
          </rPr>
          <t>Huang, Diane (Research):</t>
        </r>
        <r>
          <rPr>
            <sz val="9"/>
            <color indexed="81"/>
            <rFont val="Tahoma"/>
            <family val="2"/>
          </rPr>
          <t xml:space="preserve">
Biggest headwind in 4Q was share price (variable accounting) - 4Q is catch-up quarter</t>
        </r>
      </text>
    </comment>
    <comment ref="BE166" authorId="2">
      <text>
        <r>
          <rPr>
            <b/>
            <sz val="8"/>
            <color indexed="81"/>
            <rFont val="Tahoma"/>
            <family val="2"/>
          </rPr>
          <t>Huang, Tracy (Research):</t>
        </r>
        <r>
          <rPr>
            <sz val="8"/>
            <color indexed="81"/>
            <rFont val="Tahoma"/>
            <family val="2"/>
          </rPr>
          <t xml:space="preserve">
a $5.8 million, or $3.6 million after-tax, benefit to depreciation and amortization related to the updated purchase price allocation of acquired assets. </t>
        </r>
      </text>
    </comment>
    <comment ref="BG177" authorId="1">
      <text>
        <r>
          <rPr>
            <b/>
            <sz val="9"/>
            <color indexed="81"/>
            <rFont val="Tahoma"/>
            <family val="2"/>
          </rPr>
          <t>Huang, Diane (Research):</t>
        </r>
        <r>
          <rPr>
            <sz val="9"/>
            <color indexed="81"/>
            <rFont val="Tahoma"/>
            <family val="2"/>
          </rPr>
          <t xml:space="preserve">
Adj. operating income</t>
        </r>
      </text>
    </comment>
    <comment ref="BE187" authorId="2">
      <text>
        <r>
          <rPr>
            <b/>
            <sz val="8"/>
            <color indexed="81"/>
            <rFont val="Tahoma"/>
            <family val="2"/>
          </rPr>
          <t>Huang, Tracy (Research):</t>
        </r>
        <r>
          <rPr>
            <sz val="8"/>
            <color indexed="81"/>
            <rFont val="Tahoma"/>
            <family val="2"/>
          </rPr>
          <t xml:space="preserve">
16% organic EBITDA growth in 1Q</t>
        </r>
      </text>
    </comment>
    <comment ref="BH190" authorId="1">
      <text>
        <r>
          <rPr>
            <b/>
            <sz val="9"/>
            <color indexed="81"/>
            <rFont val="Tahoma"/>
            <family val="2"/>
          </rPr>
          <t>Huang, Diane (Research):</t>
        </r>
        <r>
          <rPr>
            <sz val="9"/>
            <color indexed="81"/>
            <rFont val="Tahoma"/>
            <family val="2"/>
          </rPr>
          <t xml:space="preserve">
August refi ~$13m
Debt paydown from TL divestiture ~$3.8m ($22m annualized)</t>
        </r>
      </text>
    </comment>
    <comment ref="BC194" authorId="2">
      <text>
        <r>
          <rPr>
            <b/>
            <sz val="8"/>
            <color indexed="81"/>
            <rFont val="Tahoma"/>
            <family val="2"/>
          </rPr>
          <t>Huang, Tracy (Research):</t>
        </r>
        <r>
          <rPr>
            <sz val="8"/>
            <color indexed="81"/>
            <rFont val="Tahoma"/>
            <family val="2"/>
          </rPr>
          <t xml:space="preserve">
-0.8-0.4-2.5
</t>
        </r>
      </text>
    </comment>
    <comment ref="BE194" authorId="2">
      <text>
        <r>
          <rPr>
            <b/>
            <sz val="8"/>
            <color indexed="81"/>
            <rFont val="Tahoma"/>
            <family val="2"/>
          </rPr>
          <t>Huang, Tracy (Research):</t>
        </r>
        <r>
          <rPr>
            <sz val="8"/>
            <color indexed="81"/>
            <rFont val="Tahoma"/>
            <family val="2"/>
          </rPr>
          <t xml:space="preserve">
incl unrealized hedging gain of $2M</t>
        </r>
      </text>
    </comment>
    <comment ref="BF194" authorId="2">
      <text>
        <r>
          <rPr>
            <b/>
            <sz val="8"/>
            <color indexed="81"/>
            <rFont val="Tahoma"/>
            <family val="2"/>
          </rPr>
          <t>Huang, Diane (Research):</t>
        </r>
        <r>
          <rPr>
            <sz val="8"/>
            <color indexed="81"/>
            <rFont val="Tahoma"/>
            <family val="2"/>
          </rPr>
          <t xml:space="preserve">
incl unrealized hedging loss of $6.1M</t>
        </r>
      </text>
    </comment>
    <comment ref="CQ201" authorId="1">
      <text>
        <r>
          <rPr>
            <b/>
            <sz val="9"/>
            <color indexed="81"/>
            <rFont val="Tahoma"/>
            <family val="2"/>
          </rPr>
          <t>Huang, Diane (Research):</t>
        </r>
        <r>
          <rPr>
            <sz val="9"/>
            <color indexed="81"/>
            <rFont val="Tahoma"/>
            <family val="2"/>
          </rPr>
          <t xml:space="preserve">
2Q16: $5-6M of minority interest going forward</t>
        </r>
      </text>
    </comment>
    <comment ref="AH210" authorId="0">
      <text>
        <r>
          <rPr>
            <b/>
            <sz val="8"/>
            <color indexed="81"/>
            <rFont val="Tahoma"/>
            <family val="2"/>
          </rPr>
          <t>vecchale:</t>
        </r>
        <r>
          <rPr>
            <sz val="8"/>
            <color indexed="81"/>
            <rFont val="Tahoma"/>
            <family val="2"/>
          </rPr>
          <t xml:space="preserve">
4 for 1 stock split following Sep 11 JPE investment </t>
        </r>
      </text>
    </comment>
    <comment ref="AL210" authorId="0">
      <text>
        <r>
          <rPr>
            <b/>
            <sz val="8"/>
            <color indexed="81"/>
            <rFont val="Tahoma"/>
            <family val="2"/>
          </rPr>
          <t>vecchale:</t>
        </r>
        <r>
          <rPr>
            <sz val="8"/>
            <color indexed="81"/>
            <rFont val="Tahoma"/>
            <family val="2"/>
          </rPr>
          <t xml:space="preserve">
1Q12 release - 17.6M common stock outstanding at 3/31/12</t>
        </r>
      </text>
    </comment>
    <comment ref="AW210" authorId="2">
      <text>
        <r>
          <rPr>
            <b/>
            <sz val="8"/>
            <color indexed="81"/>
            <rFont val="Tahoma"/>
            <family val="2"/>
          </rPr>
          <t>Huang, Tracy (Research):</t>
        </r>
        <r>
          <rPr>
            <sz val="8"/>
            <color indexed="81"/>
            <rFont val="Tahoma"/>
            <family val="2"/>
          </rPr>
          <t xml:space="preserve">
1. New Breed's chief executive officer, Louis DeJoy, will use $30 million of proceeds from the transaction to purchase restricted stock from the company. Avg price ~$30M, deal closed end of august
2. $700M equity raise from PSP, GIC, and teachers. $30.66 price per share of common stock issuable to the Investors. Deal expected to close Sept 17th</t>
        </r>
      </text>
    </comment>
    <comment ref="BO219" authorId="1">
      <text>
        <r>
          <rPr>
            <b/>
            <sz val="9"/>
            <color indexed="81"/>
            <rFont val="Tahoma"/>
            <family val="2"/>
          </rPr>
          <t>Huang, Diane (Research):</t>
        </r>
        <r>
          <rPr>
            <sz val="9"/>
            <color indexed="81"/>
            <rFont val="Tahoma"/>
            <family val="2"/>
          </rPr>
          <t xml:space="preserve">
=+TF($A$2,"TF.PR.PriceAverageOverRange(Sdate=1/1/18,Edate=3/31/18)")</t>
        </r>
      </text>
    </comment>
    <comment ref="T222" authorId="4">
      <text>
        <r>
          <rPr>
            <b/>
            <sz val="8"/>
            <color indexed="81"/>
            <rFont val="Tahoma"/>
            <family val="2"/>
          </rPr>
          <t>corralab:</t>
        </r>
        <r>
          <rPr>
            <sz val="8"/>
            <color indexed="81"/>
            <rFont val="Tahoma"/>
            <family val="2"/>
          </rPr>
          <t xml:space="preserve">
The fourth quarter results of 2009 include a charge of $400,000 for claims expense that exceeded the Company’s insurance limit, a first time occurrence in the Company’s history. 
</t>
        </r>
      </text>
    </comment>
    <comment ref="Q223" authorId="4">
      <text>
        <r>
          <rPr>
            <b/>
            <sz val="8"/>
            <color indexed="81"/>
            <rFont val="Tahoma"/>
            <family val="2"/>
          </rPr>
          <t>corralab:</t>
        </r>
        <r>
          <rPr>
            <sz val="8"/>
            <color indexed="81"/>
            <rFont val="Tahoma"/>
            <family val="2"/>
          </rPr>
          <t xml:space="preserve">
Includes a charge of $113,000 for Income from discontinued operations, net of tax</t>
        </r>
      </text>
    </comment>
    <comment ref="R223" authorId="4">
      <text>
        <r>
          <rPr>
            <b/>
            <sz val="8"/>
            <color indexed="81"/>
            <rFont val="Tahoma"/>
            <family val="2"/>
          </rPr>
          <t>corralab:</t>
        </r>
        <r>
          <rPr>
            <sz val="8"/>
            <color indexed="81"/>
            <rFont val="Tahoma"/>
            <family val="2"/>
          </rPr>
          <t xml:space="preserve">
Includes a charge of $33,000 for Income from discontinued operations, net of tax</t>
        </r>
      </text>
    </comment>
    <comment ref="S223" authorId="4">
      <text>
        <r>
          <rPr>
            <b/>
            <sz val="8"/>
            <color indexed="81"/>
            <rFont val="Tahoma"/>
            <family val="2"/>
          </rPr>
          <t>corralab:</t>
        </r>
        <r>
          <rPr>
            <sz val="8"/>
            <color indexed="81"/>
            <rFont val="Tahoma"/>
            <family val="2"/>
          </rPr>
          <t xml:space="preserve">
Includes a charge of $134,000 for Income from discontinued operations, net of tax</t>
        </r>
      </text>
    </comment>
    <comment ref="V223" authorId="4">
      <text>
        <r>
          <rPr>
            <b/>
            <sz val="8"/>
            <color indexed="81"/>
            <rFont val="Tahoma"/>
            <family val="2"/>
          </rPr>
          <t>corralab:</t>
        </r>
        <r>
          <rPr>
            <sz val="8"/>
            <color indexed="81"/>
            <rFont val="Tahoma"/>
            <family val="2"/>
          </rPr>
          <t xml:space="preserve">
Includes a charge of $30,000 for Income from discontinued operations, net of tax</t>
        </r>
      </text>
    </comment>
    <comment ref="W223" authorId="4">
      <text>
        <r>
          <rPr>
            <b/>
            <sz val="8"/>
            <color indexed="81"/>
            <rFont val="Tahoma"/>
            <family val="2"/>
          </rPr>
          <t>corralab:</t>
        </r>
        <r>
          <rPr>
            <sz val="8"/>
            <color indexed="81"/>
            <rFont val="Tahoma"/>
            <family val="2"/>
          </rPr>
          <t xml:space="preserve">
Includes a charge of $25,000 for Income from discontinued operations, net of tax</t>
        </r>
      </text>
    </comment>
    <comment ref="X223" authorId="4">
      <text>
        <r>
          <rPr>
            <b/>
            <sz val="8"/>
            <color indexed="81"/>
            <rFont val="Tahoma"/>
            <family val="2"/>
          </rPr>
          <t>corralab:</t>
        </r>
        <r>
          <rPr>
            <sz val="8"/>
            <color indexed="81"/>
            <rFont val="Tahoma"/>
            <family val="2"/>
          </rPr>
          <t xml:space="preserve">
Includes a charge of $10,000 for Income from discontinued operations, net of tax</t>
        </r>
      </text>
    </comment>
    <comment ref="CT227" authorId="1">
      <text>
        <r>
          <rPr>
            <b/>
            <sz val="9"/>
            <color indexed="81"/>
            <rFont val="Tahoma"/>
            <family val="2"/>
          </rPr>
          <t>Huang, Diane (Research):</t>
        </r>
        <r>
          <rPr>
            <sz val="9"/>
            <color indexed="81"/>
            <rFont val="Tahoma"/>
            <family val="2"/>
          </rPr>
          <t xml:space="preserve">
8/2/17: $1.36B guidance</t>
        </r>
      </text>
    </comment>
    <comment ref="CX228" authorId="1">
      <text>
        <r>
          <rPr>
            <b/>
            <sz val="9"/>
            <color indexed="81"/>
            <rFont val="Tahoma"/>
            <family val="2"/>
          </rPr>
          <t>Huang, Diane (Research):</t>
        </r>
        <r>
          <rPr>
            <sz val="9"/>
            <color indexed="81"/>
            <rFont val="Tahoma"/>
            <family val="2"/>
          </rPr>
          <t xml:space="preserve">
Cash interest $235-255</t>
        </r>
      </text>
    </comment>
    <comment ref="CT230" authorId="1">
      <text>
        <r>
          <rPr>
            <b/>
            <sz val="9"/>
            <color indexed="81"/>
            <rFont val="Tahoma"/>
            <family val="2"/>
          </rPr>
          <t>Huang, Diane (Research):</t>
        </r>
        <r>
          <rPr>
            <sz val="9"/>
            <color indexed="81"/>
            <rFont val="Tahoma"/>
            <family val="2"/>
          </rPr>
          <t xml:space="preserve">
4Q16: w.c use of $90M in FY17</t>
        </r>
      </text>
    </comment>
    <comment ref="CT233" authorId="1">
      <text>
        <r>
          <rPr>
            <b/>
            <sz val="9"/>
            <color indexed="81"/>
            <rFont val="Tahoma"/>
            <family val="2"/>
          </rPr>
          <t>Huang, Diane (Research):</t>
        </r>
        <r>
          <rPr>
            <sz val="9"/>
            <color indexed="81"/>
            <rFont val="Tahoma"/>
            <family val="2"/>
          </rPr>
          <t xml:space="preserve">
4Q16: Integration and branding costs $40-50M in FY17 vs. $133M in FY16</t>
        </r>
      </text>
    </comment>
    <comment ref="CQ235" authorId="1">
      <text>
        <r>
          <rPr>
            <b/>
            <sz val="9"/>
            <color indexed="81"/>
            <rFont val="Tahoma"/>
            <family val="2"/>
          </rPr>
          <t>Huang, Diane (Research):</t>
        </r>
        <r>
          <rPr>
            <sz val="9"/>
            <color indexed="81"/>
            <rFont val="Tahoma"/>
            <family val="2"/>
          </rPr>
          <t xml:space="preserve">
we include impact of deferred tax here too</t>
        </r>
      </text>
    </comment>
    <comment ref="BK243" authorId="1">
      <text>
        <r>
          <rPr>
            <b/>
            <sz val="9"/>
            <color indexed="81"/>
            <rFont val="Tahoma"/>
            <family val="2"/>
          </rPr>
          <t>Huang, Diane (Research):</t>
        </r>
        <r>
          <rPr>
            <sz val="9"/>
            <color indexed="81"/>
            <rFont val="Tahoma"/>
            <family val="2"/>
          </rPr>
          <t xml:space="preserve">
$140M low end, $160 high end</t>
        </r>
      </text>
    </comment>
    <comment ref="BE244" authorId="2">
      <text>
        <r>
          <rPr>
            <b/>
            <sz val="8"/>
            <color indexed="81"/>
            <rFont val="Tahoma"/>
            <family val="2"/>
          </rPr>
          <t>Huang, Tracy (Research):</t>
        </r>
        <r>
          <rPr>
            <sz val="8"/>
            <color indexed="81"/>
            <rFont val="Tahoma"/>
            <family val="2"/>
          </rPr>
          <t xml:space="preserve">
$50M of one time cash expense (severance, consulting and rebranding, pre-paid cash expense)</t>
        </r>
      </text>
    </comment>
    <comment ref="AT246" authorId="5">
      <text>
        <r>
          <rPr>
            <b/>
            <sz val="8"/>
            <color indexed="81"/>
            <rFont val="Tahoma"/>
            <family val="2"/>
          </rPr>
          <t>trahuang:</t>
        </r>
        <r>
          <rPr>
            <sz val="8"/>
            <color indexed="81"/>
            <rFont val="Tahoma"/>
            <family val="2"/>
          </rPr>
          <t xml:space="preserve">
incl. NLM acquisition</t>
        </r>
      </text>
    </comment>
    <comment ref="BB246" authorId="2">
      <text>
        <r>
          <rPr>
            <b/>
            <sz val="8"/>
            <color indexed="81"/>
            <rFont val="Tahoma"/>
            <family val="2"/>
          </rPr>
          <t>Huang, Tracy (Research):</t>
        </r>
        <r>
          <rPr>
            <sz val="8"/>
            <color indexed="81"/>
            <rFont val="Tahoma"/>
            <family val="2"/>
          </rPr>
          <t xml:space="preserve">
spent another $300M to purchase ND shares in the quarter</t>
        </r>
      </text>
    </comment>
    <comment ref="BA258" authorId="2">
      <text>
        <r>
          <rPr>
            <b/>
            <sz val="8"/>
            <color indexed="81"/>
            <rFont val="Tahoma"/>
            <family val="2"/>
          </rPr>
          <t>Huang, Tracy (Research):</t>
        </r>
        <r>
          <rPr>
            <sz val="8"/>
            <color indexed="81"/>
            <rFont val="Tahoma"/>
            <family val="2"/>
          </rPr>
          <t xml:space="preserve">
includes repayment of restricted cash and tranfer to restricted cash to tender offer</t>
        </r>
      </text>
    </comment>
    <comment ref="BA270" authorId="2">
      <text>
        <r>
          <rPr>
            <b/>
            <sz val="8"/>
            <color indexed="81"/>
            <rFont val="Tahoma"/>
            <family val="2"/>
          </rPr>
          <t>Huang, Tracy (Research):</t>
        </r>
        <r>
          <rPr>
            <sz val="8"/>
            <color indexed="81"/>
            <rFont val="Tahoma"/>
            <family val="2"/>
          </rPr>
          <t xml:space="preserve">
incl restricted cash</t>
        </r>
      </text>
    </comment>
    <comment ref="A283" authorId="5">
      <text>
        <r>
          <rPr>
            <b/>
            <sz val="8"/>
            <color indexed="81"/>
            <rFont val="Tahoma"/>
            <family val="2"/>
          </rPr>
          <t>trahuang:</t>
        </r>
        <r>
          <rPr>
            <sz val="8"/>
            <color indexed="81"/>
            <rFont val="Tahoma"/>
            <family val="2"/>
          </rPr>
          <t xml:space="preserve">
Interest rate 4.5%
</t>
        </r>
      </text>
    </comment>
    <comment ref="AZ284" authorId="1">
      <text>
        <r>
          <rPr>
            <b/>
            <sz val="9"/>
            <color indexed="81"/>
            <rFont val="Tahoma"/>
            <family val="2"/>
          </rPr>
          <t>Huang, Diane (Research):</t>
        </r>
        <r>
          <rPr>
            <sz val="9"/>
            <color indexed="81"/>
            <rFont val="Tahoma"/>
            <family val="2"/>
          </rPr>
          <t xml:space="preserve">
Senior notes
Revolving credit facility and other LT debt, net of current maturities</t>
        </r>
      </text>
    </comment>
    <comment ref="BA284" authorId="1">
      <text>
        <r>
          <rPr>
            <b/>
            <sz val="9"/>
            <color indexed="81"/>
            <rFont val="Tahoma"/>
            <family val="2"/>
          </rPr>
          <t>Huang, Diane (Research):</t>
        </r>
        <r>
          <rPr>
            <sz val="9"/>
            <color indexed="81"/>
            <rFont val="Tahoma"/>
            <family val="2"/>
          </rPr>
          <t xml:space="preserve">
Senior notes
Revolving credit facility and other LT debt, net of current maturities</t>
        </r>
      </text>
    </comment>
    <comment ref="BI301" authorId="2">
      <text>
        <r>
          <rPr>
            <b/>
            <sz val="8"/>
            <color indexed="81"/>
            <rFont val="Tahoma"/>
            <family val="2"/>
          </rPr>
          <t>Huang, Tracy (Research):</t>
        </r>
        <r>
          <rPr>
            <sz val="8"/>
            <color indexed="81"/>
            <rFont val="Tahoma"/>
            <family val="2"/>
          </rPr>
          <t xml:space="preserve">
Expect to get in the low 4s range by the end of 2016</t>
        </r>
      </text>
    </comment>
  </commentList>
</comments>
</file>

<file path=xl/comments3.xml><?xml version="1.0" encoding="utf-8"?>
<comments xmlns="http://schemas.openxmlformats.org/spreadsheetml/2006/main">
  <authors>
    <author>igordays</author>
    <author>cbruso</author>
    <author>vecchale</author>
    <author>longsona</author>
    <author>himanshs</author>
    <author>Huang, Tracy (Research)</author>
    <author>Huang, Diane (Research)</author>
    <author>elizthys</author>
    <author>Vecchio, Alexander (Research)</author>
    <author>trahuang</author>
    <author>Chad Bruso</author>
    <author>corralab</author>
  </authors>
  <commentList>
    <comment ref="BI1" authorId="0">
      <text>
        <r>
          <rPr>
            <sz val="8"/>
            <color indexed="81"/>
            <rFont val="Tahoma"/>
            <family val="2"/>
          </rPr>
          <t>Chad Bruso:
Historical data only comparable back to '01</t>
        </r>
      </text>
    </comment>
    <comment ref="BS1" authorId="1">
      <text>
        <r>
          <rPr>
            <b/>
            <sz val="8"/>
            <color indexed="81"/>
            <rFont val="Tahoma"/>
            <family val="2"/>
          </rPr>
          <t>cbruso:</t>
        </r>
        <r>
          <rPr>
            <sz val="8"/>
            <color indexed="81"/>
            <rFont val="Tahoma"/>
            <family val="2"/>
          </rPr>
          <t xml:space="preserve">
Prior to 2003 has not been restated for the allocation of corp. overhead related to MWF sale or Con-Way Logistics' roll up with Menlo Logistics</t>
        </r>
      </text>
    </comment>
    <comment ref="A2" authorId="2">
      <text>
        <r>
          <rPr>
            <b/>
            <sz val="8"/>
            <color indexed="81"/>
            <rFont val="Tahoma"/>
            <family val="2"/>
          </rPr>
          <t>vecchale:</t>
        </r>
        <r>
          <rPr>
            <sz val="8"/>
            <color indexed="81"/>
            <rFont val="Tahoma"/>
            <family val="2"/>
          </rPr>
          <t xml:space="preserve">
=TF($A$2,"TF.PR.PriceAverageOverRange(Sdate=7/1/12,Edate=9/30/12)")</t>
        </r>
      </text>
    </comment>
    <comment ref="CB8" authorId="1">
      <text>
        <r>
          <rPr>
            <b/>
            <sz val="8"/>
            <color indexed="81"/>
            <rFont val="Tahoma"/>
            <family val="2"/>
          </rPr>
          <t>cbruso:</t>
        </r>
        <r>
          <rPr>
            <sz val="8"/>
            <color indexed="81"/>
            <rFont val="Tahoma"/>
            <family val="2"/>
          </rPr>
          <t xml:space="preserve">
Per Doug on 4Q04 call, a 1% yoy increase in loh has almost no impact on yields</t>
        </r>
      </text>
    </comment>
    <comment ref="DD28" authorId="3">
      <text>
        <r>
          <rPr>
            <b/>
            <sz val="8"/>
            <color indexed="81"/>
            <rFont val="Tahoma"/>
            <family val="2"/>
          </rPr>
          <t>longsona:</t>
        </r>
        <r>
          <rPr>
            <sz val="8"/>
            <color indexed="81"/>
            <rFont val="Tahoma"/>
            <family val="2"/>
          </rPr>
          <t xml:space="preserve">
locked in capacity with our carriers for the 75% of our business that’s scheduled. About 25% of our business is unscheduled. And that’s what really is impacted as volume changes and as price changes in the Truckload market</t>
        </r>
      </text>
    </comment>
    <comment ref="DE44" authorId="3">
      <text>
        <r>
          <rPr>
            <b/>
            <sz val="8"/>
            <color indexed="81"/>
            <rFont val="Tahoma"/>
            <family val="2"/>
          </rPr>
          <t>longsona:</t>
        </r>
        <r>
          <rPr>
            <sz val="8"/>
            <color indexed="81"/>
            <rFont val="Tahoma"/>
            <family val="2"/>
          </rPr>
          <t xml:space="preserve">
we saw sequential yield improvement throughout the course of the second quarter. July’s sequential was flat, albeit on slightly higher weight per shipment than we saw in June. And that said, July on a year-over-year basis went positive. So we were up little over 1% on a year-over-year basis in July</t>
        </r>
      </text>
    </comment>
    <comment ref="CE45" authorId="1">
      <text>
        <r>
          <rPr>
            <b/>
            <sz val="8"/>
            <color indexed="81"/>
            <rFont val="Tahoma"/>
            <family val="2"/>
          </rPr>
          <t>cbruso:</t>
        </r>
        <r>
          <rPr>
            <sz val="8"/>
            <color indexed="81"/>
            <rFont val="Tahoma"/>
            <family val="2"/>
          </rPr>
          <t xml:space="preserve">
CNF expects 2% yoy growth in revenue per hundred weight, excluding fuel surcharges in 2Q05, part of which is due to the early implementation of its GRI; underlying pricing trends unchanged at about 3%-4% yoy</t>
        </r>
      </text>
    </comment>
    <comment ref="CF45" authorId="1">
      <text>
        <r>
          <rPr>
            <b/>
            <sz val="8"/>
            <color indexed="81"/>
            <rFont val="Tahoma"/>
            <family val="2"/>
          </rPr>
          <t>cbruso:</t>
        </r>
        <r>
          <rPr>
            <sz val="8"/>
            <color indexed="81"/>
            <rFont val="Tahoma"/>
            <family val="2"/>
          </rPr>
          <t xml:space="preserve">
7/20/05: 3Q05 revenue-per-hundredweight INCL fuel is expected to be higher than that reported for the same period of 2004 by a mid-single-digit percentage.</t>
        </r>
      </text>
    </comment>
    <comment ref="DC45" authorId="4">
      <text>
        <r>
          <rPr>
            <b/>
            <sz val="8"/>
            <color indexed="81"/>
            <rFont val="Tahoma"/>
            <family val="2"/>
          </rPr>
          <t>himanshs:</t>
        </r>
        <r>
          <rPr>
            <sz val="8"/>
            <color indexed="81"/>
            <rFont val="Tahoma"/>
            <family val="2"/>
          </rPr>
          <t xml:space="preserve">
Freight’s fuel-surcharge revenue increased to 12.5% of revenue in the first quarter of 2010 from 9.1% in the first quarter of 2009.
</t>
        </r>
      </text>
    </comment>
    <comment ref="DE45" authorId="3">
      <text>
        <r>
          <rPr>
            <b/>
            <sz val="8"/>
            <color indexed="81"/>
            <rFont val="Tahoma"/>
            <family val="2"/>
          </rPr>
          <t>longsona:</t>
        </r>
        <r>
          <rPr>
            <sz val="8"/>
            <color indexed="81"/>
            <rFont val="Tahoma"/>
            <family val="2"/>
          </rPr>
          <t xml:space="preserve">
As of early 2Q10, we’re a little more than halfway done through the contract negotiations that we would typically see in the course of the year and we’re going to continue to work through those during the course of the remainder of the year. We will continue also to pull forward some of those negotiations where we think margin isn’t satisfactory.</t>
        </r>
      </text>
    </comment>
    <comment ref="DF45" authorId="2">
      <text>
        <r>
          <rPr>
            <b/>
            <sz val="8"/>
            <color indexed="81"/>
            <rFont val="Tahoma"/>
            <family val="2"/>
          </rPr>
          <t>vecchale:</t>
        </r>
        <r>
          <rPr>
            <sz val="8"/>
            <color indexed="81"/>
            <rFont val="Tahoma"/>
            <family val="2"/>
          </rPr>
          <t xml:space="preserve">
Monthly YoY yield trends:
Oct: +3.9%
Nov: + 5.3%
Dec: + 5.4% </t>
        </r>
      </text>
    </comment>
    <comment ref="DI45" authorId="2">
      <text>
        <r>
          <rPr>
            <b/>
            <sz val="8"/>
            <color indexed="81"/>
            <rFont val="Tahoma"/>
            <family val="2"/>
          </rPr>
          <t>vecchale:</t>
        </r>
        <r>
          <rPr>
            <sz val="8"/>
            <color indexed="81"/>
            <rFont val="Tahoma"/>
            <family val="2"/>
          </rPr>
          <t xml:space="preserve">
2Q11 - core pricing increases on contract renewals in 2Q were mid single digits</t>
        </r>
      </text>
    </comment>
    <comment ref="EB45" authorId="5">
      <text>
        <r>
          <rPr>
            <b/>
            <sz val="8"/>
            <color indexed="81"/>
            <rFont val="Tahoma"/>
            <family val="2"/>
          </rPr>
          <t>Huang, Tracy (Research):</t>
        </r>
        <r>
          <rPr>
            <sz val="8"/>
            <color indexed="81"/>
            <rFont val="Tahoma"/>
            <family val="2"/>
          </rPr>
          <t xml:space="preserve">
Normalized for mix +6.5% ex FS (adj for LOH and weight/shipment)</t>
        </r>
      </text>
    </comment>
    <comment ref="EH45" authorId="5">
      <text>
        <r>
          <rPr>
            <b/>
            <sz val="8"/>
            <color indexed="81"/>
            <rFont val="Tahoma"/>
            <family val="2"/>
          </rPr>
          <t>Huang, Tracy (Research):</t>
        </r>
        <r>
          <rPr>
            <sz val="8"/>
            <color indexed="81"/>
            <rFont val="Tahoma"/>
            <family val="2"/>
          </rPr>
          <t xml:space="preserve">
Pricing trending above 4.2% as XPO is addressing some legacy CNW contracts</t>
        </r>
      </text>
    </comment>
    <comment ref="EL45" authorId="6">
      <text>
        <r>
          <rPr>
            <b/>
            <sz val="9"/>
            <color indexed="81"/>
            <rFont val="Tahoma"/>
            <family val="2"/>
          </rPr>
          <t>Huang, Diane (Research):</t>
        </r>
        <r>
          <rPr>
            <sz val="9"/>
            <color indexed="81"/>
            <rFont val="Tahoma"/>
            <family val="2"/>
          </rPr>
          <t xml:space="preserve">
3.5% contract renewals</t>
        </r>
      </text>
    </comment>
    <comment ref="EM45" authorId="6">
      <text>
        <r>
          <rPr>
            <b/>
            <sz val="9"/>
            <color indexed="81"/>
            <rFont val="Tahoma"/>
            <family val="2"/>
          </rPr>
          <t>Huang, Diane (Research):</t>
        </r>
        <r>
          <rPr>
            <sz val="9"/>
            <color indexed="81"/>
            <rFont val="Tahoma"/>
            <family val="2"/>
          </rPr>
          <t xml:space="preserve">
4.8% contract renewals</t>
        </r>
      </text>
    </comment>
    <comment ref="EN45" authorId="6">
      <text>
        <r>
          <rPr>
            <b/>
            <sz val="9"/>
            <color indexed="81"/>
            <rFont val="Tahoma"/>
            <family val="2"/>
          </rPr>
          <t>Huang, Diane (Research):</t>
        </r>
        <r>
          <rPr>
            <sz val="9"/>
            <color indexed="81"/>
            <rFont val="Tahoma"/>
            <family val="2"/>
          </rPr>
          <t xml:space="preserve">
5.1% contract renewals</t>
        </r>
      </text>
    </comment>
    <comment ref="EO45" authorId="6">
      <text>
        <r>
          <rPr>
            <b/>
            <sz val="9"/>
            <color indexed="81"/>
            <rFont val="Tahoma"/>
            <family val="2"/>
          </rPr>
          <t>Huang, Diane (Research):</t>
        </r>
        <r>
          <rPr>
            <sz val="9"/>
            <color indexed="81"/>
            <rFont val="Tahoma"/>
            <family val="2"/>
          </rPr>
          <t xml:space="preserve">
5.3% contract renewals</t>
        </r>
      </text>
    </comment>
    <comment ref="AU47" authorId="0">
      <text>
        <r>
          <rPr>
            <sz val="8"/>
            <color indexed="81"/>
            <rFont val="Tahoma"/>
            <family val="2"/>
          </rPr>
          <t>James J. Valentine:
Rev/CWT is up 7.4% due to customer  paranoia over a potential Teamsters strike and due to more inter-regional moves.</t>
        </r>
      </text>
    </comment>
    <comment ref="BM47" authorId="0">
      <text>
        <r>
          <rPr>
            <sz val="8"/>
            <color indexed="81"/>
            <rFont val="Tahoma"/>
            <family val="2"/>
          </rPr>
          <t>manellim:
$0.216 of the decline was due to falling fuel surchage.  Overall decling surchage accounted for 36% of the yield detioration.
Excluding surcharge rates declined 2.9%</t>
        </r>
      </text>
    </comment>
    <comment ref="BS48" authorId="1">
      <text>
        <r>
          <rPr>
            <b/>
            <sz val="8"/>
            <color indexed="81"/>
            <rFont val="Tahoma"/>
            <family val="2"/>
          </rPr>
          <t>cbruso:</t>
        </r>
        <r>
          <rPr>
            <sz val="8"/>
            <color indexed="81"/>
            <rFont val="Tahoma"/>
            <family val="2"/>
          </rPr>
          <t xml:space="preserve">
Need to double-check with 10-K</t>
        </r>
      </text>
    </comment>
    <comment ref="BY48" authorId="0">
      <text>
        <r>
          <rPr>
            <sz val="8"/>
            <color indexed="81"/>
            <rFont val="Tahoma"/>
            <family val="2"/>
          </rPr>
          <t>Chad Bruso:
Per Detter, Con-Way's yields were not impacted yoy by changes in fuel surcharges</t>
        </r>
      </text>
    </comment>
    <comment ref="BZ48" authorId="0">
      <text>
        <r>
          <rPr>
            <sz val="8"/>
            <color indexed="81"/>
            <rFont val="Tahoma"/>
            <family val="2"/>
          </rPr>
          <t>Chad Bruso:
4/20/04:
Expects 0-1% yield improvement yoy</t>
        </r>
      </text>
    </comment>
    <comment ref="CA48" authorId="0">
      <text>
        <r>
          <rPr>
            <sz val="8"/>
            <color indexed="81"/>
            <rFont val="Tahoma"/>
            <family val="2"/>
          </rPr>
          <t>Chad Bruso:
7/20/04: CNF guiding to similar yield trends at Con-Way as we saw in 2Q04</t>
        </r>
      </text>
    </comment>
    <comment ref="DD49" authorId="3">
      <text>
        <r>
          <rPr>
            <b/>
            <sz val="8"/>
            <color indexed="81"/>
            <rFont val="Tahoma"/>
            <family val="2"/>
          </rPr>
          <t>longsona:</t>
        </r>
        <r>
          <rPr>
            <sz val="8"/>
            <color indexed="81"/>
            <rFont val="Tahoma"/>
            <family val="2"/>
          </rPr>
          <t xml:space="preserve">
volume came down sequentially during the course of the quarter, so we saw volume step down on a sequential basis in June and July and I would expect that we’re going to continue to see that through the third quarter. Absolute tonnage volumes are coming down modestly, as we move sequentially through the second quarter and we anticipate more of that to occur through the third quarter.</t>
        </r>
      </text>
    </comment>
    <comment ref="DH53" authorId="2">
      <text>
        <r>
          <rPr>
            <b/>
            <sz val="8"/>
            <color indexed="81"/>
            <rFont val="Tahoma"/>
            <family val="2"/>
          </rPr>
          <t>vecchale:</t>
        </r>
        <r>
          <rPr>
            <sz val="8"/>
            <color indexed="81"/>
            <rFont val="Tahoma"/>
            <family val="2"/>
          </rPr>
          <t xml:space="preserve">
Monthly YoY daily tonnage growth trends:
Jan 11: -4.2%
Feb 11: -4.2%
Mar 11: -5.4%
 </t>
        </r>
      </text>
    </comment>
    <comment ref="DI53" authorId="2">
      <text>
        <r>
          <rPr>
            <b/>
            <sz val="8"/>
            <color indexed="81"/>
            <rFont val="Tahoma"/>
            <family val="2"/>
          </rPr>
          <t>vecchale:</t>
        </r>
        <r>
          <rPr>
            <sz val="8"/>
            <color indexed="81"/>
            <rFont val="Tahoma"/>
            <family val="2"/>
          </rPr>
          <t xml:space="preserve">
Monthly YoY daily tonnage growth trends:
April 11: -9.2% (peak monthly YoY decline for the year)
 </t>
        </r>
      </text>
    </comment>
    <comment ref="DJ53" authorId="2">
      <text>
        <r>
          <rPr>
            <b/>
            <sz val="8"/>
            <color indexed="81"/>
            <rFont val="Tahoma"/>
            <family val="2"/>
          </rPr>
          <t>vecchale:</t>
        </r>
        <r>
          <rPr>
            <sz val="8"/>
            <color indexed="81"/>
            <rFont val="Tahoma"/>
            <family val="2"/>
          </rPr>
          <t xml:space="preserve">
Monthly YoY daily tonnage growth trends:
July: -8.2%
Aug: -5.8%
Sep: -2.5% </t>
        </r>
      </text>
    </comment>
    <comment ref="DM53" authorId="2">
      <text>
        <r>
          <rPr>
            <b/>
            <sz val="8"/>
            <color indexed="81"/>
            <rFont val="Tahoma"/>
            <family val="2"/>
          </rPr>
          <t>vecchale:</t>
        </r>
        <r>
          <rPr>
            <sz val="8"/>
            <color indexed="81"/>
            <rFont val="Tahoma"/>
            <family val="2"/>
          </rPr>
          <t xml:space="preserve">
Monthly YoY daily tonnage growth trends:
Jan: +3.5%
Feb: +1.5%
Mar: flat </t>
        </r>
      </text>
    </comment>
    <comment ref="DR53" authorId="7">
      <text>
        <r>
          <rPr>
            <b/>
            <sz val="8"/>
            <color indexed="81"/>
            <rFont val="Tahoma"/>
            <family val="2"/>
          </rPr>
          <t>elizthys:</t>
        </r>
        <r>
          <rPr>
            <sz val="8"/>
            <color indexed="81"/>
            <rFont val="Tahoma"/>
            <family val="2"/>
          </rPr>
          <t xml:space="preserve">
Jan -1.0%
Feb -0.9%
March -1.8%</t>
        </r>
      </text>
    </comment>
    <comment ref="DY53" authorId="5">
      <text>
        <r>
          <rPr>
            <b/>
            <sz val="8"/>
            <color indexed="81"/>
            <rFont val="Tahoma"/>
            <family val="2"/>
          </rPr>
          <t>Huang, Tracy (Research):</t>
        </r>
        <r>
          <rPr>
            <sz val="8"/>
            <color indexed="81"/>
            <rFont val="Tahoma"/>
            <family val="2"/>
          </rPr>
          <t xml:space="preserve">
July -1.6%
Aug -0.4%
Sept +0.3%</t>
        </r>
      </text>
    </comment>
    <comment ref="EC53" authorId="5">
      <text>
        <r>
          <rPr>
            <b/>
            <sz val="8"/>
            <color indexed="81"/>
            <rFont val="Tahoma"/>
            <family val="2"/>
          </rPr>
          <t>Huang, Tracy (Research):</t>
        </r>
        <r>
          <rPr>
            <sz val="8"/>
            <color indexed="81"/>
            <rFont val="Tahoma"/>
            <family val="2"/>
          </rPr>
          <t xml:space="preserve">
April -1.8%
May -2.9%
June -4.4%</t>
        </r>
      </text>
    </comment>
    <comment ref="ED53" authorId="5">
      <text>
        <r>
          <rPr>
            <b/>
            <sz val="8"/>
            <color indexed="81"/>
            <rFont val="Tahoma"/>
            <family val="2"/>
          </rPr>
          <t>Huang, Tracy (Research):</t>
        </r>
        <r>
          <rPr>
            <sz val="8"/>
            <color indexed="81"/>
            <rFont val="Tahoma"/>
            <family val="2"/>
          </rPr>
          <t xml:space="preserve">
July -1.6%
Aug -0.4%
Sept +0.3%</t>
        </r>
      </text>
    </comment>
    <comment ref="EH53" authorId="5">
      <text>
        <r>
          <rPr>
            <b/>
            <sz val="8"/>
            <color indexed="81"/>
            <rFont val="Tahoma"/>
            <family val="2"/>
          </rPr>
          <t>Huang, Tracy (Research):</t>
        </r>
        <r>
          <rPr>
            <sz val="8"/>
            <color indexed="81"/>
            <rFont val="Tahoma"/>
            <family val="2"/>
          </rPr>
          <t xml:space="preserve">
 Vol trends have got more get worse than 5.5%</t>
        </r>
      </text>
    </comment>
    <comment ref="DJ58" authorId="2">
      <text>
        <r>
          <rPr>
            <b/>
            <sz val="8"/>
            <color indexed="81"/>
            <rFont val="Tahoma"/>
            <family val="2"/>
          </rPr>
          <t>vecchale:</t>
        </r>
        <r>
          <rPr>
            <sz val="8"/>
            <color indexed="81"/>
            <rFont val="Tahoma"/>
            <family val="2"/>
          </rPr>
          <t xml:space="preserve">
3Q11 call - shipment volumes improved seq. into August and through September</t>
        </r>
      </text>
    </comment>
    <comment ref="ED80" authorId="5">
      <text>
        <r>
          <rPr>
            <b/>
            <sz val="8"/>
            <color indexed="81"/>
            <rFont val="Tahoma"/>
            <family val="2"/>
          </rPr>
          <t>Huang, Tracy (Research):</t>
        </r>
        <r>
          <rPr>
            <sz val="8"/>
            <color indexed="81"/>
            <rFont val="Tahoma"/>
            <family val="2"/>
          </rPr>
          <t xml:space="preserve">
ex FS rev was flat</t>
        </r>
      </text>
    </comment>
    <comment ref="DD95" authorId="3">
      <text>
        <r>
          <rPr>
            <b/>
            <sz val="8"/>
            <color indexed="81"/>
            <rFont val="Tahoma"/>
            <family val="2"/>
          </rPr>
          <t>longsona:</t>
        </r>
        <r>
          <rPr>
            <sz val="8"/>
            <color indexed="81"/>
            <rFont val="Tahoma"/>
            <family val="2"/>
          </rPr>
          <t xml:space="preserve">
negative effect of lower total miles in the quarter, the result of fewer teams and more single-driver business which effectively reduced revenue</t>
        </r>
      </text>
    </comment>
    <comment ref="A103" authorId="1">
      <text>
        <r>
          <rPr>
            <b/>
            <sz val="8"/>
            <color indexed="81"/>
            <rFont val="Tahoma"/>
            <family val="2"/>
          </rPr>
          <t>cbruso:</t>
        </r>
        <r>
          <rPr>
            <sz val="8"/>
            <color indexed="81"/>
            <rFont val="Tahoma"/>
            <family val="2"/>
          </rPr>
          <t xml:space="preserve">
Assumes 75% collection of listed fuel surcharge</t>
        </r>
      </text>
    </comment>
    <comment ref="AY110" authorId="0">
      <text>
        <r>
          <rPr>
            <sz val="8"/>
            <color indexed="81"/>
            <rFont val="Tahoma"/>
            <family val="2"/>
          </rPr>
          <t>cbruso:
Net revenue (revenue less purchased transportation) was $189.1</t>
        </r>
      </text>
    </comment>
    <comment ref="BD110" authorId="0">
      <text>
        <r>
          <rPr>
            <sz val="8"/>
            <color indexed="81"/>
            <rFont val="Tahoma"/>
            <family val="2"/>
          </rPr>
          <t>cbruso:
Net revenue (revenue less purchased transportation) was $206.6</t>
        </r>
      </text>
    </comment>
    <comment ref="BE110" authorId="0">
      <text>
        <r>
          <rPr>
            <sz val="8"/>
            <color indexed="81"/>
            <rFont val="Tahoma"/>
            <family val="2"/>
          </rPr>
          <t xml:space="preserve">cbruso:
Net Revenue was $65 million
</t>
        </r>
      </text>
    </comment>
    <comment ref="BI110" authorId="0">
      <text>
        <r>
          <rPr>
            <sz val="8"/>
            <color indexed="81"/>
            <rFont val="Tahoma"/>
            <family val="2"/>
          </rPr>
          <t>mcgoughb:
Includes $100 million from Stanley.
Net revenue (rev. less purchased transportation was $265.6)</t>
        </r>
      </text>
    </comment>
    <comment ref="BJ110" authorId="0">
      <text>
        <r>
          <rPr>
            <sz val="8"/>
            <color indexed="81"/>
            <rFont val="Tahoma"/>
            <family val="2"/>
          </rPr>
          <t xml:space="preserve">cbruso:
Net Revenue was $67.4 million
</t>
        </r>
      </text>
    </comment>
    <comment ref="BL110" authorId="0">
      <text>
        <r>
          <rPr>
            <sz val="8"/>
            <color indexed="81"/>
            <rFont val="Tahoma"/>
            <family val="2"/>
          </rPr>
          <t>cbruso:
Homelife (10% of revenues and profits) went bankrupt in 2Q01</t>
        </r>
      </text>
    </comment>
    <comment ref="BW110" authorId="0">
      <text>
        <r>
          <rPr>
            <sz val="8"/>
            <color indexed="81"/>
            <rFont val="Tahoma"/>
            <family val="2"/>
          </rPr>
          <t>manellim:
Lost Minute Maid as customer, which was the driver in the revenue declines.</t>
        </r>
      </text>
    </comment>
    <comment ref="DC110" authorId="4">
      <text>
        <r>
          <rPr>
            <b/>
            <sz val="8"/>
            <color indexed="81"/>
            <rFont val="Tahoma"/>
            <family val="2"/>
          </rPr>
          <t>himanshs:</t>
        </r>
        <r>
          <rPr>
            <sz val="8"/>
            <color indexed="81"/>
            <rFont val="Tahoma"/>
            <family val="2"/>
          </rPr>
          <t xml:space="preserve">
In the first quarter of 2010, Logistics’ revenue increased 12.2% due to an 18.2% increase in revenue from warehouse-management services and a 10.0% increase in revenue from carrier-management services. Increased revenue from warehouse-management services was due to contributions from new customers and growth at existing customers. Higher revenue from carrier-management services was due primarily to revenue from a government contract, which was in an implementation phase during 2009, partially offset by lower revenue as the result of changes to certain carrier and customer contracts.
</t>
        </r>
      </text>
    </comment>
    <comment ref="DD110" authorId="4">
      <text>
        <r>
          <rPr>
            <b/>
            <sz val="8"/>
            <color indexed="81"/>
            <rFont val="Tahoma"/>
            <family val="2"/>
          </rPr>
          <t>himanshs:</t>
        </r>
        <r>
          <rPr>
            <sz val="8"/>
            <color indexed="81"/>
            <rFont val="Tahoma"/>
            <family val="2"/>
          </rPr>
          <t xml:space="preserve">
Logistics’ revenue in the second quarter and first half of 2010 increased 17.8% and 15.0%, respectively, due to increases in revenue from both carrier-management and warehouse-management services. In 2010, revenue from carrier-management services in the second quarter and first half increased 19.1% and 14.6%, respectively, while revenue from warehouse-management services increased 15.1% and 16.6%, respectively. Higher revenue from carrier-management services was due primarily to revenue from a government contract, which was in an implementation phase during 2009, partially offset by lower revenue as the
result of changes to certain carrier and customer contracts. Increased revenue from warehouse-management services was due to contributions from new customers and growth at existing customers.</t>
        </r>
      </text>
    </comment>
    <comment ref="DJ110" authorId="2">
      <text>
        <r>
          <rPr>
            <b/>
            <sz val="8"/>
            <color indexed="81"/>
            <rFont val="Tahoma"/>
            <family val="2"/>
          </rPr>
          <t>vecchale:</t>
        </r>
        <r>
          <rPr>
            <sz val="8"/>
            <color indexed="81"/>
            <rFont val="Tahoma"/>
            <family val="2"/>
          </rPr>
          <t xml:space="preserve">
3Q11 - on annualized basis ~$130M gross revs is transactional for Logistics segment - still mostly contractual business </t>
        </r>
      </text>
    </comment>
    <comment ref="BZ111" authorId="0">
      <text>
        <r>
          <rPr>
            <sz val="8"/>
            <color indexed="81"/>
            <rFont val="Tahoma"/>
            <family val="2"/>
          </rPr>
          <t xml:space="preserve">Chad Bruso:
Per 2Q04 10-Q:
ML rev growth due principally to an increase in warehouse management services and a slight increase in carrier management services, partially offset by lower revenue from contract carriage services
</t>
        </r>
      </text>
    </comment>
    <comment ref="CE111" authorId="1">
      <text>
        <r>
          <rPr>
            <b/>
            <sz val="8"/>
            <color indexed="81"/>
            <rFont val="Tahoma"/>
            <family val="2"/>
          </rPr>
          <t>cbruso:</t>
        </r>
        <r>
          <rPr>
            <sz val="8"/>
            <color indexed="81"/>
            <rFont val="Tahoma"/>
            <family val="2"/>
          </rPr>
          <t xml:space="preserve">
Beg in 2Q05 CW Logistics (Approx. $XM in revs will be reclassed to Menlo Log)</t>
        </r>
      </text>
    </comment>
    <comment ref="CG111" authorId="1">
      <text>
        <r>
          <rPr>
            <b/>
            <sz val="8"/>
            <color indexed="81"/>
            <rFont val="Tahoma"/>
            <family val="2"/>
          </rPr>
          <t>cbruso:</t>
        </r>
        <r>
          <rPr>
            <sz val="8"/>
            <color indexed="81"/>
            <rFont val="Tahoma"/>
            <family val="2"/>
          </rPr>
          <t xml:space="preserve">
Per CNF, 4Q05 revenue and operating profit totals for Menlo Logistics are expected to be higher than the respective levels reported for the same period of 2004 by a high-single to low-double-digit percentage.</t>
        </r>
      </text>
    </comment>
    <comment ref="DD111" authorId="3">
      <text>
        <r>
          <rPr>
            <b/>
            <sz val="8"/>
            <color indexed="81"/>
            <rFont val="Tahoma"/>
            <family val="2"/>
          </rPr>
          <t>longsona:</t>
        </r>
        <r>
          <rPr>
            <sz val="8"/>
            <color indexed="81"/>
            <rFont val="Tahoma"/>
            <family val="2"/>
          </rPr>
          <t xml:space="preserve">
right now the results are equally distributed, I would say, between the on-boarding of the new business that we won in the last half of last year, and it’s – because those projects are now coming on board and we’re seeing those activity levels flow through. And, as well as, just the general activity levels are up across our existing account base.</t>
        </r>
      </text>
    </comment>
    <comment ref="DE111" authorId="3">
      <text>
        <r>
          <rPr>
            <b/>
            <sz val="8"/>
            <color indexed="81"/>
            <rFont val="Tahoma"/>
            <family val="2"/>
          </rPr>
          <t>longsona:</t>
        </r>
        <r>
          <rPr>
            <sz val="8"/>
            <color indexed="81"/>
            <rFont val="Tahoma"/>
            <family val="2"/>
          </rPr>
          <t xml:space="preserve">
during the recession our pipeline of activity really grows to record levels as shippers were looking for ways to reduce their cost and outsourcing was certainly one of those ways. So our pipeline activity in the first half of this year was behind, but now in the second quarter, it has really picked up and we’re expecting to not only win more contracts, but catch up to the levels that we have seen in the past</t>
        </r>
      </text>
    </comment>
    <comment ref="DD113" authorId="4">
      <text>
        <r>
          <rPr>
            <b/>
            <sz val="8"/>
            <color indexed="81"/>
            <rFont val="Tahoma"/>
            <family val="2"/>
          </rPr>
          <t>himanshs:</t>
        </r>
        <r>
          <rPr>
            <sz val="8"/>
            <color indexed="81"/>
            <rFont val="Tahoma"/>
            <family val="2"/>
          </rPr>
          <t xml:space="preserve">
Taken from 10Q</t>
        </r>
      </text>
    </comment>
    <comment ref="DB126" authorId="2">
      <text>
        <r>
          <rPr>
            <b/>
            <sz val="8"/>
            <color indexed="81"/>
            <rFont val="Tahoma"/>
            <family val="2"/>
          </rPr>
          <t>vecchale:</t>
        </r>
        <r>
          <rPr>
            <sz val="8"/>
            <color indexed="81"/>
            <rFont val="Tahoma"/>
            <family val="2"/>
          </rPr>
          <t xml:space="preserve">
Includes costs related to administrative outsourcing, the planned consolidation of Con-way’s executive offices, and other employee-separation costs. For full-year
2010 and 2009, these costs totaled $8.9 million and $3.4 million, respectively, with the predominant amount of the expense allocated to the Freight segment in the
third quarter of 2010 and the fourth quarter of 2009.</t>
        </r>
      </text>
    </comment>
    <comment ref="DE126" authorId="2">
      <text>
        <r>
          <rPr>
            <b/>
            <sz val="8"/>
            <color indexed="81"/>
            <rFont val="Tahoma"/>
            <family val="2"/>
          </rPr>
          <t>vecchale:</t>
        </r>
        <r>
          <rPr>
            <sz val="8"/>
            <color indexed="81"/>
            <rFont val="Tahoma"/>
            <family val="2"/>
          </rPr>
          <t xml:space="preserve">
Severance and office consolidation costs and the partial reinstatement of 2009’s employee wage and benefit reductions also added $4.4 million and approximately $19 million, respectively, to operating expense.</t>
        </r>
      </text>
    </comment>
    <comment ref="DG126" authorId="2">
      <text>
        <r>
          <rPr>
            <b/>
            <sz val="8"/>
            <color indexed="81"/>
            <rFont val="Tahoma"/>
            <family val="2"/>
          </rPr>
          <t>vecchale:</t>
        </r>
        <r>
          <rPr>
            <sz val="8"/>
            <color indexed="81"/>
            <rFont val="Tahoma"/>
            <family val="2"/>
          </rPr>
          <t xml:space="preserve">
Includes a prior-year third-quarter change in accounting estimate, which increased the allowance for revenue adjustments and decreased both revenue and operatin
income by $5.4 million.</t>
        </r>
      </text>
    </comment>
    <comment ref="DN126" authorId="2">
      <text>
        <r>
          <rPr>
            <b/>
            <sz val="8"/>
            <color indexed="81"/>
            <rFont val="Tahoma"/>
            <family val="2"/>
          </rPr>
          <t>vecchale:</t>
        </r>
        <r>
          <rPr>
            <sz val="8"/>
            <color indexed="81"/>
            <rFont val="Tahoma"/>
            <family val="2"/>
          </rPr>
          <t xml:space="preserve">
2Q12 excludes $3.9M gains on sale of excess properties</t>
        </r>
      </text>
    </comment>
    <comment ref="DU126" authorId="8">
      <text>
        <r>
          <rPr>
            <b/>
            <sz val="9"/>
            <color indexed="81"/>
            <rFont val="Tahoma"/>
            <family val="2"/>
          </rPr>
          <t>Vecchio, Alexander (Research):</t>
        </r>
        <r>
          <rPr>
            <sz val="9"/>
            <color indexed="81"/>
            <rFont val="Tahoma"/>
            <family val="2"/>
          </rPr>
          <t xml:space="preserve">
IR: higher employee benefit exp., cargo claims and weather together were ~$12M total headwind to 4Q13 results (assume ~$10M for YoY comparison purposes in 4Q14 given some expense recurring)</t>
        </r>
      </text>
    </comment>
    <comment ref="DW126" authorId="8">
      <text>
        <r>
          <rPr>
            <b/>
            <sz val="9"/>
            <color indexed="81"/>
            <rFont val="Tahoma"/>
            <family val="2"/>
          </rPr>
          <t>Vecchio, Alexander (Research):</t>
        </r>
        <r>
          <rPr>
            <sz val="9"/>
            <color indexed="81"/>
            <rFont val="Tahoma"/>
            <family val="2"/>
          </rPr>
          <t xml:space="preserve">
1Q14 mgmt - weather was ~$18M YoY headwind to CNW Freight in 1Q</t>
        </r>
      </text>
    </comment>
    <comment ref="DX126" authorId="8">
      <text>
        <r>
          <rPr>
            <b/>
            <sz val="9"/>
            <color indexed="81"/>
            <rFont val="Tahoma"/>
            <family val="2"/>
          </rPr>
          <t>Vecchio, Alexander (Research):</t>
        </r>
        <r>
          <rPr>
            <sz val="9"/>
            <color indexed="81"/>
            <rFont val="Tahoma"/>
            <family val="2"/>
          </rPr>
          <t xml:space="preserve">
excludes $3.4M gain on property sale</t>
        </r>
      </text>
    </comment>
    <comment ref="DZ126" authorId="8">
      <text>
        <r>
          <rPr>
            <b/>
            <sz val="9"/>
            <color indexed="81"/>
            <rFont val="Tahoma"/>
            <family val="2"/>
          </rPr>
          <t>Vecchio, Alexander (Research):</t>
        </r>
        <r>
          <rPr>
            <sz val="9"/>
            <color indexed="81"/>
            <rFont val="Tahoma"/>
            <family val="2"/>
          </rPr>
          <t xml:space="preserve">
4Q14 - Workers comp, maint and professional services were up $12M YoY in CNW Freight in 4Q</t>
        </r>
      </text>
    </comment>
    <comment ref="DJ129" authorId="2">
      <text>
        <r>
          <rPr>
            <b/>
            <sz val="8"/>
            <color indexed="81"/>
            <rFont val="Tahoma"/>
            <family val="2"/>
          </rPr>
          <t>vecchale:</t>
        </r>
        <r>
          <rPr>
            <sz val="8"/>
            <color indexed="81"/>
            <rFont val="Tahoma"/>
            <family val="2"/>
          </rPr>
          <t xml:space="preserve">
3Q11 - $2M unexpected severity in auto work / medical insurance in 3Q</t>
        </r>
      </text>
    </comment>
    <comment ref="FH131" authorId="9">
      <text>
        <r>
          <rPr>
            <b/>
            <sz val="8"/>
            <color indexed="81"/>
            <rFont val="Tahoma"/>
            <family val="2"/>
          </rPr>
          <t>trahuang:</t>
        </r>
        <r>
          <rPr>
            <sz val="8"/>
            <color indexed="81"/>
            <rFont val="Tahoma"/>
            <family val="2"/>
          </rPr>
          <t xml:space="preserve">
ex. 09</t>
        </r>
      </text>
    </comment>
    <comment ref="CX132" authorId="2">
      <text>
        <r>
          <rPr>
            <b/>
            <sz val="8"/>
            <color indexed="81"/>
            <rFont val="Tahoma"/>
            <family val="2"/>
          </rPr>
          <t>vecchale:</t>
        </r>
        <r>
          <rPr>
            <sz val="8"/>
            <color indexed="81"/>
            <rFont val="Tahoma"/>
            <family val="2"/>
          </rPr>
          <t xml:space="preserve">
add-back 135M impairment charge</t>
        </r>
      </text>
    </comment>
    <comment ref="DB132" authorId="2">
      <text>
        <r>
          <rPr>
            <b/>
            <sz val="8"/>
            <color indexed="81"/>
            <rFont val="Tahoma"/>
            <family val="2"/>
          </rPr>
          <t>vecchale:</t>
        </r>
        <r>
          <rPr>
            <sz val="8"/>
            <color indexed="81"/>
            <rFont val="Tahoma"/>
            <family val="2"/>
          </rPr>
          <t xml:space="preserve">
$134.8M impairment charge</t>
        </r>
      </text>
    </comment>
    <comment ref="DM132" authorId="2">
      <text>
        <r>
          <rPr>
            <b/>
            <sz val="8"/>
            <color indexed="81"/>
            <rFont val="Tahoma"/>
            <family val="2"/>
          </rPr>
          <t>vecchale:</t>
        </r>
        <r>
          <rPr>
            <sz val="8"/>
            <color indexed="81"/>
            <rFont val="Tahoma"/>
            <family val="2"/>
          </rPr>
          <t xml:space="preserve">
1Q12 - $1.2M gains in 1Q12 vs. typically $0 or maybe few hundred thou/qtr</t>
        </r>
      </text>
    </comment>
    <comment ref="DW132" authorId="8">
      <text>
        <r>
          <rPr>
            <b/>
            <sz val="9"/>
            <color indexed="81"/>
            <rFont val="Tahoma"/>
            <family val="2"/>
          </rPr>
          <t>Vecchio, Alexander (Research):</t>
        </r>
        <r>
          <rPr>
            <sz val="9"/>
            <color indexed="81"/>
            <rFont val="Tahoma"/>
            <family val="2"/>
          </rPr>
          <t xml:space="preserve">
weather impact was $1M to TL in 1Q14 </t>
        </r>
      </text>
    </comment>
    <comment ref="FH143" authorId="9">
      <text>
        <r>
          <rPr>
            <b/>
            <sz val="8"/>
            <color indexed="81"/>
            <rFont val="Tahoma"/>
            <family val="2"/>
          </rPr>
          <t>trahuang:</t>
        </r>
        <r>
          <rPr>
            <sz val="8"/>
            <color indexed="81"/>
            <rFont val="Tahoma"/>
            <family val="2"/>
          </rPr>
          <t xml:space="preserve">
ex. 09</t>
        </r>
      </text>
    </comment>
    <comment ref="DC144" authorId="2">
      <text>
        <r>
          <rPr>
            <b/>
            <sz val="8"/>
            <color indexed="81"/>
            <rFont val="Tahoma"/>
            <family val="2"/>
          </rPr>
          <t>vecchale:</t>
        </r>
        <r>
          <rPr>
            <sz val="8"/>
            <color indexed="81"/>
            <rFont val="Tahoma"/>
            <family val="2"/>
          </rPr>
          <t xml:space="preserve">
excludes 2.8M impairmetn charge</t>
        </r>
      </text>
    </comment>
    <comment ref="DE144" authorId="2">
      <text>
        <r>
          <rPr>
            <b/>
            <sz val="8"/>
            <color indexed="81"/>
            <rFont val="Tahoma"/>
            <family val="2"/>
          </rPr>
          <t>vecchale:</t>
        </r>
        <r>
          <rPr>
            <sz val="8"/>
            <color indexed="81"/>
            <rFont val="Tahoma"/>
            <family val="2"/>
          </rPr>
          <t xml:space="preserve">
Excluding the $16.4 million goodwill-impairment charge, third-quarter operating income in 2010 was $10.1 million, a 6.3 percent increase from $9.5 million in 2009, due largely to the growth in net revenue.
</t>
        </r>
      </text>
    </comment>
    <comment ref="DG144" authorId="2">
      <text>
        <r>
          <rPr>
            <b/>
            <sz val="8"/>
            <color indexed="81"/>
            <rFont val="Tahoma"/>
            <family val="2"/>
          </rPr>
          <t>vecchale:</t>
        </r>
        <r>
          <rPr>
            <sz val="8"/>
            <color indexed="81"/>
            <rFont val="Tahoma"/>
            <family val="2"/>
          </rPr>
          <t xml:space="preserve">
19.1M impairment charge</t>
        </r>
      </text>
    </comment>
    <comment ref="DK144" authorId="2">
      <text>
        <r>
          <rPr>
            <b/>
            <sz val="8"/>
            <color indexed="81"/>
            <rFont val="Tahoma"/>
            <family val="2"/>
          </rPr>
          <t>vecchale:</t>
        </r>
        <r>
          <rPr>
            <sz val="8"/>
            <color indexed="81"/>
            <rFont val="Tahoma"/>
            <family val="2"/>
          </rPr>
          <t xml:space="preserve">
Excludes one-time $10M dispute settlement gain</t>
        </r>
      </text>
    </comment>
    <comment ref="DS144" authorId="7">
      <text>
        <r>
          <rPr>
            <b/>
            <sz val="8"/>
            <color indexed="81"/>
            <rFont val="Tahoma"/>
            <family val="2"/>
          </rPr>
          <t>elizthys:</t>
        </r>
        <r>
          <rPr>
            <sz val="8"/>
            <color indexed="81"/>
            <rFont val="Tahoma"/>
            <family val="2"/>
          </rPr>
          <t xml:space="preserve">
Add back $3.7 million current-year second-quarter charge for an increased reserve on international accounts receivable</t>
        </r>
      </text>
    </comment>
    <comment ref="FH150" authorId="9">
      <text>
        <r>
          <rPr>
            <b/>
            <sz val="8"/>
            <color indexed="81"/>
            <rFont val="Tahoma"/>
            <family val="2"/>
          </rPr>
          <t>trahuang:</t>
        </r>
        <r>
          <rPr>
            <sz val="8"/>
            <color indexed="81"/>
            <rFont val="Tahoma"/>
            <family val="2"/>
          </rPr>
          <t xml:space="preserve">
ex. 09</t>
        </r>
      </text>
    </comment>
    <comment ref="FH153" authorId="9">
      <text>
        <r>
          <rPr>
            <b/>
            <sz val="8"/>
            <color indexed="81"/>
            <rFont val="Tahoma"/>
            <family val="2"/>
          </rPr>
          <t>trahuang:</t>
        </r>
        <r>
          <rPr>
            <sz val="8"/>
            <color indexed="81"/>
            <rFont val="Tahoma"/>
            <family val="2"/>
          </rPr>
          <t xml:space="preserve">
ex. 09</t>
        </r>
      </text>
    </comment>
    <comment ref="CD155" authorId="2">
      <text>
        <r>
          <rPr>
            <b/>
            <sz val="8"/>
            <color indexed="81"/>
            <rFont val="Tahoma"/>
            <family val="2"/>
          </rPr>
          <t>vecchale:</t>
        </r>
        <r>
          <rPr>
            <sz val="8"/>
            <color indexed="81"/>
            <rFont val="Tahoma"/>
            <family val="2"/>
          </rPr>
          <t xml:space="preserve">
includes Vector</t>
        </r>
      </text>
    </comment>
    <comment ref="CE155" authorId="2">
      <text>
        <r>
          <rPr>
            <b/>
            <sz val="8"/>
            <color indexed="81"/>
            <rFont val="Tahoma"/>
            <family val="2"/>
          </rPr>
          <t>vecchale:</t>
        </r>
        <r>
          <rPr>
            <sz val="8"/>
            <color indexed="81"/>
            <rFont val="Tahoma"/>
            <family val="2"/>
          </rPr>
          <t xml:space="preserve">
includes Vector</t>
        </r>
      </text>
    </comment>
    <comment ref="CF155" authorId="2">
      <text>
        <r>
          <rPr>
            <b/>
            <sz val="8"/>
            <color indexed="81"/>
            <rFont val="Tahoma"/>
            <family val="2"/>
          </rPr>
          <t>vecchale:</t>
        </r>
        <r>
          <rPr>
            <sz val="8"/>
            <color indexed="81"/>
            <rFont val="Tahoma"/>
            <family val="2"/>
          </rPr>
          <t xml:space="preserve">
includes Vector</t>
        </r>
      </text>
    </comment>
    <comment ref="CG155" authorId="2">
      <text>
        <r>
          <rPr>
            <b/>
            <sz val="8"/>
            <color indexed="81"/>
            <rFont val="Tahoma"/>
            <family val="2"/>
          </rPr>
          <t>vecchale:</t>
        </r>
        <r>
          <rPr>
            <sz val="8"/>
            <color indexed="81"/>
            <rFont val="Tahoma"/>
            <family val="2"/>
          </rPr>
          <t xml:space="preserve">
includes Vector</t>
        </r>
      </text>
    </comment>
    <comment ref="CH155" authorId="2">
      <text>
        <r>
          <rPr>
            <b/>
            <sz val="8"/>
            <color indexed="81"/>
            <rFont val="Tahoma"/>
            <family val="2"/>
          </rPr>
          <t>vecchale:</t>
        </r>
        <r>
          <rPr>
            <sz val="8"/>
            <color indexed="81"/>
            <rFont val="Tahoma"/>
            <family val="2"/>
          </rPr>
          <t xml:space="preserve">
includes Vector</t>
        </r>
      </text>
    </comment>
    <comment ref="CI155" authorId="2">
      <text>
        <r>
          <rPr>
            <b/>
            <sz val="8"/>
            <color indexed="81"/>
            <rFont val="Tahoma"/>
            <family val="2"/>
          </rPr>
          <t>vecchale:</t>
        </r>
        <r>
          <rPr>
            <sz val="8"/>
            <color indexed="81"/>
            <rFont val="Tahoma"/>
            <family val="2"/>
          </rPr>
          <t xml:space="preserve">
includes Vector</t>
        </r>
      </text>
    </comment>
    <comment ref="CJ155" authorId="2">
      <text>
        <r>
          <rPr>
            <b/>
            <sz val="8"/>
            <color indexed="81"/>
            <rFont val="Tahoma"/>
            <family val="2"/>
          </rPr>
          <t>vecchale:</t>
        </r>
        <r>
          <rPr>
            <sz val="8"/>
            <color indexed="81"/>
            <rFont val="Tahoma"/>
            <family val="2"/>
          </rPr>
          <t xml:space="preserve">
includes Vector</t>
        </r>
      </text>
    </comment>
    <comment ref="CK155" authorId="2">
      <text>
        <r>
          <rPr>
            <b/>
            <sz val="8"/>
            <color indexed="81"/>
            <rFont val="Tahoma"/>
            <family val="2"/>
          </rPr>
          <t>vecchale:</t>
        </r>
        <r>
          <rPr>
            <sz val="8"/>
            <color indexed="81"/>
            <rFont val="Tahoma"/>
            <family val="2"/>
          </rPr>
          <t xml:space="preserve">
includes Vector</t>
        </r>
      </text>
    </comment>
    <comment ref="CL155" authorId="2">
      <text>
        <r>
          <rPr>
            <b/>
            <sz val="8"/>
            <color indexed="81"/>
            <rFont val="Tahoma"/>
            <family val="2"/>
          </rPr>
          <t>vecchale:</t>
        </r>
        <r>
          <rPr>
            <sz val="8"/>
            <color indexed="81"/>
            <rFont val="Tahoma"/>
            <family val="2"/>
          </rPr>
          <t xml:space="preserve">
includes Vector</t>
        </r>
      </text>
    </comment>
    <comment ref="CM155" authorId="2">
      <text>
        <r>
          <rPr>
            <b/>
            <sz val="8"/>
            <color indexed="81"/>
            <rFont val="Tahoma"/>
            <family val="2"/>
          </rPr>
          <t>vecchale:</t>
        </r>
        <r>
          <rPr>
            <sz val="8"/>
            <color indexed="81"/>
            <rFont val="Tahoma"/>
            <family val="2"/>
          </rPr>
          <t xml:space="preserve">
includes Vector</t>
        </r>
      </text>
    </comment>
    <comment ref="CN155" authorId="2">
      <text>
        <r>
          <rPr>
            <b/>
            <sz val="8"/>
            <color indexed="81"/>
            <rFont val="Tahoma"/>
            <family val="2"/>
          </rPr>
          <t>vecchale:</t>
        </r>
        <r>
          <rPr>
            <sz val="8"/>
            <color indexed="81"/>
            <rFont val="Tahoma"/>
            <family val="2"/>
          </rPr>
          <t xml:space="preserve">
includes $3M loss from Vector</t>
        </r>
      </text>
    </comment>
    <comment ref="CR155" authorId="2">
      <text>
        <r>
          <rPr>
            <b/>
            <sz val="8"/>
            <color indexed="81"/>
            <rFont val="Tahoma"/>
            <family val="2"/>
          </rPr>
          <t>vecchale:</t>
        </r>
        <r>
          <rPr>
            <sz val="8"/>
            <color indexed="81"/>
            <rFont val="Tahoma"/>
            <family val="2"/>
          </rPr>
          <t xml:space="preserve">
includes $3M loss from Vector</t>
        </r>
      </text>
    </comment>
    <comment ref="DB155" authorId="2">
      <text>
        <r>
          <rPr>
            <b/>
            <sz val="8"/>
            <color indexed="81"/>
            <rFont val="Tahoma"/>
            <family val="2"/>
          </rPr>
          <t>vecchale:</t>
        </r>
        <r>
          <rPr>
            <sz val="8"/>
            <color indexed="81"/>
            <rFont val="Tahoma"/>
            <family val="2"/>
          </rPr>
          <t xml:space="preserve">
$5.4M change in acct est</t>
        </r>
      </text>
    </comment>
    <comment ref="DE155" authorId="2">
      <text>
        <r>
          <rPr>
            <b/>
            <sz val="8"/>
            <color indexed="81"/>
            <rFont val="Tahoma"/>
            <family val="2"/>
          </rPr>
          <t>vecchale:</t>
        </r>
        <r>
          <rPr>
            <sz val="8"/>
            <color indexed="81"/>
            <rFont val="Tahoma"/>
            <family val="2"/>
          </rPr>
          <t xml:space="preserve">
On a non-GAAP basis, third-quarter earnings per diluted share were 22 cents in 2010 compared to 38 cents in 2009, excluding the following items: 
2010 -- a $16.4 million goodwill-impairment charge related to the 2007 acquisition of Chic Logistics, and $5.5 million of expense for recent employee severances and the planned consolidation of Con-way’s executive offices;
2009 -- a change in the accounting estimate for revenue adjustments, which reduced revenue and operating income at Con-way Freight by $5.4 million.
</t>
        </r>
      </text>
    </comment>
    <comment ref="DF155" authorId="2">
      <text>
        <r>
          <rPr>
            <b/>
            <sz val="8"/>
            <color indexed="81"/>
            <rFont val="Tahoma"/>
            <family val="2"/>
          </rPr>
          <t>vecchale:</t>
        </r>
        <r>
          <rPr>
            <sz val="8"/>
            <color indexed="81"/>
            <rFont val="Tahoma"/>
            <family val="2"/>
          </rPr>
          <t xml:space="preserve">
On a non-GAAP basis, earnings per diluted share were 2 cents in the 2010 fourth quarter compared to 6 cents in 2009, excluding the following: 
2010 – $1.1 million of costs associated with the consolidation of Con-way’s executive offices, and a $2.0 million positive tax adjustment resulting primarily from a recent change in tax legislation that reduced the annual effective tax rate.
2009 – $3.4 million of expenses for an administrative outsourcing initiative, and $2.6 million of increased tax expense due to the effect of adjustments for discrete and other tax items.
</t>
        </r>
      </text>
    </comment>
    <comment ref="DS155" authorId="7">
      <text>
        <r>
          <rPr>
            <b/>
            <sz val="8"/>
            <color indexed="81"/>
            <rFont val="Tahoma"/>
            <family val="2"/>
          </rPr>
          <t>elizthys:</t>
        </r>
        <r>
          <rPr>
            <sz val="8"/>
            <color indexed="81"/>
            <rFont val="Tahoma"/>
            <family val="2"/>
          </rPr>
          <t xml:space="preserve">
remove $5.6 million current-year second-quarter gain from the sale of property</t>
        </r>
      </text>
    </comment>
    <comment ref="DR157" authorId="7">
      <text>
        <r>
          <rPr>
            <b/>
            <sz val="8"/>
            <color indexed="81"/>
            <rFont val="Tahoma"/>
            <family val="2"/>
          </rPr>
          <t>elizthys:</t>
        </r>
        <r>
          <rPr>
            <sz val="8"/>
            <color indexed="81"/>
            <rFont val="Tahoma"/>
            <family val="2"/>
          </rPr>
          <t xml:space="preserve">
ex cost headwinds, 96.6%
</t>
        </r>
      </text>
    </comment>
    <comment ref="FH159" authorId="9">
      <text>
        <r>
          <rPr>
            <b/>
            <sz val="8"/>
            <color indexed="81"/>
            <rFont val="Tahoma"/>
            <family val="2"/>
          </rPr>
          <t>trahuang:</t>
        </r>
        <r>
          <rPr>
            <sz val="8"/>
            <color indexed="81"/>
            <rFont val="Tahoma"/>
            <family val="2"/>
          </rPr>
          <t xml:space="preserve">
ex. 09</t>
        </r>
      </text>
    </comment>
    <comment ref="FH163" authorId="9">
      <text>
        <r>
          <rPr>
            <b/>
            <sz val="8"/>
            <color indexed="81"/>
            <rFont val="Tahoma"/>
            <family val="2"/>
          </rPr>
          <t>trahuang:</t>
        </r>
        <r>
          <rPr>
            <sz val="8"/>
            <color indexed="81"/>
            <rFont val="Tahoma"/>
            <family val="2"/>
          </rPr>
          <t xml:space="preserve">
ex. 09</t>
        </r>
      </text>
    </comment>
    <comment ref="BY165" authorId="2">
      <text>
        <r>
          <rPr>
            <b/>
            <sz val="8"/>
            <color indexed="81"/>
            <rFont val="Tahoma"/>
            <family val="2"/>
          </rPr>
          <t>vecchale:</t>
        </r>
        <r>
          <rPr>
            <sz val="8"/>
            <color indexed="81"/>
            <rFont val="Tahoma"/>
            <family val="2"/>
          </rPr>
          <t xml:space="preserve">
operating expenses</t>
        </r>
      </text>
    </comment>
    <comment ref="BZ165" authorId="2">
      <text>
        <r>
          <rPr>
            <b/>
            <sz val="8"/>
            <color indexed="81"/>
            <rFont val="Tahoma"/>
            <family val="2"/>
          </rPr>
          <t>vecchale:</t>
        </r>
        <r>
          <rPr>
            <sz val="8"/>
            <color indexed="81"/>
            <rFont val="Tahoma"/>
            <family val="2"/>
          </rPr>
          <t xml:space="preserve">
operating expenses</t>
        </r>
      </text>
    </comment>
    <comment ref="CA165" authorId="2">
      <text>
        <r>
          <rPr>
            <b/>
            <sz val="8"/>
            <color indexed="81"/>
            <rFont val="Tahoma"/>
            <family val="2"/>
          </rPr>
          <t>vecchale:</t>
        </r>
        <r>
          <rPr>
            <sz val="8"/>
            <color indexed="81"/>
            <rFont val="Tahoma"/>
            <family val="2"/>
          </rPr>
          <t xml:space="preserve">
operating expenses</t>
        </r>
      </text>
    </comment>
    <comment ref="CB165" authorId="2">
      <text>
        <r>
          <rPr>
            <b/>
            <sz val="8"/>
            <color indexed="81"/>
            <rFont val="Tahoma"/>
            <family val="2"/>
          </rPr>
          <t>vecchale:</t>
        </r>
        <r>
          <rPr>
            <sz val="8"/>
            <color indexed="81"/>
            <rFont val="Tahoma"/>
            <family val="2"/>
          </rPr>
          <t xml:space="preserve">
operating expenses</t>
        </r>
      </text>
    </comment>
    <comment ref="CC165" authorId="2">
      <text>
        <r>
          <rPr>
            <b/>
            <sz val="8"/>
            <color indexed="81"/>
            <rFont val="Tahoma"/>
            <family val="2"/>
          </rPr>
          <t>vecchale:</t>
        </r>
        <r>
          <rPr>
            <sz val="8"/>
            <color indexed="81"/>
            <rFont val="Tahoma"/>
            <family val="2"/>
          </rPr>
          <t xml:space="preserve">
operating expenses</t>
        </r>
      </text>
    </comment>
    <comment ref="CD165" authorId="2">
      <text>
        <r>
          <rPr>
            <b/>
            <sz val="8"/>
            <color indexed="81"/>
            <rFont val="Tahoma"/>
            <family val="2"/>
          </rPr>
          <t>vecchale:</t>
        </r>
        <r>
          <rPr>
            <sz val="8"/>
            <color indexed="81"/>
            <rFont val="Tahoma"/>
            <family val="2"/>
          </rPr>
          <t xml:space="preserve">
operating expenses</t>
        </r>
      </text>
    </comment>
    <comment ref="CE165" authorId="2">
      <text>
        <r>
          <rPr>
            <b/>
            <sz val="8"/>
            <color indexed="81"/>
            <rFont val="Tahoma"/>
            <family val="2"/>
          </rPr>
          <t>vecchale:</t>
        </r>
        <r>
          <rPr>
            <sz val="8"/>
            <color indexed="81"/>
            <rFont val="Tahoma"/>
            <family val="2"/>
          </rPr>
          <t xml:space="preserve">
operating expenses</t>
        </r>
      </text>
    </comment>
    <comment ref="CF165" authorId="2">
      <text>
        <r>
          <rPr>
            <b/>
            <sz val="8"/>
            <color indexed="81"/>
            <rFont val="Tahoma"/>
            <family val="2"/>
          </rPr>
          <t>vecchale:</t>
        </r>
        <r>
          <rPr>
            <sz val="8"/>
            <color indexed="81"/>
            <rFont val="Tahoma"/>
            <family val="2"/>
          </rPr>
          <t xml:space="preserve">
operating expenses</t>
        </r>
      </text>
    </comment>
    <comment ref="CG165" authorId="2">
      <text>
        <r>
          <rPr>
            <b/>
            <sz val="8"/>
            <color indexed="81"/>
            <rFont val="Tahoma"/>
            <family val="2"/>
          </rPr>
          <t>vecchale:</t>
        </r>
        <r>
          <rPr>
            <sz val="8"/>
            <color indexed="81"/>
            <rFont val="Tahoma"/>
            <family val="2"/>
          </rPr>
          <t xml:space="preserve">
operating expenses</t>
        </r>
      </text>
    </comment>
    <comment ref="DG165" authorId="2">
      <text>
        <r>
          <rPr>
            <b/>
            <sz val="8"/>
            <color indexed="81"/>
            <rFont val="Tahoma"/>
            <family val="2"/>
          </rPr>
          <t>vecchale:</t>
        </r>
        <r>
          <rPr>
            <sz val="8"/>
            <color indexed="81"/>
            <rFont val="Tahoma"/>
            <family val="2"/>
          </rPr>
          <t xml:space="preserve">
exclude $4M in employee separation costs</t>
        </r>
      </text>
    </comment>
    <comment ref="DJ169" authorId="2">
      <text>
        <r>
          <rPr>
            <b/>
            <sz val="8"/>
            <color indexed="81"/>
            <rFont val="Tahoma"/>
            <family val="2"/>
          </rPr>
          <t>vecchale:</t>
        </r>
        <r>
          <rPr>
            <sz val="8"/>
            <color indexed="81"/>
            <rFont val="Tahoma"/>
            <family val="2"/>
          </rPr>
          <t xml:space="preserve">
3Q11 consolidated PT higher YoY mostly resulting from increased gross revs at Menlo</t>
        </r>
      </text>
    </comment>
    <comment ref="CJ173" authorId="2">
      <text>
        <r>
          <rPr>
            <b/>
            <sz val="8"/>
            <color indexed="81"/>
            <rFont val="Tahoma"/>
            <family val="2"/>
          </rPr>
          <t>vecchale:</t>
        </r>
        <r>
          <rPr>
            <sz val="8"/>
            <color indexed="81"/>
            <rFont val="Tahoma"/>
            <family val="2"/>
          </rPr>
          <t xml:space="preserve">
stopped reporting fuel expenses separately - included in other op expenses</t>
        </r>
      </text>
    </comment>
    <comment ref="CD179" authorId="2">
      <text>
        <r>
          <rPr>
            <b/>
            <sz val="8"/>
            <color indexed="81"/>
            <rFont val="Tahoma"/>
            <family val="2"/>
          </rPr>
          <t>vecchale:</t>
        </r>
        <r>
          <rPr>
            <sz val="8"/>
            <color indexed="81"/>
            <rFont val="Tahoma"/>
            <family val="2"/>
          </rPr>
          <t xml:space="preserve">
SG&amp;A</t>
        </r>
      </text>
    </comment>
    <comment ref="CE179" authorId="2">
      <text>
        <r>
          <rPr>
            <b/>
            <sz val="8"/>
            <color indexed="81"/>
            <rFont val="Tahoma"/>
            <family val="2"/>
          </rPr>
          <t>vecchale:</t>
        </r>
        <r>
          <rPr>
            <sz val="8"/>
            <color indexed="81"/>
            <rFont val="Tahoma"/>
            <family val="2"/>
          </rPr>
          <t xml:space="preserve">
SG&amp;A</t>
        </r>
      </text>
    </comment>
    <comment ref="CF179" authorId="2">
      <text>
        <r>
          <rPr>
            <b/>
            <sz val="8"/>
            <color indexed="81"/>
            <rFont val="Tahoma"/>
            <family val="2"/>
          </rPr>
          <t>vecchale:</t>
        </r>
        <r>
          <rPr>
            <sz val="8"/>
            <color indexed="81"/>
            <rFont val="Tahoma"/>
            <family val="2"/>
          </rPr>
          <t xml:space="preserve">
SG&amp;A</t>
        </r>
      </text>
    </comment>
    <comment ref="CG179" authorId="2">
      <text>
        <r>
          <rPr>
            <b/>
            <sz val="8"/>
            <color indexed="81"/>
            <rFont val="Tahoma"/>
            <family val="2"/>
          </rPr>
          <t>vecchale:</t>
        </r>
        <r>
          <rPr>
            <sz val="8"/>
            <color indexed="81"/>
            <rFont val="Tahoma"/>
            <family val="2"/>
          </rPr>
          <t xml:space="preserve">
SG&amp;A</t>
        </r>
      </text>
    </comment>
    <comment ref="CX179" authorId="2">
      <text>
        <r>
          <rPr>
            <b/>
            <sz val="8"/>
            <color indexed="81"/>
            <rFont val="Tahoma"/>
            <family val="2"/>
          </rPr>
          <t>vecchale:</t>
        </r>
        <r>
          <rPr>
            <sz val="8"/>
            <color indexed="81"/>
            <rFont val="Tahoma"/>
            <family val="2"/>
          </rPr>
          <t xml:space="preserve">
excludes $135M impairment of goodwill charge</t>
        </r>
      </text>
    </comment>
    <comment ref="DC179" authorId="2">
      <text>
        <r>
          <rPr>
            <b/>
            <sz val="8"/>
            <color indexed="81"/>
            <rFont val="Tahoma"/>
            <family val="2"/>
          </rPr>
          <t>vecchale:</t>
        </r>
        <r>
          <rPr>
            <sz val="8"/>
            <color indexed="81"/>
            <rFont val="Tahoma"/>
            <family val="2"/>
          </rPr>
          <t xml:space="preserve">
excludes $2.8M impairment of goodwill charge</t>
        </r>
      </text>
    </comment>
    <comment ref="DE179" authorId="2">
      <text>
        <r>
          <rPr>
            <b/>
            <sz val="8"/>
            <color indexed="81"/>
            <rFont val="Tahoma"/>
            <family val="2"/>
          </rPr>
          <t>vecchale:</t>
        </r>
        <r>
          <rPr>
            <sz val="8"/>
            <color indexed="81"/>
            <rFont val="Tahoma"/>
            <family val="2"/>
          </rPr>
          <t xml:space="preserve">
excludes $16M impairment of goodwill charge</t>
        </r>
      </text>
    </comment>
    <comment ref="DN187" authorId="2">
      <text>
        <r>
          <rPr>
            <b/>
            <sz val="8"/>
            <color indexed="81"/>
            <rFont val="Tahoma"/>
            <family val="2"/>
          </rPr>
          <t>vecchale:</t>
        </r>
        <r>
          <rPr>
            <sz val="8"/>
            <color indexed="81"/>
            <rFont val="Tahoma"/>
            <family val="2"/>
          </rPr>
          <t xml:space="preserve">
add back $3.9M gains in Freight segment</t>
        </r>
      </text>
    </comment>
    <comment ref="DS187" authorId="7">
      <text>
        <r>
          <rPr>
            <b/>
            <sz val="8"/>
            <color indexed="81"/>
            <rFont val="Tahoma"/>
            <family val="2"/>
          </rPr>
          <t>elizthys:</t>
        </r>
        <r>
          <rPr>
            <sz val="8"/>
            <color indexed="81"/>
            <rFont val="Tahoma"/>
            <family val="2"/>
          </rPr>
          <t xml:space="preserve">
See notes from logistics op inc and other op inc</t>
        </r>
      </text>
    </comment>
    <comment ref="EB187" authorId="5">
      <text>
        <r>
          <rPr>
            <b/>
            <sz val="8"/>
            <color indexed="81"/>
            <rFont val="Tahoma"/>
            <family val="2"/>
          </rPr>
          <t>Huang, Tracy (Research):</t>
        </r>
        <r>
          <rPr>
            <sz val="8"/>
            <color indexed="81"/>
            <rFont val="Tahoma"/>
            <family val="2"/>
          </rPr>
          <t xml:space="preserve">
adjusted for defined benefit pension expense</t>
        </r>
      </text>
    </comment>
    <comment ref="DG188" authorId="2">
      <text>
        <r>
          <rPr>
            <b/>
            <sz val="8"/>
            <color indexed="81"/>
            <rFont val="Tahoma"/>
            <family val="2"/>
          </rPr>
          <t>vecchale:</t>
        </r>
        <r>
          <rPr>
            <sz val="8"/>
            <color indexed="81"/>
            <rFont val="Tahoma"/>
            <family val="2"/>
          </rPr>
          <t xml:space="preserve">
excludes impairment charges</t>
        </r>
      </text>
    </comment>
    <comment ref="DK188" authorId="2">
      <text>
        <r>
          <rPr>
            <b/>
            <sz val="8"/>
            <color indexed="81"/>
            <rFont val="Tahoma"/>
            <family val="2"/>
          </rPr>
          <t>vecchale:</t>
        </r>
        <r>
          <rPr>
            <sz val="8"/>
            <color indexed="81"/>
            <rFont val="Tahoma"/>
            <family val="2"/>
          </rPr>
          <t xml:space="preserve">
Excludes one-time $10M dispute settlement gain</t>
        </r>
      </text>
    </comment>
    <comment ref="DD189" authorId="3">
      <text>
        <r>
          <rPr>
            <b/>
            <sz val="8"/>
            <color indexed="81"/>
            <rFont val="Tahoma"/>
            <family val="2"/>
          </rPr>
          <t>longsona:</t>
        </r>
        <r>
          <rPr>
            <sz val="8"/>
            <color indexed="81"/>
            <rFont val="Tahoma"/>
            <family val="2"/>
          </rPr>
          <t xml:space="preserve">
beginning with the third quarter, we’ll begin to accelerate the replacement of tractors at Con-way Truckload, and as a result we’ll be adjusting useful lives and residual values, and therefore we’ll absorb accelerated depreciation expense of about 3 million spread over the remainder of this year</t>
        </r>
      </text>
    </comment>
    <comment ref="DR204" authorId="7">
      <text>
        <r>
          <rPr>
            <b/>
            <sz val="8"/>
            <color indexed="81"/>
            <rFont val="Tahoma"/>
            <family val="2"/>
          </rPr>
          <t>elizthys:</t>
        </r>
        <r>
          <rPr>
            <sz val="8"/>
            <color indexed="81"/>
            <rFont val="Tahoma"/>
            <family val="2"/>
          </rPr>
          <t xml:space="preserve">
One-time cost items reduced op inc by $14m
</t>
        </r>
      </text>
    </comment>
    <comment ref="BO212" authorId="2">
      <text>
        <r>
          <rPr>
            <b/>
            <sz val="8"/>
            <color indexed="81"/>
            <rFont val="Tahoma"/>
            <family val="2"/>
          </rPr>
          <t>vecchale:</t>
        </r>
        <r>
          <rPr>
            <sz val="8"/>
            <color indexed="81"/>
            <rFont val="Tahoma"/>
            <family val="2"/>
          </rPr>
          <t xml:space="preserve">
includes TECON dividend</t>
        </r>
      </text>
    </comment>
    <comment ref="BP212" authorId="2">
      <text>
        <r>
          <rPr>
            <b/>
            <sz val="8"/>
            <color indexed="81"/>
            <rFont val="Tahoma"/>
            <family val="2"/>
          </rPr>
          <t>vecchale:</t>
        </r>
        <r>
          <rPr>
            <sz val="8"/>
            <color indexed="81"/>
            <rFont val="Tahoma"/>
            <family val="2"/>
          </rPr>
          <t xml:space="preserve">
includes TECON dividend</t>
        </r>
      </text>
    </comment>
    <comment ref="BQ212" authorId="2">
      <text>
        <r>
          <rPr>
            <b/>
            <sz val="8"/>
            <color indexed="81"/>
            <rFont val="Tahoma"/>
            <family val="2"/>
          </rPr>
          <t>vecchale:</t>
        </r>
        <r>
          <rPr>
            <sz val="8"/>
            <color indexed="81"/>
            <rFont val="Tahoma"/>
            <family val="2"/>
          </rPr>
          <t xml:space="preserve">
includes TECON dividend</t>
        </r>
      </text>
    </comment>
    <comment ref="BR212" authorId="2">
      <text>
        <r>
          <rPr>
            <b/>
            <sz val="8"/>
            <color indexed="81"/>
            <rFont val="Tahoma"/>
            <family val="2"/>
          </rPr>
          <t>vecchale:</t>
        </r>
        <r>
          <rPr>
            <sz val="8"/>
            <color indexed="81"/>
            <rFont val="Tahoma"/>
            <family val="2"/>
          </rPr>
          <t xml:space="preserve">
includes TECON dividend</t>
        </r>
      </text>
    </comment>
    <comment ref="BX212" authorId="0">
      <text>
        <r>
          <rPr>
            <sz val="8"/>
            <color indexed="81"/>
            <rFont val="Tahoma"/>
            <family val="2"/>
          </rPr>
          <t>manellim:
interest expense should average $7.5 million a quarter.  Increase due to conversion of variable rate debt to fixed as a result of new swap agreement.</t>
        </r>
      </text>
    </comment>
    <comment ref="BZ212" authorId="0">
      <text>
        <r>
          <rPr>
            <sz val="8"/>
            <color indexed="81"/>
            <rFont val="Tahoma"/>
            <family val="2"/>
          </rPr>
          <t>Chad Bruso:
4/20/04:
Chudda expects interest expense to be $9/mil in 2Q04</t>
        </r>
      </text>
    </comment>
    <comment ref="CA212" authorId="0">
      <text>
        <r>
          <rPr>
            <sz val="8"/>
            <color indexed="81"/>
            <rFont val="Tahoma"/>
            <family val="2"/>
          </rPr>
          <t>Chad Bruso:
7/20/04: CNF expects int. exp to be roughly $12M in 3Q04</t>
        </r>
      </text>
    </comment>
    <comment ref="BR216" authorId="0">
      <text>
        <r>
          <rPr>
            <sz val="8"/>
            <color indexed="81"/>
            <rFont val="Tahoma"/>
            <family val="2"/>
          </rPr>
          <t>manellim:
Excludes $3.7 million write-off of Venture Capital investments.</t>
        </r>
      </text>
    </comment>
    <comment ref="BZ216" authorId="0">
      <text>
        <r>
          <rPr>
            <sz val="8"/>
            <color indexed="81"/>
            <rFont val="Tahoma"/>
            <family val="2"/>
          </rPr>
          <t>Chad Bruso:
Includes $2.7 mil. Expense for write-off of TECON fees and $2.0 gain on sale of security</t>
        </r>
      </text>
    </comment>
    <comment ref="DZ216" authorId="8">
      <text>
        <r>
          <rPr>
            <b/>
            <sz val="9"/>
            <color indexed="81"/>
            <rFont val="Tahoma"/>
            <family val="2"/>
          </rPr>
          <t>Vecchio, Alexander (Research):</t>
        </r>
        <r>
          <rPr>
            <sz val="9"/>
            <color indexed="81"/>
            <rFont val="Tahoma"/>
            <family val="2"/>
          </rPr>
          <t xml:space="preserve">
$5.1M FX-related loss</t>
        </r>
      </text>
    </comment>
    <comment ref="CC220" authorId="0">
      <text>
        <r>
          <rPr>
            <sz val="8"/>
            <color indexed="81"/>
            <rFont val="Tahoma"/>
            <family val="2"/>
          </rPr>
          <t>Chad Bruso:
4/20/04: 
Chudda expects 39% tax rate going forward</t>
        </r>
      </text>
    </comment>
    <comment ref="CE220" authorId="1">
      <text>
        <r>
          <rPr>
            <b/>
            <sz val="8"/>
            <color indexed="81"/>
            <rFont val="Tahoma"/>
            <family val="2"/>
          </rPr>
          <t>cbruso:</t>
        </r>
        <r>
          <rPr>
            <sz val="8"/>
            <color indexed="81"/>
            <rFont val="Tahoma"/>
            <family val="2"/>
          </rPr>
          <t xml:space="preserve">
7/20/05:
Benefit from lower tax rate offset by $4M severance pmt to Williford (which CNF didn't break out) as such we left low tax rate as an offset.
Per 1Q05 release, CNF expects tax rate to be 39% in 2Q05</t>
        </r>
      </text>
    </comment>
    <comment ref="CF220" authorId="1">
      <text>
        <r>
          <rPr>
            <b/>
            <sz val="8"/>
            <color indexed="81"/>
            <rFont val="Tahoma"/>
            <family val="2"/>
          </rPr>
          <t>cbruso:</t>
        </r>
        <r>
          <rPr>
            <sz val="8"/>
            <color indexed="81"/>
            <rFont val="Tahoma"/>
            <family val="2"/>
          </rPr>
          <t xml:space="preserve">
7/20/05:
CNF’s tax rate is expected to be 38 percent in the second quarter.</t>
        </r>
      </text>
    </comment>
    <comment ref="CG220" authorId="1">
      <text>
        <r>
          <rPr>
            <b/>
            <sz val="8"/>
            <color indexed="81"/>
            <rFont val="Tahoma"/>
            <family val="2"/>
          </rPr>
          <t>cbruso:</t>
        </r>
        <r>
          <rPr>
            <sz val="8"/>
            <color indexed="81"/>
            <rFont val="Tahoma"/>
            <family val="2"/>
          </rPr>
          <t xml:space="preserve">
10/20/05:  CNF’s tax provision is expected to be 37% in 4Q05 (excl. tax related to Vector SCM’s foreign income, which is reported in operating income.).</t>
        </r>
      </text>
    </comment>
    <comment ref="DH220" authorId="2">
      <text>
        <r>
          <rPr>
            <b/>
            <sz val="8"/>
            <color indexed="81"/>
            <rFont val="Tahoma"/>
            <family val="2"/>
          </rPr>
          <t>vecchale:</t>
        </r>
        <r>
          <rPr>
            <sz val="8"/>
            <color indexed="81"/>
            <rFont val="Tahoma"/>
            <family val="2"/>
          </rPr>
          <t xml:space="preserve">
1Q11 effective tax rate of 37.3% (excl. discrete tax adjustments)</t>
        </r>
      </text>
    </comment>
    <comment ref="DI220" authorId="2">
      <text>
        <r>
          <rPr>
            <b/>
            <sz val="8"/>
            <color indexed="81"/>
            <rFont val="Tahoma"/>
            <family val="2"/>
          </rPr>
          <t>vecchale:</t>
        </r>
        <r>
          <rPr>
            <sz val="8"/>
            <color indexed="81"/>
            <rFont val="Tahoma"/>
            <family val="2"/>
          </rPr>
          <t xml:space="preserve">
2Q11 effective tax rate of 35.3% (excl. discrete tax adjustments)</t>
        </r>
      </text>
    </comment>
    <comment ref="DJ220" authorId="2">
      <text>
        <r>
          <rPr>
            <b/>
            <sz val="8"/>
            <color indexed="81"/>
            <rFont val="Tahoma"/>
            <family val="2"/>
          </rPr>
          <t>vecchale:</t>
        </r>
        <r>
          <rPr>
            <sz val="8"/>
            <color indexed="81"/>
            <rFont val="Tahoma"/>
            <family val="2"/>
          </rPr>
          <t xml:space="preserve">
3Q11 effective tax rate of 37.4% (excl. discrete tax adjustments)</t>
        </r>
      </text>
    </comment>
    <comment ref="CE221" authorId="1">
      <text>
        <r>
          <rPr>
            <b/>
            <sz val="8"/>
            <color indexed="81"/>
            <rFont val="Tahoma"/>
            <family val="2"/>
          </rPr>
          <t>cbruso:</t>
        </r>
        <r>
          <rPr>
            <sz val="8"/>
            <color indexed="81"/>
            <rFont val="Tahoma"/>
            <family val="2"/>
          </rPr>
          <t xml:space="preserve">
Added back $7M gain from settlement with the IRS</t>
        </r>
      </text>
    </comment>
    <comment ref="CX221" authorId="4">
      <text>
        <r>
          <rPr>
            <b/>
            <sz val="8"/>
            <color indexed="81"/>
            <rFont val="Tahoma"/>
            <family val="2"/>
          </rPr>
          <t>himanshs:</t>
        </r>
        <r>
          <rPr>
            <sz val="8"/>
            <color indexed="81"/>
            <rFont val="Tahoma"/>
            <family val="2"/>
          </rPr>
          <t xml:space="preserve">
The first-quarter tax provision in 2010 reflects a $2.3 million charge related to recently enacted health care legislation, while the first-quarter tax benefit in 2009 includes the effect of the non-deductible goodwill-impairment charge. Excluding these items and other less material discrete adjustments, the first-quarter effective tax rate increased to 41.7% in 2010 from 36.5% in 2009, due primarily to a prior-year $2.7 million benefit associated with a now-expired fuel-related tax credit.
Source: 10Q, 1Q10</t>
        </r>
      </text>
    </comment>
    <comment ref="DE221" authorId="2">
      <text>
        <r>
          <rPr>
            <b/>
            <sz val="8"/>
            <color indexed="81"/>
            <rFont val="Tahoma"/>
            <family val="2"/>
          </rPr>
          <t>vecchale:</t>
        </r>
        <r>
          <rPr>
            <sz val="8"/>
            <color indexed="81"/>
            <rFont val="Tahoma"/>
            <family val="2"/>
          </rPr>
          <t xml:space="preserve">
On a non-GAAP basis, third-quarter earnings per diluted share were 22 cents in 2010 compared to 38 cents in 2009, excluding the following items: 
2010 -- a $16.4 million goodwill-impairment charge related to the 2007 acquisition of Chic Logistics, and $5.5 million of expense for recent employee severances and the planned consolidation of Con-way’s executive offices;
2009 -- a change in the accounting estimate for revenue adjustments, which reduced revenue and operating income at Con-way Freight by $5.4 million.
</t>
        </r>
      </text>
    </comment>
    <comment ref="DF221" authorId="2">
      <text>
        <r>
          <rPr>
            <b/>
            <sz val="8"/>
            <color indexed="81"/>
            <rFont val="Tahoma"/>
            <family val="2"/>
          </rPr>
          <t>vecchale:</t>
        </r>
        <r>
          <rPr>
            <sz val="8"/>
            <color indexed="81"/>
            <rFont val="Tahoma"/>
            <family val="2"/>
          </rPr>
          <t xml:space="preserve">
On a non-GAAP basis, earnings per diluted share were 2 cents in the 2010 fourth quarter compared to 6 cents in 2009, excluding the following: 
2010 – $1.1 million of costs associated with the consolidation of Con-way’s executive offices, and a $2.0 million positive tax adjustment resulting primarily from a recent change in tax legislation that reduced the annual effective tax rate.
2009 – $3.4 million of expenses for an administrative outsourcing initiative, and $2.6 million of increased tax expense due to the effect of adjustments for discrete and other tax items.
</t>
        </r>
      </text>
    </comment>
    <comment ref="DK221" authorId="2">
      <text>
        <r>
          <rPr>
            <b/>
            <sz val="8"/>
            <color indexed="81"/>
            <rFont val="Tahoma"/>
            <family val="2"/>
          </rPr>
          <t>vecchale:</t>
        </r>
        <r>
          <rPr>
            <sz val="8"/>
            <color indexed="81"/>
            <rFont val="Tahoma"/>
            <family val="2"/>
          </rPr>
          <t xml:space="preserve">
adj. for one-time $10M gain in logistics segment</t>
        </r>
      </text>
    </comment>
    <comment ref="DM221" authorId="2">
      <text>
        <r>
          <rPr>
            <b/>
            <sz val="8"/>
            <color indexed="81"/>
            <rFont val="Tahoma"/>
            <family val="2"/>
          </rPr>
          <t>vecchale:</t>
        </r>
        <r>
          <rPr>
            <sz val="8"/>
            <color indexed="81"/>
            <rFont val="Tahoma"/>
            <family val="2"/>
          </rPr>
          <t xml:space="preserve">
adj for discrete tax items</t>
        </r>
      </text>
    </comment>
    <comment ref="DY221" authorId="5">
      <text>
        <r>
          <rPr>
            <b/>
            <sz val="8"/>
            <color indexed="81"/>
            <rFont val="Tahoma"/>
            <family val="2"/>
          </rPr>
          <t>Huang, Tracy (Research):</t>
        </r>
        <r>
          <rPr>
            <sz val="8"/>
            <color indexed="81"/>
            <rFont val="Tahoma"/>
            <family val="2"/>
          </rPr>
          <t xml:space="preserve">
incl Discrete and other tax adjustment of $0.851M</t>
        </r>
      </text>
    </comment>
    <comment ref="A226" authorId="0">
      <text>
        <r>
          <rPr>
            <sz val="8"/>
            <color indexed="81"/>
            <rFont val="Tahoma"/>
            <family val="2"/>
          </rPr>
          <t>Chad Bruso:
TASPs</t>
        </r>
      </text>
    </comment>
    <comment ref="A227" authorId="3">
      <text>
        <r>
          <rPr>
            <b/>
            <sz val="8"/>
            <color indexed="81"/>
            <rFont val="Tahoma"/>
            <family val="2"/>
          </rPr>
          <t>longsona:</t>
        </r>
        <r>
          <rPr>
            <sz val="8"/>
            <color indexed="81"/>
            <rFont val="Tahoma"/>
            <family val="2"/>
          </rPr>
          <t xml:space="preserve">
TECON, net of tax benefits </t>
        </r>
      </text>
    </comment>
    <comment ref="BT227" authorId="3">
      <text>
        <r>
          <rPr>
            <b/>
            <sz val="8"/>
            <color indexed="81"/>
            <rFont val="Tahoma"/>
            <family val="2"/>
          </rPr>
          <t>longsona:</t>
        </r>
        <r>
          <rPr>
            <sz val="8"/>
            <color indexed="81"/>
            <rFont val="Tahoma"/>
            <family val="2"/>
          </rPr>
          <t xml:space="preserve">
Was 0.954</t>
        </r>
      </text>
    </comment>
    <comment ref="BZ227" authorId="0">
      <text>
        <r>
          <rPr>
            <sz val="8"/>
            <color indexed="81"/>
            <rFont val="Tahoma"/>
            <family val="2"/>
          </rPr>
          <t>Chad Bruso:
Per Pat 2 months worth in 2Q04</t>
        </r>
      </text>
    </comment>
    <comment ref="A228" authorId="0">
      <text>
        <r>
          <rPr>
            <sz val="8"/>
            <color indexed="81"/>
            <rFont val="Tahoma"/>
            <family val="2"/>
          </rPr>
          <t>This represents CNF making up the difference in common and preferred dividends after Series B (TASPs) shares are converted to common.</t>
        </r>
      </text>
    </comment>
    <comment ref="BO231" authorId="0">
      <text>
        <r>
          <rPr>
            <sz val="8"/>
            <color indexed="81"/>
            <rFont val="Tahoma"/>
            <family val="2"/>
          </rPr>
          <t xml:space="preserve">manellim:
Clean earnings number $0.09 per share
</t>
        </r>
      </text>
    </comment>
    <comment ref="CD231" authorId="1">
      <text>
        <r>
          <rPr>
            <b/>
            <sz val="8"/>
            <color indexed="81"/>
            <rFont val="Tahoma"/>
            <family val="2"/>
          </rPr>
          <t>cbruso:</t>
        </r>
        <r>
          <rPr>
            <sz val="8"/>
            <color indexed="81"/>
            <rFont val="Tahoma"/>
            <family val="2"/>
          </rPr>
          <t xml:space="preserve">
4/11/05: Raised guidance to $0.66 to $0.69
CNF guiding to $0.57-$0.65 in 1Q05
</t>
        </r>
      </text>
    </comment>
    <comment ref="CF231" authorId="1">
      <text>
        <r>
          <rPr>
            <b/>
            <sz val="8"/>
            <color indexed="81"/>
            <rFont val="Tahoma"/>
            <family val="2"/>
          </rPr>
          <t>cbruso:</t>
        </r>
        <r>
          <rPr>
            <sz val="8"/>
            <color indexed="81"/>
            <rFont val="Tahoma"/>
            <family val="2"/>
          </rPr>
          <t xml:space="preserve">
7/20/05:
CNF’s third-quarter, 2005 diluted EPS from continuing operations are expected to be between $1.00 and $1.08</t>
        </r>
      </text>
    </comment>
    <comment ref="CG231" authorId="1">
      <text>
        <r>
          <rPr>
            <b/>
            <sz val="8"/>
            <color indexed="81"/>
            <rFont val="Tahoma"/>
            <family val="2"/>
          </rPr>
          <t>cbruso:</t>
        </r>
        <r>
          <rPr>
            <sz val="8"/>
            <color indexed="81"/>
            <rFont val="Tahoma"/>
            <family val="2"/>
          </rPr>
          <t xml:space="preserve">
CNF’s 4Q05 diluted EPS from continuing operations are expected to be between $0.93 and $1.01.</t>
        </r>
      </text>
    </comment>
    <comment ref="DE231" authorId="2">
      <text>
        <r>
          <rPr>
            <b/>
            <sz val="8"/>
            <color indexed="81"/>
            <rFont val="Tahoma"/>
            <family val="2"/>
          </rPr>
          <t>vecchale:</t>
        </r>
        <r>
          <rPr>
            <sz val="8"/>
            <color indexed="81"/>
            <rFont val="Tahoma"/>
            <family val="2"/>
          </rPr>
          <t xml:space="preserve">
On a non-GAAP basis, third-quarter earnings per diluted share were 22 cents in 2010 compared to 38 cents in 2009, excluding the following items: 
2010 -- a $16.4 million goodwill-impairment charge related to the 2007 acquisition of Chic Logistics, and $5.5 million of expense for recent employee severances and the planned consolidation of Con-way’s executive offices;
2009 -- a change in the accounting estimate for revenue adjustments, which reduced revenue and operating income at Con-way Freight by $5.4 million.
</t>
        </r>
      </text>
    </comment>
    <comment ref="DF231" authorId="2">
      <text>
        <r>
          <rPr>
            <b/>
            <sz val="8"/>
            <color indexed="81"/>
            <rFont val="Tahoma"/>
            <family val="2"/>
          </rPr>
          <t>vecchale:</t>
        </r>
        <r>
          <rPr>
            <sz val="8"/>
            <color indexed="81"/>
            <rFont val="Tahoma"/>
            <family val="2"/>
          </rPr>
          <t xml:space="preserve">
On a non-GAAP basis, earnings per diluted share were 2 cents in the 2010 fourth quarter compared to 6 cents in 2009, excluding the following: 
2010 – $1.1 million of costs associated with the consolidation of Con-way’s executive offices, and a $2.0 million positive tax adjustment resulting primarily from a recent change in tax legislation that reduced the annual effective tax rate.
2009 – $3.4 million of expenses for an administrative outsourcing initiative, and $2.6 million of increased tax expense due to the effect of adjustments for discrete and other tax items.
</t>
        </r>
      </text>
    </comment>
    <comment ref="DH231" authorId="2">
      <text>
        <r>
          <rPr>
            <b/>
            <sz val="8"/>
            <color indexed="81"/>
            <rFont val="Tahoma"/>
            <family val="2"/>
          </rPr>
          <t>vecchale:</t>
        </r>
        <r>
          <rPr>
            <sz val="8"/>
            <color indexed="81"/>
            <rFont val="Tahoma"/>
            <family val="2"/>
          </rPr>
          <t xml:space="preserve">
On a non-GAAP basis, net income in the 2011 first quarter was $13.2 million, or 24 cents per diluted share compared to a loss of $0.8 million, or 2 cents per share in 2010, excluding the following: 
2011: $6.3 million of increased tax expense from adjustments for discrete and other tax items.
2010: A $2.8 million charge for the write-off of a customer-relationship intangible asset and $1.2 million of increased tax expense from adjustments for discrete and other tax items.
</t>
        </r>
      </text>
    </comment>
    <comment ref="FH233" authorId="8">
      <text>
        <r>
          <rPr>
            <b/>
            <sz val="9"/>
            <color indexed="81"/>
            <rFont val="Tahoma"/>
            <family val="2"/>
          </rPr>
          <t>Vecchio, Alexander (Research):</t>
        </r>
        <r>
          <rPr>
            <sz val="9"/>
            <color indexed="81"/>
            <rFont val="Tahoma"/>
            <family val="2"/>
          </rPr>
          <t xml:space="preserve">
ex 1Q11</t>
        </r>
      </text>
    </comment>
    <comment ref="FI233" authorId="8">
      <text>
        <r>
          <rPr>
            <b/>
            <sz val="9"/>
            <color indexed="81"/>
            <rFont val="Tahoma"/>
            <family val="2"/>
          </rPr>
          <t>Vecchio, Alexander (Research):</t>
        </r>
        <r>
          <rPr>
            <sz val="9"/>
            <color indexed="81"/>
            <rFont val="Tahoma"/>
            <family val="2"/>
          </rPr>
          <t xml:space="preserve">
ex 2Q 10</t>
        </r>
      </text>
    </comment>
    <comment ref="CE238" authorId="1">
      <text>
        <r>
          <rPr>
            <b/>
            <sz val="8"/>
            <color indexed="81"/>
            <rFont val="Tahoma"/>
            <family val="2"/>
          </rPr>
          <t>cbruso:</t>
        </r>
        <r>
          <rPr>
            <sz val="8"/>
            <color indexed="81"/>
            <rFont val="Tahoma"/>
            <family val="2"/>
          </rPr>
          <t xml:space="preserve">
Because of option exercising CNF expects dilutes shares o/s to be 56.5M in 2Q05</t>
        </r>
      </text>
    </comment>
    <comment ref="CF238" authorId="1">
      <text>
        <r>
          <rPr>
            <b/>
            <sz val="8"/>
            <color indexed="81"/>
            <rFont val="Tahoma"/>
            <family val="2"/>
          </rPr>
          <t>cbruso:</t>
        </r>
        <r>
          <rPr>
            <sz val="8"/>
            <color indexed="81"/>
            <rFont val="Tahoma"/>
            <family val="2"/>
          </rPr>
          <t xml:space="preserve">
3Q05 expected average diluted shares outstanding to be approximately 55.4 million</t>
        </r>
      </text>
    </comment>
    <comment ref="CG238" authorId="1">
      <text>
        <r>
          <rPr>
            <b/>
            <sz val="8"/>
            <color indexed="81"/>
            <rFont val="Tahoma"/>
            <family val="2"/>
          </rPr>
          <t>cbruso:</t>
        </r>
        <r>
          <rPr>
            <sz val="8"/>
            <color indexed="81"/>
            <rFont val="Tahoma"/>
            <family val="2"/>
          </rPr>
          <t xml:space="preserve">
4Q05 expected average diluted shares outstanding to be approximately 56 million</t>
        </r>
      </text>
    </comment>
    <comment ref="CA239" authorId="0">
      <text>
        <r>
          <rPr>
            <sz val="8"/>
            <color indexed="81"/>
            <rFont val="Tahoma"/>
            <family val="2"/>
          </rPr>
          <t>Chad Bruso:
Use 55.3 for share count in 3Q04 per CNF</t>
        </r>
      </text>
    </comment>
    <comment ref="DE239" authorId="3">
      <text>
        <r>
          <rPr>
            <b/>
            <sz val="8"/>
            <color indexed="81"/>
            <rFont val="Tahoma"/>
            <family val="2"/>
          </rPr>
          <t>longsona:</t>
        </r>
        <r>
          <rPr>
            <sz val="8"/>
            <color indexed="81"/>
            <rFont val="Tahoma"/>
            <family val="2"/>
          </rPr>
          <t xml:space="preserve">
recommend that you use 55 million diluted shares for the third and fourth quarters to reflect the number of shares now outstanding</t>
        </r>
      </text>
    </comment>
    <comment ref="CE244" authorId="1">
      <text>
        <r>
          <rPr>
            <b/>
            <sz val="8"/>
            <color indexed="81"/>
            <rFont val="Tahoma"/>
            <family val="2"/>
          </rPr>
          <t>cbruso:</t>
        </r>
        <r>
          <rPr>
            <sz val="8"/>
            <color indexed="81"/>
            <rFont val="Tahoma"/>
            <family val="2"/>
          </rPr>
          <t xml:space="preserve">
$7M gain from settlement with the IRS</t>
        </r>
      </text>
    </comment>
    <comment ref="CF244" authorId="1">
      <text>
        <r>
          <rPr>
            <b/>
            <sz val="8"/>
            <color indexed="81"/>
            <rFont val="Tahoma"/>
            <family val="2"/>
          </rPr>
          <t>cbruso:</t>
        </r>
        <r>
          <rPr>
            <sz val="8"/>
            <color indexed="81"/>
            <rFont val="Tahoma"/>
            <family val="2"/>
          </rPr>
          <t xml:space="preserve">
Discontinued operations</t>
        </r>
      </text>
    </comment>
    <comment ref="CG244" authorId="1">
      <text>
        <r>
          <rPr>
            <b/>
            <sz val="8"/>
            <color indexed="81"/>
            <rFont val="Tahoma"/>
            <family val="2"/>
          </rPr>
          <t>cbruso:</t>
        </r>
        <r>
          <rPr>
            <sz val="8"/>
            <color indexed="81"/>
            <rFont val="Tahoma"/>
            <family val="2"/>
          </rPr>
          <t xml:space="preserve">
Discontinued operations</t>
        </r>
      </text>
    </comment>
    <comment ref="CA245" authorId="1">
      <text>
        <r>
          <rPr>
            <b/>
            <sz val="8"/>
            <color indexed="81"/>
            <rFont val="Tahoma"/>
            <family val="2"/>
          </rPr>
          <t>cbruso:</t>
        </r>
        <r>
          <rPr>
            <sz val="8"/>
            <color indexed="81"/>
            <rFont val="Tahoma"/>
            <family val="2"/>
          </rPr>
          <t xml:space="preserve">
Disc. Operations (i.e. Menlo Forwarding) and write-down of goodwill</t>
        </r>
      </text>
    </comment>
    <comment ref="CB245" authorId="1">
      <text>
        <r>
          <rPr>
            <b/>
            <sz val="8"/>
            <color indexed="81"/>
            <rFont val="Tahoma"/>
            <family val="2"/>
          </rPr>
          <t>cbruso:</t>
        </r>
        <r>
          <rPr>
            <sz val="8"/>
            <color indexed="81"/>
            <rFont val="Tahoma"/>
            <family val="2"/>
          </rPr>
          <t xml:space="preserve">
Disc. Operations (i.e. Menlo Forwarding)</t>
        </r>
      </text>
    </comment>
    <comment ref="CE245" authorId="1">
      <text>
        <r>
          <rPr>
            <b/>
            <sz val="8"/>
            <color indexed="81"/>
            <rFont val="Tahoma"/>
            <family val="2"/>
          </rPr>
          <t>cbruso:</t>
        </r>
        <r>
          <rPr>
            <sz val="8"/>
            <color indexed="81"/>
            <rFont val="Tahoma"/>
            <family val="2"/>
          </rPr>
          <t xml:space="preserve">
$7M gain from settlement with the IRS</t>
        </r>
      </text>
    </comment>
    <comment ref="CF245" authorId="1">
      <text>
        <r>
          <rPr>
            <b/>
            <sz val="8"/>
            <color indexed="81"/>
            <rFont val="Tahoma"/>
            <family val="2"/>
          </rPr>
          <t>cbruso:</t>
        </r>
        <r>
          <rPr>
            <sz val="8"/>
            <color indexed="81"/>
            <rFont val="Tahoma"/>
            <family val="2"/>
          </rPr>
          <t xml:space="preserve">
Discontinued operations</t>
        </r>
      </text>
    </comment>
    <comment ref="CG245" authorId="1">
      <text>
        <r>
          <rPr>
            <b/>
            <sz val="8"/>
            <color indexed="81"/>
            <rFont val="Tahoma"/>
            <family val="2"/>
          </rPr>
          <t>cbruso:</t>
        </r>
        <r>
          <rPr>
            <sz val="8"/>
            <color indexed="81"/>
            <rFont val="Tahoma"/>
            <family val="2"/>
          </rPr>
          <t xml:space="preserve">
Discontinued operations</t>
        </r>
      </text>
    </comment>
    <comment ref="CK247" authorId="3">
      <text>
        <r>
          <rPr>
            <b/>
            <sz val="8"/>
            <color indexed="81"/>
            <rFont val="Tahoma"/>
            <family val="2"/>
          </rPr>
          <t>longsona:</t>
        </r>
        <r>
          <rPr>
            <sz val="8"/>
            <color indexed="81"/>
            <rFont val="Tahoma"/>
            <family val="2"/>
          </rPr>
          <t xml:space="preserve">
3Q06 EPS increased 9.7 percent vs. 2005 period due to the accretive effect (11 cents per diluted share) of the company's share repurchase program</t>
        </r>
      </text>
    </comment>
    <comment ref="CH260" authorId="10">
      <text>
        <r>
          <rPr>
            <b/>
            <sz val="8"/>
            <color indexed="81"/>
            <rFont val="Tahoma"/>
            <family val="2"/>
          </rPr>
          <t>Chad Bruso:</t>
        </r>
        <r>
          <rPr>
            <sz val="8"/>
            <color indexed="81"/>
            <rFont val="Tahoma"/>
            <family val="2"/>
          </rPr>
          <t xml:space="preserve">
Per 4Q04 conference call, gross capex in 2005 expected to be $250, which includes $20M of rolling stock that fell into '05 due to OEM delays</t>
        </r>
      </text>
    </comment>
    <comment ref="CC267" authorId="0">
      <text>
        <r>
          <rPr>
            <sz val="8"/>
            <color indexed="81"/>
            <rFont val="Tahoma"/>
            <family val="2"/>
          </rPr>
          <t>Chad Bruso:
7/20/04: 
CNF expects net capex of $205-$215M in 2004</t>
        </r>
      </text>
    </comment>
    <comment ref="CH267" authorId="1">
      <text>
        <r>
          <rPr>
            <b/>
            <sz val="8"/>
            <color indexed="81"/>
            <rFont val="Tahoma"/>
            <family val="2"/>
          </rPr>
          <t>cbruso:</t>
        </r>
        <r>
          <rPr>
            <sz val="8"/>
            <color indexed="81"/>
            <rFont val="Tahoma"/>
            <family val="2"/>
          </rPr>
          <t xml:space="preserve">
10/20/05:
Full-year 2005 capital and software expenditures are expected to be approximately $225 million
</t>
        </r>
        <r>
          <rPr>
            <sz val="8"/>
            <color indexed="81"/>
            <rFont val="Tahoma"/>
            <family val="2"/>
          </rPr>
          <t xml:space="preserve">
7/20/05:
Full-year 2005 capital and software expenditures are expected to be approximately $235 million, including approximately $20 million of carry-over from the 2004 plan.</t>
        </r>
      </text>
    </comment>
    <comment ref="CH269" authorId="1">
      <text>
        <r>
          <rPr>
            <b/>
            <sz val="8"/>
            <color indexed="81"/>
            <rFont val="Tahoma"/>
            <family val="2"/>
          </rPr>
          <t>cbruso:</t>
        </r>
        <r>
          <rPr>
            <sz val="8"/>
            <color indexed="81"/>
            <rFont val="Tahoma"/>
            <family val="2"/>
          </rPr>
          <t xml:space="preserve">
Per 4Q04 conference call CNF has authorized $300M of share buybacks in 2005 and 2006 and expects to be spread evenly</t>
        </r>
      </text>
    </comment>
    <comment ref="CC270" authorId="0">
      <text>
        <r>
          <rPr>
            <sz val="8"/>
            <color indexed="81"/>
            <rFont val="Tahoma"/>
            <family val="2"/>
          </rPr>
          <t>Chad Bruso:
$300 million offering less $130 million for paying off TECONs
$110M in debt (Dayton revenue bonds) going to UPS</t>
        </r>
      </text>
    </comment>
    <comment ref="CH270" authorId="0">
      <text>
        <r>
          <rPr>
            <sz val="8"/>
            <color indexed="81"/>
            <rFont val="Tahoma"/>
            <family val="2"/>
          </rPr>
          <t>Chad Bruso:
1/25/05:
Per Chudda $120 million in debt comes due on 6/1/05</t>
        </r>
      </text>
    </comment>
    <comment ref="BX274" authorId="11">
      <text>
        <r>
          <rPr>
            <b/>
            <sz val="8"/>
            <color indexed="81"/>
            <rFont val="Tahoma"/>
            <family val="2"/>
          </rPr>
          <t>corralab:</t>
        </r>
        <r>
          <rPr>
            <sz val="8"/>
            <color indexed="81"/>
            <rFont val="Tahoma"/>
            <family val="2"/>
          </rPr>
          <t xml:space="preserve">
Includes an adjustment for the difference between the Ending Cash for 2002 and the Beginning Cash of 2003</t>
        </r>
      </text>
    </comment>
    <comment ref="CC278" authorId="1">
      <text>
        <r>
          <rPr>
            <b/>
            <sz val="8"/>
            <color indexed="81"/>
            <rFont val="Tahoma"/>
            <family val="2"/>
          </rPr>
          <t>cbruso:</t>
        </r>
        <r>
          <rPr>
            <sz val="8"/>
            <color indexed="81"/>
            <rFont val="Tahoma"/>
            <family val="2"/>
          </rPr>
          <t xml:space="preserve">
Per 10/6 conf call CNF estimate Yr end '04 cash balance to be roughly $730M</t>
        </r>
      </text>
    </comment>
    <comment ref="CC295" authorId="0">
      <text>
        <r>
          <rPr>
            <sz val="8"/>
            <color indexed="81"/>
            <rFont val="Tahoma"/>
            <family val="2"/>
          </rPr>
          <t>Chad Bruso:
$125 million from TECON's now being classified as debt (roughly $8 million in add'l annual int. expense as a result)</t>
        </r>
      </text>
    </comment>
    <comment ref="A317" authorId="0">
      <text>
        <r>
          <rPr>
            <sz val="8"/>
            <color indexed="81"/>
            <rFont val="Tahoma"/>
            <family val="2"/>
          </rPr>
          <t>cbruso:
For CNF, divs declared = cash divs</t>
        </r>
      </text>
    </comment>
    <comment ref="BZ320" authorId="0">
      <text>
        <r>
          <rPr>
            <sz val="8"/>
            <color indexed="81"/>
            <rFont val="Tahoma"/>
            <family val="2"/>
          </rPr>
          <t>Chad Bruso:
Retiring TECON's will eliminate 3.125 share diluton (only 1 month in 2Q04)</t>
        </r>
      </text>
    </comment>
    <comment ref="CJ320" authorId="3">
      <text>
        <r>
          <rPr>
            <b/>
            <sz val="8"/>
            <color indexed="81"/>
            <rFont val="Tahoma"/>
            <family val="2"/>
          </rPr>
          <t>longsona:</t>
        </r>
        <r>
          <rPr>
            <sz val="8"/>
            <color indexed="81"/>
            <rFont val="Tahoma"/>
            <family val="2"/>
          </rPr>
          <t xml:space="preserve">
Acquired 3.8 mil shares for $224.3MM</t>
        </r>
      </text>
    </comment>
    <comment ref="CK320" authorId="3">
      <text>
        <r>
          <rPr>
            <b/>
            <sz val="8"/>
            <color indexed="81"/>
            <rFont val="Tahoma"/>
            <family val="2"/>
          </rPr>
          <t>longsona:</t>
        </r>
        <r>
          <rPr>
            <sz val="8"/>
            <color indexed="81"/>
            <rFont val="Tahoma"/>
            <family val="2"/>
          </rPr>
          <t xml:space="preserve">
Under $400M purchase program, acquired 894,700 shares representing $44.1M, for a total value of $265.4M  to-date
</t>
        </r>
      </text>
    </comment>
  </commentList>
</comments>
</file>

<file path=xl/comments4.xml><?xml version="1.0" encoding="utf-8"?>
<comments xmlns="http://schemas.openxmlformats.org/spreadsheetml/2006/main">
  <authors>
    <author>Huang, Tracy (Research)</author>
  </authors>
  <commentList>
    <comment ref="E49" authorId="0">
      <text>
        <r>
          <rPr>
            <b/>
            <sz val="8"/>
            <color indexed="81"/>
            <rFont val="Tahoma"/>
            <family val="2"/>
          </rPr>
          <t>Huang, Tracy (Research):</t>
        </r>
        <r>
          <rPr>
            <sz val="8"/>
            <color indexed="81"/>
            <rFont val="Tahoma"/>
            <family val="2"/>
          </rPr>
          <t xml:space="preserve">
Once GAAP positive, then tax rate prob closer to ~38% </t>
        </r>
      </text>
    </comment>
  </commentList>
</comments>
</file>

<file path=xl/sharedStrings.xml><?xml version="1.0" encoding="utf-8"?>
<sst xmlns="http://schemas.openxmlformats.org/spreadsheetml/2006/main" count="1658" uniqueCount="1026">
  <si>
    <t>Q as a % of Year</t>
  </si>
  <si>
    <t>% of Beginning Net PP&amp;E</t>
  </si>
  <si>
    <t>Intercompany Eliminations</t>
  </si>
  <si>
    <t>Other Expense (Income)</t>
  </si>
  <si>
    <t>Provision (Benefit) for Taxes</t>
  </si>
  <si>
    <t>Accounts Payable</t>
  </si>
  <si>
    <t>Preferred Stock</t>
  </si>
  <si>
    <t>Other</t>
  </si>
  <si>
    <t>Interest expense, net</t>
  </si>
  <si>
    <t>Pretax income</t>
  </si>
  <si>
    <t>Year</t>
  </si>
  <si>
    <t>1QA</t>
  </si>
  <si>
    <t>2QA</t>
  </si>
  <si>
    <t>3QA</t>
  </si>
  <si>
    <t>4QA</t>
  </si>
  <si>
    <t>4QE</t>
  </si>
  <si>
    <t>Other current assets</t>
  </si>
  <si>
    <t>Property, plant and equipment, net</t>
  </si>
  <si>
    <t>Total shareholders' equity</t>
  </si>
  <si>
    <t>Total liabilities and shareholders' equity</t>
  </si>
  <si>
    <t>Dividends paid</t>
  </si>
  <si>
    <t>Tax Rate</t>
  </si>
  <si>
    <t>Gross Revenue</t>
  </si>
  <si>
    <t>Free Cash Flow</t>
  </si>
  <si>
    <t>Change in debt</t>
  </si>
  <si>
    <t>Change in equity</t>
  </si>
  <si>
    <t xml:space="preserve">Net (decrease)/increase in cash </t>
  </si>
  <si>
    <t>Cash at beginning of period</t>
  </si>
  <si>
    <t>Effect of foreign exchange rates</t>
  </si>
  <si>
    <t>Cash at end of period</t>
  </si>
  <si>
    <t>Cash</t>
  </si>
  <si>
    <t>Operating Income</t>
  </si>
  <si>
    <t>2005A</t>
  </si>
  <si>
    <t>2006A</t>
  </si>
  <si>
    <t>2007A</t>
  </si>
  <si>
    <t>3QE</t>
  </si>
  <si>
    <t>Corporate</t>
  </si>
  <si>
    <t>2009A</t>
  </si>
  <si>
    <t>2008A</t>
  </si>
  <si>
    <t>As a % of Gross Revenue</t>
  </si>
  <si>
    <t>Depreciation &amp; Amortization</t>
  </si>
  <si>
    <t>Gross Operating Expense</t>
  </si>
  <si>
    <t>Net Income from Continuing Operations</t>
  </si>
  <si>
    <t>Basic EPS</t>
  </si>
  <si>
    <t>Avg. Shares Outstanding-Basic (millions)</t>
  </si>
  <si>
    <t>Ending Shares Outstanding-Basic (millions)</t>
  </si>
  <si>
    <t>Share Impact of Dilutive Instruments</t>
  </si>
  <si>
    <t>Assumed Share Creep (Annualized)</t>
  </si>
  <si>
    <t>Extraordinary/One-Time Charges/Expenses</t>
  </si>
  <si>
    <t>One-time events - before tax</t>
  </si>
  <si>
    <t>One-time events net of tax</t>
  </si>
  <si>
    <t>Net Income Including One-time events</t>
  </si>
  <si>
    <t>Per share effect of extra item(s)</t>
  </si>
  <si>
    <t>Company Reported EPS</t>
  </si>
  <si>
    <t>Common Dividends per Share</t>
  </si>
  <si>
    <t>Dividend Payout Ratio</t>
  </si>
  <si>
    <t>Avg. Stock Price (for repurchase calculation)</t>
  </si>
  <si>
    <t>Year-Over-Year % Change</t>
  </si>
  <si>
    <t>Currency</t>
  </si>
  <si>
    <t>EBITDA</t>
  </si>
  <si>
    <t>Total Depreciation &amp; Amortization</t>
  </si>
  <si>
    <t>Reported Net Income</t>
  </si>
  <si>
    <t>As a % of Beginning Net PP&amp;E</t>
  </si>
  <si>
    <t>Purchases of PP&amp;E</t>
  </si>
  <si>
    <t>Proceeds from disposal of PP&amp;E</t>
  </si>
  <si>
    <t>Trade Receivables</t>
  </si>
  <si>
    <t>Days Sales Outstanding</t>
  </si>
  <si>
    <t>USD</t>
  </si>
  <si>
    <t>Current portion of long-term debt/ cap. lease</t>
  </si>
  <si>
    <t>Common stock</t>
  </si>
  <si>
    <t>Days Payable Outstanding</t>
  </si>
  <si>
    <t>% of Gross Revenue</t>
  </si>
  <si>
    <t>Modelware Requirements</t>
  </si>
  <si>
    <t>Net issuances/repurchases of common stock</t>
  </si>
  <si>
    <t>Dividends</t>
  </si>
  <si>
    <t>change in OCI</t>
  </si>
  <si>
    <t>Current Stock Price</t>
  </si>
  <si>
    <t>Count</t>
  </si>
  <si>
    <t>TL</t>
  </si>
  <si>
    <t>Assets</t>
  </si>
  <si>
    <t>Liabilities</t>
  </si>
  <si>
    <t>Shareholders' Equity</t>
  </si>
  <si>
    <t>2010A</t>
  </si>
  <si>
    <t>Unrecorded Goodwill</t>
  </si>
  <si>
    <t>INCOME STATEMENT</t>
  </si>
  <si>
    <t>YoY % Chg.</t>
  </si>
  <si>
    <t>YoY Pt. Chg.</t>
  </si>
  <si>
    <t>OPERATING EXPENSES</t>
  </si>
  <si>
    <t>Seq. Pt. Chg.</t>
  </si>
  <si>
    <t>OPERATING GROSS REVENUES</t>
  </si>
  <si>
    <t>EPS RECONCILIATION</t>
  </si>
  <si>
    <t>Net Income and EPS</t>
  </si>
  <si>
    <t>Sharecount Calculation</t>
  </si>
  <si>
    <t>Dividend Calculation</t>
  </si>
  <si>
    <t>CASH FLOW STATEMENT</t>
  </si>
  <si>
    <t>Changes in Working Capital/Other</t>
  </si>
  <si>
    <t>Cash Flows from Operations</t>
  </si>
  <si>
    <t>BALANCE SHEET</t>
  </si>
  <si>
    <t>Total Current Assets</t>
  </si>
  <si>
    <t>Cash Flow from Investing</t>
  </si>
  <si>
    <t>Cash Flow from Financing</t>
  </si>
  <si>
    <t>Diluted EPS</t>
  </si>
  <si>
    <t>Gross Profit (Net Revenue) Margin</t>
  </si>
  <si>
    <t>EBITDA Margin</t>
  </si>
  <si>
    <t>Incremental Margins - on Gross Revenues</t>
  </si>
  <si>
    <t>Incremental Margins - on Gross Profit (Net Revenues)</t>
  </si>
  <si>
    <t>OPERATING SUMMARY</t>
  </si>
  <si>
    <t>Gross Profits (Net Revenues)</t>
  </si>
  <si>
    <t>2011A</t>
  </si>
  <si>
    <t>1Q</t>
  </si>
  <si>
    <t>2Q</t>
  </si>
  <si>
    <t>3Q</t>
  </si>
  <si>
    <t>4Q</t>
  </si>
  <si>
    <t>Avg</t>
  </si>
  <si>
    <t>COMMENTS</t>
  </si>
  <si>
    <t xml:space="preserve">Check </t>
  </si>
  <si>
    <t>Net Income to Common</t>
  </si>
  <si>
    <t>1QE</t>
  </si>
  <si>
    <t>2QE</t>
  </si>
  <si>
    <t>Total Assets</t>
  </si>
  <si>
    <t>Total Current Liabilities</t>
  </si>
  <si>
    <t>Total Liabilities</t>
  </si>
  <si>
    <t>Other current liabilities</t>
  </si>
  <si>
    <r>
      <t xml:space="preserve">Intercompany Eliminations - </t>
    </r>
    <r>
      <rPr>
        <sz val="8"/>
        <color indexed="12"/>
        <rFont val="Arial"/>
        <family val="2"/>
      </rPr>
      <t>Plug</t>
    </r>
  </si>
  <si>
    <t>XPO</t>
  </si>
  <si>
    <t>B6Z1355</t>
  </si>
  <si>
    <t>Preferred Stock Dividends</t>
  </si>
  <si>
    <t>Period</t>
  </si>
  <si>
    <t>Interest Expense</t>
  </si>
  <si>
    <t>2015E</t>
  </si>
  <si>
    <t>2016E</t>
  </si>
  <si>
    <t>2017E</t>
  </si>
  <si>
    <t>Shares underlying preferred stock conversion</t>
  </si>
  <si>
    <t>Shares underlying stock options &amp; RSUs</t>
  </si>
  <si>
    <t>Shares underlying warrants</t>
  </si>
  <si>
    <t>Goodwill, Intan. &amp; Other non-current assets</t>
  </si>
  <si>
    <t>Acquisition allocated to Goodwill &amp; Other Intangibles</t>
  </si>
  <si>
    <t>Acquisition allocated to PPE</t>
  </si>
  <si>
    <t>Interest Expense Forecast</t>
  </si>
  <si>
    <t>Average Debt Outstanding</t>
  </si>
  <si>
    <t>Implied Annualized Interest Rate on Avg. Debt</t>
  </si>
  <si>
    <t>Avg. Target EBITDA Margin %</t>
  </si>
  <si>
    <t>Avg. EBITDA Multiple Paid</t>
  </si>
  <si>
    <t>Other Long-term Liabilities</t>
  </si>
  <si>
    <t>APIC</t>
  </si>
  <si>
    <t>Retained Earnings (Accumulated Deficit)</t>
  </si>
  <si>
    <t>Treasury stock</t>
  </si>
  <si>
    <t>SEGMENT MARGIN ANALYSIS</t>
  </si>
  <si>
    <t>CONSOLIDATED MARGIN ANALYSIS</t>
  </si>
  <si>
    <t xml:space="preserve">Total Gross Profit (Net Revenue) </t>
  </si>
  <si>
    <t>% of Gross Profit (Net Revenue)</t>
  </si>
  <si>
    <t xml:space="preserve">Net Operating Margin </t>
  </si>
  <si>
    <t>Direct Expenses (Purchased Transportation)</t>
  </si>
  <si>
    <t>Direct Expenses (Purchased Trans.) Detail</t>
  </si>
  <si>
    <t>Total SG&amp;A (Ex. D&amp;A)</t>
  </si>
  <si>
    <t>Freight Brokerage</t>
  </si>
  <si>
    <t>Consolidated Gross Revenue</t>
  </si>
  <si>
    <t>Total</t>
  </si>
  <si>
    <t>Freight Forwarding</t>
  </si>
  <si>
    <t>Operating Margin</t>
  </si>
  <si>
    <t>Expedited Trans.</t>
  </si>
  <si>
    <t>XPO.N</t>
  </si>
  <si>
    <t>NOPAT</t>
  </si>
  <si>
    <t>Net Capex</t>
  </si>
  <si>
    <t>Dividends per Share</t>
  </si>
  <si>
    <t>Net Capex as % of Sales</t>
  </si>
  <si>
    <t>XPO.N,mscalc:sedolCodeCalc</t>
  </si>
  <si>
    <t>XPO.N,mscalc:targetPrice,,,,USD</t>
  </si>
  <si>
    <t>XPO.N,mscalc:closePriceCurrencyCalc</t>
  </si>
  <si>
    <t>NM</t>
  </si>
  <si>
    <t>Acquisitions / Earnout Payments / Other</t>
  </si>
  <si>
    <t>As a % of Segment Revenues</t>
  </si>
  <si>
    <t>2012A</t>
  </si>
  <si>
    <t>Statutory Tax Rate</t>
  </si>
  <si>
    <t>YoY</t>
  </si>
  <si>
    <t>Shares underlying the conversion of the convertible senior notes</t>
  </si>
  <si>
    <t>Convertible Senior Notes</t>
  </si>
  <si>
    <t>10K: The Notes will mature on October 1, 2017 unless earlier converted or repurchased</t>
  </si>
  <si>
    <t>4Q13: 20-40% acquistion allocated to PP&amp;E</t>
  </si>
  <si>
    <t>2013A</t>
  </si>
  <si>
    <t>Last Mile</t>
  </si>
  <si>
    <t>% of Total</t>
  </si>
  <si>
    <t>$28.85</t>
  </si>
  <si>
    <t>2014A</t>
  </si>
  <si>
    <t>Transportation Net Operating Margin %</t>
  </si>
  <si>
    <t>Transportation Operating Income</t>
  </si>
  <si>
    <t>Transportation Operating Margin %</t>
  </si>
  <si>
    <t>Transportation Gross Revenue</t>
  </si>
  <si>
    <t>Transportation</t>
  </si>
  <si>
    <t>Truckload and Intermodal</t>
  </si>
  <si>
    <t>Last Mile Net Revenue</t>
  </si>
  <si>
    <t>Last Mile Net Revenue Margin %</t>
  </si>
  <si>
    <t>Transportation Net Revenue Margin %</t>
  </si>
  <si>
    <t>Logistics Net Revenue</t>
  </si>
  <si>
    <t>Logistics Operating Income</t>
  </si>
  <si>
    <t>Logistics Operating Margin %</t>
  </si>
  <si>
    <t>4Q14: Last mile net rev margins should trend in high 20s%</t>
  </si>
  <si>
    <t>For last mile business, 2Q/3Q seasonally best, followed by 4Q, followed by 1Q</t>
  </si>
  <si>
    <t>Net Debt / EBITDA</t>
  </si>
  <si>
    <t>Total SG&amp;A Expense Detail by Segment (incl. D&amp;A)</t>
  </si>
  <si>
    <t>1Q15: 2Q will have some startup cost – EBITDA will be flat or even go down in 2Q before going up in 3Q/4Q%</t>
  </si>
  <si>
    <t>1Q15: would like to keep $100-125M of cash on the balance sheet</t>
  </si>
  <si>
    <t>using the treasure stock method</t>
  </si>
  <si>
    <t>Avg. Shares Outstanding-Fully Diluted (millions) - for EPS</t>
  </si>
  <si>
    <t>Fullly diluted shares outstanding</t>
  </si>
  <si>
    <t>4Q17</t>
  </si>
  <si>
    <t>3Q17</t>
  </si>
  <si>
    <t>2Q17</t>
  </si>
  <si>
    <t>4Q16</t>
  </si>
  <si>
    <t>2018E</t>
  </si>
  <si>
    <t>2019E</t>
  </si>
  <si>
    <t>2020E</t>
  </si>
  <si>
    <t>Cash EPS</t>
  </si>
  <si>
    <t>Acquired EBITDA</t>
  </si>
  <si>
    <t>Acquired Annual Revenue</t>
  </si>
  <si>
    <t>Europe</t>
  </si>
  <si>
    <t>LTL</t>
  </si>
  <si>
    <t>Logistics Gross Revenue</t>
  </si>
  <si>
    <t>NA Logistics Net Revenue Margin %</t>
  </si>
  <si>
    <t>NA Logistics Net Revenue</t>
  </si>
  <si>
    <t>Europe Logistics Net Revenue Margin %</t>
  </si>
  <si>
    <t>Europe Logistics Net Revenue</t>
  </si>
  <si>
    <t>Europe Transportation</t>
  </si>
  <si>
    <t>NA Logistics</t>
  </si>
  <si>
    <t>Europe Logistics</t>
  </si>
  <si>
    <t>Logistics</t>
  </si>
  <si>
    <t>% of Revenue</t>
  </si>
  <si>
    <t>Noncontrolling interest</t>
  </si>
  <si>
    <t>2Q15: target leverage ratio 3.5-4x</t>
  </si>
  <si>
    <t>Inter-segment Eliminations</t>
  </si>
  <si>
    <t>$31.57</t>
  </si>
  <si>
    <t>$41.84</t>
  </si>
  <si>
    <t>$46.89</t>
  </si>
  <si>
    <t>Global Forwarding</t>
  </si>
  <si>
    <t>Expedite</t>
  </si>
  <si>
    <t>Expedite Net Revenue Margin %</t>
  </si>
  <si>
    <t>Global Forwarding Net Revenue Margin %</t>
  </si>
  <si>
    <t>Expedite Trans. Net Revenue</t>
  </si>
  <si>
    <t>Global Forwarding Net Revenue</t>
  </si>
  <si>
    <t xml:space="preserve"> Brokerage and Intermodal Net Revenue Margin %</t>
  </si>
  <si>
    <t xml:space="preserve"> Brokerage and Intermodal Net Revenue</t>
  </si>
  <si>
    <t>Europe (TL + LTL ) Net Revenue Margin %</t>
  </si>
  <si>
    <t>Europe (TL + LTL ) Net Revenue</t>
  </si>
  <si>
    <t>Change in WC as a % of revenue change</t>
  </si>
  <si>
    <t xml:space="preserve">2Q15: Working Capital 5-6% drag on cash as a % of incremental organic revenue </t>
  </si>
  <si>
    <t>As a % of Revenue</t>
  </si>
  <si>
    <t>Rev/CWT incl FS</t>
  </si>
  <si>
    <t>North America (New Breed, Menlo, Jacobson)</t>
  </si>
  <si>
    <t>Seq. % Chg</t>
  </si>
  <si>
    <t>Brokerage and Intermodal - with inc acq</t>
  </si>
  <si>
    <t>Last Mile - with inc acq</t>
  </si>
  <si>
    <t>1015: expect to continue to report minority interest for Norbert (14% of ND's net income)</t>
  </si>
  <si>
    <t>Transportation EBITDA</t>
  </si>
  <si>
    <t>Transportation EBITDA Margin</t>
  </si>
  <si>
    <t>Repayment of long-term debt</t>
  </si>
  <si>
    <t>CNW</t>
  </si>
  <si>
    <t>1989A</t>
  </si>
  <si>
    <t>1990A</t>
  </si>
  <si>
    <t>1991A</t>
  </si>
  <si>
    <t>1992A</t>
  </si>
  <si>
    <t>1993A</t>
  </si>
  <si>
    <t>1994A</t>
  </si>
  <si>
    <t>1995A</t>
  </si>
  <si>
    <t>1996A</t>
  </si>
  <si>
    <t>1997A</t>
  </si>
  <si>
    <t>1998A</t>
  </si>
  <si>
    <t>1999A</t>
  </si>
  <si>
    <t>2000A</t>
  </si>
  <si>
    <t>2001A</t>
  </si>
  <si>
    <t>2002A</t>
  </si>
  <si>
    <t>2003A</t>
  </si>
  <si>
    <t>2004A</t>
  </si>
  <si>
    <t>OPERATING STATISTICS</t>
  </si>
  <si>
    <t>Freight Segment Operating Statistics</t>
  </si>
  <si>
    <t>Intercity (Linehaul) Miles (millions)</t>
  </si>
  <si>
    <r>
      <t xml:space="preserve">Average Length of Haul (miles) - </t>
    </r>
    <r>
      <rPr>
        <b/>
        <sz val="8"/>
        <color indexed="12"/>
        <rFont val="Arial"/>
        <family val="2"/>
      </rPr>
      <t>Statbook</t>
    </r>
  </si>
  <si>
    <t>Loads (000s)</t>
  </si>
  <si>
    <t>Avg. Load Factor (lbs.)</t>
  </si>
  <si>
    <t>Avg. Shipments per Load</t>
  </si>
  <si>
    <t>Avg. Rev per Load (Ex. FS)</t>
  </si>
  <si>
    <t>Billed Revenue Per Shipment (Incl. FS)</t>
  </si>
  <si>
    <t>Billed Revenue Per Shipment (Ex. FS)</t>
  </si>
  <si>
    <t>Total Service Centers</t>
  </si>
  <si>
    <t>Avg. Rev per Service Center (Incl. FS)</t>
  </si>
  <si>
    <t>Truckload Segment Operating Statistics</t>
  </si>
  <si>
    <r>
      <t xml:space="preserve">Average Age of Tractor Fleet (Years) - </t>
    </r>
    <r>
      <rPr>
        <b/>
        <sz val="8"/>
        <color indexed="12"/>
        <rFont val="Arial"/>
        <family val="2"/>
      </rPr>
      <t>Statbook</t>
    </r>
  </si>
  <si>
    <t xml:space="preserve"> </t>
  </si>
  <si>
    <t>OPERATING REVENUE BY SEGMENT</t>
  </si>
  <si>
    <t>Total Freight (LTL) Segment Revenue</t>
  </si>
  <si>
    <t>25% / 75% of LTL business on base rate tariff / foreign tariff</t>
  </si>
  <si>
    <t>Seq. % Chg.</t>
  </si>
  <si>
    <t>Q as % of Year</t>
  </si>
  <si>
    <t>Freight Revenue Billed (Est.)</t>
  </si>
  <si>
    <t>Freight Revenue Billed Ex. FS (Est.)</t>
  </si>
  <si>
    <t>Revenue Per CWT (Ex. FS)</t>
  </si>
  <si>
    <t>Billed Revenue Per CWT (Incl. FS)</t>
  </si>
  <si>
    <t>Total Tons (000s)</t>
  </si>
  <si>
    <t>Tonnage per Day</t>
  </si>
  <si>
    <t>Started to restrict heavy weight shipment in March 2014</t>
  </si>
  <si>
    <t>Average Weight Per Shipment (lbs)</t>
  </si>
  <si>
    <t>Shipments (000s)</t>
  </si>
  <si>
    <t>Shipments per Day</t>
  </si>
  <si>
    <t>Work days</t>
  </si>
  <si>
    <t>Difference Billed - Reported</t>
  </si>
  <si>
    <t>% of Total Freight Revenue</t>
  </si>
  <si>
    <t>Freight Fuel Surcharge Revenue (Est.)</t>
  </si>
  <si>
    <t>R^2</t>
  </si>
  <si>
    <t>As % of Freight Rev. ex FS</t>
  </si>
  <si>
    <t>Slope</t>
  </si>
  <si>
    <t>DOE Diesel Price Per Gallon (1 week lag)</t>
  </si>
  <si>
    <t>Intercept</t>
  </si>
  <si>
    <t>Fuel Surcharge % Rate (Est.)</t>
  </si>
  <si>
    <t>Collection % of Published (Est.)</t>
  </si>
  <si>
    <t>Total Truckload Segment Revenue</t>
  </si>
  <si>
    <t>Truckload Freight Revenue</t>
  </si>
  <si>
    <t>Truckload Freight Revenue (Ex. FS)</t>
  </si>
  <si>
    <t>Avg Revenue Per Tractor (Ex. FS)</t>
  </si>
  <si>
    <t>Avg Revenue Per Tractor</t>
  </si>
  <si>
    <t>Avg. Rev. Per Loaded Mile (Ex. FS)</t>
  </si>
  <si>
    <t>Loaded Miles (millions)</t>
  </si>
  <si>
    <t>Empty Mile Percentage</t>
  </si>
  <si>
    <t>Seq. Pt. Chg</t>
  </si>
  <si>
    <t>Total Miles (millions)</t>
  </si>
  <si>
    <t>Average Tractors in Service</t>
  </si>
  <si>
    <t>1215: not increasing size of fleet at TL or LTL</t>
  </si>
  <si>
    <t>Total Tractors - Period End</t>
  </si>
  <si>
    <t>Company Tractors - Period End</t>
  </si>
  <si>
    <t>Contractor Tractors - Period End</t>
  </si>
  <si>
    <t>Fuel Surcharge Revenue</t>
  </si>
  <si>
    <t>As a % of Truckload Freight Revenue ex. FS</t>
  </si>
  <si>
    <t>Other Truckload Revenue</t>
  </si>
  <si>
    <t>% of Total Truckload Revenue</t>
  </si>
  <si>
    <t>Logistics (Menlo) Gross Revenue</t>
  </si>
  <si>
    <t>2Q15: Pipeline robus, new projects will contribute to revenue early next year</t>
  </si>
  <si>
    <t>Other Revenues</t>
  </si>
  <si>
    <t>% of Total LTL / TL / Menlo Segment Revenues</t>
  </si>
  <si>
    <t>Total Inter-segment Revenue Eliminations</t>
  </si>
  <si>
    <t>% of Consolidated Revenues ex. Elims</t>
  </si>
  <si>
    <t>Other Revs. / Eliminations</t>
  </si>
  <si>
    <t>% of Consolidated Revenues</t>
  </si>
  <si>
    <t>Total Consolidated Revenues</t>
  </si>
  <si>
    <t>OPERATING MARGIN ANALYSIS BY SEGMENT</t>
  </si>
  <si>
    <t>Freight Segment Operating Ratio</t>
  </si>
  <si>
    <t>LT historical incremental margins of ~30%</t>
  </si>
  <si>
    <t>Freight Operating Income</t>
  </si>
  <si>
    <t>2Q15: 3Q LTL OR 92.4%; op income $70M</t>
  </si>
  <si>
    <t>Freight Incremental Margin %</t>
  </si>
  <si>
    <t>9/29/14 8K: Driver wage increase $60M YoY headwind to 2015 (inc Jan 4)</t>
  </si>
  <si>
    <t>Truckload Segment Operating Ratio (Ex. FS)</t>
  </si>
  <si>
    <t>Still expect margin expansion at CNW Freight in 2015 (including wage inc.)</t>
  </si>
  <si>
    <t>Truckload Operating Income</t>
  </si>
  <si>
    <t xml:space="preserve">2Q15: TL 3Q op income $11-12M </t>
  </si>
  <si>
    <t>Truckload Incremental Margin % (Ex. FS)</t>
  </si>
  <si>
    <t>Truckload Segment Detail</t>
  </si>
  <si>
    <t>Truckload Operating Expenses (Ex. FS)</t>
  </si>
  <si>
    <t>Truckload Segment Operating Ratio - Reported</t>
  </si>
  <si>
    <t>Logistics Segment Operating Ratio (on Gross Revs)</t>
  </si>
  <si>
    <t>2Q15: Menlo op income $8M</t>
  </si>
  <si>
    <t>Logistics Net Revenue (Gross Profit) - Statbook</t>
  </si>
  <si>
    <t>Gross Margin %</t>
  </si>
  <si>
    <t xml:space="preserve">Logistics Net Operating Margin % </t>
  </si>
  <si>
    <t>Logistics Incremental Margin % (on Net Revenue)</t>
  </si>
  <si>
    <t>Corporate &amp; Eliminations (Expense)</t>
  </si>
  <si>
    <t>2Q14 IR: Model Corp/Elim as break-even / slight expense</t>
  </si>
  <si>
    <t>2Q15: $0 for other corp expense</t>
  </si>
  <si>
    <t>Consolidated Operating Ratio</t>
  </si>
  <si>
    <t>Consolidated Incremental Margin %</t>
  </si>
  <si>
    <t>Consolidated EBITDA Margin</t>
  </si>
  <si>
    <t>Salaries, Wages, and Benefits</t>
  </si>
  <si>
    <t>9/29/14 8K: LTL Driver wage increase $60M YoY headwind to 2015 (inc Jan 4)</t>
  </si>
  <si>
    <t>1Q15: driver wage increase in sept'</t>
  </si>
  <si>
    <t>% of Total Revenue</t>
  </si>
  <si>
    <t>did a driver wage increase in sept 2014</t>
  </si>
  <si>
    <t>Purchased Transportation</t>
  </si>
  <si>
    <t>Would like reduce PT in their LTL segment</t>
  </si>
  <si>
    <t>Fuel and Fuel-Related Taxes</t>
  </si>
  <si>
    <t>DOE Diesel Price Per Gallon</t>
  </si>
  <si>
    <t>Other Operating Expenses</t>
  </si>
  <si>
    <t>Other Expense Detail</t>
  </si>
  <si>
    <t>Maintenance</t>
  </si>
  <si>
    <t>Rents and leases</t>
  </si>
  <si>
    <t>Purchased Labor</t>
  </si>
  <si>
    <t>Other operating expenses</t>
  </si>
  <si>
    <t>Impairment of goodwill / Restructuring</t>
  </si>
  <si>
    <t>Depreciation and Amortization</t>
  </si>
  <si>
    <t>2Q15: Dep: $242M for full year</t>
  </si>
  <si>
    <t>% of Net Capex</t>
  </si>
  <si>
    <t>% of Beg. Net PPE</t>
  </si>
  <si>
    <t>Total Operating Expense</t>
  </si>
  <si>
    <t>Consolidated Op. Revenue</t>
  </si>
  <si>
    <t>Consolidated Op. Expenses</t>
  </si>
  <si>
    <t>Consolidated Op. Income</t>
  </si>
  <si>
    <t>Consolidated EBITDA</t>
  </si>
  <si>
    <t xml:space="preserve">Investment Income </t>
  </si>
  <si>
    <t xml:space="preserve">Misc Expense (Income) </t>
  </si>
  <si>
    <t>4Q14: Don't expect FX losses to repeat</t>
  </si>
  <si>
    <t>Other Expense (Income), Net</t>
  </si>
  <si>
    <t>0623: 1Q $2.4 was due to FX. This quarter 0 to slight negative</t>
  </si>
  <si>
    <t xml:space="preserve">Net Income and EPS </t>
  </si>
  <si>
    <t>Pre-Tax Income</t>
  </si>
  <si>
    <t>2Q15: Tax rate: 39.3% for the full year. 39.6% for each of next 2Qs</t>
  </si>
  <si>
    <t>Provision for Taxes</t>
  </si>
  <si>
    <t>Net Income: Continuing Operations</t>
  </si>
  <si>
    <t>Preferred Dividends</t>
  </si>
  <si>
    <t>Net Income Available to Common</t>
  </si>
  <si>
    <t>Conversion Adjustments</t>
  </si>
  <si>
    <t>Add: Dividends on Convertible Preferred</t>
  </si>
  <si>
    <t>Add: Interest on Convertible Debt</t>
  </si>
  <si>
    <t>Less: Replacement of funding</t>
  </si>
  <si>
    <t>Net Conversion Adjustment</t>
  </si>
  <si>
    <t>Net Income for Diluted EPS</t>
  </si>
  <si>
    <t xml:space="preserve">Diluted EPS </t>
  </si>
  <si>
    <t>PT</t>
  </si>
  <si>
    <t>Current</t>
  </si>
  <si>
    <t>Avg. Shares Outstanding - Basic (millions)</t>
  </si>
  <si>
    <t>Avg. Shares Outstanding - Diluted (millions)</t>
  </si>
  <si>
    <t>2Q14: Authorized $150M buyback</t>
  </si>
  <si>
    <t>$44.33</t>
  </si>
  <si>
    <t>$44.90</t>
  </si>
  <si>
    <t>2Q15: 3Q15 diluted share count 58M</t>
  </si>
  <si>
    <t>Discontinued Operations - net of tax</t>
  </si>
  <si>
    <t>Extraordinary items - net of tax</t>
  </si>
  <si>
    <t>Net Income - Reported</t>
  </si>
  <si>
    <t>Reported EPS</t>
  </si>
  <si>
    <t xml:space="preserve">    Dividend Payout Ratio</t>
  </si>
  <si>
    <t>STATEMENT OF CASH FLOWS</t>
  </si>
  <si>
    <t>Net Earnings</t>
  </si>
  <si>
    <t>D&amp;A, Net of Accretion</t>
  </si>
  <si>
    <t>Employee Benefits</t>
  </si>
  <si>
    <t>Cash from Operations</t>
  </si>
  <si>
    <t>Capital Expenditures</t>
  </si>
  <si>
    <t>Proceeds from Sales</t>
  </si>
  <si>
    <t>2Q15: Net capex: FY15 under $300M</t>
  </si>
  <si>
    <t>As a % of Total Revenue</t>
  </si>
  <si>
    <t>As a % of Beginning Net PPE</t>
  </si>
  <si>
    <t>Common Dividends Paid</t>
  </si>
  <si>
    <t>Change in Equity</t>
  </si>
  <si>
    <t>2Q14: Authorized $150M buyback (no expiration)</t>
  </si>
  <si>
    <t>Change in Debt / Other</t>
  </si>
  <si>
    <t>Cash from Financing</t>
  </si>
  <si>
    <t>Change in Cash</t>
  </si>
  <si>
    <t>Beginning Cash</t>
  </si>
  <si>
    <t>Cash Used by Discontinued Op.</t>
  </si>
  <si>
    <t>Ending Cash</t>
  </si>
  <si>
    <t>Cash and Cash Equivalents</t>
  </si>
  <si>
    <t>Trade Accounts Receivable  / Other Receivables</t>
  </si>
  <si>
    <t>Other Current Assets</t>
  </si>
  <si>
    <t>Net Property &amp; Equipment</t>
  </si>
  <si>
    <t>Other Long-Term Assets</t>
  </si>
  <si>
    <t>Current Portion of Long-Term Debt</t>
  </si>
  <si>
    <t>Days Payables Outstanding</t>
  </si>
  <si>
    <t>Other Current Liabilities</t>
  </si>
  <si>
    <t>Long-Term Debt, Incl. Capital Leases</t>
  </si>
  <si>
    <t xml:space="preserve">Other Long-Term Liabilities </t>
  </si>
  <si>
    <t>Shareholder' Equity</t>
  </si>
  <si>
    <t>Common Stock</t>
  </si>
  <si>
    <t>Paid in Capital, Common Stock</t>
  </si>
  <si>
    <t>Retained Earnings</t>
  </si>
  <si>
    <t>Treasury Stock</t>
  </si>
  <si>
    <t>Accumulated Other Comp. Loss &amp; Other</t>
  </si>
  <si>
    <t>Total Shareholders' Equity</t>
  </si>
  <si>
    <t>Total Liabilities and Equity</t>
  </si>
  <si>
    <t>Check</t>
  </si>
  <si>
    <t>Avg. Invested Capital</t>
  </si>
  <si>
    <t>ROIC %</t>
  </si>
  <si>
    <t>Common dividends declared</t>
  </si>
  <si>
    <t>Common Shares Outstanding - Period End</t>
  </si>
  <si>
    <t>Period:</t>
  </si>
  <si>
    <t>Freight TL FSC</t>
  </si>
  <si>
    <t>LTL FSC</t>
  </si>
  <si>
    <t>TL FSC</t>
  </si>
  <si>
    <t>Freight Surcharge: On-Highway Diesel</t>
  </si>
  <si>
    <t>TL Surcharge: On-Highway Diesel</t>
  </si>
  <si>
    <t>Month</t>
  </si>
  <si>
    <t>One-Week Lag Period</t>
  </si>
  <si>
    <t>Week Applied</t>
  </si>
  <si>
    <t>Basis Week</t>
  </si>
  <si>
    <t>National On-Highway Diesel</t>
  </si>
  <si>
    <t>Fuel Surcharge</t>
  </si>
  <si>
    <t>FSC No Lag</t>
  </si>
  <si>
    <t>Rate Per Mile</t>
  </si>
  <si>
    <t>At Least</t>
  </si>
  <si>
    <t>But Less Than</t>
  </si>
  <si>
    <t>TL Rate</t>
  </si>
  <si>
    <t>LTL Rate</t>
  </si>
  <si>
    <t>Fuel Expense</t>
  </si>
  <si>
    <t>QTR</t>
  </si>
  <si>
    <t>Actual</t>
  </si>
  <si>
    <t>1 Week Lag</t>
  </si>
  <si>
    <t>Difference</t>
  </si>
  <si>
    <t>Total Tons (000)</t>
  </si>
  <si>
    <t>3Q15: Already realized $30M of cost savings from CNW</t>
  </si>
  <si>
    <t>Period-End Date</t>
  </si>
  <si>
    <t>(USD millions)</t>
  </si>
  <si>
    <t>Discounted cash flow analysis</t>
  </si>
  <si>
    <t>% change Y/Y</t>
  </si>
  <si>
    <t>Adj. EBIT</t>
  </si>
  <si>
    <t>D&amp;A</t>
  </si>
  <si>
    <t>Adj. EBITDA</t>
  </si>
  <si>
    <t>(-) Cash taxes</t>
  </si>
  <si>
    <t>(+/-) Changes in working capital / other</t>
  </si>
  <si>
    <t>(-) Net Capex</t>
  </si>
  <si>
    <t>Unlevered free cash flow</t>
  </si>
  <si>
    <t>Adj. EBIT Margin</t>
  </si>
  <si>
    <t>D&amp;A as % of Sales</t>
  </si>
  <si>
    <t>NPV Calculations</t>
  </si>
  <si>
    <t>Year for 1-year forward value</t>
  </si>
  <si>
    <t>Discounted cash flows</t>
  </si>
  <si>
    <t>Perpetual Growth</t>
  </si>
  <si>
    <t>Fair value</t>
  </si>
  <si>
    <t>PV of FCF</t>
  </si>
  <si>
    <t>Equity Value: WACC vs. Perpetual Growth Rate</t>
  </si>
  <si>
    <t>NPV of terminal value</t>
  </si>
  <si>
    <t>Enterprise value</t>
  </si>
  <si>
    <t>Equity value</t>
  </si>
  <si>
    <t>Equity Value per Share: WACC vs. Perpetual Growth Rate</t>
  </si>
  <si>
    <t>Equity fair value per share</t>
  </si>
  <si>
    <t>Implied terminal EBITDA multiple</t>
  </si>
  <si>
    <t>DCF valuation assumptions</t>
  </si>
  <si>
    <t>Valuation date</t>
  </si>
  <si>
    <t>1-year</t>
  </si>
  <si>
    <t>Risk Free Rate</t>
  </si>
  <si>
    <t>Adj. Beta</t>
  </si>
  <si>
    <t>Market Risk Premium</t>
  </si>
  <si>
    <t>Cost of Equity</t>
  </si>
  <si>
    <t>Cost of Debt</t>
  </si>
  <si>
    <t>Marginal Tax-Rate</t>
  </si>
  <si>
    <t>Long-Term Debt / Total Cap.</t>
  </si>
  <si>
    <t>WACC</t>
  </si>
  <si>
    <t>Perpetual growth rate</t>
  </si>
  <si>
    <t>CNW Acq: one-time implementation costs of $125 million to $150 million</t>
  </si>
  <si>
    <t>(-) Minority Interest</t>
  </si>
  <si>
    <t>3Q15: 13-14% net revenue margin for FF</t>
  </si>
  <si>
    <t>3Q15: With CNW, current revenue run rate is $15B</t>
  </si>
  <si>
    <t>YoY Growth</t>
  </si>
  <si>
    <t>Valuation</t>
  </si>
  <si>
    <t>Net Debt</t>
  </si>
  <si>
    <t>12/23: 3Q tonnage down about 3% YoY</t>
  </si>
  <si>
    <t>12/23: Intermodal is weak as fuel has taken another step down</t>
  </si>
  <si>
    <t>12/23: Right now they are 70% contractual for brokerage. Have not seen margin deterioration and shippers pushing back on pricing</t>
  </si>
  <si>
    <t>2015A</t>
  </si>
  <si>
    <t>Conway Net Revenue</t>
  </si>
  <si>
    <t>Transportation Net Revenue</t>
  </si>
  <si>
    <t>Net Rev Interseg elimination</t>
  </si>
  <si>
    <t>Corp and net opex interseg elimination</t>
  </si>
  <si>
    <t>Op Income - Transportation</t>
  </si>
  <si>
    <t>Op Income - Contract logistics</t>
  </si>
  <si>
    <t>4Q15: Jan rev/CWT ex. fs up 3.5%</t>
  </si>
  <si>
    <t>4Q15: During the quarter, CNW added $68-69M of EBITDA%</t>
  </si>
  <si>
    <t>AOCI</t>
  </si>
  <si>
    <t>4Q15: increase cash EPS target to $2.75</t>
  </si>
  <si>
    <t>North America LTL</t>
  </si>
  <si>
    <t>North America TL</t>
  </si>
  <si>
    <t>North America (TL + LTL) Net Revenue Margin %</t>
  </si>
  <si>
    <t>North America TL and LTL</t>
  </si>
  <si>
    <t>Inter-seg Eliminations</t>
  </si>
  <si>
    <t xml:space="preserve">Corporate </t>
  </si>
  <si>
    <t>4Q15: Tonnage was down 5.5% yoy YTD, trending better in Feb (Jan -6% and Feb down 5%)</t>
  </si>
  <si>
    <t>0324: Starting to see some spot business as the price is lower than contract</t>
  </si>
  <si>
    <t>Earnings Variance</t>
  </si>
  <si>
    <t>MSe</t>
  </si>
  <si>
    <t>vs. MSe</t>
  </si>
  <si>
    <t>Freight Brokerage (incl. Expedite) Net Revenue Margin %</t>
  </si>
  <si>
    <t>Freight Brokerage Net Revenue</t>
  </si>
  <si>
    <t>1Q16: April tonnage decline accelerated</t>
  </si>
  <si>
    <t>But pricing even better</t>
  </si>
  <si>
    <t>1Q16: CNW integration cost $75-100M in 2016</t>
  </si>
  <si>
    <t>0620: Book tax rate 38% for the balance of the year</t>
  </si>
  <si>
    <t>$28.72</t>
  </si>
  <si>
    <t>2Q16: would like to keep $300M of cash on the balance sheet; use excess to pay off debt</t>
  </si>
  <si>
    <t>2017 FCF Buildup</t>
  </si>
  <si>
    <t>Working capital</t>
  </si>
  <si>
    <t>Cash interest</t>
  </si>
  <si>
    <t>Cash tax</t>
  </si>
  <si>
    <t>2Q16: Working Capital $80-90M in 2017</t>
  </si>
  <si>
    <t>2Q16 IR: Transportation EBITDA down seq in 3Q</t>
  </si>
  <si>
    <t>2Q16: Includes $3.5-4M of non-cash allocation of undistributed earnings</t>
  </si>
  <si>
    <t>9/29/16: Use 123 share count but also need to include $3.5-4M charge</t>
  </si>
  <si>
    <t>$BV$2</t>
  </si>
  <si>
    <t>3Q16: at least $175M for FY16 ($400M in 2017, $500-600M in 2018 - IR)</t>
  </si>
  <si>
    <t>TMF TMF EPS</t>
  </si>
  <si>
    <t>Multiple</t>
  </si>
  <si>
    <t>TMF PT</t>
  </si>
  <si>
    <t>Current Price</t>
  </si>
  <si>
    <t>Upside</t>
  </si>
  <si>
    <t>LTL EBITDA</t>
  </si>
  <si>
    <t>LTL EBITDA Margin</t>
  </si>
  <si>
    <t>Transportation EBITDA (ex. LTL)</t>
  </si>
  <si>
    <t>Transportation EBITDA (ex. LTL) Margin</t>
  </si>
  <si>
    <t>Transportation ex. LTL</t>
  </si>
  <si>
    <t>Logistics EBITDA</t>
  </si>
  <si>
    <t>Logistics EBITDA Margin</t>
  </si>
  <si>
    <t>Op Income - Transportation ex. LTL</t>
  </si>
  <si>
    <t>Op Income - LTL</t>
  </si>
  <si>
    <t>1/4/17: FY17 D&amp;A close to FY16 levels</t>
  </si>
  <si>
    <t>4Q16: FY17 interest $310-320M ($18M noncash)</t>
  </si>
  <si>
    <t>4Q16: over 10% adj. EBITDA margin in 2018</t>
  </si>
  <si>
    <t>Net Capital Expenditures</t>
  </si>
  <si>
    <t>Long-term debt (previously senior notes &amp; revolving credit facility)</t>
  </si>
  <si>
    <t>One-timers</t>
  </si>
  <si>
    <t>4Q16: at least $350M for FY17; $900M cumulative in 2017/18</t>
  </si>
  <si>
    <t>4Q16: FY17 D&amp;A $630-650M (Depr. $460-480M)</t>
  </si>
  <si>
    <t>4Q16: Book tax rate 34-37%</t>
  </si>
  <si>
    <t>2/27/17 IR: Corp SG&amp;A: 2017 close to 2016 levels</t>
  </si>
  <si>
    <t>Freight Brokerage (Truck Brokerage, IM, Expedite)</t>
  </si>
  <si>
    <t>4Q16: continue to have healthy dble digits organic rev growth</t>
  </si>
  <si>
    <t>LTL Revenue (incl. rev from trailer manufacturing)</t>
  </si>
  <si>
    <t>`</t>
  </si>
  <si>
    <t>Brokerage</t>
  </si>
  <si>
    <t>IM</t>
  </si>
  <si>
    <t>5/5/17: NA logistics will likely see LSD yoy growth in rest of year (takes time to ramp up MT contracts)</t>
  </si>
  <si>
    <t>5/5/17: Logistics EBITDA margin cadence similar to 2016</t>
  </si>
  <si>
    <t xml:space="preserve">5/5/17: FY17 interest $300M </t>
  </si>
  <si>
    <t>Adjusted EBIT</t>
  </si>
  <si>
    <t>2018 work days: 63.5, 64, 63, 61.5, 252 total</t>
  </si>
  <si>
    <t>No structural reasons why we shouldn't be able to reach ~1550-1600 lbs</t>
  </si>
  <si>
    <t>6/26/17: 10-15% long-term growth</t>
  </si>
  <si>
    <t>6/26/17: Expect ~$320M for FY17</t>
  </si>
  <si>
    <t>2017: 64, 61, 64, 62</t>
  </si>
  <si>
    <t>2016: 62, 63, 64, 61</t>
  </si>
  <si>
    <t xml:space="preserve">Europe working days: </t>
  </si>
  <si>
    <t>5/22/17: announced GRI effective 6/5/17</t>
  </si>
  <si>
    <t>2Q17: 87-88% OR in 2017</t>
  </si>
  <si>
    <t>2Q17: rev per cwt ex FS likely positive yoy in 3Q</t>
  </si>
  <si>
    <t>Add potential common shares excluded bc the effect was anti-dilutive</t>
  </si>
  <si>
    <t>8/2/17: Expect tonnage per day to be similar to 2Q17</t>
  </si>
  <si>
    <t>8/2/17: Expect weight per shipment +3.4% yoy</t>
  </si>
  <si>
    <t>10/3/17: disposal of property $6M in 3Q and $3M in 4Q; $25M in 2018</t>
  </si>
  <si>
    <t>2Q17: FY17 EBITDA at last $1.365B, FY18 at least $1.6B</t>
  </si>
  <si>
    <t xml:space="preserve">11/1/17 IR: </t>
  </si>
  <si>
    <t>11/1/17 IR: NA logistics will face favorable comps in 2H18</t>
  </si>
  <si>
    <t>11/1/17 IR: 8-11% growth for Europe CL is reasonable</t>
  </si>
  <si>
    <t>82</t>
  </si>
  <si>
    <t xml:space="preserve">12/20/17: FY17 net interest $295M </t>
  </si>
  <si>
    <t>XPO.N,mscalc:defaultCurrencyCalc</t>
  </si>
  <si>
    <t>XPO.N,mscalc:targetPrice</t>
  </si>
  <si>
    <t>(-) Debt (YE18)</t>
  </si>
  <si>
    <t>(+) Cash (YE18)</t>
  </si>
  <si>
    <t>Fully Diluted Shares (2018)</t>
  </si>
  <si>
    <t>85</t>
  </si>
  <si>
    <t>12/12/17 NDR: Do not expect LTL rev to increase HSD y/y in 2018</t>
  </si>
  <si>
    <t>4Q17: 100-200 bps yoy improvement in 2018</t>
  </si>
  <si>
    <t xml:space="preserve">4Q17: FY17 D&amp;A $685-695M </t>
  </si>
  <si>
    <t>4Q17: Book tax rate 22-25%</t>
  </si>
  <si>
    <t>4Q17: Generate $1B of LTL EBITDA within 4 years</t>
  </si>
  <si>
    <t>4Q17: Retierate FY18 EBITDA at last $1.6B (17% y/y growth)</t>
  </si>
  <si>
    <t>8/2/17: 2017 net capex $430-455M, 3Q higher than 4Q; ; Long-term capex ~$550M</t>
  </si>
  <si>
    <t>4Q17: 2018 net capex $450-475M</t>
  </si>
  <si>
    <t>4Q17: 5-8% organic rev growth in 2018</t>
  </si>
  <si>
    <t>4Q17: Approx. $1B FCF in 2017/18 ($625M in 2018)</t>
  </si>
  <si>
    <t>4Q17: $250-265M interest expense in 2018</t>
  </si>
  <si>
    <t>3/26/18: LSD to MSD organic gross rev growth, still get FX tailwind in 1Q18</t>
  </si>
  <si>
    <t>3/26/18: LSD to MSD gross rev growth in 2018</t>
  </si>
  <si>
    <t>Managed Transportation</t>
  </si>
  <si>
    <t>3/26/18: $185-190 Corp SG&amp;A for 2018</t>
  </si>
  <si>
    <t>3/26/18: 1Q18 share count similar to 4Q17</t>
  </si>
  <si>
    <t>Research</t>
  </si>
  <si>
    <t>MSA12397</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</si>
  <si>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</si>
  <si>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</si>
  <si>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</si>
  <si>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</si>
  <si>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</si>
  <si>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</si>
  <si>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</si>
  <si>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Ravi Shanker</t>
  </si>
  <si>
    <t>Date: 05 Apr 2018</t>
  </si>
  <si>
    <t>Ticker: XPO.N</t>
  </si>
  <si>
    <t>Stock Rating: Overweight</t>
  </si>
  <si>
    <t>Industry: Freight Transportation</t>
  </si>
  <si>
    <t>Industry View: In-Line</t>
  </si>
  <si>
    <t>Price as of 05 Apr 2018: 99.30</t>
  </si>
  <si>
    <t>Target Price: 125</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</si>
  <si>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</si>
  <si>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</si>
  <si>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</si>
  <si>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</si>
  <si>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XPO Logistics, Inc..</t>
  </si>
  <si>
    <t>STOCK RATINGS</t>
  </si>
  <si>
    <t>Global Stock Ratings Distribution</t>
  </si>
  <si>
    <t>(as of March 31, 2018)</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</si>
  <si>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</si>
  <si>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</si>
  <si>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</si>
  <si>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</si>
  <si>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</si>
  <si>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</si>
  <si>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</si>
  <si>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</si>
  <si>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</si>
  <si>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</si>
  <si>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</si>
  <si>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</si>
  <si>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</si>
  <si>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</si>
  <si>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</si>
  <si>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</si>
  <si>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</si>
  <si>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</si>
  <si>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</si>
  <si>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</si>
  <si>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</si>
  <si>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</si>
  <si>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</si>
  <si>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</si>
  <si>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</si>
  <si>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</si>
  <si>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</si>
  <si>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</si>
  <si>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</si>
  <si>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</si>
  <si>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</si>
  <si>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</si>
  <si>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</si>
  <si>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</si>
  <si>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</si>
  <si>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</si>
  <si>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</si>
  <si>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</si>
  <si>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</si>
  <si>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</si>
  <si>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</si>
  <si>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</si>
  <si>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</si>
  <si>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</si>
  <si>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</si>
  <si>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</si>
  <si>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</si>
  <si>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</si>
  <si>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</si>
  <si>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</si>
  <si>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</si>
  <si>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</si>
  <si>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</si>
  <si>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</si>
  <si>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</si>
  <si>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</si>
  <si>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</si>
  <si>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</si>
  <si>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</si>
  <si>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</si>
  <si>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</si>
  <si>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</si>
  <si>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</si>
  <si>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</si>
  <si>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</si>
  <si>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</si>
  <si>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</si>
  <si>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</si>
  <si>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</si>
  <si>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</si>
  <si>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</si>
  <si>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</si>
  <si>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</si>
  <si>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</si>
  <si>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</si>
  <si>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</si>
  <si>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</si>
  <si>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</si>
  <si>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</si>
  <si>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</si>
  <si>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</si>
  <si>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</si>
  <si>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</si>
  <si>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</si>
  <si>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</si>
  <si>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</si>
  <si>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</si>
  <si>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</si>
  <si>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</si>
  <si>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</si>
  <si>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</si>
  <si>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</si>
  <si>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</si>
  <si>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</si>
  <si>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</si>
  <si>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</si>
  <si>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</si>
  <si>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</si>
  <si>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</si>
  <si>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</si>
  <si>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</si>
  <si>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</si>
  <si>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</si>
  <si>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</si>
  <si>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</si>
  <si>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</si>
  <si>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</si>
  <si>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</si>
  <si>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</si>
  <si>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</si>
  <si>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</si>
  <si>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</si>
  <si>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</si>
  <si>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</si>
  <si>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</si>
  <si>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</si>
  <si>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</si>
  <si>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</si>
  <si>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</si>
  <si>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</si>
  <si>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</si>
  <si>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</si>
  <si>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</si>
  <si>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</si>
  <si>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</si>
  <si>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</si>
  <si>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</si>
  <si>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</si>
  <si>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</si>
  <si>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</si>
  <si>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</si>
  <si>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</si>
  <si>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</si>
  <si>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</si>
  <si>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</si>
  <si>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</si>
  <si>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</si>
  <si>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</si>
  <si>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</si>
  <si>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</si>
  <si>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</si>
  <si>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</si>
  <si>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</si>
  <si>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</si>
  <si>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</si>
  <si>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</si>
  <si>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</si>
  <si>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</si>
  <si>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</si>
  <si>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</si>
  <si>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</si>
  <si>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</si>
  <si>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</si>
  <si>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</si>
  <si>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</si>
  <si>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</si>
  <si>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</si>
  <si>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</si>
  <si>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</si>
  <si>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</si>
  <si>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</si>
  <si>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</si>
  <si>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</si>
  <si>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</si>
  <si>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</si>
  <si>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</si>
  <si>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</si>
  <si>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</si>
  <si>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</si>
  <si>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</si>
  <si>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</si>
  <si>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</si>
  <si>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XPO Logistics,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</si>
  <si>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</si>
  <si>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</si>
  <si>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</si>
  <si>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</si>
  <si>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</si>
  <si>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</si>
  <si>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</si>
  <si>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</si>
  <si>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</si>
  <si>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</si>
  <si>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</si>
  <si>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</si>
  <si>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</si>
  <si>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</si>
  <si>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</si>
  <si>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</si>
  <si>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</si>
  <si>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</si>
  <si>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</si>
  <si>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</si>
  <si>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</si>
  <si>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</si>
  <si>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</si>
  <si>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</si>
  <si>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</si>
  <si>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</si>
  <si>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</si>
  <si>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</si>
  <si>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</si>
  <si>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</si>
  <si>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</si>
  <si>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</si>
  <si>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</si>
  <si>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</si>
  <si>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</si>
  <si>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</si>
  <si>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</si>
  <si>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</si>
  <si>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</si>
  <si>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</si>
  <si>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</si>
  <si>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</si>
  <si>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</si>
  <si>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</si>
  <si>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</si>
  <si>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</si>
  <si>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</si>
  <si>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</si>
  <si>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</si>
  <si>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</si>
  <si>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</si>
  <si>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</si>
  <si>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</si>
  <si>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</si>
  <si>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</si>
  <si>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</si>
  <si>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</si>
  <si>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</si>
  <si>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</si>
  <si>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</si>
  <si>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</si>
  <si>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</si>
  <si>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</si>
  <si>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</si>
  <si>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</si>
  <si>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</si>
  <si>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</si>
  <si>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</si>
  <si>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XPO Logistics, Inc..</t>
  </si>
  <si>
    <t>Within the last 12 months, Morgan Stanley has provided or is providing investment banking services to,</t>
  </si>
  <si>
    <t>or has an investment banking client relationship with, the following company: XPO Logistics, Inc..</t>
  </si>
  <si>
    <t>Within the last 12 months, Morgan Stanley has received compensation for products and services other than</t>
  </si>
  <si>
    <t>investment banking services from XPO Logistics, Inc..</t>
  </si>
  <si>
    <t>In the next 3 months, Morgan Stanley expects to receive or intends to seek compensation for investment</t>
  </si>
  <si>
    <t>banking services from XPO Logistics, Inc..</t>
  </si>
  <si>
    <t>Within the last 12 months, Morgan Stanley has received compensation for investment banking services from</t>
  </si>
  <si>
    <t>XPO Logistics, Inc..</t>
  </si>
  <si>
    <t>Within the last 12 months, Morgan Stanley managed or co-managed a public offering (or 144A offering) of</t>
  </si>
  <si>
    <t>securities of XPO Logistics,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</si>
  <si>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</si>
  <si>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</si>
  <si>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</si>
  <si>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</si>
  <si>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</si>
  <si>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Ravi Shanker.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</si>
  <si>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</si>
  <si>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</si>
  <si>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</si>
  <si>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</si>
  <si>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</si>
  <si>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</si>
  <si>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</si>
  <si>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</si>
  <si>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</si>
  <si>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</si>
  <si>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</si>
  <si>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</si>
  <si>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</si>
  <si>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</si>
  <si>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</si>
  <si>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</si>
  <si>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</si>
  <si>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</si>
  <si>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</si>
  <si>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</si>
  <si>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</si>
  <si>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</si>
  <si>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</si>
  <si>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</si>
  <si>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</si>
  <si>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</si>
  <si>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</si>
  <si>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</si>
  <si>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</si>
  <si>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</si>
  <si>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</si>
  <si>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</si>
  <si>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</si>
  <si>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</si>
  <si>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</si>
  <si>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</si>
  <si>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</si>
  <si>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</si>
  <si>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</si>
  <si>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</si>
  <si>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</si>
  <si>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</si>
  <si>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</si>
  <si>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</si>
  <si>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</si>
  <si>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</si>
  <si>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</si>
  <si>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</si>
  <si>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</si>
  <si>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</si>
  <si>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</si>
  <si>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</si>
  <si>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</si>
  <si>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</si>
  <si>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</si>
  <si>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</si>
  <si>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</si>
  <si>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</si>
  <si>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</si>
  <si>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</si>
  <si>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</si>
  <si>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</si>
  <si>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</si>
  <si>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</si>
  <si>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</si>
  <si>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</si>
  <si>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</si>
  <si>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</si>
  <si>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In-Line</t>
  </si>
  <si>
    <t>Regular Update</t>
  </si>
  <si>
    <t>NorthAmerica</t>
  </si>
  <si>
    <t>diahuang</t>
  </si>
  <si>
    <t>XPO Logistics, Inc.</t>
  </si>
  <si>
    <t>L:\FREIGHT-NY\WG Parcel-Logistics\XPO\XPO.Model.new.xlsm</t>
  </si>
  <si>
    <t>[BRO MSA]</t>
  </si>
  <si>
    <t>[PRODUCT MODEL]</t>
  </si>
  <si>
    <t>[EMAIL_ALERT YES]</t>
  </si>
  <si>
    <t>[DISCIPLINE Company]</t>
  </si>
  <si>
    <t>[SUPPRESSED NO]</t>
  </si>
  <si>
    <t>[DOCDAT 2018-04-05]</t>
  </si>
  <si>
    <t>[DOCTIME 08:06]</t>
  </si>
  <si>
    <t>[PSYM XPO.N(S&amp;P) (None)]</t>
  </si>
  <si>
    <t>[COU 1]</t>
  </si>
  <si>
    <t>[ANA ]</t>
  </si>
  <si>
    <t>[HL XPO.N Model]</t>
  </si>
  <si>
    <t>[IND TRUCKG]</t>
  </si>
  <si>
    <t>[PANA MSA12397]</t>
  </si>
</sst>
</file>

<file path=xl/styles.xml><?xml version="1.0" encoding="utf-8"?>
<styleSheet xmlns="http://schemas.openxmlformats.org/spreadsheetml/2006/main" xmlns:mc="http://schemas.openxmlformats.org/markup-compatibility/2006" xmlns:x14ac="http://schemas.microsoft.com/office/spreadsheetml/2009/9/ac" mc:Ignorable="x14ac">
  <numFmts count="60">
    <numFmt numFmtId="5" formatCode="&quot;$&quot;#,##0_);\(&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
    <numFmt numFmtId="165" formatCode="&quot;$&quot;#,##0.00"/>
    <numFmt numFmtId="166" formatCode="&quot;$&quot;#,##0.0"/>
    <numFmt numFmtId="167" formatCode="#,##0.0"/>
    <numFmt numFmtId="168" formatCode="0.0%"/>
    <numFmt numFmtId="169" formatCode="0.0"/>
    <numFmt numFmtId="171" formatCode="&quot;$&quot;#,##0.000"/>
    <numFmt numFmtId="172" formatCode="_(* #,##0_);_(* \(#,##0\);_(* &quot;-&quot;??_);_(@_)"/>
    <numFmt numFmtId="175" formatCode="[$-409]mmmm\ d\,\ yyyy;@"/>
    <numFmt numFmtId="176" formatCode="[$-409]mmm\-yy;@"/>
    <numFmt numFmtId="188" formatCode="0.0%;\(0.0%\)"/>
    <numFmt numFmtId="189" formatCode="mmmm\ d\,\ yyyy"/>
    <numFmt numFmtId="190" formatCode="#,##0.0%_);\(#,##0.0%\)"/>
    <numFmt numFmtId="191" formatCode="&quot;$&quot;#,##0.0_);\(&quot;$&quot;#,##0.0\)"/>
    <numFmt numFmtId="192" formatCode="0.0\x"/>
    <numFmt numFmtId="194" formatCode="#,##0.0_);\(#,##0.0\)"/>
    <numFmt numFmtId="196" formatCode="0.00\x"/>
    <numFmt numFmtId="199" formatCode="0.0%_);\(0.0%\);&quot;–&quot;_)"/>
    <numFmt numFmtId="202" formatCode="#,##0.0_);\(#,##0.0\);\–_);&quot;–&quot;_)"/>
    <numFmt numFmtId="203" formatCode="&quot;$&quot;#,##0.0_);\(&quot;$&quot;#,##0.0\);\–_);&quot;–&quot;_)"/>
    <numFmt numFmtId="205" formatCode="&quot;$&quot;#,##0_);\(&quot;$&quot;#,##0\);\–_);&quot;–&quot;_)"/>
    <numFmt numFmtId="207" formatCode="#,##0.00_);\(#,##0.00\);\–_);&quot;–&quot;_)"/>
    <numFmt numFmtId="208" formatCode="#,##0_);\(#,##0\);\–_);&quot;–&quot;_)"/>
    <numFmt numFmtId="209" formatCode="_(* #,##0.0_);_(* \(#,##0.0\);_(* &quot;-&quot;??_);_(@_)"/>
    <numFmt numFmtId="210" formatCode="_(&quot;$&quot;* #,##0.0_);_(&quot;$&quot;* \(#,##0.0\);_(&quot;$&quot;* &quot;-&quot;?_);_(@_)"/>
    <numFmt numFmtId="211" formatCode="#,##0.000_);\(#,##0.000\);\–_);&quot;–&quot;_)"/>
    <numFmt numFmtId="212" formatCode="&quot;$&quot;#,##0.0;\(&quot;$&quot;#,##0.0\)"/>
    <numFmt numFmtId="213" formatCode="\£\ #,##0_);[Red]\(\£\ #,##0\)"/>
    <numFmt numFmtId="214" formatCode="\¥\ #,##0_);[Red]\(\¥\ #,##0\)"/>
    <numFmt numFmtId="215" formatCode="_(* #,##0.0_);_(* \(#,##0.0\);_(* &quot;--- &quot;_)"/>
    <numFmt numFmtId="216" formatCode="\•\ \ @"/>
    <numFmt numFmtId="217" formatCode="\ \ _•\–\ \ \ \ @"/>
    <numFmt numFmtId="218" formatCode="#,##0.0;\(###0.0\)"/>
    <numFmt numFmtId="219" formatCode="mmm\-yyyy"/>
    <numFmt numFmtId="220" formatCode="_(&quot;$&quot;* #,##0_);_(&quot;$&quot;* \(#,##0\);_(&quot;$&quot;* &quot;-&quot;??_);_(@_)"/>
    <numFmt numFmtId="221" formatCode="0.00\ "/>
    <numFmt numFmtId="222" formatCode="m/d/yy;@"/>
    <numFmt numFmtId="223" formatCode="0.000"/>
    <numFmt numFmtId="224" formatCode="m/d/yy_);;@_)"/>
    <numFmt numFmtId="225" formatCode="yyyy_);;;@_)"/>
    <numFmt numFmtId="226" formatCode="yyyy&quot;E&quot;_);;;@_)"/>
    <numFmt numFmtId="227" formatCode="[$$-409]#,##0_);\([$$-409]#,##0\);[$$-409]\-\-_);@_)"/>
    <numFmt numFmtId="228" formatCode="#,##0.0%_);\(#,##0.0%\);\-\-\%_);@_)"/>
    <numFmt numFmtId="229" formatCode="#,##0_);\(#,##0\);\-\-_);@_)"/>
    <numFmt numFmtId="230" formatCode="[$$-409]#,##0.00_);\([$$-409]#,##0.00\);[$$-409]\-\-_);@_)"/>
    <numFmt numFmtId="231" formatCode="mmm\-yy_);;;@_)"/>
    <numFmt numFmtId="232" formatCode="#,##0.0\x_);\(#,##0.0\x\);\-\-\x_);@_)"/>
    <numFmt numFmtId="233" formatCode="&quot;$&quot;#,##0.0_);[Red]\(&quot;$&quot;#,##0.0\)"/>
    <numFmt numFmtId="234" formatCode="_ * #,##0_ ;_ * \-#,##0_ ;_ * &quot;-&quot;_ ;_ @_ "/>
    <numFmt numFmtId="236" formatCode="_(#,##0.0_)_%;_(\(#,##0.0\)_%;_(&quot;–&quot;_)_%;@_(_%"/>
    <numFmt numFmtId="237" formatCode="&quot;$&quot;#,##0.000_);\(&quot;$&quot;#,##0.000\)"/>
    <numFmt numFmtId="238" formatCode="#,##0.000_);\(#,##0.000\)"/>
    <numFmt numFmtId="239" formatCode="_(&quot;$&quot;* #,##0.0_);_(&quot;$&quot;* \(#,##0.0\);_(&quot;$&quot;* &quot;-&quot;??_);_(@_)"/>
    <numFmt numFmtId="241" formatCode="0&quot;A&quot;"/>
    <numFmt numFmtId="247" formatCode="mm/dd/yy\ hh:mm"/>
  </numFmts>
  <fonts count="98">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8"/>
      <name val="Arial"/>
      <family val="2"/>
    </font>
    <font>
      <sz val="8"/>
      <name val="Arial"/>
      <family val="2"/>
    </font>
    <font>
      <i/>
      <sz val="8"/>
      <name val="Arial"/>
      <family val="2"/>
    </font>
    <font>
      <sz val="8"/>
      <color indexed="12"/>
      <name val="Arial"/>
      <family val="2"/>
    </font>
    <font>
      <sz val="8"/>
      <color indexed="22"/>
      <name val="Arial"/>
      <family val="2"/>
    </font>
    <font>
      <b/>
      <i/>
      <sz val="8"/>
      <name val="Arial"/>
      <family val="2"/>
    </font>
    <font>
      <sz val="8"/>
      <color indexed="81"/>
      <name val="Tahoma"/>
      <family val="2"/>
    </font>
    <font>
      <b/>
      <sz val="8"/>
      <color indexed="81"/>
      <name val="Tahoma"/>
      <family val="2"/>
    </font>
    <font>
      <sz val="8"/>
      <name val="Arial"/>
      <family val="2"/>
    </font>
    <font>
      <sz val="8"/>
      <color indexed="10"/>
      <name val="Arial"/>
      <family val="2"/>
    </font>
    <font>
      <b/>
      <sz val="8"/>
      <color indexed="12"/>
      <name val="Arial"/>
      <family val="2"/>
    </font>
    <font>
      <b/>
      <sz val="10"/>
      <name val="Arial"/>
      <family val="2"/>
    </font>
    <font>
      <b/>
      <sz val="8"/>
      <color indexed="10"/>
      <name val="Arial"/>
      <family val="2"/>
    </font>
    <font>
      <sz val="10"/>
      <name val="Courier"/>
      <family val="3"/>
    </font>
    <font>
      <sz val="8"/>
      <color indexed="9"/>
      <name val="Arial"/>
      <family val="2"/>
    </font>
    <font>
      <sz val="10"/>
      <name val="Helv"/>
    </font>
    <font>
      <b/>
      <sz val="10"/>
      <color indexed="9"/>
      <name val="Arial"/>
      <family val="2"/>
    </font>
    <font>
      <sz val="8"/>
      <color indexed="8"/>
      <name val="Arial"/>
      <family val="2"/>
    </font>
    <font>
      <b/>
      <sz val="8"/>
      <color indexed="8"/>
      <name val="Arial"/>
      <family val="2"/>
    </font>
    <font>
      <i/>
      <sz val="8"/>
      <color indexed="12"/>
      <name val="Arial"/>
      <family val="2"/>
    </font>
    <font>
      <sz val="10"/>
      <name val="Arial"/>
      <family val="2"/>
    </font>
    <font>
      <i/>
      <sz val="8"/>
      <color indexed="9"/>
      <name val="Arial"/>
      <family val="2"/>
    </font>
    <font>
      <sz val="8"/>
      <color indexed="14"/>
      <name val="Arial"/>
      <family val="2"/>
    </font>
    <font>
      <b/>
      <sz val="8"/>
      <color indexed="9"/>
      <name val="Arial"/>
      <family val="2"/>
    </font>
    <font>
      <sz val="11"/>
      <name val="Arial"/>
      <family val="2"/>
    </font>
    <font>
      <i/>
      <sz val="8"/>
      <color indexed="22"/>
      <name val="Arial"/>
      <family val="2"/>
    </font>
    <font>
      <sz val="8"/>
      <color indexed="55"/>
      <name val="Arial"/>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10"/>
      <color indexed="12"/>
      <name val="Arial"/>
      <family val="2"/>
    </font>
    <font>
      <sz val="10"/>
      <color indexed="8"/>
      <name val="Arial"/>
      <family val="2"/>
    </font>
    <font>
      <b/>
      <sz val="10"/>
      <color indexed="8"/>
      <name val="Arial"/>
      <family val="2"/>
    </font>
    <font>
      <b/>
      <sz val="10"/>
      <color indexed="12"/>
      <name val="Arial"/>
      <family val="2"/>
    </font>
    <font>
      <i/>
      <sz val="10"/>
      <name val="Arial"/>
      <family val="2"/>
    </font>
    <font>
      <i/>
      <sz val="10"/>
      <color indexed="12"/>
      <name val="Arial"/>
      <family val="2"/>
    </font>
    <font>
      <sz val="10"/>
      <color indexed="10"/>
      <name val="Arial"/>
      <family val="2"/>
    </font>
    <font>
      <b/>
      <sz val="8"/>
      <color indexed="10"/>
      <name val="Arial"/>
      <family val="2"/>
    </font>
    <font>
      <sz val="12"/>
      <name val="Times New Roman"/>
      <family val="1"/>
    </font>
    <font>
      <sz val="11"/>
      <color indexed="8"/>
      <name val="Calibri"/>
      <family val="2"/>
    </font>
    <font>
      <sz val="11"/>
      <color indexed="9"/>
      <name val="Calibri"/>
      <family val="2"/>
    </font>
    <font>
      <sz val="11"/>
      <color indexed="16"/>
      <name val="Calibri"/>
      <family val="2"/>
    </font>
    <font>
      <b/>
      <sz val="11"/>
      <color indexed="53"/>
      <name val="Calibri"/>
      <family val="2"/>
    </font>
    <font>
      <b/>
      <sz val="11"/>
      <color indexed="9"/>
      <name val="Calibri"/>
      <family val="2"/>
    </font>
    <font>
      <i/>
      <sz val="11"/>
      <color indexed="23"/>
      <name val="Calibri"/>
      <family val="2"/>
    </font>
    <font>
      <sz val="11"/>
      <color indexed="58"/>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13"/>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b/>
      <u/>
      <sz val="8"/>
      <color indexed="9"/>
      <name val="Arial"/>
      <family val="2"/>
    </font>
    <font>
      <sz val="9"/>
      <color indexed="81"/>
      <name val="Tahoma"/>
      <family val="2"/>
    </font>
    <font>
      <b/>
      <sz val="9"/>
      <color indexed="81"/>
      <name val="Tahoma"/>
      <family val="2"/>
    </font>
    <font>
      <sz val="8"/>
      <color rgb="FF000000"/>
      <name val="Arial"/>
      <family val="2"/>
    </font>
    <font>
      <i/>
      <sz val="8"/>
      <color rgb="FF0000FF"/>
      <name val="Arial"/>
      <family val="2"/>
    </font>
    <font>
      <b/>
      <sz val="8"/>
      <color rgb="FF000000"/>
      <name val="Arial"/>
      <family val="2"/>
    </font>
    <font>
      <sz val="8"/>
      <color rgb="FF0000FF"/>
      <name val="Arial"/>
      <family val="2"/>
    </font>
    <font>
      <b/>
      <sz val="8"/>
      <color rgb="FF0000FF"/>
      <name val="Arial"/>
      <family val="2"/>
    </font>
    <font>
      <b/>
      <sz val="8"/>
      <color theme="0"/>
      <name val="Arial"/>
      <family val="2"/>
    </font>
    <font>
      <sz val="10"/>
      <color rgb="FF0000FF"/>
      <name val="Arial"/>
      <family val="2"/>
    </font>
    <font>
      <sz val="11"/>
      <color theme="1"/>
      <name val="Calibri"/>
      <family val="2"/>
      <scheme val="minor"/>
    </font>
    <font>
      <b/>
      <i/>
      <sz val="8"/>
      <color indexed="8"/>
      <name val="Arial"/>
      <family val="2"/>
    </font>
    <font>
      <sz val="9"/>
      <name val="Arial"/>
      <family val="2"/>
    </font>
    <font>
      <i/>
      <sz val="8"/>
      <color indexed="10"/>
      <name val="Arial"/>
      <family val="2"/>
    </font>
    <font>
      <i/>
      <sz val="8"/>
      <color indexed="8"/>
      <name val="Arial"/>
      <family val="2"/>
    </font>
    <font>
      <b/>
      <sz val="8"/>
      <color indexed="22"/>
      <name val="Arial"/>
      <family val="2"/>
    </font>
    <font>
      <sz val="10"/>
      <name val="GillSans"/>
      <family val="2"/>
    </font>
    <font>
      <sz val="8"/>
      <color rgb="FFFF0000"/>
      <name val="Arial"/>
      <family val="2"/>
    </font>
    <font>
      <sz val="8"/>
      <color indexed="17"/>
      <name val="Arial"/>
      <family val="2"/>
    </font>
    <font>
      <b/>
      <sz val="8"/>
      <color indexed="17"/>
      <name val="Arial"/>
      <family val="2"/>
    </font>
    <font>
      <sz val="8"/>
      <color theme="6" tint="-0.249977111117893"/>
      <name val="Arial"/>
      <family val="2"/>
    </font>
    <font>
      <b/>
      <u val="singleAccounting"/>
      <sz val="8"/>
      <name val="Arial"/>
      <family val="2"/>
    </font>
    <font>
      <sz val="10"/>
      <color indexed="59"/>
      <name val="Arial"/>
      <family val="2"/>
    </font>
    <font>
      <b/>
      <sz val="8"/>
      <color indexed="62"/>
      <name val="Arial"/>
      <family val="2"/>
    </font>
    <font>
      <sz val="10"/>
      <color indexed="62"/>
      <name val="Arial"/>
      <family val="2"/>
    </font>
    <font>
      <sz val="10"/>
      <name val="Helvetica"/>
      <family val="2"/>
    </font>
    <font>
      <sz val="12"/>
      <name val="바탕체"/>
      <family val="1"/>
      <charset val="129"/>
    </font>
    <font>
      <sz val="10"/>
      <color rgb="FF000000"/>
      <name val="Arial"/>
      <family val="2"/>
    </font>
    <font>
      <i/>
      <sz val="10"/>
      <color indexed="59"/>
      <name val="Arial"/>
      <family val="2"/>
    </font>
    <font>
      <i/>
      <sz val="8"/>
      <color theme="0"/>
      <name val="Arial"/>
      <family val="2"/>
    </font>
    <font>
      <b/>
      <sz val="8"/>
      <color rgb="FF7030A0"/>
      <name val="Arial"/>
      <family val="2"/>
    </font>
    <font>
      <sz val="8"/>
      <color rgb="FF7030A0"/>
      <name val="Arial"/>
      <family val="2"/>
    </font>
    <font>
      <i/>
      <sz val="8"/>
      <color rgb="FFFF0000"/>
      <name val="Arial"/>
      <family val="2"/>
    </font>
    <font>
      <sz val="8"/>
      <color rgb="FF00B050"/>
      <name val="Arial"/>
      <family val="2"/>
    </font>
    <font>
      <b/>
      <sz val="8"/>
      <color rgb="FFFF0000"/>
      <name val="Arial"/>
      <family val="2"/>
    </font>
    <font>
      <b/>
      <sz val="12"/>
      <color rgb="FF000080"/>
      <name val="Arial"/>
      <family val="2"/>
    </font>
  </fonts>
  <fills count="41">
    <fill>
      <patternFill patternType="none"/>
    </fill>
    <fill>
      <patternFill patternType="gray125"/>
    </fill>
    <fill>
      <patternFill patternType="solid">
        <fgColor indexed="41"/>
      </patternFill>
    </fill>
    <fill>
      <patternFill patternType="solid">
        <fgColor indexed="47"/>
      </patternFill>
    </fill>
    <fill>
      <patternFill patternType="solid">
        <fgColor indexed="42"/>
      </patternFill>
    </fill>
    <fill>
      <patternFill patternType="solid">
        <fgColor indexed="60"/>
      </patternFill>
    </fill>
    <fill>
      <patternFill patternType="solid">
        <fgColor indexed="44"/>
      </patternFill>
    </fill>
    <fill>
      <patternFill patternType="solid">
        <fgColor indexed="22"/>
      </patternFill>
    </fill>
    <fill>
      <patternFill patternType="solid">
        <fgColor indexed="27"/>
      </patternFill>
    </fill>
    <fill>
      <patternFill patternType="solid">
        <fgColor indexed="28"/>
      </patternFill>
    </fill>
    <fill>
      <patternFill patternType="solid">
        <fgColor indexed="29"/>
      </patternFill>
    </fill>
    <fill>
      <patternFill patternType="solid">
        <fgColor indexed="35"/>
      </patternFill>
    </fill>
    <fill>
      <patternFill patternType="solid">
        <fgColor indexed="48"/>
      </patternFill>
    </fill>
    <fill>
      <patternFill patternType="solid">
        <fgColor indexed="38"/>
      </patternFill>
    </fill>
    <fill>
      <patternFill patternType="solid">
        <fgColor indexed="39"/>
      </patternFill>
    </fill>
    <fill>
      <patternFill patternType="solid">
        <fgColor indexed="23"/>
      </patternFill>
    </fill>
    <fill>
      <patternFill patternType="solid">
        <fgColor indexed="53"/>
      </patternFill>
    </fill>
    <fill>
      <patternFill patternType="solid">
        <fgColor indexed="31"/>
      </patternFill>
    </fill>
    <fill>
      <patternFill patternType="solid">
        <fgColor indexed="9"/>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9"/>
        <bgColor indexed="64"/>
      </patternFill>
    </fill>
    <fill>
      <patternFill patternType="solid">
        <fgColor indexed="22"/>
        <bgColor indexed="64"/>
      </patternFill>
    </fill>
    <fill>
      <patternFill patternType="solid">
        <fgColor indexed="18"/>
        <bgColor indexed="64"/>
      </patternFill>
    </fill>
    <fill>
      <patternFill patternType="solid">
        <fgColor indexed="48"/>
        <bgColor indexed="64"/>
      </patternFill>
    </fill>
    <fill>
      <patternFill patternType="solid">
        <fgColor rgb="FFC0C0C0"/>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4.9989318521683403E-2"/>
        <bgColor indexed="64"/>
      </patternFill>
    </fill>
    <fill>
      <patternFill patternType="solid">
        <fgColor indexed="52"/>
        <bgColor indexed="64"/>
      </patternFill>
    </fill>
    <fill>
      <patternFill patternType="solid">
        <fgColor theme="0" tint="-0.499984740745262"/>
        <bgColor indexed="64"/>
      </patternFill>
    </fill>
    <fill>
      <patternFill patternType="solid">
        <fgColor indexed="17"/>
        <bgColor indexed="64"/>
      </patternFill>
    </fill>
    <fill>
      <patternFill patternType="solid">
        <fgColor rgb="FF000080"/>
        <bgColor indexed="64"/>
      </patternFill>
    </fill>
    <fill>
      <patternFill patternType="solid">
        <fgColor theme="0" tint="-0.34998626667073579"/>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00B0F0"/>
        <bgColor indexed="64"/>
      </patternFill>
    </fill>
    <fill>
      <patternFill patternType="solid">
        <fgColor theme="4" tint="0.39997558519241921"/>
        <bgColor indexed="64"/>
      </patternFill>
    </fill>
    <fill>
      <patternFill patternType="solid">
        <fgColor indexed="65"/>
        <bgColor indexed="64"/>
      </patternFill>
    </fill>
  </fills>
  <borders count="9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8"/>
      </bottom>
      <diagonal/>
    </border>
    <border>
      <left/>
      <right/>
      <top/>
      <bottom style="thick">
        <color indexed="44"/>
      </bottom>
      <diagonal/>
    </border>
    <border>
      <left/>
      <right/>
      <top/>
      <bottom style="medium">
        <color indexed="44"/>
      </bottom>
      <diagonal/>
    </border>
    <border>
      <left/>
      <right/>
      <top/>
      <bottom style="double">
        <color indexed="5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style="thin">
        <color indexed="64"/>
      </left>
      <right style="thin">
        <color indexed="64"/>
      </right>
      <top style="thin">
        <color indexed="64"/>
      </top>
      <bottom style="thin">
        <color indexed="64"/>
      </bottom>
      <diagonal/>
    </border>
    <border>
      <left/>
      <right/>
      <top style="thin">
        <color indexed="48"/>
      </top>
      <bottom style="double">
        <color indexed="48"/>
      </bottom>
      <diagonal/>
    </border>
    <border>
      <left/>
      <right style="medium">
        <color indexed="64"/>
      </right>
      <top style="medium">
        <color indexed="64"/>
      </top>
      <bottom/>
      <diagonal/>
    </border>
    <border>
      <left/>
      <right style="medium">
        <color indexed="64"/>
      </right>
      <top/>
      <bottom style="medium">
        <color indexed="64"/>
      </bottom>
      <diagonal/>
    </border>
    <border>
      <left/>
      <right/>
      <top style="dashed">
        <color indexed="64"/>
      </top>
      <bottom style="hair">
        <color indexed="64"/>
      </bottom>
      <diagonal/>
    </border>
    <border>
      <left style="thin">
        <color indexed="64"/>
      </left>
      <right style="thin">
        <color indexed="64"/>
      </right>
      <top/>
      <bottom/>
      <diagonal/>
    </border>
    <border>
      <left style="thin">
        <color indexed="64"/>
      </left>
      <right style="thin">
        <color indexed="64"/>
      </right>
      <top style="dashed">
        <color indexed="64"/>
      </top>
      <bottom style="hair">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dashed">
        <color indexed="64"/>
      </right>
      <top/>
      <bottom/>
      <diagonal/>
    </border>
    <border>
      <left style="thin">
        <color indexed="64"/>
      </left>
      <right style="dashed">
        <color indexed="64"/>
      </right>
      <top/>
      <bottom style="thin">
        <color indexed="64"/>
      </bottom>
      <diagonal/>
    </border>
    <border>
      <left style="thin">
        <color indexed="64"/>
      </left>
      <right/>
      <top/>
      <bottom/>
      <diagonal/>
    </border>
    <border>
      <left/>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dashed">
        <color indexed="64"/>
      </bottom>
      <diagonal/>
    </border>
    <border>
      <left style="thin">
        <color indexed="64"/>
      </left>
      <right style="thin">
        <color indexed="64"/>
      </right>
      <top/>
      <bottom style="dashed">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dashed">
        <color indexed="64"/>
      </top>
      <bottom style="dashed">
        <color indexed="64"/>
      </bottom>
      <diagonal/>
    </border>
    <border>
      <left style="thin">
        <color indexed="8"/>
      </left>
      <right style="thin">
        <color indexed="8"/>
      </right>
      <top/>
      <bottom/>
      <diagonal/>
    </border>
    <border>
      <left style="thin">
        <color indexed="64"/>
      </left>
      <right style="thin">
        <color indexed="8"/>
      </right>
      <top/>
      <bottom/>
      <diagonal/>
    </border>
    <border>
      <left style="thin">
        <color rgb="FF000000"/>
      </left>
      <right/>
      <top/>
      <bottom/>
      <diagonal/>
    </border>
    <border>
      <left style="thin">
        <color rgb="FF000000"/>
      </left>
      <right style="thin">
        <color rgb="FF000000"/>
      </right>
      <top/>
      <bottom/>
      <diagonal/>
    </border>
    <border>
      <left style="thin">
        <color rgb="FF000000"/>
      </left>
      <right style="thin">
        <color rgb="FF000000"/>
      </right>
      <top style="thin">
        <color indexed="64"/>
      </top>
      <bottom style="thin">
        <color indexed="64"/>
      </bottom>
      <diagonal/>
    </border>
    <border>
      <left/>
      <right style="thin">
        <color rgb="FF000000"/>
      </right>
      <top style="dashed">
        <color indexed="64"/>
      </top>
      <bottom style="hair">
        <color indexed="64"/>
      </bottom>
      <diagonal/>
    </border>
    <border>
      <left style="thin">
        <color indexed="64"/>
      </left>
      <right/>
      <top style="dashed">
        <color indexed="64"/>
      </top>
      <bottom style="hair">
        <color indexed="64"/>
      </bottom>
      <diagonal/>
    </border>
    <border>
      <left style="thin">
        <color indexed="64"/>
      </left>
      <right/>
      <top/>
      <bottom style="dashed">
        <color indexed="64"/>
      </bottom>
      <diagonal/>
    </border>
    <border>
      <left style="thin">
        <color indexed="64"/>
      </left>
      <right/>
      <top style="dotted">
        <color indexed="64"/>
      </top>
      <bottom style="dotted">
        <color indexed="64"/>
      </bottom>
      <diagonal/>
    </border>
    <border>
      <left style="thin">
        <color indexed="8"/>
      </left>
      <right/>
      <top/>
      <bottom/>
      <diagonal/>
    </border>
    <border>
      <left style="thin">
        <color rgb="FF000000"/>
      </left>
      <right style="thin">
        <color indexed="64"/>
      </right>
      <top/>
      <bottom/>
      <diagonal/>
    </border>
    <border>
      <left/>
      <right style="thin">
        <color rgb="FF000000"/>
      </right>
      <top/>
      <bottom/>
      <diagonal/>
    </border>
    <border>
      <left style="thin">
        <color indexed="64"/>
      </left>
      <right style="thin">
        <color rgb="FF000000"/>
      </right>
      <top/>
      <bottom/>
      <diagonal/>
    </border>
    <border>
      <left/>
      <right style="thin">
        <color indexed="8"/>
      </right>
      <top/>
      <bottom/>
      <diagonal/>
    </border>
    <border>
      <left style="dotted">
        <color indexed="64"/>
      </left>
      <right/>
      <top/>
      <bottom/>
      <diagonal/>
    </border>
    <border>
      <left/>
      <right style="dotted">
        <color indexed="64"/>
      </right>
      <top/>
      <bottom/>
      <diagonal/>
    </border>
    <border>
      <left style="dotted">
        <color indexed="64"/>
      </left>
      <right/>
      <top style="thin">
        <color indexed="64"/>
      </top>
      <bottom/>
      <diagonal/>
    </border>
    <border>
      <left style="dotted">
        <color indexed="64"/>
      </left>
      <right/>
      <top style="dashed">
        <color indexed="64"/>
      </top>
      <bottom style="hair">
        <color indexed="64"/>
      </bottom>
      <diagonal/>
    </border>
    <border>
      <left/>
      <right style="thin">
        <color indexed="64"/>
      </right>
      <top style="dashed">
        <color indexed="64"/>
      </top>
      <bottom style="hair">
        <color indexed="64"/>
      </bottom>
      <diagonal/>
    </border>
    <border>
      <left/>
      <right/>
      <top style="hair">
        <color indexed="64"/>
      </top>
      <bottom style="hair">
        <color indexed="64"/>
      </bottom>
      <diagonal/>
    </border>
    <border>
      <left style="dashed">
        <color indexed="64"/>
      </left>
      <right/>
      <top/>
      <bottom/>
      <diagonal/>
    </border>
    <border>
      <left style="dotted">
        <color indexed="64"/>
      </left>
      <right/>
      <top/>
      <bottom style="dashed">
        <color indexed="64"/>
      </bottom>
      <diagonal/>
    </border>
    <border>
      <left/>
      <right style="thin">
        <color indexed="64"/>
      </right>
      <top/>
      <bottom style="dashed">
        <color indexed="64"/>
      </bottom>
      <diagonal/>
    </border>
    <border>
      <left/>
      <right style="thin">
        <color indexed="64"/>
      </right>
      <top style="hair">
        <color indexed="64"/>
      </top>
      <bottom style="hair">
        <color indexed="64"/>
      </bottom>
      <diagonal/>
    </border>
    <border>
      <left style="dotted">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dashed">
        <color indexed="64"/>
      </right>
      <top/>
      <bottom/>
      <diagonal/>
    </border>
    <border>
      <left/>
      <right/>
      <top style="dashed">
        <color indexed="64"/>
      </top>
      <bottom style="dashed">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dashed">
        <color indexed="64"/>
      </left>
      <right style="dashed">
        <color indexed="64"/>
      </right>
      <top/>
      <bottom/>
      <diagonal/>
    </border>
    <border>
      <left/>
      <right/>
      <top/>
      <bottom style="medium">
        <color indexed="8"/>
      </bottom>
      <diagonal/>
    </border>
    <border>
      <left style="hair">
        <color indexed="64"/>
      </left>
      <right style="hair">
        <color indexed="64"/>
      </right>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bottom style="thin">
        <color auto="1"/>
      </bottom>
      <diagonal/>
    </border>
    <border>
      <left style="thin">
        <color indexed="64"/>
      </left>
      <right style="thin">
        <color indexed="64"/>
      </right>
      <top/>
      <bottom style="thin">
        <color auto="1"/>
      </bottom>
      <diagonal/>
    </border>
    <border>
      <left style="thin">
        <color indexed="64"/>
      </left>
      <right style="thin">
        <color auto="1"/>
      </right>
      <top/>
      <bottom/>
      <diagonal/>
    </border>
    <border>
      <left style="thin">
        <color indexed="8"/>
      </left>
      <right style="thin">
        <color auto="1"/>
      </right>
      <top/>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dotted">
        <color indexed="64"/>
      </top>
      <bottom style="dotted">
        <color indexed="64"/>
      </bottom>
      <diagonal/>
    </border>
    <border>
      <left style="thin">
        <color indexed="8"/>
      </left>
      <right style="thin">
        <color rgb="FF000000"/>
      </right>
      <top/>
      <bottom/>
      <diagonal/>
    </border>
    <border>
      <left/>
      <right/>
      <top style="hair">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87">
    <xf numFmtId="0" fontId="0" fillId="0" borderId="0">
      <alignment wrapText="1"/>
    </xf>
    <xf numFmtId="0" fontId="4" fillId="0" borderId="0"/>
    <xf numFmtId="0" fontId="4" fillId="0" borderId="0"/>
    <xf numFmtId="0" fontId="32" fillId="0" borderId="0"/>
    <xf numFmtId="0" fontId="32" fillId="0" borderId="0"/>
    <xf numFmtId="0" fontId="46" fillId="2" borderId="0" applyNumberFormat="0" applyBorder="0" applyAlignment="0" applyProtection="0"/>
    <xf numFmtId="0" fontId="46" fillId="3" borderId="0" applyNumberFormat="0" applyBorder="0" applyAlignment="0" applyProtection="0"/>
    <xf numFmtId="0" fontId="46" fillId="4" borderId="0" applyNumberFormat="0" applyBorder="0" applyAlignment="0" applyProtection="0"/>
    <xf numFmtId="0" fontId="46" fillId="5" borderId="0" applyNumberFormat="0" applyBorder="0" applyAlignment="0" applyProtection="0"/>
    <xf numFmtId="0" fontId="46" fillId="2" borderId="0" applyNumberFormat="0" applyBorder="0" applyAlignment="0" applyProtection="0"/>
    <xf numFmtId="0" fontId="46" fillId="3" borderId="0" applyNumberFormat="0" applyBorder="0" applyAlignment="0" applyProtection="0"/>
    <xf numFmtId="0" fontId="46" fillId="6" borderId="0" applyNumberFormat="0" applyBorder="0" applyAlignment="0" applyProtection="0"/>
    <xf numFmtId="0" fontId="46" fillId="3" borderId="0" applyNumberFormat="0" applyBorder="0" applyAlignment="0" applyProtection="0"/>
    <xf numFmtId="0" fontId="46" fillId="4" borderId="0" applyNumberFormat="0" applyBorder="0" applyAlignment="0" applyProtection="0"/>
    <xf numFmtId="0" fontId="46" fillId="7" borderId="0" applyNumberFormat="0" applyBorder="0" applyAlignment="0" applyProtection="0"/>
    <xf numFmtId="0" fontId="46" fillId="8" borderId="0" applyNumberFormat="0" applyBorder="0" applyAlignment="0" applyProtection="0"/>
    <xf numFmtId="0" fontId="46" fillId="3" borderId="0" applyNumberFormat="0" applyBorder="0" applyAlignment="0" applyProtection="0"/>
    <xf numFmtId="0" fontId="47" fillId="6" borderId="0" applyNumberFormat="0" applyBorder="0" applyAlignment="0" applyProtection="0"/>
    <xf numFmtId="0" fontId="47" fillId="9" borderId="0" applyNumberFormat="0" applyBorder="0" applyAlignment="0" applyProtection="0"/>
    <xf numFmtId="0" fontId="47" fillId="10" borderId="0" applyNumberFormat="0" applyBorder="0" applyAlignment="0" applyProtection="0"/>
    <xf numFmtId="0" fontId="47" fillId="7" borderId="0" applyNumberFormat="0" applyBorder="0" applyAlignment="0" applyProtection="0"/>
    <xf numFmtId="0" fontId="47" fillId="11" borderId="0" applyNumberFormat="0" applyBorder="0" applyAlignment="0" applyProtection="0"/>
    <xf numFmtId="0" fontId="47" fillId="3" borderId="0" applyNumberFormat="0" applyBorder="0" applyAlignment="0" applyProtection="0"/>
    <xf numFmtId="0" fontId="47" fillId="12" borderId="0" applyNumberFormat="0" applyBorder="0" applyAlignment="0" applyProtection="0"/>
    <xf numFmtId="0" fontId="47" fillId="13" borderId="0" applyNumberFormat="0" applyBorder="0" applyAlignment="0" applyProtection="0"/>
    <xf numFmtId="0" fontId="47" fillId="14" borderId="0" applyNumberFormat="0" applyBorder="0" applyAlignment="0" applyProtection="0"/>
    <xf numFmtId="0" fontId="47" fillId="15" borderId="0" applyNumberFormat="0" applyBorder="0" applyAlignment="0" applyProtection="0"/>
    <xf numFmtId="0" fontId="47" fillId="12" borderId="0" applyNumberFormat="0" applyBorder="0" applyAlignment="0" applyProtection="0"/>
    <xf numFmtId="0" fontId="47" fillId="16" borderId="0" applyNumberFormat="0" applyBorder="0" applyAlignment="0" applyProtection="0"/>
    <xf numFmtId="0" fontId="48" fillId="17" borderId="0" applyNumberFormat="0" applyBorder="0" applyAlignment="0" applyProtection="0"/>
    <xf numFmtId="0" fontId="33" fillId="0" borderId="0"/>
    <xf numFmtId="0" fontId="49" fillId="18" borderId="1" applyNumberFormat="0" applyAlignment="0" applyProtection="0"/>
    <xf numFmtId="0" fontId="50" fillId="19" borderId="2" applyNumberFormat="0" applyAlignment="0" applyProtection="0"/>
    <xf numFmtId="43" fontId="4" fillId="0" borderId="0" applyFont="0" applyFill="0" applyBorder="0" applyAlignment="0" applyProtection="0">
      <alignment wrapText="1"/>
    </xf>
    <xf numFmtId="4" fontId="20" fillId="0" borderId="0" applyFont="0" applyFill="0" applyBorder="0" applyAlignment="0" applyProtection="0"/>
    <xf numFmtId="44" fontId="4" fillId="0" borderId="0" applyFont="0" applyFill="0" applyBorder="0" applyAlignment="0" applyProtection="0">
      <alignment wrapText="1"/>
    </xf>
    <xf numFmtId="0" fontId="51" fillId="0" borderId="0" applyNumberFormat="0" applyFill="0" applyBorder="0" applyAlignment="0" applyProtection="0"/>
    <xf numFmtId="0" fontId="52" fillId="4" borderId="0" applyNumberFormat="0" applyBorder="0" applyAlignment="0" applyProtection="0"/>
    <xf numFmtId="0" fontId="53" fillId="0" borderId="3" applyNumberFormat="0" applyFill="0" applyAlignment="0" applyProtection="0"/>
    <xf numFmtId="0" fontId="54" fillId="0" borderId="4" applyNumberFormat="0" applyFill="0" applyAlignment="0" applyProtection="0"/>
    <xf numFmtId="0" fontId="55" fillId="0" borderId="5" applyNumberFormat="0" applyFill="0" applyAlignment="0" applyProtection="0"/>
    <xf numFmtId="0" fontId="55" fillId="0" borderId="0" applyNumberFormat="0" applyFill="0" applyBorder="0" applyAlignment="0" applyProtection="0"/>
    <xf numFmtId="0" fontId="45" fillId="6" borderId="0" applyNumberFormat="0" applyFont="0" applyBorder="0" applyAlignment="0">
      <protection locked="0"/>
    </xf>
    <xf numFmtId="0" fontId="56" fillId="0" borderId="6" applyNumberFormat="0" applyFill="0" applyAlignment="0" applyProtection="0"/>
    <xf numFmtId="0" fontId="57" fillId="20" borderId="0" applyNumberFormat="0" applyBorder="0" applyAlignment="0" applyProtection="0"/>
    <xf numFmtId="0" fontId="72" fillId="0" borderId="0"/>
    <xf numFmtId="0" fontId="18" fillId="0" borderId="0"/>
    <xf numFmtId="0" fontId="4" fillId="20" borderId="7" applyNumberFormat="0" applyFont="0" applyAlignment="0" applyProtection="0"/>
    <xf numFmtId="0" fontId="58" fillId="18" borderId="8" applyNumberFormat="0" applyAlignment="0" applyProtection="0"/>
    <xf numFmtId="0" fontId="34" fillId="0" borderId="0">
      <alignment vertical="center"/>
    </xf>
    <xf numFmtId="9" fontId="4" fillId="0" borderId="0" applyFont="0" applyFill="0" applyBorder="0" applyAlignment="0" applyProtection="0">
      <alignment wrapText="1"/>
    </xf>
    <xf numFmtId="0" fontId="35" fillId="0" borderId="0"/>
    <xf numFmtId="0" fontId="35" fillId="0" borderId="9">
      <alignment horizontal="centerContinuous"/>
    </xf>
    <xf numFmtId="0" fontId="36" fillId="0" borderId="9"/>
    <xf numFmtId="0" fontId="59" fillId="0" borderId="0" applyNumberFormat="0" applyFill="0" applyBorder="0" applyAlignment="0" applyProtection="0"/>
    <xf numFmtId="0" fontId="60" fillId="0" borderId="11" applyNumberFormat="0" applyFill="0" applyAlignment="0" applyProtection="0"/>
    <xf numFmtId="0" fontId="61" fillId="0" borderId="0" applyNumberFormat="0" applyFill="0" applyBorder="0" applyAlignment="0" applyProtection="0"/>
    <xf numFmtId="0" fontId="4" fillId="0" borderId="0"/>
    <xf numFmtId="0" fontId="4" fillId="21" borderId="0" applyNumberFormat="0" applyFont="0" applyBorder="0" applyAlignment="0" applyProtection="0"/>
    <xf numFmtId="9"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0" fontId="4" fillId="0" borderId="0">
      <alignment wrapText="1"/>
    </xf>
    <xf numFmtId="0" fontId="4" fillId="0" borderId="0"/>
    <xf numFmtId="0" fontId="78" fillId="0" borderId="0"/>
    <xf numFmtId="0" fontId="4" fillId="0" borderId="0"/>
    <xf numFmtId="214" fontId="6" fillId="0" borderId="0" applyFont="0" applyFill="0" applyBorder="0" applyAlignment="0" applyProtection="0"/>
    <xf numFmtId="216" fontId="6" fillId="0" borderId="0" applyFont="0" applyFill="0" applyBorder="0" applyAlignment="0" applyProtection="0"/>
    <xf numFmtId="217" fontId="6" fillId="0" borderId="0" applyFont="0" applyFill="0" applyBorder="0" applyAlignment="0" applyProtection="0"/>
    <xf numFmtId="0" fontId="87" fillId="0" borderId="0"/>
    <xf numFmtId="212" fontId="6" fillId="0" borderId="0" applyFont="0" applyFill="0" applyBorder="0" applyAlignment="0" applyProtection="0"/>
    <xf numFmtId="218" fontId="6" fillId="0" borderId="0" applyFont="0" applyFill="0" applyBorder="0" applyAlignment="0" applyProtection="0"/>
    <xf numFmtId="215" fontId="6" fillId="0" borderId="0" applyFont="0" applyFill="0" applyBorder="0" applyAlignment="0" applyProtection="0"/>
    <xf numFmtId="213" fontId="6" fillId="0" borderId="0" applyFont="0" applyFill="0" applyBorder="0" applyAlignment="0" applyProtection="0"/>
    <xf numFmtId="188" fontId="4" fillId="23" borderId="28">
      <alignment horizontal="right"/>
    </xf>
    <xf numFmtId="233" fontId="4" fillId="23" borderId="28">
      <alignment horizontal="right"/>
    </xf>
    <xf numFmtId="219" fontId="6" fillId="0" borderId="0">
      <alignment horizontal="right"/>
    </xf>
    <xf numFmtId="221" fontId="6" fillId="23" borderId="0"/>
    <xf numFmtId="234" fontId="88" fillId="0" borderId="0" applyFont="0" applyFill="0" applyBorder="0" applyAlignment="0" applyProtection="0"/>
    <xf numFmtId="0" fontId="88" fillId="0" borderId="0" applyFont="0" applyFill="0" applyBorder="0" applyAlignment="0" applyProtection="0"/>
    <xf numFmtId="0" fontId="3" fillId="0" borderId="0"/>
    <xf numFmtId="0" fontId="2" fillId="0" borderId="0"/>
    <xf numFmtId="9" fontId="2" fillId="0" borderId="0" applyFont="0" applyFill="0" applyBorder="0" applyAlignment="0" applyProtection="0"/>
    <xf numFmtId="0" fontId="6" fillId="22" borderId="10" applyNumberFormat="0" applyProtection="0">
      <alignment wrapText="1"/>
    </xf>
    <xf numFmtId="0" fontId="4" fillId="21" borderId="0" applyNumberFormat="0" applyFont="0" applyBorder="0" applyAlignment="0" applyProtection="0"/>
    <xf numFmtId="0" fontId="1" fillId="0" borderId="0"/>
    <xf numFmtId="0" fontId="18" fillId="0" borderId="0"/>
  </cellStyleXfs>
  <cellXfs count="2461">
    <xf numFmtId="0" fontId="0" fillId="0" borderId="0" xfId="0">
      <alignment wrapText="1"/>
    </xf>
    <xf numFmtId="0" fontId="6" fillId="0" borderId="0" xfId="0" applyFont="1" applyFill="1" applyBorder="1" applyAlignment="1"/>
    <xf numFmtId="0" fontId="6" fillId="22" borderId="0" xfId="0" applyFont="1" applyFill="1" applyBorder="1">
      <alignment wrapText="1"/>
    </xf>
    <xf numFmtId="0" fontId="6" fillId="22" borderId="0" xfId="0" applyFont="1" applyFill="1" applyBorder="1" applyAlignment="1"/>
    <xf numFmtId="166" fontId="6" fillId="22" borderId="0" xfId="0" applyNumberFormat="1" applyFont="1" applyFill="1" applyBorder="1" applyAlignment="1"/>
    <xf numFmtId="9" fontId="6" fillId="22" borderId="0" xfId="50" applyFont="1" applyFill="1" applyBorder="1" applyAlignment="1"/>
    <xf numFmtId="167" fontId="6" fillId="22" borderId="0" xfId="50" applyNumberFormat="1" applyFont="1" applyFill="1" applyBorder="1" applyAlignment="1"/>
    <xf numFmtId="0" fontId="5" fillId="22" borderId="0" xfId="0" applyFont="1" applyFill="1" applyBorder="1" applyAlignment="1">
      <alignment horizontal="center"/>
    </xf>
    <xf numFmtId="0" fontId="5" fillId="22" borderId="0" xfId="0" applyFont="1" applyFill="1" applyBorder="1" applyAlignment="1"/>
    <xf numFmtId="166" fontId="5" fillId="22" borderId="0" xfId="0" applyNumberFormat="1" applyFont="1" applyFill="1" applyAlignment="1"/>
    <xf numFmtId="166" fontId="5" fillId="22" borderId="0" xfId="0" applyNumberFormat="1" applyFont="1" applyFill="1" applyBorder="1" applyAlignment="1"/>
    <xf numFmtId="166" fontId="5" fillId="22" borderId="0" xfId="0" applyNumberFormat="1" applyFont="1" applyFill="1" applyBorder="1" applyAlignment="1">
      <alignment horizontal="right"/>
    </xf>
    <xf numFmtId="0" fontId="6" fillId="22" borderId="0" xfId="0" applyFont="1" applyFill="1" applyBorder="1" applyAlignment="1">
      <alignment horizontal="left" indent="1"/>
    </xf>
    <xf numFmtId="2" fontId="5" fillId="22" borderId="0" xfId="46" applyNumberFormat="1" applyFont="1" applyFill="1" applyBorder="1" applyAlignment="1" applyProtection="1">
      <alignment horizontal="left"/>
      <protection locked="0"/>
    </xf>
    <xf numFmtId="167" fontId="6" fillId="22" borderId="0" xfId="0" applyNumberFormat="1" applyFont="1" applyFill="1" applyBorder="1" applyAlignment="1"/>
    <xf numFmtId="0" fontId="5" fillId="23" borderId="0" xfId="0" applyFont="1" applyFill="1" applyBorder="1" applyAlignment="1">
      <alignment horizontal="left"/>
    </xf>
    <xf numFmtId="0" fontId="5" fillId="23" borderId="0" xfId="0" applyFont="1" applyFill="1" applyBorder="1" applyAlignment="1"/>
    <xf numFmtId="166" fontId="5" fillId="23" borderId="0" xfId="0" applyNumberFormat="1" applyFont="1" applyFill="1" applyBorder="1" applyAlignment="1"/>
    <xf numFmtId="168" fontId="6" fillId="22" borderId="0" xfId="50" applyNumberFormat="1" applyFont="1" applyFill="1" applyBorder="1" applyAlignment="1"/>
    <xf numFmtId="168" fontId="6" fillId="22" borderId="0" xfId="0" applyNumberFormat="1" applyFont="1" applyFill="1" applyBorder="1" applyAlignment="1"/>
    <xf numFmtId="168" fontId="8" fillId="22" borderId="0" xfId="50" applyNumberFormat="1" applyFont="1" applyFill="1" applyBorder="1" applyAlignment="1"/>
    <xf numFmtId="167" fontId="5" fillId="22" borderId="0" xfId="0" applyNumberFormat="1" applyFont="1" applyFill="1" applyBorder="1" applyAlignment="1"/>
    <xf numFmtId="167" fontId="8" fillId="22" borderId="0" xfId="0" applyNumberFormat="1" applyFont="1" applyFill="1" applyBorder="1" applyAlignment="1"/>
    <xf numFmtId="168" fontId="6" fillId="22" borderId="0" xfId="46" applyNumberFormat="1" applyFont="1" applyFill="1" applyBorder="1" applyAlignment="1">
      <alignment horizontal="right"/>
    </xf>
    <xf numFmtId="168" fontId="5" fillId="23" borderId="0" xfId="0" applyNumberFormat="1" applyFont="1" applyFill="1" applyBorder="1" applyAlignment="1"/>
    <xf numFmtId="168" fontId="5" fillId="22" borderId="0" xfId="0" applyNumberFormat="1" applyFont="1" applyFill="1" applyBorder="1" applyAlignment="1"/>
    <xf numFmtId="165" fontId="15" fillId="22" borderId="0" xfId="34" applyNumberFormat="1" applyFont="1" applyFill="1" applyBorder="1" applyAlignment="1" applyProtection="1">
      <alignment horizontal="right"/>
      <protection locked="0"/>
    </xf>
    <xf numFmtId="0" fontId="6" fillId="22" borderId="0" xfId="0" applyFont="1" applyFill="1" applyAlignment="1">
      <alignment horizontal="left" indent="1"/>
    </xf>
    <xf numFmtId="168" fontId="17" fillId="22" borderId="0" xfId="50" applyNumberFormat="1" applyFont="1" applyFill="1" applyBorder="1" applyAlignment="1"/>
    <xf numFmtId="49" fontId="0" fillId="0" borderId="0" xfId="0" applyNumberFormat="1">
      <alignment wrapText="1"/>
    </xf>
    <xf numFmtId="165" fontId="5" fillId="22" borderId="0" xfId="34" applyNumberFormat="1" applyFont="1" applyFill="1" applyBorder="1" applyAlignment="1" applyProtection="1">
      <alignment horizontal="right"/>
      <protection locked="0"/>
    </xf>
    <xf numFmtId="0" fontId="38" fillId="0" borderId="0" xfId="0" applyFont="1">
      <alignment wrapText="1"/>
    </xf>
    <xf numFmtId="0" fontId="6" fillId="22" borderId="0" xfId="46" applyFont="1" applyFill="1" applyBorder="1" applyAlignment="1"/>
    <xf numFmtId="0" fontId="5" fillId="22" borderId="0" xfId="46" applyFont="1" applyFill="1" applyBorder="1" applyAlignment="1"/>
    <xf numFmtId="164" fontId="6" fillId="22" borderId="0" xfId="0" applyNumberFormat="1" applyFont="1" applyFill="1" applyBorder="1" applyAlignment="1"/>
    <xf numFmtId="167" fontId="6" fillId="22" borderId="0" xfId="33" applyNumberFormat="1" applyFont="1" applyFill="1" applyBorder="1" applyAlignment="1"/>
    <xf numFmtId="0" fontId="9" fillId="22" borderId="0" xfId="0" applyFont="1" applyFill="1" applyAlignment="1">
      <alignment horizontal="left"/>
    </xf>
    <xf numFmtId="0" fontId="9" fillId="22" borderId="0" xfId="0" applyFont="1" applyFill="1" applyBorder="1" applyAlignment="1"/>
    <xf numFmtId="165" fontId="6" fillId="22" borderId="0" xfId="0" applyNumberFormat="1" applyFont="1" applyFill="1" applyBorder="1" applyAlignment="1"/>
    <xf numFmtId="168" fontId="6" fillId="22" borderId="0" xfId="50" applyNumberFormat="1" applyFont="1" applyFill="1" applyBorder="1" applyAlignment="1">
      <alignment horizontal="left"/>
    </xf>
    <xf numFmtId="0" fontId="6" fillId="23" borderId="0" xfId="0" applyFont="1" applyFill="1" applyBorder="1" applyAlignment="1"/>
    <xf numFmtId="168" fontId="6" fillId="23" borderId="0" xfId="0" applyNumberFormat="1" applyFont="1" applyFill="1" applyBorder="1" applyAlignment="1"/>
    <xf numFmtId="0" fontId="6" fillId="23" borderId="0" xfId="46" applyFont="1" applyFill="1" applyBorder="1" applyAlignment="1"/>
    <xf numFmtId="168" fontId="17" fillId="23" borderId="0" xfId="50" applyNumberFormat="1" applyFont="1" applyFill="1" applyBorder="1" applyAlignment="1"/>
    <xf numFmtId="168" fontId="6" fillId="23" borderId="0" xfId="50" applyNumberFormat="1" applyFont="1" applyFill="1" applyBorder="1" applyAlignment="1"/>
    <xf numFmtId="0" fontId="9" fillId="23" borderId="0" xfId="0" applyFont="1" applyFill="1" applyBorder="1" applyAlignment="1"/>
    <xf numFmtId="7" fontId="6" fillId="22" borderId="0" xfId="0" applyNumberFormat="1" applyFont="1" applyFill="1" applyBorder="1" applyAlignment="1"/>
    <xf numFmtId="7" fontId="6" fillId="23" borderId="0" xfId="0" applyNumberFormat="1" applyFont="1" applyFill="1" applyBorder="1" applyAlignment="1"/>
    <xf numFmtId="168" fontId="22" fillId="22" borderId="0" xfId="50" applyNumberFormat="1" applyFont="1" applyFill="1" applyBorder="1" applyAlignment="1"/>
    <xf numFmtId="166" fontId="9" fillId="22" borderId="0" xfId="0" applyNumberFormat="1" applyFont="1" applyFill="1" applyAlignment="1"/>
    <xf numFmtId="165" fontId="9" fillId="22" borderId="0" xfId="0" applyNumberFormat="1" applyFont="1" applyFill="1" applyAlignment="1"/>
    <xf numFmtId="5" fontId="5" fillId="23" borderId="0" xfId="0" applyNumberFormat="1" applyFont="1" applyFill="1" applyBorder="1" applyAlignment="1"/>
    <xf numFmtId="166" fontId="9" fillId="22" borderId="0" xfId="0" applyNumberFormat="1" applyFont="1" applyFill="1" applyBorder="1" applyAlignment="1"/>
    <xf numFmtId="0" fontId="28" fillId="24" borderId="0" xfId="0" applyFont="1" applyFill="1" applyBorder="1" applyAlignment="1">
      <alignment horizontal="center"/>
    </xf>
    <xf numFmtId="0" fontId="28" fillId="25" borderId="0" xfId="46" applyFont="1" applyFill="1" applyBorder="1" applyAlignment="1">
      <alignment horizontal="left"/>
    </xf>
    <xf numFmtId="0" fontId="6" fillId="22" borderId="14" xfId="0" applyFont="1" applyFill="1" applyBorder="1" applyAlignment="1"/>
    <xf numFmtId="167" fontId="6" fillId="22" borderId="14" xfId="50" applyNumberFormat="1" applyFont="1" applyFill="1" applyBorder="1" applyAlignment="1"/>
    <xf numFmtId="5" fontId="5" fillId="23" borderId="0" xfId="0" applyNumberFormat="1" applyFont="1" applyFill="1" applyBorder="1" applyAlignment="1">
      <alignment horizontal="left"/>
    </xf>
    <xf numFmtId="168" fontId="6" fillId="22" borderId="0" xfId="46" applyNumberFormat="1" applyFont="1" applyFill="1" applyBorder="1" applyAlignment="1" applyProtection="1">
      <alignment horizontal="left" indent="2"/>
      <protection locked="0"/>
    </xf>
    <xf numFmtId="0" fontId="28" fillId="24" borderId="15" xfId="0" applyFont="1" applyFill="1" applyBorder="1" applyAlignment="1">
      <alignment horizontal="center"/>
    </xf>
    <xf numFmtId="168" fontId="6" fillId="22" borderId="15" xfId="50" applyNumberFormat="1" applyFont="1" applyFill="1" applyBorder="1" applyAlignment="1"/>
    <xf numFmtId="167" fontId="6" fillId="22" borderId="15" xfId="50" applyNumberFormat="1" applyFont="1" applyFill="1" applyBorder="1" applyAlignment="1"/>
    <xf numFmtId="166" fontId="5" fillId="22" borderId="15" xfId="0" applyNumberFormat="1" applyFont="1" applyFill="1" applyBorder="1" applyAlignment="1"/>
    <xf numFmtId="5" fontId="5" fillId="23" borderId="15" xfId="0" applyNumberFormat="1" applyFont="1" applyFill="1" applyBorder="1" applyAlignment="1"/>
    <xf numFmtId="167" fontId="6" fillId="22" borderId="16" xfId="50" applyNumberFormat="1" applyFont="1" applyFill="1" applyBorder="1" applyAlignment="1"/>
    <xf numFmtId="168" fontId="6" fillId="22" borderId="15" xfId="0" applyNumberFormat="1" applyFont="1" applyFill="1" applyBorder="1" applyAlignment="1"/>
    <xf numFmtId="167" fontId="5" fillId="22" borderId="15" xfId="0" applyNumberFormat="1" applyFont="1" applyFill="1" applyBorder="1" applyAlignment="1"/>
    <xf numFmtId="167" fontId="6" fillId="22" borderId="15" xfId="0" applyNumberFormat="1" applyFont="1" applyFill="1" applyBorder="1" applyAlignment="1"/>
    <xf numFmtId="165" fontId="23" fillId="22" borderId="15" xfId="34" applyNumberFormat="1" applyFont="1" applyFill="1" applyBorder="1" applyAlignment="1" applyProtection="1">
      <alignment horizontal="right"/>
      <protection locked="0"/>
    </xf>
    <xf numFmtId="168" fontId="6" fillId="22" borderId="15" xfId="50" applyNumberFormat="1" applyFont="1" applyFill="1" applyBorder="1" applyAlignment="1">
      <alignment horizontal="right"/>
    </xf>
    <xf numFmtId="167" fontId="6" fillId="22" borderId="15" xfId="33" applyNumberFormat="1" applyFont="1" applyFill="1" applyBorder="1" applyAlignment="1"/>
    <xf numFmtId="166" fontId="9" fillId="22" borderId="15" xfId="0" applyNumberFormat="1" applyFont="1" applyFill="1" applyBorder="1" applyAlignment="1"/>
    <xf numFmtId="165" fontId="6" fillId="22" borderId="15" xfId="0" applyNumberFormat="1" applyFont="1" applyFill="1" applyBorder="1" applyAlignment="1"/>
    <xf numFmtId="0" fontId="28" fillId="24" borderId="17" xfId="0" applyFont="1" applyFill="1" applyBorder="1" applyAlignment="1">
      <alignment horizontal="center"/>
    </xf>
    <xf numFmtId="168" fontId="8" fillId="22" borderId="15" xfId="50" applyNumberFormat="1" applyFont="1" applyFill="1" applyBorder="1" applyAlignment="1"/>
    <xf numFmtId="167" fontId="8" fillId="22" borderId="15" xfId="0" applyNumberFormat="1" applyFont="1" applyFill="1" applyBorder="1" applyAlignment="1"/>
    <xf numFmtId="168" fontId="6" fillId="22" borderId="0" xfId="46" applyNumberFormat="1" applyFont="1" applyFill="1" applyBorder="1" applyAlignment="1" applyProtection="1">
      <alignment horizontal="left" indent="3"/>
      <protection locked="0"/>
    </xf>
    <xf numFmtId="7" fontId="16" fillId="22" borderId="18" xfId="0" applyNumberFormat="1" applyFont="1" applyFill="1" applyBorder="1" applyAlignment="1" applyProtection="1">
      <alignment horizontal="left"/>
      <protection locked="0"/>
    </xf>
    <xf numFmtId="7" fontId="39" fillId="22" borderId="18" xfId="0" applyNumberFormat="1" applyFont="1" applyFill="1" applyBorder="1" applyAlignment="1"/>
    <xf numFmtId="7" fontId="39" fillId="22" borderId="10" xfId="0" applyNumberFormat="1" applyFont="1" applyFill="1" applyBorder="1" applyAlignment="1"/>
    <xf numFmtId="7" fontId="5" fillId="22" borderId="0" xfId="0" applyNumberFormat="1" applyFont="1" applyFill="1" applyBorder="1" applyAlignment="1"/>
    <xf numFmtId="7" fontId="5" fillId="22" borderId="15" xfId="0" applyNumberFormat="1" applyFont="1" applyFill="1" applyBorder="1" applyAlignment="1"/>
    <xf numFmtId="7" fontId="5" fillId="22" borderId="18" xfId="0" applyNumberFormat="1" applyFont="1" applyFill="1" applyBorder="1" applyAlignment="1"/>
    <xf numFmtId="7" fontId="5" fillId="22" borderId="10" xfId="0" applyNumberFormat="1" applyFont="1" applyFill="1" applyBorder="1" applyAlignment="1"/>
    <xf numFmtId="165" fontId="6" fillId="22" borderId="0" xfId="0" applyNumberFormat="1" applyFont="1" applyFill="1" applyBorder="1" applyAlignment="1" applyProtection="1">
      <alignment horizontal="right"/>
      <protection locked="0"/>
    </xf>
    <xf numFmtId="165" fontId="6" fillId="22" borderId="15" xfId="0" applyNumberFormat="1" applyFont="1" applyFill="1" applyBorder="1" applyAlignment="1" applyProtection="1">
      <alignment horizontal="right"/>
      <protection locked="0"/>
    </xf>
    <xf numFmtId="168" fontId="6" fillId="22" borderId="15" xfId="46" applyNumberFormat="1" applyFont="1" applyFill="1" applyBorder="1" applyAlignment="1">
      <alignment horizontal="right"/>
    </xf>
    <xf numFmtId="168" fontId="23" fillId="22" borderId="0" xfId="46" applyNumberFormat="1" applyFont="1" applyFill="1" applyBorder="1" applyAlignment="1" applyProtection="1">
      <alignment horizontal="right"/>
    </xf>
    <xf numFmtId="168" fontId="23" fillId="22" borderId="15" xfId="46" applyNumberFormat="1" applyFont="1" applyFill="1" applyBorder="1" applyAlignment="1" applyProtection="1">
      <alignment horizontal="right"/>
    </xf>
    <xf numFmtId="0" fontId="6" fillId="22" borderId="0" xfId="0" applyNumberFormat="1" applyFont="1" applyFill="1" applyBorder="1" applyAlignment="1">
      <alignment horizontal="left" indent="1"/>
    </xf>
    <xf numFmtId="169" fontId="6" fillId="22" borderId="0" xfId="0" applyNumberFormat="1" applyFont="1" applyFill="1" applyBorder="1" applyAlignment="1"/>
    <xf numFmtId="169" fontId="6" fillId="22" borderId="0" xfId="50" applyNumberFormat="1" applyFont="1" applyFill="1" applyBorder="1" applyAlignment="1"/>
    <xf numFmtId="169" fontId="6" fillId="22" borderId="15" xfId="50" applyNumberFormat="1" applyFont="1" applyFill="1" applyBorder="1" applyAlignment="1"/>
    <xf numFmtId="169" fontId="6" fillId="23" borderId="0" xfId="0" applyNumberFormat="1" applyFont="1" applyFill="1" applyBorder="1" applyAlignment="1"/>
    <xf numFmtId="168" fontId="5" fillId="0" borderId="0" xfId="0" applyNumberFormat="1" applyFont="1" applyFill="1" applyBorder="1">
      <alignment wrapText="1"/>
    </xf>
    <xf numFmtId="168" fontId="7" fillId="22" borderId="0" xfId="0" applyNumberFormat="1" applyFont="1" applyFill="1" applyBorder="1">
      <alignment wrapText="1"/>
    </xf>
    <xf numFmtId="168" fontId="5" fillId="25" borderId="0" xfId="0" applyNumberFormat="1" applyFont="1" applyFill="1" applyBorder="1" applyAlignment="1" applyProtection="1">
      <alignment horizontal="right"/>
      <protection locked="0"/>
    </xf>
    <xf numFmtId="168" fontId="5" fillId="22" borderId="15" xfId="0" applyNumberFormat="1" applyFont="1" applyFill="1" applyBorder="1" applyAlignment="1" applyProtection="1">
      <alignment horizontal="right"/>
      <protection locked="0"/>
    </xf>
    <xf numFmtId="168" fontId="5" fillId="22" borderId="0" xfId="0" applyNumberFormat="1" applyFont="1" applyFill="1" applyBorder="1" applyAlignment="1" applyProtection="1">
      <alignment horizontal="right"/>
      <protection locked="0"/>
    </xf>
    <xf numFmtId="168" fontId="7" fillId="22" borderId="15" xfId="0" applyNumberFormat="1" applyFont="1" applyFill="1" applyBorder="1" applyAlignment="1" applyProtection="1">
      <alignment horizontal="right"/>
      <protection locked="0"/>
    </xf>
    <xf numFmtId="168" fontId="7" fillId="22" borderId="0" xfId="0" applyNumberFormat="1" applyFont="1" applyFill="1" applyBorder="1" applyAlignment="1" applyProtection="1">
      <alignment horizontal="right"/>
      <protection locked="0"/>
    </xf>
    <xf numFmtId="168" fontId="7" fillId="23" borderId="0" xfId="0" applyNumberFormat="1" applyFont="1" applyFill="1" applyBorder="1" applyAlignment="1"/>
    <xf numFmtId="0" fontId="28" fillId="24" borderId="0" xfId="0" applyFont="1" applyFill="1" applyBorder="1" applyAlignment="1">
      <alignment horizontal="centerContinuous"/>
    </xf>
    <xf numFmtId="5" fontId="5" fillId="22" borderId="0" xfId="0" applyNumberFormat="1" applyFont="1" applyFill="1" applyBorder="1" applyAlignment="1"/>
    <xf numFmtId="0" fontId="0" fillId="22" borderId="0" xfId="0" applyFill="1" applyBorder="1">
      <alignment wrapText="1"/>
    </xf>
    <xf numFmtId="165" fontId="14" fillId="22" borderId="0" xfId="0" applyNumberFormat="1" applyFont="1" applyFill="1" applyBorder="1" applyAlignment="1"/>
    <xf numFmtId="165" fontId="6" fillId="22" borderId="0" xfId="50" applyNumberFormat="1" applyFont="1" applyFill="1" applyBorder="1" applyAlignment="1"/>
    <xf numFmtId="165" fontId="22" fillId="22" borderId="0" xfId="50" applyNumberFormat="1" applyFont="1" applyFill="1" applyBorder="1" applyAlignment="1"/>
    <xf numFmtId="165" fontId="22" fillId="22" borderId="15" xfId="50" applyNumberFormat="1" applyFont="1" applyFill="1" applyBorder="1" applyAlignment="1"/>
    <xf numFmtId="165" fontId="14" fillId="23" borderId="0" xfId="0" applyNumberFormat="1" applyFont="1" applyFill="1" applyBorder="1" applyAlignment="1"/>
    <xf numFmtId="5" fontId="5" fillId="24" borderId="0" xfId="0" applyNumberFormat="1" applyFont="1" applyFill="1" applyBorder="1" applyAlignment="1"/>
    <xf numFmtId="168" fontId="6" fillId="24" borderId="0" xfId="50" applyNumberFormat="1" applyFont="1" applyFill="1" applyBorder="1" applyAlignment="1"/>
    <xf numFmtId="168" fontId="8" fillId="24" borderId="0" xfId="50" applyNumberFormat="1" applyFont="1" applyFill="1" applyBorder="1" applyAlignment="1"/>
    <xf numFmtId="168" fontId="15" fillId="24" borderId="0" xfId="50" applyNumberFormat="1" applyFont="1" applyFill="1" applyBorder="1" applyAlignment="1"/>
    <xf numFmtId="167" fontId="6" fillId="24" borderId="0" xfId="50" applyNumberFormat="1" applyFont="1" applyFill="1" applyBorder="1" applyAlignment="1"/>
    <xf numFmtId="168" fontId="5" fillId="24" borderId="0" xfId="50" applyNumberFormat="1" applyFont="1" applyFill="1" applyBorder="1" applyAlignment="1"/>
    <xf numFmtId="168" fontId="6" fillId="24" borderId="0" xfId="0" applyNumberFormat="1" applyFont="1" applyFill="1" applyBorder="1" applyAlignment="1"/>
    <xf numFmtId="169" fontId="8" fillId="24" borderId="0" xfId="0" applyNumberFormat="1" applyFont="1" applyFill="1" applyBorder="1" applyAlignment="1"/>
    <xf numFmtId="168" fontId="8" fillId="24" borderId="0" xfId="0" applyNumberFormat="1" applyFont="1" applyFill="1" applyBorder="1" applyAlignment="1"/>
    <xf numFmtId="169" fontId="6" fillId="24" borderId="0" xfId="0" applyNumberFormat="1" applyFont="1" applyFill="1" applyBorder="1" applyAlignment="1"/>
    <xf numFmtId="168" fontId="15" fillId="24" borderId="0" xfId="0" applyNumberFormat="1" applyFont="1" applyFill="1" applyBorder="1" applyAlignment="1" applyProtection="1">
      <alignment horizontal="right"/>
      <protection locked="0"/>
    </xf>
    <xf numFmtId="168" fontId="5" fillId="24" borderId="0" xfId="0" applyNumberFormat="1" applyFont="1" applyFill="1" applyBorder="1" applyAlignment="1" applyProtection="1">
      <alignment horizontal="right"/>
      <protection locked="0"/>
    </xf>
    <xf numFmtId="168" fontId="7" fillId="24" borderId="0" xfId="0" applyNumberFormat="1" applyFont="1" applyFill="1" applyBorder="1" applyAlignment="1" applyProtection="1">
      <alignment horizontal="right"/>
      <protection locked="0"/>
    </xf>
    <xf numFmtId="7" fontId="5" fillId="24" borderId="0" xfId="0" applyNumberFormat="1" applyFont="1" applyFill="1" applyBorder="1" applyAlignment="1"/>
    <xf numFmtId="167" fontId="6" fillId="24" borderId="0" xfId="0" applyNumberFormat="1" applyFont="1" applyFill="1" applyBorder="1" applyAlignment="1"/>
    <xf numFmtId="167" fontId="8" fillId="24" borderId="0" xfId="0" applyNumberFormat="1" applyFont="1" applyFill="1" applyBorder="1" applyAlignment="1"/>
    <xf numFmtId="167" fontId="5" fillId="24" borderId="0" xfId="0" applyNumberFormat="1" applyFont="1" applyFill="1" applyBorder="1" applyAlignment="1"/>
    <xf numFmtId="165" fontId="22" fillId="24" borderId="0" xfId="50" applyNumberFormat="1" applyFont="1" applyFill="1" applyBorder="1" applyAlignment="1"/>
    <xf numFmtId="168" fontId="22" fillId="24" borderId="0" xfId="50" applyNumberFormat="1" applyFont="1" applyFill="1" applyBorder="1" applyAlignment="1"/>
    <xf numFmtId="165" fontId="6" fillId="24" borderId="0" xfId="0" applyNumberFormat="1" applyFont="1" applyFill="1" applyBorder="1" applyAlignment="1" applyProtection="1">
      <alignment horizontal="right"/>
      <protection locked="0"/>
    </xf>
    <xf numFmtId="168" fontId="6" fillId="24" borderId="0" xfId="46" applyNumberFormat="1" applyFont="1" applyFill="1" applyBorder="1" applyAlignment="1">
      <alignment horizontal="right"/>
    </xf>
    <xf numFmtId="165" fontId="15" fillId="24" borderId="0" xfId="34" applyNumberFormat="1" applyFont="1" applyFill="1" applyBorder="1" applyAlignment="1" applyProtection="1">
      <alignment horizontal="right"/>
      <protection locked="0"/>
    </xf>
    <xf numFmtId="168" fontId="23" fillId="24" borderId="0" xfId="46" applyNumberFormat="1" applyFont="1" applyFill="1" applyBorder="1" applyAlignment="1" applyProtection="1">
      <alignment horizontal="right"/>
    </xf>
    <xf numFmtId="166" fontId="9" fillId="24" borderId="0" xfId="0" applyNumberFormat="1" applyFont="1" applyFill="1" applyBorder="1" applyAlignment="1"/>
    <xf numFmtId="7" fontId="30" fillId="24" borderId="0" xfId="0" applyNumberFormat="1" applyFont="1" applyFill="1" applyBorder="1" applyAlignment="1"/>
    <xf numFmtId="164" fontId="24" fillId="24" borderId="0" xfId="0" applyNumberFormat="1" applyFont="1" applyFill="1" applyBorder="1" applyAlignment="1"/>
    <xf numFmtId="164" fontId="7" fillId="24" borderId="0" xfId="0" applyNumberFormat="1" applyFont="1" applyFill="1" applyBorder="1" applyAlignment="1"/>
    <xf numFmtId="172" fontId="31" fillId="24" borderId="0" xfId="33" applyNumberFormat="1" applyFont="1" applyFill="1" applyBorder="1" applyAlignment="1"/>
    <xf numFmtId="168" fontId="5" fillId="24" borderId="0" xfId="0" applyNumberFormat="1" applyFont="1" applyFill="1" applyBorder="1" applyAlignment="1"/>
    <xf numFmtId="0" fontId="6" fillId="24" borderId="0" xfId="0" applyFont="1" applyFill="1" applyBorder="1" applyAlignment="1"/>
    <xf numFmtId="0" fontId="6" fillId="24" borderId="0" xfId="46" applyFont="1" applyFill="1" applyBorder="1" applyAlignment="1"/>
    <xf numFmtId="0" fontId="5" fillId="24" borderId="0" xfId="0" applyFont="1" applyFill="1" applyBorder="1" applyAlignment="1"/>
    <xf numFmtId="7" fontId="6" fillId="24" borderId="0" xfId="0" applyNumberFormat="1" applyFont="1" applyFill="1" applyBorder="1" applyAlignment="1"/>
    <xf numFmtId="165" fontId="14" fillId="24" borderId="0" xfId="0" applyNumberFormat="1" applyFont="1" applyFill="1" applyBorder="1" applyAlignment="1"/>
    <xf numFmtId="168" fontId="17" fillId="24" borderId="0" xfId="50" applyNumberFormat="1" applyFont="1" applyFill="1" applyBorder="1" applyAlignment="1"/>
    <xf numFmtId="0" fontId="5" fillId="24" borderId="0" xfId="46" applyFont="1" applyFill="1" applyBorder="1" applyAlignment="1"/>
    <xf numFmtId="0" fontId="9" fillId="24" borderId="0" xfId="0" applyFont="1" applyFill="1" applyBorder="1" applyAlignment="1"/>
    <xf numFmtId="168" fontId="7" fillId="24" borderId="0" xfId="0" applyNumberFormat="1" applyFont="1" applyFill="1" applyBorder="1" applyAlignment="1"/>
    <xf numFmtId="168" fontId="7" fillId="22" borderId="0" xfId="0" applyNumberFormat="1" applyFont="1" applyFill="1" applyBorder="1" applyAlignment="1"/>
    <xf numFmtId="5" fontId="28" fillId="23" borderId="0" xfId="0" applyNumberFormat="1" applyFont="1" applyFill="1" applyBorder="1" applyAlignment="1"/>
    <xf numFmtId="175" fontId="28" fillId="24" borderId="0" xfId="0" applyNumberFormat="1" applyFont="1" applyFill="1" applyBorder="1" applyAlignment="1">
      <alignment horizontal="center"/>
    </xf>
    <xf numFmtId="0" fontId="28" fillId="24" borderId="19" xfId="0" applyFont="1" applyFill="1" applyBorder="1" applyAlignment="1">
      <alignment horizontal="center"/>
    </xf>
    <xf numFmtId="0" fontId="7" fillId="22" borderId="14" xfId="0" applyFont="1" applyFill="1" applyBorder="1" applyAlignment="1">
      <alignment horizontal="left"/>
    </xf>
    <xf numFmtId="0" fontId="6" fillId="24" borderId="0" xfId="0" applyFont="1" applyFill="1" applyBorder="1" applyAlignment="1">
      <alignment horizontal="center"/>
    </xf>
    <xf numFmtId="0" fontId="7" fillId="0" borderId="0" xfId="0" applyFont="1" applyFill="1" applyBorder="1" applyAlignment="1"/>
    <xf numFmtId="164" fontId="24" fillId="0" borderId="0" xfId="0" applyNumberFormat="1" applyFont="1" applyFill="1" applyBorder="1" applyAlignment="1"/>
    <xf numFmtId="164" fontId="7" fillId="0" borderId="0" xfId="0" applyNumberFormat="1" applyFont="1" applyFill="1" applyBorder="1" applyAlignment="1"/>
    <xf numFmtId="164" fontId="7" fillId="0" borderId="15" xfId="0" applyNumberFormat="1" applyFont="1" applyFill="1" applyBorder="1" applyAlignment="1"/>
    <xf numFmtId="0" fontId="31" fillId="0" borderId="0" xfId="0" applyFont="1" applyFill="1" applyBorder="1" applyAlignment="1"/>
    <xf numFmtId="172" fontId="31" fillId="0" borderId="0" xfId="33" applyNumberFormat="1" applyFont="1" applyFill="1" applyBorder="1" applyAlignment="1"/>
    <xf numFmtId="0" fontId="6" fillId="0" borderId="0" xfId="0" applyFont="1" applyFill="1" applyAlignment="1">
      <alignment horizontal="left"/>
    </xf>
    <xf numFmtId="164" fontId="6" fillId="0" borderId="0" xfId="0" applyNumberFormat="1" applyFont="1" applyFill="1" applyAlignment="1"/>
    <xf numFmtId="169" fontId="6" fillId="0" borderId="0" xfId="46" applyNumberFormat="1" applyFont="1" applyFill="1" applyBorder="1" applyAlignment="1" applyProtection="1">
      <alignment horizontal="left"/>
      <protection locked="0"/>
    </xf>
    <xf numFmtId="167" fontId="6" fillId="0" borderId="15" xfId="0" applyNumberFormat="1" applyFont="1" applyFill="1" applyBorder="1" applyAlignment="1"/>
    <xf numFmtId="167" fontId="6" fillId="0" borderId="0" xfId="0" applyNumberFormat="1" applyFont="1" applyFill="1" applyBorder="1" applyAlignment="1"/>
    <xf numFmtId="166" fontId="10" fillId="23" borderId="19" xfId="0" applyNumberFormat="1" applyFont="1" applyFill="1" applyBorder="1" applyAlignment="1"/>
    <xf numFmtId="0" fontId="30" fillId="23" borderId="19" xfId="0" applyFont="1" applyFill="1" applyBorder="1" applyAlignment="1"/>
    <xf numFmtId="7" fontId="30" fillId="23" borderId="19" xfId="0" applyNumberFormat="1" applyFont="1" applyFill="1" applyBorder="1" applyAlignment="1"/>
    <xf numFmtId="164" fontId="27" fillId="23" borderId="17" xfId="50" applyNumberFormat="1" applyFont="1" applyFill="1" applyBorder="1" applyAlignment="1"/>
    <xf numFmtId="0" fontId="26" fillId="23" borderId="19" xfId="0" applyFont="1" applyFill="1" applyBorder="1" applyAlignment="1"/>
    <xf numFmtId="7" fontId="30" fillId="23" borderId="17" xfId="0" applyNumberFormat="1" applyFont="1" applyFill="1" applyBorder="1" applyAlignment="1"/>
    <xf numFmtId="0" fontId="28" fillId="24" borderId="20" xfId="46" applyFont="1" applyFill="1" applyBorder="1" applyAlignment="1">
      <alignment horizontal="center"/>
    </xf>
    <xf numFmtId="0" fontId="28" fillId="24" borderId="21" xfId="46" applyFont="1" applyFill="1" applyBorder="1" applyAlignment="1">
      <alignment horizontal="center"/>
    </xf>
    <xf numFmtId="5" fontId="5" fillId="0" borderId="20" xfId="0" applyNumberFormat="1" applyFont="1" applyFill="1" applyBorder="1" applyAlignment="1"/>
    <xf numFmtId="0" fontId="5" fillId="0" borderId="0" xfId="0" applyFont="1" applyFill="1" applyBorder="1" applyAlignment="1">
      <alignment horizontal="center"/>
    </xf>
    <xf numFmtId="0" fontId="6" fillId="0" borderId="0" xfId="46" applyFont="1" applyFill="1" applyBorder="1" applyAlignment="1"/>
    <xf numFmtId="0" fontId="5" fillId="0" borderId="0" xfId="0" applyFont="1" applyFill="1" applyBorder="1" applyAlignment="1"/>
    <xf numFmtId="5" fontId="5" fillId="0" borderId="0" xfId="0" applyNumberFormat="1" applyFont="1" applyFill="1" applyBorder="1" applyAlignment="1"/>
    <xf numFmtId="168" fontId="6" fillId="0" borderId="0" xfId="0" applyNumberFormat="1" applyFont="1" applyFill="1" applyBorder="1" applyAlignment="1"/>
    <xf numFmtId="169" fontId="6" fillId="0" borderId="0" xfId="0" applyNumberFormat="1" applyFont="1" applyFill="1" applyBorder="1" applyAlignment="1"/>
    <xf numFmtId="165" fontId="14" fillId="0" borderId="0" xfId="0" applyNumberFormat="1" applyFont="1" applyFill="1" applyBorder="1" applyAlignment="1"/>
    <xf numFmtId="168" fontId="17" fillId="0" borderId="0" xfId="50" applyNumberFormat="1" applyFont="1" applyFill="1" applyBorder="1" applyAlignment="1"/>
    <xf numFmtId="0" fontId="5" fillId="0" borderId="0" xfId="46" applyFont="1" applyFill="1" applyBorder="1" applyAlignment="1"/>
    <xf numFmtId="0" fontId="9" fillId="0" borderId="0" xfId="0" applyFont="1" applyFill="1" applyBorder="1" applyAlignment="1"/>
    <xf numFmtId="0" fontId="0" fillId="0" borderId="0" xfId="0" applyFill="1" applyBorder="1">
      <alignment wrapText="1"/>
    </xf>
    <xf numFmtId="168" fontId="5" fillId="0" borderId="0" xfId="0" applyNumberFormat="1" applyFont="1" applyFill="1" applyBorder="1" applyAlignment="1"/>
    <xf numFmtId="168" fontId="7" fillId="0" borderId="0" xfId="0" applyNumberFormat="1" applyFont="1" applyFill="1" applyBorder="1" applyAlignment="1"/>
    <xf numFmtId="165" fontId="6" fillId="0" borderId="15" xfId="0" applyNumberFormat="1" applyFont="1" applyFill="1" applyBorder="1" applyAlignment="1"/>
    <xf numFmtId="165" fontId="6" fillId="0" borderId="0" xfId="0" applyNumberFormat="1" applyFont="1" applyFill="1" applyBorder="1" applyAlignment="1"/>
    <xf numFmtId="172" fontId="6" fillId="0" borderId="0" xfId="33" applyNumberFormat="1" applyFont="1" applyFill="1" applyBorder="1" applyAlignment="1"/>
    <xf numFmtId="167" fontId="6" fillId="22" borderId="22" xfId="50" applyNumberFormat="1" applyFont="1" applyFill="1" applyBorder="1" applyAlignment="1"/>
    <xf numFmtId="168" fontId="6" fillId="0" borderId="0" xfId="50" applyNumberFormat="1" applyFont="1" applyFill="1" applyBorder="1" applyAlignment="1"/>
    <xf numFmtId="168" fontId="8" fillId="0" borderId="0" xfId="50" applyNumberFormat="1" applyFont="1" applyFill="1" applyBorder="1" applyAlignment="1"/>
    <xf numFmtId="168" fontId="15" fillId="0" borderId="0" xfId="50" applyNumberFormat="1" applyFont="1" applyFill="1" applyBorder="1" applyAlignment="1"/>
    <xf numFmtId="167" fontId="6" fillId="0" borderId="0" xfId="50" applyNumberFormat="1" applyFont="1" applyFill="1" applyBorder="1" applyAlignment="1"/>
    <xf numFmtId="168" fontId="5" fillId="0" borderId="0" xfId="50" applyNumberFormat="1" applyFont="1" applyFill="1" applyBorder="1" applyAlignment="1"/>
    <xf numFmtId="168" fontId="8" fillId="0" borderId="0" xfId="0" applyNumberFormat="1" applyFont="1" applyFill="1" applyBorder="1" applyAlignment="1"/>
    <xf numFmtId="169" fontId="6" fillId="0" borderId="0" xfId="50" applyNumberFormat="1" applyFont="1" applyFill="1" applyBorder="1" applyAlignment="1"/>
    <xf numFmtId="168" fontId="15" fillId="0" borderId="0" xfId="0" applyNumberFormat="1" applyFont="1" applyFill="1" applyBorder="1" applyAlignment="1" applyProtection="1">
      <alignment horizontal="right"/>
      <protection locked="0"/>
    </xf>
    <xf numFmtId="168" fontId="5" fillId="0" borderId="0" xfId="0" applyNumberFormat="1" applyFont="1" applyFill="1" applyBorder="1" applyAlignment="1" applyProtection="1">
      <alignment horizontal="right"/>
      <protection locked="0"/>
    </xf>
    <xf numFmtId="168" fontId="7" fillId="0" borderId="0" xfId="0" applyNumberFormat="1" applyFont="1" applyFill="1" applyBorder="1" applyAlignment="1" applyProtection="1">
      <alignment horizontal="right"/>
      <protection locked="0"/>
    </xf>
    <xf numFmtId="7" fontId="5" fillId="0" borderId="0" xfId="0" applyNumberFormat="1" applyFont="1" applyFill="1" applyBorder="1" applyAlignment="1"/>
    <xf numFmtId="167" fontId="8" fillId="0" borderId="0" xfId="0" applyNumberFormat="1" applyFont="1" applyFill="1" applyBorder="1" applyAlignment="1"/>
    <xf numFmtId="167" fontId="5" fillId="0" borderId="0" xfId="0" applyNumberFormat="1" applyFont="1" applyFill="1" applyBorder="1" applyAlignment="1"/>
    <xf numFmtId="165" fontId="22" fillId="0" borderId="0" xfId="50" applyNumberFormat="1" applyFont="1" applyFill="1" applyBorder="1" applyAlignment="1"/>
    <xf numFmtId="165" fontId="6" fillId="0" borderId="0" xfId="0" applyNumberFormat="1" applyFont="1" applyFill="1" applyBorder="1" applyAlignment="1" applyProtection="1">
      <alignment horizontal="right"/>
      <protection locked="0"/>
    </xf>
    <xf numFmtId="168" fontId="6" fillId="0" borderId="0" xfId="46" applyNumberFormat="1" applyFont="1" applyFill="1" applyBorder="1" applyAlignment="1">
      <alignment horizontal="right"/>
    </xf>
    <xf numFmtId="165" fontId="15" fillId="0" borderId="0" xfId="34" applyNumberFormat="1" applyFont="1" applyFill="1" applyBorder="1" applyAlignment="1" applyProtection="1">
      <alignment horizontal="right"/>
      <protection locked="0"/>
    </xf>
    <xf numFmtId="168" fontId="23" fillId="0" borderId="0" xfId="46" applyNumberFormat="1" applyFont="1" applyFill="1" applyBorder="1" applyAlignment="1" applyProtection="1">
      <alignment horizontal="right"/>
    </xf>
    <xf numFmtId="166" fontId="9" fillId="0" borderId="0" xfId="0" applyNumberFormat="1" applyFont="1" applyFill="1" applyBorder="1" applyAlignment="1"/>
    <xf numFmtId="7" fontId="30" fillId="0" borderId="0" xfId="0" applyNumberFormat="1" applyFont="1" applyFill="1" applyBorder="1" applyAlignment="1"/>
    <xf numFmtId="168" fontId="6" fillId="22" borderId="0" xfId="0" applyNumberFormat="1" applyFont="1" applyFill="1" applyBorder="1" applyAlignment="1">
      <alignment horizontal="left" indent="1"/>
    </xf>
    <xf numFmtId="168" fontId="5" fillId="0" borderId="20" xfId="0" applyNumberFormat="1" applyFont="1" applyFill="1" applyBorder="1" applyAlignment="1"/>
    <xf numFmtId="189" fontId="28" fillId="24" borderId="0" xfId="0" applyNumberFormat="1" applyFont="1" applyFill="1" applyBorder="1" applyAlignment="1">
      <alignment horizontal="center"/>
    </xf>
    <xf numFmtId="0" fontId="28" fillId="24" borderId="0" xfId="46" applyFont="1" applyFill="1" applyBorder="1" applyAlignment="1">
      <alignment horizontal="left"/>
    </xf>
    <xf numFmtId="0" fontId="28" fillId="24" borderId="0" xfId="0" applyFont="1" applyFill="1" applyBorder="1" applyAlignment="1" applyProtection="1">
      <alignment horizontal="right"/>
      <protection locked="0"/>
    </xf>
    <xf numFmtId="0" fontId="28" fillId="24" borderId="15" xfId="0" applyFont="1" applyFill="1" applyBorder="1" applyAlignment="1" applyProtection="1">
      <alignment horizontal="right"/>
      <protection locked="0"/>
    </xf>
    <xf numFmtId="0" fontId="28" fillId="0" borderId="0" xfId="0" applyFont="1" applyFill="1" applyBorder="1" applyAlignment="1" applyProtection="1">
      <alignment horizontal="right"/>
      <protection locked="0"/>
    </xf>
    <xf numFmtId="0" fontId="28" fillId="24" borderId="0" xfId="0" applyFont="1" applyFill="1" applyBorder="1" applyAlignment="1"/>
    <xf numFmtId="0" fontId="28" fillId="22" borderId="0" xfId="0" applyFont="1" applyFill="1" applyBorder="1" applyAlignment="1"/>
    <xf numFmtId="0" fontId="28" fillId="0" borderId="0" xfId="0" applyFont="1" applyFill="1" applyBorder="1" applyAlignment="1"/>
    <xf numFmtId="0" fontId="5" fillId="25" borderId="0" xfId="0" applyFont="1" applyFill="1" applyBorder="1" applyAlignment="1" applyProtection="1">
      <alignment horizontal="right"/>
      <protection locked="0"/>
    </xf>
    <xf numFmtId="0" fontId="5" fillId="25" borderId="15" xfId="0" applyFont="1" applyFill="1" applyBorder="1" applyAlignment="1" applyProtection="1">
      <alignment horizontal="right"/>
      <protection locked="0"/>
    </xf>
    <xf numFmtId="0" fontId="5" fillId="0" borderId="0" xfId="0" applyFont="1" applyFill="1" applyBorder="1" applyAlignment="1" applyProtection="1">
      <alignment horizontal="right"/>
      <protection locked="0"/>
    </xf>
    <xf numFmtId="0" fontId="5" fillId="24" borderId="0" xfId="0" applyFont="1" applyFill="1" applyBorder="1" applyAlignment="1" applyProtection="1">
      <alignment horizontal="right"/>
      <protection locked="0"/>
    </xf>
    <xf numFmtId="0" fontId="5" fillId="0" borderId="20" xfId="0" applyFont="1" applyFill="1" applyBorder="1" applyAlignment="1" applyProtection="1">
      <alignment horizontal="right"/>
      <protection locked="0"/>
    </xf>
    <xf numFmtId="166" fontId="5" fillId="25" borderId="0" xfId="0" applyNumberFormat="1" applyFont="1" applyFill="1" applyBorder="1" applyAlignment="1" applyProtection="1">
      <alignment horizontal="right"/>
      <protection locked="0"/>
    </xf>
    <xf numFmtId="7" fontId="23" fillId="0" borderId="0" xfId="0" applyNumberFormat="1" applyFont="1" applyFill="1" applyBorder="1" applyAlignment="1"/>
    <xf numFmtId="7" fontId="23" fillId="24" borderId="0" xfId="0" applyNumberFormat="1" applyFont="1" applyFill="1" applyBorder="1" applyAlignment="1"/>
    <xf numFmtId="7" fontId="5" fillId="23" borderId="0" xfId="0" applyNumberFormat="1" applyFont="1" applyFill="1" applyBorder="1" applyAlignment="1"/>
    <xf numFmtId="7" fontId="6" fillId="0" borderId="0" xfId="0" applyNumberFormat="1" applyFont="1" applyFill="1" applyBorder="1" applyAlignment="1"/>
    <xf numFmtId="2" fontId="6" fillId="22" borderId="0" xfId="0" applyNumberFormat="1" applyFont="1" applyFill="1" applyBorder="1" applyAlignment="1" applyProtection="1">
      <alignment horizontal="left"/>
      <protection locked="0"/>
    </xf>
    <xf numFmtId="0" fontId="5" fillId="22" borderId="0" xfId="0" applyNumberFormat="1" applyFont="1" applyFill="1" applyBorder="1" applyAlignment="1" applyProtection="1">
      <alignment horizontal="right"/>
    </xf>
    <xf numFmtId="168" fontId="6" fillId="22" borderId="0" xfId="0" applyNumberFormat="1" applyFont="1" applyFill="1" applyBorder="1" applyAlignment="1" applyProtection="1"/>
    <xf numFmtId="168" fontId="6" fillId="0" borderId="0" xfId="0" applyNumberFormat="1" applyFont="1" applyFill="1" applyBorder="1" applyAlignment="1" applyProtection="1"/>
    <xf numFmtId="168" fontId="6" fillId="24" borderId="0" xfId="0" applyNumberFormat="1" applyFont="1" applyFill="1" applyBorder="1" applyAlignment="1" applyProtection="1"/>
    <xf numFmtId="0" fontId="28" fillId="23" borderId="0" xfId="0" applyFont="1" applyFill="1" applyBorder="1" applyAlignment="1" applyProtection="1">
      <alignment horizontal="right"/>
      <protection locked="0"/>
    </xf>
    <xf numFmtId="0" fontId="28" fillId="24" borderId="15" xfId="46" applyFont="1" applyFill="1" applyBorder="1" applyAlignment="1">
      <alignment horizontal="center"/>
    </xf>
    <xf numFmtId="0" fontId="28" fillId="24" borderId="17" xfId="46" applyFont="1" applyFill="1" applyBorder="1" applyAlignment="1">
      <alignment horizontal="center"/>
    </xf>
    <xf numFmtId="5" fontId="5" fillId="0" borderId="15" xfId="0" applyNumberFormat="1" applyFont="1" applyFill="1" applyBorder="1" applyAlignment="1"/>
    <xf numFmtId="0" fontId="5" fillId="0" borderId="15" xfId="0" applyFont="1" applyFill="1" applyBorder="1" applyAlignment="1" applyProtection="1">
      <alignment horizontal="right"/>
      <protection locked="0"/>
    </xf>
    <xf numFmtId="168" fontId="5" fillId="0" borderId="15" xfId="0" applyNumberFormat="1" applyFont="1" applyFill="1" applyBorder="1" applyAlignment="1"/>
    <xf numFmtId="166" fontId="15" fillId="22" borderId="0" xfId="0" applyNumberFormat="1" applyFont="1" applyFill="1" applyBorder="1" applyAlignment="1"/>
    <xf numFmtId="166" fontId="15" fillId="22" borderId="15" xfId="0" applyNumberFormat="1" applyFont="1" applyFill="1" applyBorder="1" applyAlignment="1"/>
    <xf numFmtId="166" fontId="15" fillId="0" borderId="0" xfId="0" applyNumberFormat="1" applyFont="1" applyFill="1" applyBorder="1" applyAlignment="1"/>
    <xf numFmtId="166" fontId="15" fillId="24" borderId="0" xfId="0" applyNumberFormat="1" applyFont="1" applyFill="1" applyBorder="1" applyAlignment="1"/>
    <xf numFmtId="166" fontId="5" fillId="0" borderId="20" xfId="0" applyNumberFormat="1" applyFont="1" applyFill="1" applyBorder="1" applyAlignment="1"/>
    <xf numFmtId="166" fontId="5" fillId="0" borderId="15" xfId="0" applyNumberFormat="1" applyFont="1" applyFill="1" applyBorder="1" applyAlignment="1"/>
    <xf numFmtId="166" fontId="6" fillId="23" borderId="0" xfId="0" applyNumberFormat="1" applyFont="1" applyFill="1" applyBorder="1" applyAlignment="1"/>
    <xf numFmtId="166" fontId="6" fillId="24" borderId="0" xfId="0" applyNumberFormat="1" applyFont="1" applyFill="1" applyBorder="1" applyAlignment="1"/>
    <xf numFmtId="166" fontId="6" fillId="0" borderId="0" xfId="0" applyNumberFormat="1" applyFont="1" applyFill="1" applyBorder="1" applyAlignment="1"/>
    <xf numFmtId="166" fontId="6" fillId="23" borderId="0" xfId="50" applyNumberFormat="1" applyFont="1" applyFill="1" applyBorder="1" applyAlignment="1"/>
    <xf numFmtId="168" fontId="5" fillId="25" borderId="0" xfId="50" applyNumberFormat="1" applyFont="1" applyFill="1" applyBorder="1" applyAlignment="1" applyProtection="1">
      <alignment horizontal="right"/>
      <protection locked="0"/>
    </xf>
    <xf numFmtId="168" fontId="5" fillId="25" borderId="15" xfId="50" applyNumberFormat="1" applyFont="1" applyFill="1" applyBorder="1" applyAlignment="1" applyProtection="1">
      <alignment horizontal="right"/>
      <protection locked="0"/>
    </xf>
    <xf numFmtId="44" fontId="5" fillId="25" borderId="0" xfId="35" applyFont="1" applyFill="1" applyBorder="1" applyAlignment="1" applyProtection="1">
      <alignment horizontal="right"/>
      <protection locked="0"/>
    </xf>
    <xf numFmtId="190" fontId="5" fillId="23" borderId="0" xfId="0" applyNumberFormat="1" applyFont="1" applyFill="1" applyBorder="1" applyAlignment="1"/>
    <xf numFmtId="172" fontId="6" fillId="0" borderId="15" xfId="33" applyNumberFormat="1" applyFont="1" applyFill="1" applyBorder="1" applyAlignment="1"/>
    <xf numFmtId="191" fontId="5" fillId="23" borderId="0" xfId="0" applyNumberFormat="1" applyFont="1" applyFill="1" applyBorder="1" applyAlignment="1">
      <alignment horizontal="left"/>
    </xf>
    <xf numFmtId="191" fontId="5" fillId="23" borderId="0" xfId="0" applyNumberFormat="1" applyFont="1" applyFill="1" applyBorder="1" applyAlignment="1"/>
    <xf numFmtId="191" fontId="5" fillId="23" borderId="15" xfId="0" applyNumberFormat="1" applyFont="1" applyFill="1" applyBorder="1" applyAlignment="1">
      <alignment horizontal="right"/>
    </xf>
    <xf numFmtId="191" fontId="5" fillId="23" borderId="0" xfId="0" applyNumberFormat="1" applyFont="1" applyFill="1" applyBorder="1" applyAlignment="1">
      <alignment horizontal="right"/>
    </xf>
    <xf numFmtId="191" fontId="5" fillId="23" borderId="15" xfId="0" applyNumberFormat="1" applyFont="1" applyFill="1" applyBorder="1" applyAlignment="1"/>
    <xf numFmtId="191" fontId="5" fillId="0" borderId="0" xfId="0" applyNumberFormat="1" applyFont="1" applyFill="1" applyBorder="1" applyAlignment="1"/>
    <xf numFmtId="191" fontId="5" fillId="24" borderId="0" xfId="0" applyNumberFormat="1" applyFont="1" applyFill="1" applyBorder="1" applyAlignment="1"/>
    <xf numFmtId="191" fontId="5" fillId="0" borderId="20" xfId="0" applyNumberFormat="1" applyFont="1" applyFill="1" applyBorder="1" applyAlignment="1"/>
    <xf numFmtId="191" fontId="5" fillId="0" borderId="15" xfId="0" applyNumberFormat="1" applyFont="1" applyFill="1" applyBorder="1" applyAlignment="1"/>
    <xf numFmtId="191" fontId="5" fillId="22" borderId="0" xfId="0" applyNumberFormat="1" applyFont="1" applyFill="1" applyBorder="1" applyAlignment="1"/>
    <xf numFmtId="191" fontId="5" fillId="0" borderId="0" xfId="0" applyNumberFormat="1" applyFont="1" applyFill="1" applyBorder="1" applyAlignment="1">
      <alignment horizontal="left" indent="1"/>
    </xf>
    <xf numFmtId="191" fontId="5" fillId="0" borderId="15" xfId="0" applyNumberFormat="1" applyFont="1" applyFill="1" applyBorder="1" applyAlignment="1">
      <alignment horizontal="right"/>
    </xf>
    <xf numFmtId="191" fontId="5" fillId="0" borderId="0" xfId="0" applyNumberFormat="1" applyFont="1" applyFill="1" applyBorder="1" applyAlignment="1">
      <alignment horizontal="right"/>
    </xf>
    <xf numFmtId="166" fontId="6" fillId="22" borderId="0" xfId="0" applyNumberFormat="1" applyFont="1" applyFill="1" applyBorder="1" applyAlignment="1">
      <alignment horizontal="left" indent="1"/>
    </xf>
    <xf numFmtId="166" fontId="6" fillId="22" borderId="15" xfId="0" applyNumberFormat="1" applyFont="1" applyFill="1" applyBorder="1" applyAlignment="1"/>
    <xf numFmtId="166" fontId="7" fillId="0" borderId="0" xfId="50" applyNumberFormat="1" applyFont="1" applyFill="1" applyBorder="1" applyAlignment="1"/>
    <xf numFmtId="166" fontId="7" fillId="24" borderId="0" xfId="50" applyNumberFormat="1" applyFont="1" applyFill="1" applyBorder="1" applyAlignment="1"/>
    <xf numFmtId="166" fontId="7" fillId="23" borderId="0" xfId="0" applyNumberFormat="1" applyFont="1" applyFill="1" applyBorder="1" applyAlignment="1"/>
    <xf numFmtId="166" fontId="7" fillId="24" borderId="0" xfId="0" applyNumberFormat="1" applyFont="1" applyFill="1" applyBorder="1" applyAlignment="1"/>
    <xf numFmtId="166" fontId="7" fillId="22" borderId="0" xfId="0" applyNumberFormat="1" applyFont="1" applyFill="1" applyBorder="1" applyAlignment="1"/>
    <xf numFmtId="166" fontId="7" fillId="0" borderId="0" xfId="0" applyNumberFormat="1" applyFont="1" applyFill="1" applyBorder="1" applyAlignment="1"/>
    <xf numFmtId="166" fontId="6" fillId="22" borderId="0" xfId="0" applyNumberFormat="1" applyFont="1" applyFill="1" applyBorder="1" applyAlignment="1">
      <alignment horizontal="right"/>
    </xf>
    <xf numFmtId="166" fontId="5" fillId="0" borderId="0" xfId="0" applyNumberFormat="1" applyFont="1" applyFill="1" applyBorder="1" applyAlignment="1"/>
    <xf numFmtId="166" fontId="5" fillId="24" borderId="0" xfId="0" applyNumberFormat="1" applyFont="1" applyFill="1" applyBorder="1" applyAlignment="1"/>
    <xf numFmtId="166" fontId="6" fillId="22" borderId="0" xfId="0" applyNumberFormat="1" applyFont="1" applyFill="1" applyAlignment="1">
      <alignment horizontal="left" indent="1"/>
    </xf>
    <xf numFmtId="166" fontId="8" fillId="22" borderId="0" xfId="0" applyNumberFormat="1" applyFont="1" applyFill="1" applyBorder="1" applyAlignment="1"/>
    <xf numFmtId="166" fontId="8" fillId="22" borderId="15" xfId="0" applyNumberFormat="1" applyFont="1" applyFill="1" applyBorder="1" applyAlignment="1"/>
    <xf numFmtId="166" fontId="8" fillId="0" borderId="0" xfId="0" applyNumberFormat="1" applyFont="1" applyFill="1" applyBorder="1" applyAlignment="1"/>
    <xf numFmtId="166" fontId="8" fillId="24" borderId="0" xfId="0" applyNumberFormat="1" applyFont="1" applyFill="1" applyBorder="1" applyAlignment="1"/>
    <xf numFmtId="166" fontId="6" fillId="22" borderId="0" xfId="34" applyNumberFormat="1" applyFont="1" applyFill="1" applyBorder="1" applyAlignment="1" applyProtection="1">
      <alignment horizontal="left" indent="1"/>
      <protection locked="0"/>
    </xf>
    <xf numFmtId="166" fontId="6" fillId="22" borderId="15" xfId="34" applyNumberFormat="1" applyFont="1" applyFill="1" applyBorder="1" applyAlignment="1" applyProtection="1">
      <alignment horizontal="right"/>
      <protection locked="0"/>
    </xf>
    <xf numFmtId="166" fontId="6" fillId="22" borderId="0" xfId="34" applyNumberFormat="1" applyFont="1" applyFill="1" applyBorder="1" applyAlignment="1" applyProtection="1">
      <alignment horizontal="right"/>
      <protection locked="0"/>
    </xf>
    <xf numFmtId="166" fontId="6" fillId="0" borderId="0" xfId="34" applyNumberFormat="1" applyFont="1" applyFill="1" applyBorder="1" applyAlignment="1" applyProtection="1">
      <alignment horizontal="right"/>
      <protection locked="0"/>
    </xf>
    <xf numFmtId="166" fontId="6" fillId="24" borderId="0" xfId="34" applyNumberFormat="1" applyFont="1" applyFill="1" applyBorder="1" applyAlignment="1" applyProtection="1">
      <alignment horizontal="right"/>
      <protection locked="0"/>
    </xf>
    <xf numFmtId="166" fontId="6" fillId="23" borderId="0" xfId="46" applyNumberFormat="1" applyFont="1" applyFill="1" applyBorder="1" applyAlignment="1"/>
    <xf numFmtId="166" fontId="6" fillId="24" borderId="0" xfId="46" applyNumberFormat="1" applyFont="1" applyFill="1" applyBorder="1" applyAlignment="1"/>
    <xf numFmtId="166" fontId="6" fillId="22" borderId="0" xfId="46" applyNumberFormat="1" applyFont="1" applyFill="1" applyBorder="1" applyAlignment="1"/>
    <xf numFmtId="166" fontId="6" fillId="0" borderId="0" xfId="46" applyNumberFormat="1" applyFont="1" applyFill="1" applyBorder="1" applyAlignment="1"/>
    <xf numFmtId="166" fontId="6" fillId="22" borderId="0" xfId="34" applyNumberFormat="1" applyFont="1" applyFill="1" applyBorder="1" applyAlignment="1" applyProtection="1">
      <alignment horizontal="left"/>
      <protection locked="0"/>
    </xf>
    <xf numFmtId="191" fontId="5" fillId="23" borderId="0" xfId="0" applyNumberFormat="1" applyFont="1" applyFill="1" applyBorder="1" applyAlignment="1">
      <alignment horizontal="left" indent="1"/>
    </xf>
    <xf numFmtId="166" fontId="6" fillId="22" borderId="0" xfId="0" applyNumberFormat="1" applyFont="1" applyFill="1" applyAlignment="1">
      <alignment horizontal="left"/>
    </xf>
    <xf numFmtId="166" fontId="6" fillId="22" borderId="0" xfId="0" applyNumberFormat="1" applyFont="1" applyFill="1" applyBorder="1" applyAlignment="1" applyProtection="1">
      <protection locked="0"/>
    </xf>
    <xf numFmtId="166" fontId="6" fillId="22" borderId="15" xfId="0" applyNumberFormat="1" applyFont="1" applyFill="1" applyBorder="1" applyAlignment="1">
      <alignment horizontal="right"/>
    </xf>
    <xf numFmtId="166" fontId="6" fillId="22" borderId="0" xfId="0" applyNumberFormat="1" applyFont="1" applyFill="1" applyAlignment="1" applyProtection="1">
      <protection locked="0"/>
    </xf>
    <xf numFmtId="166" fontId="6" fillId="22" borderId="0" xfId="0" applyNumberFormat="1" applyFont="1" applyFill="1" applyAlignment="1">
      <alignment horizontal="right"/>
    </xf>
    <xf numFmtId="166" fontId="6" fillId="0" borderId="0" xfId="0" applyNumberFormat="1" applyFont="1" applyFill="1" applyBorder="1" applyAlignment="1">
      <alignment horizontal="right"/>
    </xf>
    <xf numFmtId="166" fontId="6" fillId="24" borderId="0" xfId="0" applyNumberFormat="1" applyFont="1" applyFill="1" applyBorder="1" applyAlignment="1">
      <alignment horizontal="right"/>
    </xf>
    <xf numFmtId="166" fontId="6" fillId="23" borderId="0" xfId="0" applyNumberFormat="1" applyFont="1" applyFill="1" applyBorder="1" applyAlignment="1" applyProtection="1">
      <protection locked="0"/>
    </xf>
    <xf numFmtId="166" fontId="6" fillId="24" borderId="0" xfId="0" applyNumberFormat="1" applyFont="1" applyFill="1" applyBorder="1" applyAlignment="1" applyProtection="1">
      <protection locked="0"/>
    </xf>
    <xf numFmtId="166" fontId="6" fillId="0" borderId="0" xfId="0" applyNumberFormat="1" applyFont="1" applyFill="1" applyBorder="1" applyAlignment="1" applyProtection="1">
      <protection locked="0"/>
    </xf>
    <xf numFmtId="166" fontId="8" fillId="0" borderId="0" xfId="0" applyNumberFormat="1" applyFont="1" applyFill="1" applyBorder="1" applyAlignment="1">
      <alignment horizontal="right"/>
    </xf>
    <xf numFmtId="166" fontId="6" fillId="22" borderId="15" xfId="0" applyNumberFormat="1" applyFont="1" applyFill="1" applyBorder="1" applyAlignment="1" applyProtection="1">
      <protection locked="0"/>
    </xf>
    <xf numFmtId="166" fontId="5" fillId="23" borderId="18" xfId="0" applyNumberFormat="1" applyFont="1" applyFill="1" applyBorder="1" applyAlignment="1"/>
    <xf numFmtId="166" fontId="5" fillId="23" borderId="10" xfId="0" applyNumberFormat="1" applyFont="1" applyFill="1" applyBorder="1" applyAlignment="1"/>
    <xf numFmtId="166" fontId="6" fillId="23" borderId="18" xfId="0" applyNumberFormat="1" applyFont="1" applyFill="1" applyBorder="1" applyAlignment="1"/>
    <xf numFmtId="166" fontId="8" fillId="22" borderId="0" xfId="0" applyNumberFormat="1" applyFont="1" applyFill="1" applyAlignment="1">
      <alignment horizontal="right"/>
    </xf>
    <xf numFmtId="166" fontId="8" fillId="22" borderId="15" xfId="0" applyNumberFormat="1" applyFont="1" applyFill="1" applyBorder="1" applyAlignment="1">
      <alignment horizontal="right"/>
    </xf>
    <xf numFmtId="166" fontId="8" fillId="22" borderId="0" xfId="0" applyNumberFormat="1" applyFont="1" applyFill="1" applyAlignment="1" applyProtection="1">
      <protection locked="0"/>
    </xf>
    <xf numFmtId="166" fontId="8" fillId="24" borderId="0" xfId="0" applyNumberFormat="1" applyFont="1" applyFill="1" applyBorder="1" applyAlignment="1">
      <alignment horizontal="right"/>
    </xf>
    <xf numFmtId="166" fontId="5" fillId="23" borderId="0" xfId="0" applyNumberFormat="1" applyFont="1" applyFill="1" applyBorder="1" applyAlignment="1" applyProtection="1">
      <protection locked="0"/>
    </xf>
    <xf numFmtId="166" fontId="5" fillId="24" borderId="0" xfId="0" applyNumberFormat="1" applyFont="1" applyFill="1" applyBorder="1" applyAlignment="1" applyProtection="1">
      <protection locked="0"/>
    </xf>
    <xf numFmtId="166" fontId="5" fillId="22" borderId="0" xfId="0" applyNumberFormat="1" applyFont="1" applyFill="1" applyBorder="1" applyAlignment="1" applyProtection="1">
      <protection locked="0"/>
    </xf>
    <xf numFmtId="166" fontId="5" fillId="0" borderId="0" xfId="0" applyNumberFormat="1" applyFont="1" applyFill="1" applyBorder="1" applyAlignment="1" applyProtection="1">
      <protection locked="0"/>
    </xf>
    <xf numFmtId="166" fontId="5" fillId="22" borderId="23" xfId="0" applyNumberFormat="1" applyFont="1" applyFill="1" applyBorder="1" applyAlignment="1"/>
    <xf numFmtId="166" fontId="5" fillId="22" borderId="24" xfId="0" applyNumberFormat="1" applyFont="1" applyFill="1" applyBorder="1" applyAlignment="1"/>
    <xf numFmtId="166" fontId="19" fillId="22" borderId="0" xfId="0" applyNumberFormat="1" applyFont="1" applyFill="1" applyAlignment="1" applyProtection="1">
      <protection locked="0"/>
    </xf>
    <xf numFmtId="166" fontId="5" fillId="22" borderId="0" xfId="0" applyNumberFormat="1" applyFont="1" applyFill="1" applyAlignment="1">
      <alignment horizontal="left"/>
    </xf>
    <xf numFmtId="166" fontId="5" fillId="22" borderId="15" xfId="0" applyNumberFormat="1" applyFont="1" applyFill="1" applyBorder="1" applyAlignment="1">
      <alignment horizontal="right"/>
    </xf>
    <xf numFmtId="166" fontId="5" fillId="22" borderId="0" xfId="0" applyNumberFormat="1" applyFont="1" applyFill="1" applyAlignment="1">
      <alignment horizontal="right"/>
    </xf>
    <xf numFmtId="166" fontId="5" fillId="0" borderId="0" xfId="0" applyNumberFormat="1" applyFont="1" applyFill="1" applyBorder="1" applyAlignment="1">
      <alignment horizontal="right"/>
    </xf>
    <xf numFmtId="166" fontId="5" fillId="24" borderId="0" xfId="0" applyNumberFormat="1" applyFont="1" applyFill="1" applyBorder="1" applyAlignment="1">
      <alignment horizontal="right"/>
    </xf>
    <xf numFmtId="166" fontId="6" fillId="22" borderId="0" xfId="0" applyNumberFormat="1" applyFont="1" applyFill="1" applyAlignment="1"/>
    <xf numFmtId="166" fontId="8" fillId="22" borderId="0" xfId="0" applyNumberFormat="1" applyFont="1" applyFill="1" applyAlignment="1"/>
    <xf numFmtId="166" fontId="6" fillId="0" borderId="15" xfId="0" applyNumberFormat="1" applyFont="1" applyFill="1" applyBorder="1" applyAlignment="1"/>
    <xf numFmtId="166" fontId="6" fillId="0" borderId="0" xfId="0" applyNumberFormat="1" applyFont="1" applyFill="1" applyAlignment="1"/>
    <xf numFmtId="166" fontId="7" fillId="0" borderId="20" xfId="0" applyNumberFormat="1" applyFont="1" applyFill="1" applyBorder="1" applyAlignment="1"/>
    <xf numFmtId="166" fontId="7" fillId="0" borderId="15" xfId="0" applyNumberFormat="1" applyFont="1" applyFill="1" applyBorder="1" applyAlignment="1"/>
    <xf numFmtId="5" fontId="6" fillId="0" borderId="20" xfId="0" applyNumberFormat="1" applyFont="1" applyFill="1" applyBorder="1" applyAlignment="1"/>
    <xf numFmtId="5" fontId="6" fillId="0" borderId="15" xfId="0" applyNumberFormat="1" applyFont="1" applyFill="1" applyBorder="1" applyAlignment="1"/>
    <xf numFmtId="171" fontId="9" fillId="22" borderId="0" xfId="0" applyNumberFormat="1" applyFont="1" applyFill="1" applyAlignment="1">
      <alignment horizontal="left"/>
    </xf>
    <xf numFmtId="171" fontId="9" fillId="22" borderId="0" xfId="0" applyNumberFormat="1" applyFont="1" applyFill="1" applyAlignment="1"/>
    <xf numFmtId="171" fontId="9" fillId="22" borderId="15" xfId="0" applyNumberFormat="1" applyFont="1" applyFill="1" applyBorder="1" applyAlignment="1"/>
    <xf numFmtId="171" fontId="9" fillId="22" borderId="0" xfId="0" applyNumberFormat="1" applyFont="1" applyFill="1" applyBorder="1" applyAlignment="1"/>
    <xf numFmtId="171" fontId="9" fillId="0" borderId="0" xfId="0" applyNumberFormat="1" applyFont="1" applyFill="1" applyBorder="1" applyAlignment="1"/>
    <xf numFmtId="171" fontId="9" fillId="24" borderId="0" xfId="0" applyNumberFormat="1" applyFont="1" applyFill="1" applyBorder="1" applyAlignment="1"/>
    <xf numFmtId="171" fontId="5" fillId="0" borderId="20" xfId="0" applyNumberFormat="1" applyFont="1" applyFill="1" applyBorder="1" applyAlignment="1"/>
    <xf numFmtId="171" fontId="5" fillId="0" borderId="15" xfId="0" applyNumberFormat="1" applyFont="1" applyFill="1" applyBorder="1" applyAlignment="1"/>
    <xf numFmtId="171" fontId="9" fillId="23" borderId="0" xfId="0" applyNumberFormat="1" applyFont="1" applyFill="1" applyBorder="1" applyAlignment="1"/>
    <xf numFmtId="168" fontId="6" fillId="0" borderId="0" xfId="50" applyNumberFormat="1" applyFont="1" applyFill="1" applyBorder="1" applyAlignment="1">
      <alignment horizontal="right"/>
    </xf>
    <xf numFmtId="9" fontId="4" fillId="22" borderId="0" xfId="50" applyFont="1" applyFill="1" applyAlignment="1"/>
    <xf numFmtId="190" fontId="14" fillId="23" borderId="0" xfId="0" applyNumberFormat="1" applyFont="1" applyFill="1" applyBorder="1" applyAlignment="1"/>
    <xf numFmtId="165" fontId="5" fillId="25" borderId="0" xfId="0" applyNumberFormat="1" applyFont="1" applyFill="1" applyBorder="1" applyAlignment="1" applyProtection="1">
      <alignment horizontal="right"/>
      <protection locked="0"/>
    </xf>
    <xf numFmtId="166" fontId="6" fillId="0" borderId="20" xfId="0" applyNumberFormat="1" applyFont="1" applyFill="1" applyBorder="1" applyAlignment="1"/>
    <xf numFmtId="168" fontId="8" fillId="0" borderId="15" xfId="50" applyNumberFormat="1" applyFont="1" applyFill="1" applyBorder="1" applyAlignment="1"/>
    <xf numFmtId="191" fontId="5" fillId="23" borderId="14" xfId="0" applyNumberFormat="1" applyFont="1" applyFill="1" applyBorder="1" applyAlignment="1"/>
    <xf numFmtId="191" fontId="5" fillId="23" borderId="16" xfId="0" applyNumberFormat="1" applyFont="1" applyFill="1" applyBorder="1" applyAlignment="1"/>
    <xf numFmtId="169" fontId="6" fillId="22" borderId="0" xfId="34" applyNumberFormat="1" applyFont="1" applyFill="1" applyBorder="1" applyAlignment="1" applyProtection="1">
      <alignment horizontal="left" indent="2"/>
      <protection locked="0"/>
    </xf>
    <xf numFmtId="169" fontId="6" fillId="22" borderId="14" xfId="34" applyNumberFormat="1" applyFont="1" applyFill="1" applyBorder="1" applyAlignment="1" applyProtection="1">
      <alignment horizontal="left" indent="1"/>
      <protection locked="0"/>
    </xf>
    <xf numFmtId="167" fontId="6" fillId="22" borderId="14" xfId="0" applyNumberFormat="1" applyFont="1" applyFill="1" applyBorder="1" applyAlignment="1"/>
    <xf numFmtId="167" fontId="6" fillId="22" borderId="16" xfId="0" applyNumberFormat="1" applyFont="1" applyFill="1" applyBorder="1" applyAlignment="1"/>
    <xf numFmtId="169" fontId="6" fillId="22" borderId="31" xfId="34" applyNumberFormat="1" applyFont="1" applyFill="1" applyBorder="1" applyAlignment="1" applyProtection="1">
      <alignment horizontal="left" indent="2"/>
      <protection locked="0"/>
    </xf>
    <xf numFmtId="167" fontId="6" fillId="22" borderId="31" xfId="0" applyNumberFormat="1" applyFont="1" applyFill="1" applyBorder="1" applyAlignment="1"/>
    <xf numFmtId="167" fontId="6" fillId="22" borderId="32" xfId="0" applyNumberFormat="1" applyFont="1" applyFill="1" applyBorder="1" applyAlignment="1"/>
    <xf numFmtId="167" fontId="8" fillId="22" borderId="31" xfId="0" applyNumberFormat="1" applyFont="1" applyFill="1" applyBorder="1" applyAlignment="1"/>
    <xf numFmtId="167" fontId="8" fillId="22" borderId="32" xfId="0" applyNumberFormat="1" applyFont="1" applyFill="1" applyBorder="1" applyAlignment="1"/>
    <xf numFmtId="166" fontId="13" fillId="22" borderId="0" xfId="0" applyNumberFormat="1" applyFont="1" applyFill="1" applyBorder="1" applyAlignment="1" applyProtection="1">
      <alignment horizontal="left" indent="1"/>
    </xf>
    <xf numFmtId="166" fontId="13" fillId="22" borderId="15" xfId="0" applyNumberFormat="1" applyFont="1" applyFill="1" applyBorder="1" applyAlignment="1" applyProtection="1"/>
    <xf numFmtId="164" fontId="44" fillId="22" borderId="0" xfId="46" applyNumberFormat="1" applyFont="1" applyFill="1" applyBorder="1" applyAlignment="1">
      <alignment horizontal="left" indent="2"/>
    </xf>
    <xf numFmtId="166" fontId="6" fillId="22" borderId="0" xfId="0" applyNumberFormat="1" applyFont="1" applyFill="1" applyBorder="1" applyAlignment="1" applyProtection="1">
      <alignment horizontal="left" indent="2"/>
    </xf>
    <xf numFmtId="166" fontId="6" fillId="22" borderId="22" xfId="0" applyNumberFormat="1" applyFont="1" applyFill="1" applyBorder="1" applyAlignment="1">
      <alignment horizontal="right"/>
    </xf>
    <xf numFmtId="167" fontId="6" fillId="22" borderId="22" xfId="0" applyNumberFormat="1" applyFont="1" applyFill="1" applyBorder="1" applyAlignment="1"/>
    <xf numFmtId="168" fontId="6" fillId="22" borderId="22" xfId="50" applyNumberFormat="1" applyFont="1" applyFill="1" applyBorder="1" applyAlignment="1"/>
    <xf numFmtId="166" fontId="5" fillId="22" borderId="22" xfId="0" applyNumberFormat="1" applyFont="1" applyFill="1" applyBorder="1" applyAlignment="1">
      <alignment horizontal="right"/>
    </xf>
    <xf numFmtId="166" fontId="6" fillId="22" borderId="22" xfId="0" applyNumberFormat="1" applyFont="1" applyFill="1" applyBorder="1" applyAlignment="1"/>
    <xf numFmtId="5" fontId="5" fillId="23" borderId="22" xfId="0" applyNumberFormat="1" applyFont="1" applyFill="1" applyBorder="1" applyAlignment="1"/>
    <xf numFmtId="167" fontId="6" fillId="22" borderId="22" xfId="33" applyNumberFormat="1" applyFont="1" applyFill="1" applyBorder="1" applyAlignment="1"/>
    <xf numFmtId="171" fontId="9" fillId="22" borderId="22" xfId="0" applyNumberFormat="1" applyFont="1" applyFill="1" applyBorder="1" applyAlignment="1"/>
    <xf numFmtId="168" fontId="5" fillId="23" borderId="0" xfId="50" applyNumberFormat="1" applyFont="1" applyFill="1" applyBorder="1" applyAlignment="1"/>
    <xf numFmtId="10" fontId="5" fillId="23" borderId="0" xfId="50" applyNumberFormat="1" applyFont="1" applyFill="1" applyBorder="1" applyAlignment="1"/>
    <xf numFmtId="168" fontId="5" fillId="23" borderId="15" xfId="50" applyNumberFormat="1" applyFont="1" applyFill="1" applyBorder="1" applyAlignment="1"/>
    <xf numFmtId="168" fontId="15" fillId="23" borderId="0" xfId="50" applyNumberFormat="1" applyFont="1" applyFill="1" applyBorder="1" applyAlignment="1"/>
    <xf numFmtId="168" fontId="15" fillId="23" borderId="15" xfId="50" applyNumberFormat="1" applyFont="1" applyFill="1" applyBorder="1" applyAlignment="1"/>
    <xf numFmtId="169" fontId="6" fillId="22" borderId="0" xfId="46" applyNumberFormat="1" applyFont="1" applyFill="1" applyBorder="1" applyAlignment="1" applyProtection="1">
      <alignment horizontal="left" indent="2"/>
      <protection locked="0"/>
    </xf>
    <xf numFmtId="166" fontId="6" fillId="22" borderId="0" xfId="0" applyNumberFormat="1" applyFont="1" applyFill="1" applyBorder="1" applyAlignment="1">
      <alignment horizontal="left" indent="2"/>
    </xf>
    <xf numFmtId="169" fontId="5" fillId="25" borderId="0" xfId="0" applyNumberFormat="1" applyFont="1" applyFill="1" applyBorder="1" applyAlignment="1" applyProtection="1">
      <alignment horizontal="right"/>
      <protection locked="0"/>
    </xf>
    <xf numFmtId="169" fontId="5" fillId="25" borderId="15" xfId="0" applyNumberFormat="1" applyFont="1" applyFill="1" applyBorder="1" applyAlignment="1" applyProtection="1">
      <alignment horizontal="right"/>
      <protection locked="0"/>
    </xf>
    <xf numFmtId="0" fontId="5" fillId="22" borderId="0" xfId="0" applyFont="1" applyFill="1" applyBorder="1" applyAlignment="1">
      <alignment horizontal="left" indent="1"/>
    </xf>
    <xf numFmtId="168" fontId="7" fillId="0" borderId="0" xfId="0" applyNumberFormat="1" applyFont="1" applyFill="1" applyBorder="1" applyAlignment="1">
      <alignment horizontal="left" indent="2"/>
    </xf>
    <xf numFmtId="166" fontId="5" fillId="0" borderId="0" xfId="0" applyNumberFormat="1" applyFont="1" applyFill="1" applyAlignment="1">
      <alignment horizontal="left" indent="1"/>
    </xf>
    <xf numFmtId="168" fontId="5" fillId="22" borderId="0" xfId="50" applyNumberFormat="1" applyFont="1" applyFill="1" applyBorder="1" applyAlignment="1"/>
    <xf numFmtId="168" fontId="5" fillId="22" borderId="15" xfId="50" applyNumberFormat="1" applyFont="1" applyFill="1" applyBorder="1" applyAlignment="1">
      <alignment horizontal="right"/>
    </xf>
    <xf numFmtId="168" fontId="7" fillId="22" borderId="0" xfId="50" applyNumberFormat="1" applyFont="1" applyFill="1" applyBorder="1" applyAlignment="1"/>
    <xf numFmtId="168" fontId="7" fillId="22" borderId="15" xfId="50" applyNumberFormat="1" applyFont="1" applyFill="1" applyBorder="1" applyAlignment="1"/>
    <xf numFmtId="166" fontId="5" fillId="22" borderId="0" xfId="0" applyNumberFormat="1" applyFont="1" applyFill="1" applyBorder="1">
      <alignment wrapText="1"/>
    </xf>
    <xf numFmtId="166" fontId="5" fillId="0" borderId="15" xfId="0" applyNumberFormat="1" applyFont="1" applyFill="1" applyBorder="1" applyAlignment="1">
      <alignment horizontal="right"/>
    </xf>
    <xf numFmtId="168" fontId="5" fillId="22" borderId="15" xfId="50" applyNumberFormat="1" applyFont="1" applyFill="1" applyBorder="1" applyAlignment="1"/>
    <xf numFmtId="168" fontId="15" fillId="22" borderId="0" xfId="50" applyNumberFormat="1" applyFont="1" applyFill="1" applyBorder="1" applyAlignment="1"/>
    <xf numFmtId="168" fontId="15" fillId="22" borderId="15" xfId="50" applyNumberFormat="1" applyFont="1" applyFill="1" applyBorder="1" applyAlignment="1"/>
    <xf numFmtId="0" fontId="7" fillId="22" borderId="0" xfId="0" applyFont="1" applyFill="1" applyBorder="1" applyAlignment="1">
      <alignment horizontal="left" indent="1"/>
    </xf>
    <xf numFmtId="166" fontId="7" fillId="22" borderId="0" xfId="0" applyNumberFormat="1" applyFont="1" applyFill="1" applyAlignment="1"/>
    <xf numFmtId="192" fontId="7" fillId="22" borderId="15" xfId="0" applyNumberFormat="1" applyFont="1" applyFill="1" applyBorder="1" applyAlignment="1">
      <alignment horizontal="right"/>
    </xf>
    <xf numFmtId="166" fontId="7" fillId="22" borderId="22" xfId="0" applyNumberFormat="1" applyFont="1" applyFill="1" applyBorder="1" applyAlignment="1"/>
    <xf numFmtId="166" fontId="7" fillId="22" borderId="0" xfId="0" applyNumberFormat="1" applyFont="1" applyFill="1" applyAlignment="1">
      <alignment horizontal="right"/>
    </xf>
    <xf numFmtId="166" fontId="10" fillId="0" borderId="20" xfId="0" applyNumberFormat="1" applyFont="1" applyFill="1" applyBorder="1" applyAlignment="1"/>
    <xf numFmtId="166" fontId="10" fillId="0" borderId="15" xfId="0" applyNumberFormat="1" applyFont="1" applyFill="1" applyBorder="1" applyAlignment="1"/>
    <xf numFmtId="166" fontId="8" fillId="22" borderId="0" xfId="0" applyNumberFormat="1" applyFont="1" applyFill="1" applyBorder="1" applyAlignment="1" applyProtection="1">
      <protection locked="0"/>
    </xf>
    <xf numFmtId="166" fontId="8" fillId="0" borderId="22" xfId="0" applyNumberFormat="1" applyFont="1" applyFill="1" applyBorder="1" applyAlignment="1">
      <alignment horizontal="right"/>
    </xf>
    <xf numFmtId="192" fontId="8" fillId="22" borderId="15" xfId="0" applyNumberFormat="1" applyFont="1" applyFill="1" applyBorder="1" applyAlignment="1">
      <alignment horizontal="right"/>
    </xf>
    <xf numFmtId="166" fontId="5" fillId="22" borderId="0" xfId="0" applyNumberFormat="1" applyFont="1" applyFill="1" applyAlignment="1" applyProtection="1">
      <protection locked="0"/>
    </xf>
    <xf numFmtId="166" fontId="15" fillId="22" borderId="0" xfId="0" applyNumberFormat="1" applyFont="1" applyFill="1" applyAlignment="1" applyProtection="1">
      <protection locked="0"/>
    </xf>
    <xf numFmtId="165" fontId="6" fillId="0" borderId="0" xfId="50" applyNumberFormat="1" applyFont="1" applyFill="1" applyBorder="1" applyAlignment="1"/>
    <xf numFmtId="191" fontId="5" fillId="25" borderId="0" xfId="0" applyNumberFormat="1" applyFont="1" applyFill="1" applyBorder="1" applyAlignment="1" applyProtection="1">
      <alignment horizontal="right"/>
      <protection locked="0"/>
    </xf>
    <xf numFmtId="168" fontId="7" fillId="22" borderId="0" xfId="50" applyNumberFormat="1" applyFont="1" applyFill="1" applyBorder="1" applyAlignment="1">
      <alignment horizontal="right"/>
    </xf>
    <xf numFmtId="168" fontId="8" fillId="0" borderId="0" xfId="50" applyNumberFormat="1" applyFont="1" applyFill="1" applyBorder="1" applyAlignment="1">
      <alignment horizontal="right"/>
    </xf>
    <xf numFmtId="168" fontId="6" fillId="0" borderId="15" xfId="50" applyNumberFormat="1" applyFont="1" applyFill="1" applyBorder="1" applyAlignment="1"/>
    <xf numFmtId="166" fontId="5" fillId="25" borderId="15" xfId="0" applyNumberFormat="1" applyFont="1" applyFill="1" applyBorder="1" applyAlignment="1" applyProtection="1">
      <alignment horizontal="right"/>
      <protection locked="0"/>
    </xf>
    <xf numFmtId="7" fontId="5" fillId="23" borderId="15" xfId="0" applyNumberFormat="1" applyFont="1" applyFill="1" applyBorder="1" applyAlignment="1"/>
    <xf numFmtId="5" fontId="5" fillId="24" borderId="20" xfId="0" applyNumberFormat="1" applyFont="1" applyFill="1" applyBorder="1" applyAlignment="1"/>
    <xf numFmtId="5" fontId="5" fillId="24" borderId="15" xfId="0" applyNumberFormat="1" applyFont="1" applyFill="1" applyBorder="1" applyAlignment="1"/>
    <xf numFmtId="168" fontId="7" fillId="0" borderId="0" xfId="50" applyNumberFormat="1" applyFont="1" applyFill="1" applyBorder="1" applyAlignment="1"/>
    <xf numFmtId="169" fontId="7" fillId="0" borderId="0" xfId="46" applyNumberFormat="1" applyFont="1" applyFill="1" applyBorder="1" applyAlignment="1" applyProtection="1">
      <alignment horizontal="left"/>
      <protection locked="0"/>
    </xf>
    <xf numFmtId="167" fontId="7" fillId="0" borderId="0" xfId="0" applyNumberFormat="1" applyFont="1" applyFill="1" applyBorder="1" applyAlignment="1"/>
    <xf numFmtId="9" fontId="7" fillId="0" borderId="15" xfId="0" applyNumberFormat="1" applyFont="1" applyFill="1" applyBorder="1" applyAlignment="1"/>
    <xf numFmtId="167" fontId="7" fillId="24" borderId="0" xfId="0" applyNumberFormat="1" applyFont="1" applyFill="1" applyBorder="1" applyAlignment="1"/>
    <xf numFmtId="5" fontId="10" fillId="0" borderId="20" xfId="0" applyNumberFormat="1" applyFont="1" applyFill="1" applyBorder="1" applyAlignment="1"/>
    <xf numFmtId="5" fontId="10" fillId="0" borderId="15" xfId="0" applyNumberFormat="1" applyFont="1" applyFill="1" applyBorder="1" applyAlignment="1"/>
    <xf numFmtId="0" fontId="7" fillId="23" borderId="0" xfId="0" applyFont="1" applyFill="1" applyBorder="1" applyAlignment="1"/>
    <xf numFmtId="0" fontId="7" fillId="24" borderId="0" xfId="0" applyFont="1" applyFill="1" applyBorder="1" applyAlignment="1"/>
    <xf numFmtId="0" fontId="7" fillId="22" borderId="0" xfId="0" applyFont="1" applyFill="1" applyBorder="1" applyAlignment="1"/>
    <xf numFmtId="9" fontId="7" fillId="0" borderId="0" xfId="0" applyNumberFormat="1" applyFont="1" applyFill="1" applyBorder="1" applyAlignment="1"/>
    <xf numFmtId="165" fontId="5" fillId="0" borderId="0" xfId="34" applyNumberFormat="1" applyFont="1" applyFill="1" applyBorder="1" applyAlignment="1" applyProtection="1">
      <alignment horizontal="right"/>
      <protection locked="0"/>
    </xf>
    <xf numFmtId="167" fontId="6" fillId="0" borderId="14" xfId="50" applyNumberFormat="1" applyFont="1" applyFill="1" applyBorder="1" applyAlignment="1"/>
    <xf numFmtId="166" fontId="5" fillId="0" borderId="0" xfId="0" applyNumberFormat="1" applyFont="1" applyFill="1" applyBorder="1">
      <alignment wrapText="1"/>
    </xf>
    <xf numFmtId="169" fontId="6" fillId="0" borderId="15" xfId="50" applyNumberFormat="1" applyFont="1" applyFill="1" applyBorder="1" applyAlignment="1"/>
    <xf numFmtId="167" fontId="6" fillId="0" borderId="15" xfId="50" applyNumberFormat="1" applyFont="1" applyFill="1" applyBorder="1" applyAlignment="1"/>
    <xf numFmtId="168" fontId="7" fillId="0" borderId="15" xfId="50" applyNumberFormat="1" applyFont="1" applyFill="1" applyBorder="1" applyAlignment="1"/>
    <xf numFmtId="165" fontId="22" fillId="0" borderId="0" xfId="50" applyNumberFormat="1" applyFont="1" applyFill="1" applyBorder="1" applyAlignment="1">
      <alignment horizontal="right"/>
    </xf>
    <xf numFmtId="166" fontId="6" fillId="0" borderId="0" xfId="0" applyNumberFormat="1" applyFont="1" applyFill="1" applyAlignment="1">
      <alignment horizontal="right"/>
    </xf>
    <xf numFmtId="166" fontId="5" fillId="0" borderId="23" xfId="0" applyNumberFormat="1" applyFont="1" applyFill="1" applyBorder="1" applyAlignment="1"/>
    <xf numFmtId="166" fontId="5" fillId="0" borderId="0" xfId="0" applyNumberFormat="1" applyFont="1" applyFill="1" applyAlignment="1">
      <alignment horizontal="right"/>
    </xf>
    <xf numFmtId="166" fontId="6" fillId="0" borderId="22" xfId="0" applyNumberFormat="1" applyFont="1" applyFill="1" applyBorder="1" applyAlignment="1">
      <alignment horizontal="right"/>
    </xf>
    <xf numFmtId="167" fontId="6" fillId="0" borderId="22" xfId="0" applyNumberFormat="1" applyFont="1" applyFill="1" applyBorder="1" applyAlignment="1"/>
    <xf numFmtId="168" fontId="6" fillId="0" borderId="22" xfId="50" applyNumberFormat="1" applyFont="1" applyFill="1" applyBorder="1" applyAlignment="1"/>
    <xf numFmtId="166" fontId="5" fillId="0" borderId="22" xfId="0" applyNumberFormat="1" applyFont="1" applyFill="1" applyBorder="1" applyAlignment="1">
      <alignment horizontal="right"/>
    </xf>
    <xf numFmtId="166" fontId="6" fillId="0" borderId="22" xfId="0" applyNumberFormat="1" applyFont="1" applyFill="1" applyBorder="1" applyAlignment="1"/>
    <xf numFmtId="167" fontId="6" fillId="0" borderId="22" xfId="33" applyNumberFormat="1" applyFont="1" applyFill="1" applyBorder="1" applyAlignment="1"/>
    <xf numFmtId="9" fontId="6" fillId="0" borderId="0" xfId="50" applyFont="1" applyFill="1" applyBorder="1" applyAlignment="1"/>
    <xf numFmtId="166" fontId="7" fillId="0" borderId="22" xfId="0" applyNumberFormat="1" applyFont="1" applyFill="1" applyBorder="1" applyAlignment="1"/>
    <xf numFmtId="166" fontId="7" fillId="0" borderId="0" xfId="0" applyNumberFormat="1" applyFont="1" applyFill="1" applyBorder="1" applyAlignment="1">
      <alignment horizontal="right"/>
    </xf>
    <xf numFmtId="166" fontId="22" fillId="22" borderId="0" xfId="0" applyNumberFormat="1" applyFont="1" applyFill="1" applyAlignment="1">
      <alignment horizontal="right"/>
    </xf>
    <xf numFmtId="202" fontId="5" fillId="0" borderId="36" xfId="50" applyNumberFormat="1" applyFont="1" applyFill="1" applyBorder="1" applyAlignment="1"/>
    <xf numFmtId="199" fontId="5" fillId="0" borderId="36" xfId="50" applyNumberFormat="1" applyFont="1" applyFill="1" applyBorder="1" applyAlignment="1"/>
    <xf numFmtId="166" fontId="8" fillId="0" borderId="0" xfId="0" applyNumberFormat="1" applyFont="1" applyFill="1" applyAlignment="1">
      <alignment horizontal="right"/>
    </xf>
    <xf numFmtId="168" fontId="6" fillId="22" borderId="37" xfId="50" applyNumberFormat="1" applyFont="1" applyFill="1" applyBorder="1" applyAlignment="1"/>
    <xf numFmtId="168" fontId="6" fillId="22" borderId="0" xfId="50" applyNumberFormat="1" applyFont="1" applyFill="1" applyBorder="1" applyAlignment="1">
      <alignment horizontal="right"/>
    </xf>
    <xf numFmtId="191" fontId="6" fillId="23" borderId="0" xfId="50" applyNumberFormat="1" applyFont="1" applyFill="1" applyBorder="1" applyAlignment="1"/>
    <xf numFmtId="191" fontId="6" fillId="23" borderId="0" xfId="0" applyNumberFormat="1" applyFont="1" applyFill="1" applyBorder="1" applyAlignment="1"/>
    <xf numFmtId="191" fontId="5" fillId="23" borderId="0" xfId="50" applyNumberFormat="1" applyFont="1" applyFill="1" applyBorder="1" applyAlignment="1"/>
    <xf numFmtId="166" fontId="7" fillId="23" borderId="0" xfId="50" applyNumberFormat="1" applyFont="1" applyFill="1" applyBorder="1" applyAlignment="1"/>
    <xf numFmtId="5" fontId="6" fillId="23" borderId="0" xfId="0" applyNumberFormat="1" applyFont="1" applyFill="1" applyBorder="1" applyAlignment="1"/>
    <xf numFmtId="169" fontId="6" fillId="0" borderId="28" xfId="50" applyNumberFormat="1" applyFont="1" applyFill="1" applyBorder="1" applyAlignment="1"/>
    <xf numFmtId="167" fontId="6" fillId="0" borderId="37" xfId="50" applyNumberFormat="1" applyFont="1" applyFill="1" applyBorder="1" applyAlignment="1"/>
    <xf numFmtId="191" fontId="5" fillId="0" borderId="37" xfId="0" applyNumberFormat="1" applyFont="1" applyFill="1" applyBorder="1" applyAlignment="1"/>
    <xf numFmtId="168" fontId="6" fillId="0" borderId="37" xfId="50" applyNumberFormat="1" applyFont="1" applyFill="1" applyBorder="1" applyAlignment="1"/>
    <xf numFmtId="169" fontId="6" fillId="22" borderId="37" xfId="50" applyNumberFormat="1" applyFont="1" applyFill="1" applyBorder="1" applyAlignment="1"/>
    <xf numFmtId="167" fontId="6" fillId="22" borderId="37" xfId="50" applyNumberFormat="1" applyFont="1" applyFill="1" applyBorder="1" applyAlignment="1"/>
    <xf numFmtId="168" fontId="5" fillId="0" borderId="15" xfId="0" applyNumberFormat="1" applyFont="1" applyFill="1" applyBorder="1" applyAlignment="1" applyProtection="1">
      <alignment horizontal="right"/>
      <protection locked="0"/>
    </xf>
    <xf numFmtId="168" fontId="6" fillId="22" borderId="37" xfId="50" applyNumberFormat="1" applyFont="1" applyFill="1" applyBorder="1" applyAlignment="1">
      <alignment horizontal="right"/>
    </xf>
    <xf numFmtId="168" fontId="8" fillId="22" borderId="38" xfId="50" applyNumberFormat="1" applyFont="1" applyFill="1" applyBorder="1" applyAlignment="1"/>
    <xf numFmtId="5" fontId="6" fillId="22" borderId="15" xfId="50" applyNumberFormat="1" applyFont="1" applyFill="1" applyBorder="1" applyAlignment="1"/>
    <xf numFmtId="192" fontId="6" fillId="22" borderId="15" xfId="0" applyNumberFormat="1" applyFont="1" applyFill="1" applyBorder="1" applyAlignment="1">
      <alignment horizontal="right"/>
    </xf>
    <xf numFmtId="166" fontId="6" fillId="22" borderId="15" xfId="0" applyNumberFormat="1" applyFont="1" applyFill="1" applyBorder="1" applyAlignment="1" applyProtection="1"/>
    <xf numFmtId="0" fontId="5" fillId="24" borderId="15" xfId="0" applyFont="1" applyFill="1" applyBorder="1" applyAlignment="1" applyProtection="1">
      <alignment horizontal="right"/>
      <protection locked="0"/>
    </xf>
    <xf numFmtId="168" fontId="8" fillId="22" borderId="0" xfId="0" applyNumberFormat="1" applyFont="1" applyFill="1" applyBorder="1" applyAlignment="1"/>
    <xf numFmtId="167" fontId="6" fillId="0" borderId="31" xfId="0" applyNumberFormat="1" applyFont="1" applyFill="1" applyBorder="1" applyAlignment="1"/>
    <xf numFmtId="168" fontId="65" fillId="0" borderId="0" xfId="50" applyNumberFormat="1" applyFont="1" applyFill="1" applyBorder="1" applyAlignment="1"/>
    <xf numFmtId="168" fontId="6" fillId="0" borderId="28" xfId="50" applyNumberFormat="1" applyFont="1" applyFill="1" applyBorder="1" applyAlignment="1">
      <alignment horizontal="right"/>
    </xf>
    <xf numFmtId="168" fontId="68" fillId="22" borderId="15" xfId="50" applyNumberFormat="1" applyFont="1" applyFill="1" applyBorder="1" applyAlignment="1"/>
    <xf numFmtId="0" fontId="6" fillId="26" borderId="0" xfId="0" applyFont="1" applyFill="1" applyBorder="1" applyAlignment="1"/>
    <xf numFmtId="0" fontId="5" fillId="26" borderId="0" xfId="0" applyFont="1" applyFill="1" applyBorder="1" applyAlignment="1"/>
    <xf numFmtId="168" fontId="65" fillId="22" borderId="0" xfId="50" applyNumberFormat="1" applyFont="1" applyFill="1" applyBorder="1" applyAlignment="1">
      <alignment horizontal="right"/>
    </xf>
    <xf numFmtId="168" fontId="7" fillId="22" borderId="28" xfId="50" applyNumberFormat="1" applyFont="1" applyFill="1" applyBorder="1" applyAlignment="1"/>
    <xf numFmtId="168" fontId="5" fillId="26" borderId="0" xfId="50" applyNumberFormat="1" applyFont="1" applyFill="1" applyBorder="1" applyAlignment="1"/>
    <xf numFmtId="0" fontId="6" fillId="24" borderId="0" xfId="0" applyFont="1" applyFill="1" applyBorder="1" applyAlignment="1">
      <alignment horizontal="left"/>
    </xf>
    <xf numFmtId="0" fontId="6" fillId="23" borderId="0" xfId="0" applyFont="1" applyFill="1" applyBorder="1" applyAlignment="1" applyProtection="1">
      <alignment horizontal="right"/>
      <protection locked="0"/>
    </xf>
    <xf numFmtId="171" fontId="6" fillId="23" borderId="0" xfId="0" applyNumberFormat="1" applyFont="1" applyFill="1" applyBorder="1" applyAlignment="1"/>
    <xf numFmtId="167" fontId="65" fillId="0" borderId="31" xfId="0" applyNumberFormat="1" applyFont="1" applyFill="1" applyBorder="1" applyAlignment="1"/>
    <xf numFmtId="205" fontId="5" fillId="26" borderId="0" xfId="0" applyNumberFormat="1" applyFont="1" applyFill="1" applyBorder="1" applyAlignment="1"/>
    <xf numFmtId="168" fontId="67" fillId="0" borderId="0" xfId="50" applyNumberFormat="1" applyFont="1" applyFill="1" applyBorder="1" applyAlignment="1"/>
    <xf numFmtId="164" fontId="6" fillId="22" borderId="0" xfId="0" applyNumberFormat="1" applyFont="1" applyFill="1" applyAlignment="1">
      <alignment horizontal="right"/>
    </xf>
    <xf numFmtId="165" fontId="6" fillId="23" borderId="0" xfId="0" applyNumberFormat="1" applyFont="1" applyFill="1" applyBorder="1" applyAlignment="1"/>
    <xf numFmtId="166" fontId="17" fillId="0" borderId="15" xfId="0" applyNumberFormat="1" applyFont="1" applyFill="1" applyBorder="1" applyAlignment="1"/>
    <xf numFmtId="166" fontId="6" fillId="0" borderId="15" xfId="0" applyNumberFormat="1" applyFont="1" applyFill="1" applyBorder="1" applyAlignment="1">
      <alignment horizontal="right"/>
    </xf>
    <xf numFmtId="2" fontId="5" fillId="25" borderId="0" xfId="0" applyNumberFormat="1" applyFont="1" applyFill="1" applyBorder="1" applyAlignment="1" applyProtection="1">
      <alignment horizontal="right"/>
      <protection locked="0"/>
    </xf>
    <xf numFmtId="191" fontId="5" fillId="0" borderId="37" xfId="0" applyNumberFormat="1" applyFont="1" applyFill="1" applyBorder="1" applyAlignment="1">
      <alignment horizontal="right"/>
    </xf>
    <xf numFmtId="166" fontId="15" fillId="0" borderId="15" xfId="0" applyNumberFormat="1" applyFont="1" applyFill="1" applyBorder="1" applyAlignment="1"/>
    <xf numFmtId="0" fontId="70" fillId="25" borderId="0" xfId="0" applyFont="1" applyFill="1" applyBorder="1" applyAlignment="1" applyProtection="1">
      <alignment horizontal="right"/>
      <protection locked="0"/>
    </xf>
    <xf numFmtId="191" fontId="5" fillId="26" borderId="0" xfId="0" applyNumberFormat="1" applyFont="1" applyFill="1" applyBorder="1" applyAlignment="1"/>
    <xf numFmtId="166" fontId="5" fillId="23" borderId="0" xfId="50" applyNumberFormat="1" applyFont="1" applyFill="1" applyBorder="1" applyAlignment="1"/>
    <xf numFmtId="166" fontId="6" fillId="27" borderId="0" xfId="0" applyNumberFormat="1" applyFont="1" applyFill="1" applyAlignment="1">
      <alignment horizontal="right"/>
    </xf>
    <xf numFmtId="166" fontId="6" fillId="27" borderId="15" xfId="0" applyNumberFormat="1" applyFont="1" applyFill="1" applyBorder="1" applyAlignment="1">
      <alignment horizontal="right"/>
    </xf>
    <xf numFmtId="166" fontId="6" fillId="27" borderId="0" xfId="0" applyNumberFormat="1" applyFont="1" applyFill="1" applyAlignment="1" applyProtection="1">
      <protection locked="0"/>
    </xf>
    <xf numFmtId="166" fontId="6" fillId="27" borderId="15" xfId="0" applyNumberFormat="1" applyFont="1" applyFill="1" applyBorder="1" applyAlignment="1" applyProtection="1">
      <protection locked="0"/>
    </xf>
    <xf numFmtId="191" fontId="5" fillId="28" borderId="0" xfId="0" applyNumberFormat="1" applyFont="1" applyFill="1" applyBorder="1" applyAlignment="1">
      <alignment horizontal="right"/>
    </xf>
    <xf numFmtId="0" fontId="5" fillId="23" borderId="0" xfId="0" applyFont="1" applyFill="1" applyBorder="1" applyAlignment="1">
      <alignment horizontal="left" indent="1"/>
    </xf>
    <xf numFmtId="169" fontId="6" fillId="22" borderId="0" xfId="46" applyNumberFormat="1" applyFont="1" applyFill="1" applyBorder="1" applyAlignment="1" applyProtection="1">
      <alignment horizontal="left" indent="3"/>
      <protection locked="0"/>
    </xf>
    <xf numFmtId="191" fontId="5" fillId="0" borderId="0" xfId="0" applyNumberFormat="1" applyFont="1" applyFill="1" applyBorder="1" applyAlignment="1">
      <alignment horizontal="left" indent="2"/>
    </xf>
    <xf numFmtId="168" fontId="6" fillId="22" borderId="0" xfId="46" applyNumberFormat="1" applyFont="1" applyFill="1" applyBorder="1" applyAlignment="1" applyProtection="1">
      <alignment horizontal="left" indent="4"/>
      <protection locked="0"/>
    </xf>
    <xf numFmtId="191" fontId="5" fillId="23" borderId="39" xfId="0" applyNumberFormat="1" applyFont="1" applyFill="1" applyBorder="1" applyAlignment="1"/>
    <xf numFmtId="191" fontId="5" fillId="23" borderId="40" xfId="0" applyNumberFormat="1" applyFont="1" applyFill="1" applyBorder="1" applyAlignment="1"/>
    <xf numFmtId="166" fontId="6" fillId="22" borderId="39" xfId="0" applyNumberFormat="1" applyFont="1" applyFill="1" applyBorder="1" applyAlignment="1"/>
    <xf numFmtId="165" fontId="6" fillId="22" borderId="22" xfId="0" applyNumberFormat="1" applyFont="1" applyFill="1" applyBorder="1" applyAlignment="1"/>
    <xf numFmtId="5" fontId="5" fillId="23" borderId="14" xfId="0" applyNumberFormat="1" applyFont="1" applyFill="1" applyBorder="1" applyAlignment="1"/>
    <xf numFmtId="166" fontId="69" fillId="22" borderId="15" xfId="0" applyNumberFormat="1" applyFont="1" applyFill="1" applyBorder="1" applyAlignment="1">
      <alignment horizontal="right"/>
    </xf>
    <xf numFmtId="5" fontId="5" fillId="26" borderId="0" xfId="0" applyNumberFormat="1" applyFont="1" applyFill="1" applyBorder="1" applyAlignment="1"/>
    <xf numFmtId="166" fontId="7" fillId="22" borderId="0" xfId="0" applyNumberFormat="1" applyFont="1" applyFill="1" applyBorder="1" applyAlignment="1">
      <alignment horizontal="right"/>
    </xf>
    <xf numFmtId="192" fontId="7" fillId="22" borderId="0" xfId="0" applyNumberFormat="1" applyFont="1" applyFill="1" applyBorder="1" applyAlignment="1">
      <alignment horizontal="right"/>
    </xf>
    <xf numFmtId="202" fontId="5" fillId="23" borderId="0" xfId="0" applyNumberFormat="1" applyFont="1" applyFill="1" applyBorder="1" applyAlignment="1"/>
    <xf numFmtId="191" fontId="5" fillId="0" borderId="40" xfId="0" applyNumberFormat="1" applyFont="1" applyFill="1" applyBorder="1" applyAlignment="1"/>
    <xf numFmtId="7" fontId="39" fillId="22" borderId="41" xfId="0" applyNumberFormat="1" applyFont="1" applyFill="1" applyBorder="1" applyAlignment="1"/>
    <xf numFmtId="167" fontId="8" fillId="22" borderId="40" xfId="0" applyNumberFormat="1" applyFont="1" applyFill="1" applyBorder="1" applyAlignment="1"/>
    <xf numFmtId="203" fontId="7" fillId="23" borderId="0" xfId="0" applyNumberFormat="1" applyFont="1" applyFill="1" applyBorder="1" applyAlignment="1"/>
    <xf numFmtId="203" fontId="10" fillId="23" borderId="0" xfId="0" applyNumberFormat="1" applyFont="1" applyFill="1" applyBorder="1" applyAlignment="1"/>
    <xf numFmtId="168" fontId="6" fillId="26" borderId="0" xfId="0" applyNumberFormat="1" applyFont="1" applyFill="1" applyBorder="1" applyAlignment="1"/>
    <xf numFmtId="167" fontId="6" fillId="22" borderId="42" xfId="0" applyNumberFormat="1" applyFont="1" applyFill="1" applyBorder="1" applyAlignment="1"/>
    <xf numFmtId="7" fontId="5" fillId="22" borderId="34" xfId="0" applyNumberFormat="1" applyFont="1" applyFill="1" applyBorder="1" applyAlignment="1"/>
    <xf numFmtId="166" fontId="6" fillId="0" borderId="0" xfId="0" applyNumberFormat="1" applyFont="1" applyFill="1" applyAlignment="1" applyProtection="1">
      <protection locked="0"/>
    </xf>
    <xf numFmtId="5" fontId="65" fillId="22" borderId="15" xfId="50" applyNumberFormat="1" applyFont="1" applyFill="1" applyBorder="1" applyAlignment="1"/>
    <xf numFmtId="166" fontId="65" fillId="22" borderId="0" xfId="0" applyNumberFormat="1" applyFont="1" applyFill="1" applyBorder="1" applyAlignment="1">
      <alignment horizontal="right"/>
    </xf>
    <xf numFmtId="166" fontId="68" fillId="22" borderId="15" xfId="0" applyNumberFormat="1" applyFont="1" applyFill="1" applyBorder="1" applyAlignment="1">
      <alignment horizontal="right"/>
    </xf>
    <xf numFmtId="166" fontId="65" fillId="22" borderId="15" xfId="0" applyNumberFormat="1" applyFont="1" applyFill="1" applyBorder="1" applyAlignment="1">
      <alignment horizontal="right"/>
    </xf>
    <xf numFmtId="166" fontId="65" fillId="22" borderId="0" xfId="0" applyNumberFormat="1" applyFont="1" applyFill="1" applyAlignment="1">
      <alignment horizontal="right"/>
    </xf>
    <xf numFmtId="0" fontId="4" fillId="0" borderId="0" xfId="57" applyFont="1" applyFill="1" applyBorder="1"/>
    <xf numFmtId="0" fontId="4" fillId="23" borderId="0" xfId="57" applyFont="1" applyFill="1" applyBorder="1"/>
    <xf numFmtId="0" fontId="4" fillId="0" borderId="0" xfId="57"/>
    <xf numFmtId="0" fontId="6" fillId="0" borderId="0" xfId="57" applyFont="1" applyFill="1" applyBorder="1"/>
    <xf numFmtId="0" fontId="6" fillId="23" borderId="0" xfId="57" applyFont="1" applyFill="1" applyBorder="1"/>
    <xf numFmtId="0" fontId="4" fillId="22" borderId="0" xfId="57" applyFont="1" applyFill="1" applyBorder="1"/>
    <xf numFmtId="0" fontId="5" fillId="0" borderId="0" xfId="57" applyFont="1" applyFill="1" applyBorder="1"/>
    <xf numFmtId="0" fontId="19" fillId="0" borderId="0" xfId="57" applyFont="1" applyFill="1" applyBorder="1"/>
    <xf numFmtId="0" fontId="6" fillId="0" borderId="0" xfId="57" applyFont="1" applyFill="1"/>
    <xf numFmtId="0" fontId="28" fillId="24" borderId="22" xfId="0" applyFont="1" applyFill="1" applyBorder="1" applyAlignment="1">
      <alignment horizontal="centerContinuous"/>
    </xf>
    <xf numFmtId="0" fontId="28" fillId="24" borderId="29" xfId="0" applyFont="1" applyFill="1" applyBorder="1" applyAlignment="1">
      <alignment horizontal="center"/>
    </xf>
    <xf numFmtId="0" fontId="28" fillId="24" borderId="22" xfId="0" applyFont="1" applyFill="1" applyBorder="1" applyAlignment="1" applyProtection="1">
      <alignment horizontal="right"/>
      <protection locked="0"/>
    </xf>
    <xf numFmtId="168" fontId="5" fillId="25" borderId="22" xfId="50" applyNumberFormat="1" applyFont="1" applyFill="1" applyBorder="1" applyAlignment="1" applyProtection="1">
      <alignment horizontal="right"/>
      <protection locked="0"/>
    </xf>
    <xf numFmtId="191" fontId="5" fillId="23" borderId="22" xfId="0" applyNumberFormat="1" applyFont="1" applyFill="1" applyBorder="1" applyAlignment="1"/>
    <xf numFmtId="191" fontId="5" fillId="0" borderId="22" xfId="0" applyNumberFormat="1" applyFont="1" applyFill="1" applyBorder="1" applyAlignment="1"/>
    <xf numFmtId="191" fontId="5" fillId="23" borderId="22" xfId="0" applyNumberFormat="1" applyFont="1" applyFill="1" applyBorder="1" applyAlignment="1">
      <alignment horizontal="right"/>
    </xf>
    <xf numFmtId="0" fontId="5" fillId="25" borderId="22" xfId="0" applyFont="1" applyFill="1" applyBorder="1" applyAlignment="1" applyProtection="1">
      <alignment horizontal="right"/>
      <protection locked="0"/>
    </xf>
    <xf numFmtId="168" fontId="5" fillId="23" borderId="22" xfId="50" applyNumberFormat="1" applyFont="1" applyFill="1" applyBorder="1" applyAlignment="1"/>
    <xf numFmtId="169" fontId="6" fillId="22" borderId="22" xfId="50" applyNumberFormat="1" applyFont="1" applyFill="1" applyBorder="1" applyAlignment="1"/>
    <xf numFmtId="169" fontId="6" fillId="0" borderId="22" xfId="50" applyNumberFormat="1" applyFont="1" applyFill="1" applyBorder="1" applyAlignment="1"/>
    <xf numFmtId="167" fontId="6" fillId="0" borderId="22" xfId="50" applyNumberFormat="1" applyFont="1" applyFill="1" applyBorder="1" applyAlignment="1"/>
    <xf numFmtId="168" fontId="5" fillId="22" borderId="22" xfId="0" applyNumberFormat="1" applyFont="1" applyFill="1" applyBorder="1" applyAlignment="1" applyProtection="1">
      <alignment horizontal="right"/>
      <protection locked="0"/>
    </xf>
    <xf numFmtId="168" fontId="7" fillId="22" borderId="22" xfId="0" applyNumberFormat="1" applyFont="1" applyFill="1" applyBorder="1" applyAlignment="1" applyProtection="1">
      <alignment horizontal="right"/>
      <protection locked="0"/>
    </xf>
    <xf numFmtId="167" fontId="6" fillId="22" borderId="43" xfId="50" applyNumberFormat="1" applyFont="1" applyFill="1" applyBorder="1" applyAlignment="1"/>
    <xf numFmtId="191" fontId="5" fillId="23" borderId="43" xfId="0" applyNumberFormat="1" applyFont="1" applyFill="1" applyBorder="1" applyAlignment="1"/>
    <xf numFmtId="166" fontId="5" fillId="22" borderId="22" xfId="0" applyNumberFormat="1" applyFont="1" applyFill="1" applyBorder="1" applyAlignment="1"/>
    <xf numFmtId="7" fontId="39" fillId="22" borderId="33" xfId="0" applyNumberFormat="1" applyFont="1" applyFill="1" applyBorder="1" applyAlignment="1"/>
    <xf numFmtId="7" fontId="5" fillId="22" borderId="33" xfId="0" applyNumberFormat="1" applyFont="1" applyFill="1" applyBorder="1" applyAlignment="1"/>
    <xf numFmtId="167" fontId="6" fillId="22" borderId="43" xfId="0" applyNumberFormat="1" applyFont="1" applyFill="1" applyBorder="1" applyAlignment="1"/>
    <xf numFmtId="167" fontId="6" fillId="22" borderId="44" xfId="0" applyNumberFormat="1" applyFont="1" applyFill="1" applyBorder="1" applyAlignment="1"/>
    <xf numFmtId="168" fontId="22" fillId="22" borderId="22" xfId="50" applyNumberFormat="1" applyFont="1" applyFill="1" applyBorder="1" applyAlignment="1"/>
    <xf numFmtId="166" fontId="6" fillId="22" borderId="22" xfId="34" applyNumberFormat="1" applyFont="1" applyFill="1" applyBorder="1" applyAlignment="1" applyProtection="1">
      <alignment horizontal="right"/>
      <protection locked="0"/>
    </xf>
    <xf numFmtId="165" fontId="6" fillId="22" borderId="22" xfId="0" applyNumberFormat="1" applyFont="1" applyFill="1" applyBorder="1" applyAlignment="1" applyProtection="1">
      <alignment horizontal="right"/>
      <protection locked="0"/>
    </xf>
    <xf numFmtId="7" fontId="5" fillId="22" borderId="22" xfId="0" applyNumberFormat="1" applyFont="1" applyFill="1" applyBorder="1" applyAlignment="1"/>
    <xf numFmtId="165" fontId="5" fillId="22" borderId="22" xfId="34" applyNumberFormat="1" applyFont="1" applyFill="1" applyBorder="1" applyAlignment="1" applyProtection="1">
      <alignment horizontal="right"/>
      <protection locked="0"/>
    </xf>
    <xf numFmtId="168" fontId="23" fillId="22" borderId="22" xfId="46" applyNumberFormat="1" applyFont="1" applyFill="1" applyBorder="1" applyAlignment="1" applyProtection="1">
      <alignment horizontal="right"/>
    </xf>
    <xf numFmtId="166" fontId="6" fillId="22" borderId="22" xfId="0" applyNumberFormat="1" applyFont="1" applyFill="1" applyBorder="1" applyAlignment="1" applyProtection="1">
      <protection locked="0"/>
    </xf>
    <xf numFmtId="166" fontId="6" fillId="23" borderId="33" xfId="0" applyNumberFormat="1" applyFont="1" applyFill="1" applyBorder="1" applyAlignment="1"/>
    <xf numFmtId="168" fontId="6" fillId="22" borderId="22" xfId="0" applyNumberFormat="1" applyFont="1" applyFill="1" applyBorder="1" applyAlignment="1"/>
    <xf numFmtId="166" fontId="5" fillId="22" borderId="45" xfId="0" applyNumberFormat="1" applyFont="1" applyFill="1" applyBorder="1" applyAlignment="1"/>
    <xf numFmtId="164" fontId="6" fillId="22" borderId="22" xfId="0" applyNumberFormat="1" applyFont="1" applyFill="1" applyBorder="1" applyAlignment="1"/>
    <xf numFmtId="165" fontId="9" fillId="22" borderId="22" xfId="0" applyNumberFormat="1" applyFont="1" applyFill="1" applyBorder="1" applyAlignment="1"/>
    <xf numFmtId="7" fontId="30" fillId="23" borderId="29" xfId="0" applyNumberFormat="1" applyFont="1" applyFill="1" applyBorder="1" applyAlignment="1"/>
    <xf numFmtId="164" fontId="7" fillId="0" borderId="22" xfId="0" applyNumberFormat="1" applyFont="1" applyFill="1" applyBorder="1" applyAlignment="1"/>
    <xf numFmtId="165" fontId="6" fillId="0" borderId="22" xfId="0" applyNumberFormat="1" applyFont="1" applyFill="1" applyBorder="1" applyAlignment="1"/>
    <xf numFmtId="164" fontId="6" fillId="0" borderId="22" xfId="0" applyNumberFormat="1" applyFont="1" applyFill="1" applyBorder="1" applyAlignment="1"/>
    <xf numFmtId="167" fontId="7" fillId="0" borderId="22" xfId="0" applyNumberFormat="1" applyFont="1" applyFill="1" applyBorder="1" applyAlignment="1"/>
    <xf numFmtId="0" fontId="6" fillId="22" borderId="22" xfId="0" applyFont="1" applyFill="1" applyBorder="1" applyAlignment="1"/>
    <xf numFmtId="0" fontId="0" fillId="22" borderId="22" xfId="0" applyFill="1" applyBorder="1">
      <alignment wrapText="1"/>
    </xf>
    <xf numFmtId="0" fontId="28" fillId="24" borderId="22" xfId="0" applyFont="1" applyFill="1" applyBorder="1" applyAlignment="1">
      <alignment horizontal="center"/>
    </xf>
    <xf numFmtId="44" fontId="5" fillId="25" borderId="22" xfId="35" applyFont="1" applyFill="1" applyBorder="1" applyAlignment="1" applyProtection="1">
      <alignment horizontal="right"/>
      <protection locked="0"/>
    </xf>
    <xf numFmtId="191" fontId="5" fillId="0" borderId="22" xfId="0" applyNumberFormat="1" applyFont="1" applyFill="1" applyBorder="1" applyAlignment="1">
      <alignment horizontal="right"/>
    </xf>
    <xf numFmtId="168" fontId="6" fillId="22" borderId="46" xfId="50" applyNumberFormat="1" applyFont="1" applyFill="1" applyBorder="1" applyAlignment="1"/>
    <xf numFmtId="168" fontId="5" fillId="22" borderId="22" xfId="50" applyNumberFormat="1" applyFont="1" applyFill="1" applyBorder="1" applyAlignment="1">
      <alignment horizontal="right"/>
    </xf>
    <xf numFmtId="168" fontId="7" fillId="22" borderId="22" xfId="50" applyNumberFormat="1" applyFont="1" applyFill="1" applyBorder="1" applyAlignment="1"/>
    <xf numFmtId="168" fontId="5" fillId="22" borderId="22" xfId="50" applyNumberFormat="1" applyFont="1" applyFill="1" applyBorder="1" applyAlignment="1"/>
    <xf numFmtId="7" fontId="5" fillId="23" borderId="22" xfId="0" applyNumberFormat="1" applyFont="1" applyFill="1" applyBorder="1" applyAlignment="1"/>
    <xf numFmtId="167" fontId="5" fillId="22" borderId="22" xfId="0" applyNumberFormat="1" applyFont="1" applyFill="1" applyBorder="1" applyAlignment="1"/>
    <xf numFmtId="168" fontId="6" fillId="22" borderId="22" xfId="50" applyNumberFormat="1" applyFont="1" applyFill="1" applyBorder="1" applyAlignment="1">
      <alignment horizontal="right"/>
    </xf>
    <xf numFmtId="168" fontId="6" fillId="22" borderId="22" xfId="46" applyNumberFormat="1" applyFont="1" applyFill="1" applyBorder="1" applyAlignment="1">
      <alignment horizontal="right"/>
    </xf>
    <xf numFmtId="165" fontId="23" fillId="22" borderId="22" xfId="34" applyNumberFormat="1" applyFont="1" applyFill="1" applyBorder="1" applyAlignment="1" applyProtection="1">
      <alignment horizontal="right"/>
      <protection locked="0"/>
    </xf>
    <xf numFmtId="166" fontId="6" fillId="27" borderId="22" xfId="0" applyNumberFormat="1" applyFont="1" applyFill="1" applyBorder="1" applyAlignment="1">
      <alignment horizontal="right"/>
    </xf>
    <xf numFmtId="166" fontId="6" fillId="27" borderId="22" xfId="0" applyNumberFormat="1" applyFont="1" applyFill="1" applyBorder="1" applyAlignment="1" applyProtection="1">
      <protection locked="0"/>
    </xf>
    <xf numFmtId="166" fontId="5" fillId="23" borderId="33" xfId="0" applyNumberFormat="1" applyFont="1" applyFill="1" applyBorder="1" applyAlignment="1"/>
    <xf numFmtId="192" fontId="6" fillId="22" borderId="22" xfId="0" applyNumberFormat="1" applyFont="1" applyFill="1" applyBorder="1" applyAlignment="1">
      <alignment horizontal="right"/>
    </xf>
    <xf numFmtId="5" fontId="6" fillId="22" borderId="22" xfId="50" applyNumberFormat="1" applyFont="1" applyFill="1" applyBorder="1" applyAlignment="1"/>
    <xf numFmtId="166" fontId="6" fillId="22" borderId="22" xfId="0" applyNumberFormat="1" applyFont="1" applyFill="1" applyBorder="1" applyAlignment="1" applyProtection="1"/>
    <xf numFmtId="0" fontId="5" fillId="24" borderId="22" xfId="0" applyFont="1" applyFill="1" applyBorder="1" applyAlignment="1" applyProtection="1">
      <alignment horizontal="right"/>
      <protection locked="0"/>
    </xf>
    <xf numFmtId="192" fontId="7" fillId="22" borderId="22" xfId="0" applyNumberFormat="1" applyFont="1" applyFill="1" applyBorder="1" applyAlignment="1">
      <alignment horizontal="right"/>
    </xf>
    <xf numFmtId="166" fontId="9" fillId="22" borderId="22" xfId="0" applyNumberFormat="1" applyFont="1" applyFill="1" applyBorder="1" applyAlignment="1"/>
    <xf numFmtId="172" fontId="6" fillId="0" borderId="22" xfId="33" applyNumberFormat="1" applyFont="1" applyFill="1" applyBorder="1" applyAlignment="1"/>
    <xf numFmtId="9" fontId="7" fillId="0" borderId="22" xfId="0" applyNumberFormat="1" applyFont="1" applyFill="1" applyBorder="1" applyAlignment="1"/>
    <xf numFmtId="168" fontId="65" fillId="22" borderId="22" xfId="50" applyNumberFormat="1" applyFont="1" applyFill="1" applyBorder="1" applyAlignment="1">
      <alignment horizontal="right"/>
    </xf>
    <xf numFmtId="191" fontId="5" fillId="28" borderId="22" xfId="0" applyNumberFormat="1" applyFont="1" applyFill="1" applyBorder="1" applyAlignment="1">
      <alignment horizontal="right"/>
    </xf>
    <xf numFmtId="191" fontId="5" fillId="27" borderId="22" xfId="0" applyNumberFormat="1" applyFont="1" applyFill="1" applyBorder="1" applyAlignment="1"/>
    <xf numFmtId="168" fontId="5" fillId="0" borderId="22" xfId="50" applyNumberFormat="1" applyFont="1" applyFill="1" applyBorder="1" applyAlignment="1"/>
    <xf numFmtId="168" fontId="7" fillId="0" borderId="22" xfId="50" applyNumberFormat="1" applyFont="1" applyFill="1" applyBorder="1" applyAlignment="1"/>
    <xf numFmtId="166" fontId="5" fillId="0" borderId="22" xfId="0" applyNumberFormat="1" applyFont="1" applyFill="1" applyBorder="1">
      <alignment wrapText="1"/>
    </xf>
    <xf numFmtId="168" fontId="7" fillId="22" borderId="22" xfId="50" applyNumberFormat="1" applyFont="1" applyFill="1" applyBorder="1" applyAlignment="1">
      <alignment horizontal="right"/>
    </xf>
    <xf numFmtId="168" fontId="67" fillId="0" borderId="22" xfId="50" applyNumberFormat="1" applyFont="1" applyFill="1" applyBorder="1" applyAlignment="1"/>
    <xf numFmtId="167" fontId="6" fillId="0" borderId="43" xfId="50" applyNumberFormat="1" applyFont="1" applyFill="1" applyBorder="1" applyAlignment="1"/>
    <xf numFmtId="169" fontId="5" fillId="25" borderId="22" xfId="0" applyNumberFormat="1" applyFont="1" applyFill="1" applyBorder="1" applyAlignment="1" applyProtection="1">
      <alignment horizontal="right"/>
      <protection locked="0"/>
    </xf>
    <xf numFmtId="165" fontId="5" fillId="25" borderId="22" xfId="0" applyNumberFormat="1" applyFont="1" applyFill="1" applyBorder="1" applyAlignment="1" applyProtection="1">
      <alignment horizontal="right"/>
      <protection locked="0"/>
    </xf>
    <xf numFmtId="166" fontId="5" fillId="0" borderId="22" xfId="0" applyNumberFormat="1" applyFont="1" applyFill="1" applyBorder="1" applyAlignment="1"/>
    <xf numFmtId="167" fontId="6" fillId="0" borderId="44" xfId="0" applyNumberFormat="1" applyFont="1" applyFill="1" applyBorder="1" applyAlignment="1"/>
    <xf numFmtId="167" fontId="5" fillId="0" borderId="22" xfId="0" applyNumberFormat="1" applyFont="1" applyFill="1" applyBorder="1" applyAlignment="1"/>
    <xf numFmtId="165" fontId="22" fillId="0" borderId="22" xfId="50" applyNumberFormat="1" applyFont="1" applyFill="1" applyBorder="1" applyAlignment="1">
      <alignment horizontal="right"/>
    </xf>
    <xf numFmtId="165" fontId="5" fillId="0" borderId="22" xfId="34" applyNumberFormat="1" applyFont="1" applyFill="1" applyBorder="1" applyAlignment="1" applyProtection="1">
      <alignment horizontal="right"/>
      <protection locked="0"/>
    </xf>
    <xf numFmtId="168" fontId="6" fillId="22" borderId="22" xfId="0" applyNumberFormat="1" applyFont="1" applyFill="1" applyBorder="1" applyAlignment="1" applyProtection="1"/>
    <xf numFmtId="168" fontId="6" fillId="0" borderId="22" xfId="0" applyNumberFormat="1" applyFont="1" applyFill="1" applyBorder="1" applyAlignment="1"/>
    <xf numFmtId="166" fontId="5" fillId="0" borderId="45" xfId="0" applyNumberFormat="1" applyFont="1" applyFill="1" applyBorder="1" applyAlignment="1"/>
    <xf numFmtId="9" fontId="6" fillId="22" borderId="22" xfId="50" applyFont="1" applyFill="1" applyBorder="1" applyAlignment="1"/>
    <xf numFmtId="166" fontId="7" fillId="22" borderId="22" xfId="0" applyNumberFormat="1" applyFont="1" applyFill="1" applyBorder="1" applyAlignment="1">
      <alignment horizontal="right"/>
    </xf>
    <xf numFmtId="166" fontId="5" fillId="25" borderId="22" xfId="0" applyNumberFormat="1" applyFont="1" applyFill="1" applyBorder="1" applyAlignment="1" applyProtection="1">
      <alignment horizontal="right"/>
      <protection locked="0"/>
    </xf>
    <xf numFmtId="168" fontId="6" fillId="22" borderId="39" xfId="50" applyNumberFormat="1" applyFont="1" applyFill="1" applyBorder="1" applyAlignment="1">
      <alignment horizontal="right"/>
    </xf>
    <xf numFmtId="168" fontId="6" fillId="22" borderId="40" xfId="50" applyNumberFormat="1" applyFont="1" applyFill="1" applyBorder="1" applyAlignment="1">
      <alignment horizontal="right"/>
    </xf>
    <xf numFmtId="168" fontId="6" fillId="22" borderId="40" xfId="50" applyNumberFormat="1" applyFont="1" applyFill="1" applyBorder="1" applyAlignment="1"/>
    <xf numFmtId="191" fontId="5" fillId="0" borderId="47" xfId="0" applyNumberFormat="1" applyFont="1" applyFill="1" applyBorder="1" applyAlignment="1">
      <alignment horizontal="right"/>
    </xf>
    <xf numFmtId="191" fontId="67" fillId="26" borderId="0" xfId="50" applyNumberFormat="1" applyFont="1" applyFill="1" applyBorder="1" applyAlignment="1"/>
    <xf numFmtId="168" fontId="8" fillId="22" borderId="39" xfId="50" applyNumberFormat="1" applyFont="1" applyFill="1" applyBorder="1" applyAlignment="1"/>
    <xf numFmtId="168" fontId="8" fillId="22" borderId="40" xfId="50" applyNumberFormat="1" applyFont="1" applyFill="1" applyBorder="1" applyAlignment="1"/>
    <xf numFmtId="191" fontId="5" fillId="23" borderId="48" xfId="0" applyNumberFormat="1" applyFont="1" applyFill="1" applyBorder="1" applyAlignment="1">
      <alignment horizontal="right"/>
    </xf>
    <xf numFmtId="5" fontId="5" fillId="0" borderId="0" xfId="0" applyNumberFormat="1" applyFont="1" applyFill="1" applyBorder="1" applyAlignment="1">
      <alignment horizontal="right"/>
    </xf>
    <xf numFmtId="5" fontId="5" fillId="0" borderId="40" xfId="0" applyNumberFormat="1" applyFont="1" applyFill="1" applyBorder="1" applyAlignment="1"/>
    <xf numFmtId="166" fontId="6" fillId="22" borderId="48" xfId="0" applyNumberFormat="1" applyFont="1" applyFill="1" applyBorder="1" applyAlignment="1"/>
    <xf numFmtId="166" fontId="6" fillId="0" borderId="48" xfId="0" applyNumberFormat="1" applyFont="1" applyFill="1" applyBorder="1" applyAlignment="1"/>
    <xf numFmtId="166" fontId="6" fillId="0" borderId="39" xfId="0" applyNumberFormat="1" applyFont="1" applyFill="1" applyBorder="1" applyAlignment="1"/>
    <xf numFmtId="166" fontId="6" fillId="0" borderId="40" xfId="0" applyNumberFormat="1" applyFont="1" applyFill="1" applyBorder="1" applyAlignment="1"/>
    <xf numFmtId="166" fontId="68" fillId="22" borderId="0" xfId="0" applyNumberFormat="1" applyFont="1" applyFill="1" applyBorder="1" applyAlignment="1"/>
    <xf numFmtId="166" fontId="68" fillId="22" borderId="15" xfId="0" applyNumberFormat="1" applyFont="1" applyFill="1" applyBorder="1" applyAlignment="1"/>
    <xf numFmtId="166" fontId="68" fillId="0" borderId="0" xfId="0" applyNumberFormat="1" applyFont="1" applyFill="1" applyBorder="1" applyAlignment="1"/>
    <xf numFmtId="166" fontId="5" fillId="0" borderId="39" xfId="0" applyNumberFormat="1" applyFont="1" applyFill="1" applyBorder="1" applyAlignment="1"/>
    <xf numFmtId="166" fontId="5" fillId="0" borderId="40" xfId="0" applyNumberFormat="1" applyFont="1" applyFill="1" applyBorder="1" applyAlignment="1"/>
    <xf numFmtId="199" fontId="7" fillId="0" borderId="15" xfId="0" applyNumberFormat="1" applyFont="1" applyFill="1" applyBorder="1" applyAlignment="1" applyProtection="1">
      <protection locked="0"/>
    </xf>
    <xf numFmtId="166" fontId="6" fillId="0" borderId="22" xfId="0" applyNumberFormat="1" applyFont="1" applyFill="1" applyBorder="1" applyAlignment="1" applyProtection="1">
      <protection locked="0"/>
    </xf>
    <xf numFmtId="168" fontId="68" fillId="22" borderId="15" xfId="0" applyNumberFormat="1" applyFont="1" applyFill="1" applyBorder="1" applyAlignment="1"/>
    <xf numFmtId="168" fontId="68" fillId="29" borderId="0" xfId="0" applyNumberFormat="1" applyFont="1" applyFill="1" applyBorder="1" applyAlignment="1"/>
    <xf numFmtId="5" fontId="6" fillId="0" borderId="0" xfId="0" applyNumberFormat="1" applyFont="1" applyFill="1" applyBorder="1" applyAlignment="1">
      <alignment horizontal="left" indent="4"/>
    </xf>
    <xf numFmtId="7" fontId="6" fillId="0" borderId="0" xfId="0" applyNumberFormat="1" applyFont="1" applyFill="1" applyBorder="1" applyAlignment="1">
      <alignment horizontal="right"/>
    </xf>
    <xf numFmtId="208" fontId="6" fillId="0" borderId="0" xfId="0" applyNumberFormat="1" applyFont="1" applyFill="1" applyBorder="1" applyAlignment="1">
      <alignment horizontal="right"/>
    </xf>
    <xf numFmtId="208" fontId="5" fillId="0" borderId="0" xfId="0" applyNumberFormat="1" applyFont="1" applyFill="1" applyBorder="1" applyAlignment="1">
      <alignment horizontal="right"/>
    </xf>
    <xf numFmtId="7" fontId="69" fillId="0" borderId="48" xfId="0" applyNumberFormat="1" applyFont="1" applyFill="1" applyBorder="1" applyAlignment="1">
      <alignment horizontal="right"/>
    </xf>
    <xf numFmtId="199" fontId="66" fillId="0" borderId="40" xfId="0" applyNumberFormat="1" applyFont="1" applyFill="1" applyBorder="1" applyAlignment="1">
      <alignment horizontal="right"/>
    </xf>
    <xf numFmtId="203" fontId="5" fillId="25" borderId="0" xfId="50" applyNumberFormat="1" applyFont="1" applyFill="1" applyBorder="1" applyAlignment="1" applyProtection="1">
      <alignment horizontal="right"/>
      <protection locked="0"/>
    </xf>
    <xf numFmtId="168" fontId="68" fillId="22" borderId="0" xfId="50" applyNumberFormat="1" applyFont="1" applyFill="1" applyBorder="1" applyAlignment="1"/>
    <xf numFmtId="168" fontId="8" fillId="22" borderId="50" xfId="50" applyNumberFormat="1" applyFont="1" applyFill="1" applyBorder="1" applyAlignment="1"/>
    <xf numFmtId="191" fontId="5" fillId="30" borderId="0" xfId="0" applyNumberFormat="1" applyFont="1" applyFill="1" applyBorder="1" applyAlignment="1">
      <alignment horizontal="left" indent="1"/>
    </xf>
    <xf numFmtId="191" fontId="5" fillId="30" borderId="22" xfId="0" applyNumberFormat="1" applyFont="1" applyFill="1" applyBorder="1" applyAlignment="1"/>
    <xf numFmtId="191" fontId="5" fillId="30" borderId="0" xfId="0" applyNumberFormat="1" applyFont="1" applyFill="1" applyBorder="1" applyAlignment="1"/>
    <xf numFmtId="191" fontId="5" fillId="30" borderId="15" xfId="0" applyNumberFormat="1" applyFont="1" applyFill="1" applyBorder="1" applyAlignment="1">
      <alignment horizontal="right"/>
    </xf>
    <xf numFmtId="191" fontId="5" fillId="30" borderId="0" xfId="0" applyNumberFormat="1" applyFont="1" applyFill="1" applyBorder="1" applyAlignment="1">
      <alignment horizontal="right"/>
    </xf>
    <xf numFmtId="191" fontId="5" fillId="30" borderId="22" xfId="0" applyNumberFormat="1" applyFont="1" applyFill="1" applyBorder="1" applyAlignment="1">
      <alignment horizontal="right"/>
    </xf>
    <xf numFmtId="191" fontId="67" fillId="30" borderId="0" xfId="0" applyNumberFormat="1" applyFont="1" applyFill="1" applyBorder="1" applyAlignment="1">
      <alignment horizontal="right"/>
    </xf>
    <xf numFmtId="191" fontId="5" fillId="30" borderId="15" xfId="0" applyNumberFormat="1" applyFont="1" applyFill="1" applyBorder="1" applyAlignment="1"/>
    <xf numFmtId="191" fontId="69" fillId="30" borderId="0" xfId="0" applyNumberFormat="1" applyFont="1" applyFill="1" applyBorder="1" applyAlignment="1">
      <alignment horizontal="right"/>
    </xf>
    <xf numFmtId="191" fontId="5" fillId="30" borderId="37" xfId="0" applyNumberFormat="1" applyFont="1" applyFill="1" applyBorder="1" applyAlignment="1">
      <alignment horizontal="right"/>
    </xf>
    <xf numFmtId="191" fontId="67" fillId="30" borderId="28" xfId="0" applyNumberFormat="1" applyFont="1" applyFill="1" applyBorder="1" applyAlignment="1"/>
    <xf numFmtId="191" fontId="67" fillId="30" borderId="48" xfId="0" applyNumberFormat="1" applyFont="1" applyFill="1" applyBorder="1" applyAlignment="1"/>
    <xf numFmtId="191" fontId="5" fillId="30" borderId="40" xfId="0" applyNumberFormat="1" applyFont="1" applyFill="1" applyBorder="1" applyAlignment="1">
      <alignment horizontal="right"/>
    </xf>
    <xf numFmtId="191" fontId="5" fillId="30" borderId="48" xfId="0" applyNumberFormat="1" applyFont="1" applyFill="1" applyBorder="1" applyAlignment="1">
      <alignment horizontal="right"/>
    </xf>
    <xf numFmtId="191" fontId="5" fillId="30" borderId="47" xfId="0" applyNumberFormat="1" applyFont="1" applyFill="1" applyBorder="1" applyAlignment="1">
      <alignment horizontal="right"/>
    </xf>
    <xf numFmtId="168" fontId="6" fillId="30" borderId="22" xfId="50" applyNumberFormat="1" applyFont="1" applyFill="1" applyBorder="1" applyAlignment="1"/>
    <xf numFmtId="168" fontId="6" fillId="30" borderId="0" xfId="50" applyNumberFormat="1" applyFont="1" applyFill="1" applyBorder="1" applyAlignment="1"/>
    <xf numFmtId="168" fontId="6" fillId="30" borderId="15" xfId="50" applyNumberFormat="1" applyFont="1" applyFill="1" applyBorder="1" applyAlignment="1"/>
    <xf numFmtId="168" fontId="6" fillId="0" borderId="39" xfId="50" applyNumberFormat="1" applyFont="1" applyFill="1" applyBorder="1" applyAlignment="1"/>
    <xf numFmtId="166" fontId="5" fillId="22" borderId="49" xfId="0" applyNumberFormat="1" applyFont="1" applyFill="1" applyBorder="1" applyAlignment="1">
      <alignment horizontal="right"/>
    </xf>
    <xf numFmtId="166" fontId="5" fillId="22" borderId="40" xfId="0" applyNumberFormat="1" applyFont="1" applyFill="1" applyBorder="1" applyAlignment="1">
      <alignment horizontal="right"/>
    </xf>
    <xf numFmtId="166" fontId="6" fillId="22" borderId="49" xfId="0" applyNumberFormat="1" applyFont="1" applyFill="1" applyBorder="1" applyAlignment="1"/>
    <xf numFmtId="166" fontId="5" fillId="0" borderId="39" xfId="0" applyNumberFormat="1" applyFont="1" applyFill="1" applyBorder="1">
      <alignment wrapText="1"/>
    </xf>
    <xf numFmtId="166" fontId="5" fillId="0" borderId="40" xfId="0" applyNumberFormat="1" applyFont="1" applyFill="1" applyBorder="1">
      <alignment wrapText="1"/>
    </xf>
    <xf numFmtId="166" fontId="6" fillId="22" borderId="40" xfId="0" applyNumberFormat="1" applyFont="1" applyFill="1" applyBorder="1" applyAlignment="1"/>
    <xf numFmtId="168" fontId="7" fillId="22" borderId="47" xfId="50" applyNumberFormat="1" applyFont="1" applyFill="1" applyBorder="1" applyAlignment="1"/>
    <xf numFmtId="203" fontId="6" fillId="22" borderId="0" xfId="50" applyNumberFormat="1" applyFont="1" applyFill="1" applyBorder="1" applyAlignment="1"/>
    <xf numFmtId="166" fontId="65" fillId="0" borderId="0" xfId="0" applyNumberFormat="1" applyFont="1" applyFill="1" applyAlignment="1">
      <alignment horizontal="right"/>
    </xf>
    <xf numFmtId="166" fontId="68" fillId="22" borderId="0" xfId="0" applyNumberFormat="1" applyFont="1" applyFill="1" applyAlignment="1"/>
    <xf numFmtId="203" fontId="5" fillId="25" borderId="0" xfId="0" applyNumberFormat="1" applyFont="1" applyFill="1" applyBorder="1" applyAlignment="1" applyProtection="1">
      <alignment horizontal="right"/>
      <protection locked="0"/>
    </xf>
    <xf numFmtId="199" fontId="7" fillId="0" borderId="22" xfId="0" applyNumberFormat="1" applyFont="1" applyFill="1" applyBorder="1" applyAlignment="1" applyProtection="1">
      <protection locked="0"/>
    </xf>
    <xf numFmtId="0" fontId="28" fillId="24" borderId="0" xfId="57" applyNumberFormat="1" applyFont="1" applyFill="1" applyBorder="1" applyAlignment="1" applyProtection="1">
      <alignment horizontal="left"/>
    </xf>
    <xf numFmtId="0" fontId="28" fillId="24" borderId="51" xfId="57" applyNumberFormat="1" applyFont="1" applyFill="1" applyBorder="1" applyAlignment="1" applyProtection="1">
      <alignment horizontal="centerContinuous"/>
    </xf>
    <xf numFmtId="0" fontId="28" fillId="24" borderId="0" xfId="57" applyNumberFormat="1" applyFont="1" applyFill="1" applyBorder="1" applyAlignment="1" applyProtection="1">
      <alignment horizontal="centerContinuous"/>
    </xf>
    <xf numFmtId="0" fontId="28" fillId="24" borderId="15" xfId="57" applyNumberFormat="1" applyFont="1" applyFill="1" applyBorder="1" applyAlignment="1" applyProtection="1">
      <alignment horizontal="center"/>
    </xf>
    <xf numFmtId="0" fontId="19" fillId="24" borderId="0" xfId="57" applyNumberFormat="1" applyFont="1" applyFill="1" applyBorder="1" applyAlignment="1" applyProtection="1">
      <alignment horizontal="left"/>
    </xf>
    <xf numFmtId="0" fontId="4" fillId="24" borderId="0" xfId="57" applyNumberFormat="1" applyFont="1" applyFill="1" applyBorder="1" applyAlignment="1" applyProtection="1">
      <alignment horizontal="left"/>
    </xf>
    <xf numFmtId="0" fontId="28" fillId="24" borderId="0" xfId="57" applyNumberFormat="1" applyFont="1" applyFill="1" applyBorder="1" applyAlignment="1" applyProtection="1"/>
    <xf numFmtId="0" fontId="19" fillId="24" borderId="0" xfId="57" applyFont="1" applyFill="1" applyBorder="1"/>
    <xf numFmtId="14" fontId="28" fillId="24" borderId="0" xfId="57" applyNumberFormat="1" applyFont="1" applyFill="1" applyBorder="1" applyAlignment="1" applyProtection="1">
      <alignment horizontal="center"/>
    </xf>
    <xf numFmtId="0" fontId="28" fillId="24" borderId="51" xfId="57" applyNumberFormat="1" applyFont="1" applyFill="1" applyBorder="1" applyAlignment="1" applyProtection="1">
      <alignment horizontal="center"/>
    </xf>
    <xf numFmtId="0" fontId="28" fillId="24" borderId="0" xfId="57" applyNumberFormat="1" applyFont="1" applyFill="1" applyBorder="1" applyAlignment="1" applyProtection="1">
      <alignment horizontal="center"/>
    </xf>
    <xf numFmtId="0" fontId="19" fillId="24" borderId="0" xfId="57" applyNumberFormat="1" applyFont="1" applyFill="1" applyBorder="1" applyAlignment="1" applyProtection="1">
      <alignment horizontal="center"/>
    </xf>
    <xf numFmtId="0" fontId="4" fillId="24" borderId="0" xfId="57" applyNumberFormat="1" applyFont="1" applyFill="1" applyBorder="1" applyAlignment="1" applyProtection="1">
      <alignment horizontal="center"/>
    </xf>
    <xf numFmtId="0" fontId="19" fillId="24" borderId="0" xfId="57" applyFont="1" applyFill="1" applyBorder="1" applyAlignment="1">
      <alignment horizontal="center"/>
    </xf>
    <xf numFmtId="0" fontId="28" fillId="25" borderId="52" xfId="46" applyFont="1" applyFill="1" applyBorder="1" applyAlignment="1">
      <alignment horizontal="left"/>
    </xf>
    <xf numFmtId="209" fontId="19" fillId="25" borderId="53" xfId="57" applyNumberFormat="1" applyFont="1" applyFill="1" applyBorder="1" applyAlignment="1" applyProtection="1"/>
    <xf numFmtId="209" fontId="19" fillId="25" borderId="26" xfId="57" applyNumberFormat="1" applyFont="1" applyFill="1" applyBorder="1" applyAlignment="1" applyProtection="1"/>
    <xf numFmtId="0" fontId="19" fillId="25" borderId="35" xfId="57" applyNumberFormat="1" applyFont="1" applyFill="1" applyBorder="1" applyAlignment="1" applyProtection="1"/>
    <xf numFmtId="209" fontId="19" fillId="25" borderId="26" xfId="57" applyNumberFormat="1" applyFont="1" applyFill="1" applyBorder="1" applyAlignment="1" applyProtection="1">
      <alignment horizontal="left"/>
    </xf>
    <xf numFmtId="0" fontId="19" fillId="25" borderId="26" xfId="57" applyNumberFormat="1" applyFont="1" applyFill="1" applyBorder="1" applyAlignment="1" applyProtection="1"/>
    <xf numFmtId="168" fontId="19" fillId="22" borderId="0" xfId="57" applyNumberFormat="1" applyFont="1" applyFill="1" applyBorder="1" applyAlignment="1" applyProtection="1"/>
    <xf numFmtId="168" fontId="19" fillId="25" borderId="15" xfId="57" applyNumberFormat="1" applyFont="1" applyFill="1" applyBorder="1" applyAlignment="1" applyProtection="1"/>
    <xf numFmtId="168" fontId="4" fillId="23" borderId="0" xfId="57" applyNumberFormat="1" applyFont="1" applyFill="1" applyBorder="1" applyAlignment="1" applyProtection="1"/>
    <xf numFmtId="168" fontId="19" fillId="23" borderId="0" xfId="57" applyNumberFormat="1" applyFont="1" applyFill="1" applyBorder="1" applyAlignment="1" applyProtection="1"/>
    <xf numFmtId="0" fontId="6" fillId="22" borderId="0" xfId="57" applyNumberFormat="1" applyFont="1" applyFill="1" applyBorder="1" applyAlignment="1" applyProtection="1">
      <alignment horizontal="left"/>
    </xf>
    <xf numFmtId="169" fontId="6" fillId="22" borderId="0" xfId="57" applyNumberFormat="1" applyFont="1" applyFill="1" applyBorder="1" applyAlignment="1" applyProtection="1"/>
    <xf numFmtId="0" fontId="6" fillId="22" borderId="0" xfId="57" applyNumberFormat="1" applyFont="1" applyFill="1" applyBorder="1" applyAlignment="1" applyProtection="1"/>
    <xf numFmtId="0" fontId="19" fillId="22" borderId="0" xfId="57" applyNumberFormat="1" applyFont="1" applyFill="1" applyBorder="1" applyAlignment="1" applyProtection="1"/>
    <xf numFmtId="0" fontId="19" fillId="25" borderId="0" xfId="57" applyFont="1" applyFill="1" applyBorder="1"/>
    <xf numFmtId="1" fontId="23" fillId="23" borderId="0" xfId="57" applyNumberFormat="1" applyFont="1" applyFill="1" applyBorder="1" applyAlignment="1" applyProtection="1">
      <alignment horizontal="left"/>
    </xf>
    <xf numFmtId="0" fontId="23" fillId="23" borderId="51" xfId="57" applyNumberFormat="1" applyFont="1" applyFill="1" applyBorder="1" applyAlignment="1" applyProtection="1"/>
    <xf numFmtId="0" fontId="23" fillId="23" borderId="0" xfId="57" applyNumberFormat="1" applyFont="1" applyFill="1" applyBorder="1" applyAlignment="1" applyProtection="1"/>
    <xf numFmtId="164" fontId="5" fillId="23" borderId="15" xfId="57" applyNumberFormat="1" applyFont="1" applyFill="1" applyBorder="1" applyAlignment="1" applyProtection="1"/>
    <xf numFmtId="164" fontId="5" fillId="23" borderId="0" xfId="57" applyNumberFormat="1" applyFont="1" applyFill="1" applyBorder="1" applyAlignment="1" applyProtection="1"/>
    <xf numFmtId="0" fontId="5" fillId="23" borderId="0" xfId="57" applyNumberFormat="1" applyFont="1" applyFill="1" applyBorder="1" applyAlignment="1" applyProtection="1"/>
    <xf numFmtId="168" fontId="6" fillId="22" borderId="0" xfId="57" applyNumberFormat="1" applyFont="1" applyFill="1" applyBorder="1" applyAlignment="1" applyProtection="1"/>
    <xf numFmtId="168" fontId="6" fillId="23" borderId="15" xfId="57" applyNumberFormat="1" applyFont="1" applyFill="1" applyBorder="1" applyAlignment="1" applyProtection="1"/>
    <xf numFmtId="168" fontId="6" fillId="23" borderId="0" xfId="57" applyNumberFormat="1" applyFont="1" applyFill="1" applyBorder="1" applyAlignment="1" applyProtection="1"/>
    <xf numFmtId="167" fontId="6" fillId="22" borderId="0" xfId="57" applyNumberFormat="1" applyFont="1" applyFill="1" applyBorder="1" applyAlignment="1" applyProtection="1"/>
    <xf numFmtId="0" fontId="14" fillId="22" borderId="0" xfId="46" applyFont="1" applyFill="1" applyBorder="1" applyAlignment="1" applyProtection="1"/>
    <xf numFmtId="0" fontId="5" fillId="22" borderId="0" xfId="57" applyFont="1" applyFill="1" applyBorder="1"/>
    <xf numFmtId="0" fontId="23" fillId="22" borderId="0" xfId="57" applyNumberFormat="1" applyFont="1" applyFill="1" applyBorder="1" applyAlignment="1" applyProtection="1">
      <alignment horizontal="left"/>
    </xf>
    <xf numFmtId="209" fontId="23" fillId="22" borderId="51" xfId="57" applyNumberFormat="1" applyFont="1" applyFill="1" applyBorder="1" applyAlignment="1" applyProtection="1"/>
    <xf numFmtId="209" fontId="23" fillId="22" borderId="0" xfId="57" applyNumberFormat="1" applyFont="1" applyFill="1" applyBorder="1" applyAlignment="1" applyProtection="1"/>
    <xf numFmtId="3" fontId="5" fillId="22" borderId="15" xfId="57" applyNumberFormat="1" applyFont="1" applyFill="1" applyBorder="1" applyAlignment="1" applyProtection="1"/>
    <xf numFmtId="3" fontId="23" fillId="22" borderId="0" xfId="57" applyNumberFormat="1" applyFont="1" applyFill="1" applyBorder="1" applyAlignment="1" applyProtection="1"/>
    <xf numFmtId="3" fontId="5" fillId="22" borderId="0" xfId="57" applyNumberFormat="1" applyFont="1" applyFill="1" applyBorder="1" applyAlignment="1" applyProtection="1"/>
    <xf numFmtId="209" fontId="5" fillId="22" borderId="0" xfId="57" applyNumberFormat="1" applyFont="1" applyFill="1" applyBorder="1" applyAlignment="1" applyProtection="1"/>
    <xf numFmtId="209" fontId="5" fillId="22" borderId="28" xfId="57" applyNumberFormat="1" applyFont="1" applyFill="1" applyBorder="1" applyAlignment="1" applyProtection="1"/>
    <xf numFmtId="209" fontId="5" fillId="22" borderId="22" xfId="57" applyNumberFormat="1" applyFont="1" applyFill="1" applyBorder="1" applyAlignment="1" applyProtection="1"/>
    <xf numFmtId="209" fontId="5" fillId="0" borderId="15" xfId="57" applyNumberFormat="1" applyFont="1" applyFill="1" applyBorder="1" applyAlignment="1" applyProtection="1"/>
    <xf numFmtId="209" fontId="4" fillId="23" borderId="0" xfId="57" applyNumberFormat="1" applyFont="1" applyFill="1" applyBorder="1" applyAlignment="1" applyProtection="1"/>
    <xf numFmtId="209" fontId="5" fillId="23" borderId="0" xfId="57" applyNumberFormat="1" applyFont="1" applyFill="1" applyBorder="1" applyAlignment="1" applyProtection="1"/>
    <xf numFmtId="0" fontId="22" fillId="22" borderId="51" xfId="57" applyNumberFormat="1" applyFont="1" applyFill="1" applyBorder="1" applyAlignment="1" applyProtection="1"/>
    <xf numFmtId="0" fontId="22" fillId="22" borderId="0" xfId="57" applyNumberFormat="1" applyFont="1" applyFill="1" applyBorder="1" applyAlignment="1" applyProtection="1"/>
    <xf numFmtId="168" fontId="6" fillId="22" borderId="15" xfId="57" applyNumberFormat="1" applyFont="1" applyFill="1" applyBorder="1" applyAlignment="1" applyProtection="1"/>
    <xf numFmtId="168" fontId="22" fillId="22" borderId="0" xfId="57" applyNumberFormat="1" applyFont="1" applyFill="1" applyBorder="1" applyAlignment="1" applyProtection="1"/>
    <xf numFmtId="168" fontId="6" fillId="0" borderId="0" xfId="57" applyNumberFormat="1" applyFont="1" applyFill="1" applyBorder="1" applyAlignment="1" applyProtection="1"/>
    <xf numFmtId="0" fontId="6" fillId="22" borderId="28" xfId="57" applyNumberFormat="1" applyFont="1" applyFill="1" applyBorder="1" applyAlignment="1" applyProtection="1"/>
    <xf numFmtId="0" fontId="6" fillId="22" borderId="22" xfId="57" applyNumberFormat="1" applyFont="1" applyFill="1" applyBorder="1" applyAlignment="1" applyProtection="1"/>
    <xf numFmtId="0" fontId="6" fillId="0" borderId="15" xfId="57" applyNumberFormat="1" applyFont="1" applyFill="1" applyBorder="1" applyAlignment="1" applyProtection="1"/>
    <xf numFmtId="0" fontId="4" fillId="23" borderId="0" xfId="57" applyNumberFormat="1" applyFont="1" applyFill="1" applyBorder="1" applyAlignment="1" applyProtection="1"/>
    <xf numFmtId="0" fontId="6" fillId="23" borderId="0" xfId="57" applyNumberFormat="1" applyFont="1" applyFill="1" applyBorder="1" applyAlignment="1" applyProtection="1"/>
    <xf numFmtId="0" fontId="6" fillId="22" borderId="0" xfId="57" applyFont="1" applyFill="1" applyBorder="1"/>
    <xf numFmtId="3" fontId="5" fillId="0" borderId="0" xfId="57" applyNumberFormat="1" applyFont="1" applyFill="1" applyBorder="1" applyAlignment="1" applyProtection="1"/>
    <xf numFmtId="209" fontId="5" fillId="0" borderId="0" xfId="57" applyNumberFormat="1" applyFont="1" applyFill="1" applyBorder="1" applyAlignment="1" applyProtection="1"/>
    <xf numFmtId="164" fontId="4" fillId="23" borderId="0" xfId="57" applyNumberFormat="1" applyFont="1" applyFill="1" applyBorder="1"/>
    <xf numFmtId="168" fontId="8" fillId="22" borderId="15" xfId="57" applyNumberFormat="1" applyFont="1" applyFill="1" applyBorder="1" applyAlignment="1" applyProtection="1"/>
    <xf numFmtId="168" fontId="6" fillId="0" borderId="15" xfId="57" applyNumberFormat="1" applyFont="1" applyFill="1" applyBorder="1" applyAlignment="1" applyProtection="1"/>
    <xf numFmtId="169" fontId="6" fillId="0" borderId="0" xfId="57" applyNumberFormat="1" applyFont="1" applyFill="1" applyBorder="1" applyAlignment="1">
      <alignment horizontal="right"/>
    </xf>
    <xf numFmtId="168" fontId="6" fillId="0" borderId="0" xfId="57" applyNumberFormat="1" applyFont="1" applyFill="1" applyBorder="1" applyAlignment="1">
      <alignment horizontal="right"/>
    </xf>
    <xf numFmtId="167" fontId="23" fillId="22" borderId="0" xfId="57" applyNumberFormat="1" applyFont="1" applyFill="1" applyBorder="1" applyAlignment="1" applyProtection="1">
      <alignment horizontal="left"/>
    </xf>
    <xf numFmtId="167" fontId="23" fillId="22" borderId="51" xfId="57" applyNumberFormat="1" applyFont="1" applyFill="1" applyBorder="1" applyAlignment="1" applyProtection="1"/>
    <xf numFmtId="167" fontId="23" fillId="22" borderId="0" xfId="57" applyNumberFormat="1" applyFont="1" applyFill="1" applyBorder="1" applyAlignment="1" applyProtection="1"/>
    <xf numFmtId="167" fontId="5" fillId="22" borderId="15" xfId="57" applyNumberFormat="1" applyFont="1" applyFill="1" applyBorder="1" applyAlignment="1" applyProtection="1"/>
    <xf numFmtId="167" fontId="5" fillId="22" borderId="0" xfId="57" applyNumberFormat="1" applyFont="1" applyFill="1" applyBorder="1" applyAlignment="1" applyProtection="1"/>
    <xf numFmtId="167" fontId="5" fillId="0" borderId="0" xfId="57" applyNumberFormat="1" applyFont="1" applyFill="1" applyBorder="1" applyAlignment="1" applyProtection="1"/>
    <xf numFmtId="167" fontId="5" fillId="22" borderId="28" xfId="57" applyNumberFormat="1" applyFont="1" applyFill="1" applyBorder="1" applyAlignment="1" applyProtection="1"/>
    <xf numFmtId="167" fontId="5" fillId="22" borderId="22" xfId="57" applyNumberFormat="1" applyFont="1" applyFill="1" applyBorder="1" applyAlignment="1" applyProtection="1"/>
    <xf numFmtId="167" fontId="5" fillId="0" borderId="15" xfId="57" applyNumberFormat="1" applyFont="1" applyFill="1" applyBorder="1" applyAlignment="1" applyProtection="1"/>
    <xf numFmtId="167" fontId="4" fillId="23" borderId="0" xfId="57" applyNumberFormat="1" applyFont="1" applyFill="1" applyBorder="1" applyAlignment="1" applyProtection="1"/>
    <xf numFmtId="167" fontId="5" fillId="23" borderId="0" xfId="57" applyNumberFormat="1" applyFont="1" applyFill="1" applyBorder="1" applyAlignment="1" applyProtection="1"/>
    <xf numFmtId="167" fontId="14" fillId="22" borderId="0" xfId="46" applyNumberFormat="1" applyFont="1" applyFill="1" applyBorder="1" applyAlignment="1" applyProtection="1"/>
    <xf numFmtId="167" fontId="5" fillId="22" borderId="0" xfId="57" applyNumberFormat="1" applyFont="1" applyFill="1" applyBorder="1"/>
    <xf numFmtId="167" fontId="23" fillId="22" borderId="52" xfId="57" applyNumberFormat="1" applyFont="1" applyFill="1" applyBorder="1" applyAlignment="1" applyProtection="1"/>
    <xf numFmtId="167" fontId="5" fillId="22" borderId="51" xfId="57" applyNumberFormat="1" applyFont="1" applyFill="1" applyBorder="1" applyAlignment="1" applyProtection="1"/>
    <xf numFmtId="167" fontId="5" fillId="22" borderId="52" xfId="57" applyNumberFormat="1" applyFont="1" applyFill="1" applyBorder="1" applyAlignment="1" applyProtection="1"/>
    <xf numFmtId="167" fontId="5" fillId="22" borderId="51" xfId="57" applyNumberFormat="1" applyFont="1" applyFill="1" applyBorder="1" applyAlignment="1">
      <alignment horizontal="right"/>
    </xf>
    <xf numFmtId="167" fontId="5" fillId="22" borderId="0" xfId="57" applyNumberFormat="1" applyFont="1" applyFill="1" applyBorder="1" applyAlignment="1">
      <alignment horizontal="right"/>
    </xf>
    <xf numFmtId="167" fontId="5" fillId="22" borderId="15" xfId="57" applyNumberFormat="1" applyFont="1" applyFill="1" applyBorder="1" applyAlignment="1">
      <alignment horizontal="right"/>
    </xf>
    <xf numFmtId="164" fontId="5" fillId="22" borderId="0" xfId="57" applyNumberFormat="1" applyFont="1" applyFill="1" applyBorder="1" applyAlignment="1" applyProtection="1">
      <protection locked="0"/>
    </xf>
    <xf numFmtId="164" fontId="23" fillId="22" borderId="15" xfId="57" applyNumberFormat="1" applyFont="1" applyFill="1" applyBorder="1" applyAlignment="1" applyProtection="1">
      <protection locked="0"/>
    </xf>
    <xf numFmtId="164" fontId="5" fillId="22" borderId="0" xfId="57" applyNumberFormat="1" applyFont="1" applyFill="1" applyBorder="1" applyAlignment="1" applyProtection="1"/>
    <xf numFmtId="164" fontId="5" fillId="22" borderId="15" xfId="57" applyNumberFormat="1" applyFont="1" applyFill="1" applyBorder="1" applyAlignment="1" applyProtection="1">
      <protection locked="0"/>
    </xf>
    <xf numFmtId="164" fontId="5" fillId="0" borderId="0" xfId="57" applyNumberFormat="1" applyFont="1" applyFill="1" applyBorder="1" applyAlignment="1" applyProtection="1"/>
    <xf numFmtId="164" fontId="5" fillId="0" borderId="28" xfId="57" applyNumberFormat="1" applyFont="1" applyFill="1" applyBorder="1" applyAlignment="1" applyProtection="1"/>
    <xf numFmtId="164" fontId="5" fillId="0" borderId="15" xfId="57" applyNumberFormat="1" applyFont="1" applyFill="1" applyBorder="1" applyAlignment="1" applyProtection="1">
      <protection locked="0"/>
    </xf>
    <xf numFmtId="164" fontId="5" fillId="0" borderId="22" xfId="57" applyNumberFormat="1" applyFont="1" applyFill="1" applyBorder="1" applyAlignment="1" applyProtection="1"/>
    <xf numFmtId="167" fontId="5" fillId="0" borderId="0" xfId="59" applyNumberFormat="1" applyFont="1" applyFill="1" applyBorder="1" applyAlignment="1" applyProtection="1"/>
    <xf numFmtId="167" fontId="5" fillId="0" borderId="15" xfId="57" applyNumberFormat="1" applyFont="1" applyFill="1" applyBorder="1" applyAlignment="1" applyProtection="1">
      <alignment horizontal="right"/>
    </xf>
    <xf numFmtId="167" fontId="4" fillId="23" borderId="0" xfId="57" applyNumberFormat="1" applyFont="1" applyFill="1" applyBorder="1"/>
    <xf numFmtId="167" fontId="5" fillId="23" borderId="0" xfId="57" applyNumberFormat="1" applyFont="1" applyFill="1" applyBorder="1"/>
    <xf numFmtId="168" fontId="22" fillId="22" borderId="51" xfId="57" applyNumberFormat="1" applyFont="1" applyFill="1" applyBorder="1" applyAlignment="1" applyProtection="1"/>
    <xf numFmtId="168" fontId="22" fillId="22" borderId="52" xfId="57" applyNumberFormat="1" applyFont="1" applyFill="1" applyBorder="1" applyAlignment="1" applyProtection="1"/>
    <xf numFmtId="168" fontId="6" fillId="22" borderId="51" xfId="57" applyNumberFormat="1" applyFont="1" applyFill="1" applyBorder="1" applyAlignment="1" applyProtection="1"/>
    <xf numFmtId="168" fontId="6" fillId="22" borderId="52" xfId="57" applyNumberFormat="1" applyFont="1" applyFill="1" applyBorder="1" applyAlignment="1" applyProtection="1"/>
    <xf numFmtId="168" fontId="6" fillId="0" borderId="51" xfId="57" applyNumberFormat="1" applyFont="1" applyFill="1" applyBorder="1" applyAlignment="1">
      <alignment horizontal="right"/>
    </xf>
    <xf numFmtId="168" fontId="6" fillId="0" borderId="15" xfId="57" applyNumberFormat="1" applyFont="1" applyFill="1" applyBorder="1" applyAlignment="1">
      <alignment horizontal="right"/>
    </xf>
    <xf numFmtId="168" fontId="6" fillId="0" borderId="0" xfId="59" applyNumberFormat="1" applyFont="1" applyFill="1" applyBorder="1" applyAlignment="1" applyProtection="1"/>
    <xf numFmtId="3" fontId="5" fillId="0" borderId="15" xfId="57" applyNumberFormat="1" applyFont="1" applyFill="1" applyBorder="1" applyAlignment="1" applyProtection="1">
      <alignment horizontal="right"/>
    </xf>
    <xf numFmtId="168" fontId="4" fillId="23" borderId="0" xfId="57" applyNumberFormat="1" applyFont="1" applyFill="1" applyBorder="1"/>
    <xf numFmtId="168" fontId="6" fillId="23" borderId="0" xfId="57" applyNumberFormat="1" applyFont="1" applyFill="1" applyBorder="1"/>
    <xf numFmtId="168" fontId="6" fillId="22" borderId="0" xfId="59" applyNumberFormat="1" applyFont="1" applyFill="1" applyBorder="1" applyAlignment="1" applyProtection="1"/>
    <xf numFmtId="168" fontId="6" fillId="22" borderId="0" xfId="57" applyNumberFormat="1" applyFont="1" applyFill="1" applyBorder="1"/>
    <xf numFmtId="5" fontId="5" fillId="0" borderId="0" xfId="57" applyNumberFormat="1" applyFont="1" applyFill="1" applyBorder="1" applyAlignment="1" applyProtection="1">
      <alignment horizontal="right"/>
    </xf>
    <xf numFmtId="5" fontId="23" fillId="0" borderId="15" xfId="57" applyNumberFormat="1" applyFont="1" applyFill="1" applyBorder="1" applyAlignment="1" applyProtection="1">
      <protection locked="0"/>
    </xf>
    <xf numFmtId="5" fontId="5" fillId="0" borderId="0" xfId="57" applyNumberFormat="1" applyFont="1" applyFill="1" applyBorder="1" applyAlignment="1" applyProtection="1">
      <protection locked="0"/>
    </xf>
    <xf numFmtId="5" fontId="5" fillId="0" borderId="15" xfId="57" applyNumberFormat="1" applyFont="1" applyFill="1" applyBorder="1" applyAlignment="1" applyProtection="1">
      <protection locked="0"/>
    </xf>
    <xf numFmtId="5" fontId="5" fillId="0" borderId="22" xfId="57" applyNumberFormat="1" applyFont="1" applyFill="1" applyBorder="1" applyAlignment="1" applyProtection="1"/>
    <xf numFmtId="5" fontId="5" fillId="0" borderId="0" xfId="57" applyNumberFormat="1" applyFont="1" applyFill="1" applyBorder="1" applyAlignment="1" applyProtection="1"/>
    <xf numFmtId="5" fontId="5" fillId="0" borderId="28" xfId="57" applyNumberFormat="1" applyFont="1" applyFill="1" applyBorder="1" applyAlignment="1" applyProtection="1"/>
    <xf numFmtId="5" fontId="5" fillId="22" borderId="0" xfId="57" applyNumberFormat="1" applyFont="1" applyFill="1" applyBorder="1" applyAlignment="1" applyProtection="1"/>
    <xf numFmtId="168" fontId="5" fillId="0" borderId="15" xfId="57" applyNumberFormat="1" applyFont="1" applyFill="1" applyBorder="1" applyAlignment="1" applyProtection="1"/>
    <xf numFmtId="5" fontId="4" fillId="23" borderId="0" xfId="57" applyNumberFormat="1" applyFont="1" applyFill="1" applyBorder="1" applyAlignment="1" applyProtection="1"/>
    <xf numFmtId="5" fontId="5" fillId="23" borderId="0" xfId="57" applyNumberFormat="1" applyFont="1" applyFill="1" applyBorder="1" applyAlignment="1" applyProtection="1"/>
    <xf numFmtId="164" fontId="5" fillId="22" borderId="0" xfId="57" applyNumberFormat="1" applyFont="1" applyFill="1" applyBorder="1"/>
    <xf numFmtId="169" fontId="5" fillId="22" borderId="0" xfId="57" applyNumberFormat="1" applyFont="1" applyFill="1" applyBorder="1"/>
    <xf numFmtId="5" fontId="17" fillId="22" borderId="0" xfId="46" applyNumberFormat="1" applyFont="1" applyFill="1" applyBorder="1" applyAlignment="1" applyProtection="1"/>
    <xf numFmtId="5" fontId="5" fillId="0" borderId="0" xfId="57" applyNumberFormat="1" applyFont="1" applyFill="1" applyBorder="1"/>
    <xf numFmtId="0" fontId="5" fillId="22" borderId="0" xfId="57" applyNumberFormat="1" applyFont="1" applyFill="1" applyBorder="1" applyAlignment="1" applyProtection="1">
      <alignment horizontal="right"/>
    </xf>
    <xf numFmtId="168" fontId="22" fillId="22" borderId="15" xfId="57" applyNumberFormat="1" applyFont="1" applyFill="1" applyBorder="1" applyAlignment="1" applyProtection="1">
      <protection locked="0"/>
    </xf>
    <xf numFmtId="168" fontId="6" fillId="22" borderId="0" xfId="57" applyNumberFormat="1" applyFont="1" applyFill="1" applyBorder="1" applyAlignment="1" applyProtection="1">
      <protection locked="0"/>
    </xf>
    <xf numFmtId="168" fontId="6" fillId="22" borderId="15" xfId="57" applyNumberFormat="1" applyFont="1" applyFill="1" applyBorder="1" applyAlignment="1" applyProtection="1">
      <protection locked="0"/>
    </xf>
    <xf numFmtId="1" fontId="23" fillId="22" borderId="0" xfId="57" applyNumberFormat="1" applyFont="1" applyFill="1" applyBorder="1" applyAlignment="1" applyProtection="1">
      <alignment horizontal="left"/>
    </xf>
    <xf numFmtId="1" fontId="23" fillId="22" borderId="51" xfId="57" applyNumberFormat="1" applyFont="1" applyFill="1" applyBorder="1" applyAlignment="1" applyProtection="1"/>
    <xf numFmtId="1" fontId="23" fillId="22" borderId="0" xfId="57" applyNumberFormat="1" applyFont="1" applyFill="1" applyBorder="1" applyAlignment="1" applyProtection="1"/>
    <xf numFmtId="1" fontId="23" fillId="22" borderId="52" xfId="57" applyNumberFormat="1" applyFont="1" applyFill="1" applyBorder="1" applyAlignment="1" applyProtection="1"/>
    <xf numFmtId="1" fontId="5" fillId="22" borderId="51" xfId="57" applyNumberFormat="1" applyFont="1" applyFill="1" applyBorder="1" applyAlignment="1" applyProtection="1"/>
    <xf numFmtId="1" fontId="5" fillId="22" borderId="0" xfId="57" applyNumberFormat="1" applyFont="1" applyFill="1" applyBorder="1" applyAlignment="1" applyProtection="1"/>
    <xf numFmtId="1" fontId="5" fillId="22" borderId="52" xfId="57" applyNumberFormat="1" applyFont="1" applyFill="1" applyBorder="1" applyAlignment="1" applyProtection="1"/>
    <xf numFmtId="1" fontId="5" fillId="22" borderId="51" xfId="57" applyNumberFormat="1" applyFont="1" applyFill="1" applyBorder="1" applyAlignment="1">
      <alignment horizontal="right"/>
    </xf>
    <xf numFmtId="1" fontId="5" fillId="22" borderId="0" xfId="57" applyNumberFormat="1" applyFont="1" applyFill="1" applyBorder="1" applyAlignment="1">
      <alignment horizontal="right"/>
    </xf>
    <xf numFmtId="1" fontId="5" fillId="22" borderId="15" xfId="57" applyNumberFormat="1" applyFont="1" applyFill="1" applyBorder="1" applyAlignment="1">
      <alignment horizontal="right"/>
    </xf>
    <xf numFmtId="1" fontId="5" fillId="22" borderId="0" xfId="57" applyNumberFormat="1" applyFont="1" applyFill="1" applyBorder="1" applyAlignment="1" applyProtection="1">
      <protection locked="0"/>
    </xf>
    <xf numFmtId="1" fontId="23" fillId="22" borderId="15" xfId="57" applyNumberFormat="1" applyFont="1" applyFill="1" applyBorder="1" applyAlignment="1" applyProtection="1">
      <protection locked="0"/>
    </xf>
    <xf numFmtId="1" fontId="5" fillId="22" borderId="15" xfId="57" applyNumberFormat="1" applyFont="1" applyFill="1" applyBorder="1" applyAlignment="1" applyProtection="1">
      <protection locked="0"/>
    </xf>
    <xf numFmtId="1" fontId="5" fillId="0" borderId="22" xfId="57" applyNumberFormat="1" applyFont="1" applyFill="1" applyBorder="1" applyAlignment="1" applyProtection="1"/>
    <xf numFmtId="1" fontId="5" fillId="0" borderId="0" xfId="57" applyNumberFormat="1" applyFont="1" applyFill="1" applyBorder="1" applyAlignment="1" applyProtection="1"/>
    <xf numFmtId="1" fontId="5" fillId="0" borderId="28" xfId="57" applyNumberFormat="1" applyFont="1" applyFill="1" applyBorder="1" applyAlignment="1" applyProtection="1"/>
    <xf numFmtId="1" fontId="5" fillId="0" borderId="15" xfId="57" applyNumberFormat="1" applyFont="1" applyFill="1" applyBorder="1" applyAlignment="1" applyProtection="1">
      <protection locked="0"/>
    </xf>
    <xf numFmtId="1" fontId="5" fillId="0" borderId="0" xfId="59" applyNumberFormat="1" applyFont="1" applyFill="1" applyBorder="1" applyAlignment="1" applyProtection="1"/>
    <xf numFmtId="1" fontId="5" fillId="0" borderId="15" xfId="57" applyNumberFormat="1" applyFont="1" applyFill="1" applyBorder="1" applyAlignment="1" applyProtection="1">
      <alignment horizontal="right"/>
    </xf>
    <xf numFmtId="1" fontId="4" fillId="23" borderId="0" xfId="57" applyNumberFormat="1" applyFont="1" applyFill="1" applyBorder="1"/>
    <xf numFmtId="1" fontId="5" fillId="23" borderId="0" xfId="57" applyNumberFormat="1" applyFont="1" applyFill="1" applyBorder="1"/>
    <xf numFmtId="1" fontId="5" fillId="22" borderId="0" xfId="57" applyNumberFormat="1" applyFont="1" applyFill="1" applyBorder="1"/>
    <xf numFmtId="166" fontId="23" fillId="22" borderId="0" xfId="57" applyNumberFormat="1" applyFont="1" applyFill="1" applyBorder="1" applyAlignment="1" applyProtection="1">
      <alignment horizontal="left"/>
    </xf>
    <xf numFmtId="166" fontId="23" fillId="22" borderId="51" xfId="57" applyNumberFormat="1" applyFont="1" applyFill="1" applyBorder="1" applyAlignment="1" applyProtection="1"/>
    <xf numFmtId="166" fontId="23" fillId="22" borderId="0" xfId="57" applyNumberFormat="1" applyFont="1" applyFill="1" applyBorder="1" applyAlignment="1" applyProtection="1"/>
    <xf numFmtId="166" fontId="23" fillId="22" borderId="52" xfId="57" applyNumberFormat="1" applyFont="1" applyFill="1" applyBorder="1" applyAlignment="1" applyProtection="1"/>
    <xf numFmtId="166" fontId="5" fillId="22" borderId="51" xfId="57" applyNumberFormat="1" applyFont="1" applyFill="1" applyBorder="1" applyAlignment="1" applyProtection="1"/>
    <xf numFmtId="166" fontId="5" fillId="22" borderId="0" xfId="57" applyNumberFormat="1" applyFont="1" applyFill="1" applyBorder="1" applyAlignment="1" applyProtection="1"/>
    <xf numFmtId="166" fontId="5" fillId="22" borderId="52" xfId="57" applyNumberFormat="1" applyFont="1" applyFill="1" applyBorder="1" applyAlignment="1" applyProtection="1"/>
    <xf numFmtId="166" fontId="5" fillId="22" borderId="51" xfId="57" applyNumberFormat="1" applyFont="1" applyFill="1" applyBorder="1" applyAlignment="1">
      <alignment horizontal="right"/>
    </xf>
    <xf numFmtId="166" fontId="5" fillId="22" borderId="0" xfId="57" applyNumberFormat="1" applyFont="1" applyFill="1" applyBorder="1" applyAlignment="1">
      <alignment horizontal="right"/>
    </xf>
    <xf numFmtId="166" fontId="5" fillId="22" borderId="15" xfId="57" applyNumberFormat="1" applyFont="1" applyFill="1" applyBorder="1" applyAlignment="1">
      <alignment horizontal="right"/>
    </xf>
    <xf numFmtId="166" fontId="5" fillId="22" borderId="0" xfId="57" applyNumberFormat="1" applyFont="1" applyFill="1" applyBorder="1" applyAlignment="1" applyProtection="1">
      <protection locked="0"/>
    </xf>
    <xf numFmtId="166" fontId="23" fillId="22" borderId="15" xfId="57" applyNumberFormat="1" applyFont="1" applyFill="1" applyBorder="1" applyAlignment="1" applyProtection="1">
      <protection locked="0"/>
    </xf>
    <xf numFmtId="166" fontId="5" fillId="0" borderId="22" xfId="57" applyNumberFormat="1" applyFont="1" applyFill="1" applyBorder="1" applyAlignment="1" applyProtection="1"/>
    <xf numFmtId="166" fontId="5" fillId="0" borderId="0" xfId="57" applyNumberFormat="1" applyFont="1" applyFill="1" applyBorder="1" applyAlignment="1" applyProtection="1"/>
    <xf numFmtId="166" fontId="5" fillId="0" borderId="28" xfId="57" applyNumberFormat="1" applyFont="1" applyFill="1" applyBorder="1" applyAlignment="1" applyProtection="1"/>
    <xf numFmtId="166" fontId="5" fillId="0" borderId="15" xfId="57" applyNumberFormat="1" applyFont="1" applyFill="1" applyBorder="1" applyAlignment="1" applyProtection="1">
      <protection locked="0"/>
    </xf>
    <xf numFmtId="166" fontId="5" fillId="0" borderId="0" xfId="59" applyNumberFormat="1" applyFont="1" applyFill="1" applyBorder="1" applyAlignment="1" applyProtection="1"/>
    <xf numFmtId="166" fontId="5" fillId="0" borderId="15" xfId="57" applyNumberFormat="1" applyFont="1" applyFill="1" applyBorder="1" applyAlignment="1" applyProtection="1">
      <alignment horizontal="right"/>
    </xf>
    <xf numFmtId="166" fontId="4" fillId="23" borderId="0" xfId="57" applyNumberFormat="1" applyFont="1" applyFill="1" applyBorder="1"/>
    <xf numFmtId="166" fontId="5" fillId="23" borderId="0" xfId="57" applyNumberFormat="1" applyFont="1" applyFill="1" applyBorder="1"/>
    <xf numFmtId="166" fontId="5" fillId="22" borderId="0" xfId="57" applyNumberFormat="1" applyFont="1" applyFill="1" applyBorder="1"/>
    <xf numFmtId="0" fontId="5" fillId="23" borderId="22" xfId="57" applyNumberFormat="1" applyFont="1" applyFill="1" applyBorder="1" applyAlignment="1" applyProtection="1"/>
    <xf numFmtId="0" fontId="5" fillId="23" borderId="28" xfId="57" applyNumberFormat="1" applyFont="1" applyFill="1" applyBorder="1" applyAlignment="1" applyProtection="1"/>
    <xf numFmtId="1" fontId="5" fillId="22" borderId="15" xfId="57" applyNumberFormat="1" applyFont="1" applyFill="1" applyBorder="1" applyAlignment="1" applyProtection="1"/>
    <xf numFmtId="1" fontId="5" fillId="22" borderId="0" xfId="57" applyNumberFormat="1" applyFont="1" applyFill="1" applyBorder="1" applyAlignment="1" applyProtection="1">
      <alignment horizontal="right"/>
    </xf>
    <xf numFmtId="3" fontId="5" fillId="22" borderId="0" xfId="57" applyNumberFormat="1" applyFont="1" applyFill="1" applyBorder="1" applyAlignment="1" applyProtection="1">
      <alignment horizontal="right"/>
    </xf>
    <xf numFmtId="3" fontId="5" fillId="22" borderId="15" xfId="57" applyNumberFormat="1" applyFont="1" applyFill="1" applyBorder="1" applyAlignment="1" applyProtection="1">
      <alignment horizontal="right"/>
    </xf>
    <xf numFmtId="1" fontId="5" fillId="0" borderId="0" xfId="57" applyNumberFormat="1" applyFont="1" applyFill="1" applyBorder="1" applyAlignment="1" applyProtection="1">
      <alignment horizontal="right"/>
    </xf>
    <xf numFmtId="172" fontId="5" fillId="22" borderId="0" xfId="57" applyNumberFormat="1" applyFont="1" applyFill="1" applyBorder="1" applyAlignment="1" applyProtection="1">
      <alignment horizontal="right"/>
    </xf>
    <xf numFmtId="172" fontId="5" fillId="22" borderId="28" xfId="57" applyNumberFormat="1" applyFont="1" applyFill="1" applyBorder="1" applyAlignment="1" applyProtection="1">
      <alignment horizontal="right"/>
    </xf>
    <xf numFmtId="172" fontId="5" fillId="22" borderId="22" xfId="57" applyNumberFormat="1" applyFont="1" applyFill="1" applyBorder="1" applyAlignment="1" applyProtection="1">
      <alignment horizontal="right"/>
    </xf>
    <xf numFmtId="168" fontId="5" fillId="22" borderId="0" xfId="57" applyNumberFormat="1" applyFont="1" applyFill="1" applyBorder="1" applyAlignment="1" applyProtection="1"/>
    <xf numFmtId="168" fontId="5" fillId="23" borderId="0" xfId="57" applyNumberFormat="1" applyFont="1" applyFill="1" applyBorder="1" applyAlignment="1" applyProtection="1"/>
    <xf numFmtId="0" fontId="5" fillId="22" borderId="0" xfId="57" applyNumberFormat="1" applyFont="1" applyFill="1" applyBorder="1" applyAlignment="1" applyProtection="1">
      <alignment horizontal="left"/>
    </xf>
    <xf numFmtId="169" fontId="5" fillId="22" borderId="0" xfId="57" applyNumberFormat="1" applyFont="1" applyFill="1" applyBorder="1" applyAlignment="1" applyProtection="1"/>
    <xf numFmtId="0" fontId="5" fillId="22" borderId="0" xfId="57" applyNumberFormat="1" applyFont="1" applyFill="1" applyBorder="1" applyAlignment="1" applyProtection="1"/>
    <xf numFmtId="0" fontId="17" fillId="22" borderId="0" xfId="46" applyFont="1" applyFill="1" applyBorder="1" applyAlignment="1" applyProtection="1"/>
    <xf numFmtId="0" fontId="5" fillId="22" borderId="0" xfId="57" applyFont="1" applyFill="1" applyBorder="1" applyAlignment="1">
      <alignment horizontal="right"/>
    </xf>
    <xf numFmtId="168" fontId="6" fillId="22" borderId="0" xfId="57" applyNumberFormat="1" applyFont="1" applyFill="1" applyBorder="1" applyAlignment="1" applyProtection="1">
      <alignment horizontal="right"/>
    </xf>
    <xf numFmtId="169" fontId="6" fillId="22" borderId="15" xfId="57" applyNumberFormat="1" applyFont="1" applyFill="1" applyBorder="1" applyAlignment="1" applyProtection="1"/>
    <xf numFmtId="168" fontId="6" fillId="22" borderId="15" xfId="59" applyNumberFormat="1" applyFont="1" applyFill="1" applyBorder="1" applyAlignment="1" applyProtection="1"/>
    <xf numFmtId="172" fontId="6" fillId="22" borderId="0" xfId="57" applyNumberFormat="1" applyFont="1" applyFill="1" applyBorder="1" applyAlignment="1" applyProtection="1">
      <alignment horizontal="right"/>
    </xf>
    <xf numFmtId="172" fontId="6" fillId="22" borderId="28" xfId="57" applyNumberFormat="1" applyFont="1" applyFill="1" applyBorder="1" applyAlignment="1" applyProtection="1">
      <alignment horizontal="right"/>
    </xf>
    <xf numFmtId="172" fontId="6" fillId="22" borderId="22" xfId="57" applyNumberFormat="1" applyFont="1" applyFill="1" applyBorder="1" applyAlignment="1" applyProtection="1">
      <alignment horizontal="right"/>
    </xf>
    <xf numFmtId="0" fontId="6" fillId="22" borderId="0" xfId="57" applyFont="1" applyFill="1" applyBorder="1" applyAlignment="1">
      <alignment horizontal="right"/>
    </xf>
    <xf numFmtId="169" fontId="5" fillId="22" borderId="51" xfId="57" applyNumberFormat="1" applyFont="1" applyFill="1" applyBorder="1" applyAlignment="1" applyProtection="1"/>
    <xf numFmtId="169" fontId="23" fillId="22" borderId="0" xfId="57" applyNumberFormat="1" applyFont="1" applyFill="1" applyBorder="1" applyAlignment="1" applyProtection="1"/>
    <xf numFmtId="169" fontId="5" fillId="22" borderId="15" xfId="57" applyNumberFormat="1" applyFont="1" applyFill="1" applyBorder="1" applyAlignment="1" applyProtection="1"/>
    <xf numFmtId="167" fontId="5" fillId="22" borderId="0" xfId="57" applyNumberFormat="1" applyFont="1" applyFill="1" applyBorder="1" applyAlignment="1" applyProtection="1">
      <alignment horizontal="right"/>
    </xf>
    <xf numFmtId="167" fontId="23" fillId="22" borderId="0" xfId="57" applyNumberFormat="1" applyFont="1" applyFill="1" applyBorder="1" applyAlignment="1" applyProtection="1">
      <alignment horizontal="right"/>
    </xf>
    <xf numFmtId="167" fontId="5" fillId="22" borderId="15" xfId="57" applyNumberFormat="1" applyFont="1" applyFill="1" applyBorder="1" applyAlignment="1" applyProtection="1">
      <alignment horizontal="right"/>
    </xf>
    <xf numFmtId="167" fontId="5" fillId="0" borderId="0" xfId="57" applyNumberFormat="1" applyFont="1" applyFill="1" applyBorder="1" applyAlignment="1" applyProtection="1">
      <alignment horizontal="right"/>
    </xf>
    <xf numFmtId="4" fontId="5" fillId="22" borderId="0" xfId="57" applyNumberFormat="1" applyFont="1" applyFill="1" applyBorder="1" applyAlignment="1" applyProtection="1"/>
    <xf numFmtId="4" fontId="5" fillId="22" borderId="51" xfId="57" applyNumberFormat="1" applyFont="1" applyFill="1" applyBorder="1" applyAlignment="1" applyProtection="1"/>
    <xf numFmtId="4" fontId="23" fillId="22" borderId="0" xfId="57" applyNumberFormat="1" applyFont="1" applyFill="1" applyBorder="1" applyAlignment="1" applyProtection="1"/>
    <xf numFmtId="4" fontId="5" fillId="22" borderId="15" xfId="57" applyNumberFormat="1" applyFont="1" applyFill="1" applyBorder="1" applyAlignment="1" applyProtection="1"/>
    <xf numFmtId="4" fontId="5" fillId="22" borderId="0" xfId="57" applyNumberFormat="1" applyFont="1" applyFill="1" applyBorder="1" applyAlignment="1" applyProtection="1">
      <alignment horizontal="right"/>
    </xf>
    <xf numFmtId="4" fontId="5" fillId="22" borderId="15" xfId="57" applyNumberFormat="1" applyFont="1" applyFill="1" applyBorder="1" applyAlignment="1" applyProtection="1">
      <alignment horizontal="right"/>
    </xf>
    <xf numFmtId="4" fontId="5" fillId="0" borderId="0" xfId="57" applyNumberFormat="1" applyFont="1" applyFill="1" applyBorder="1" applyAlignment="1" applyProtection="1">
      <alignment horizontal="right"/>
    </xf>
    <xf numFmtId="4" fontId="6" fillId="22" borderId="0" xfId="57" applyNumberFormat="1" applyFont="1" applyFill="1" applyBorder="1" applyAlignment="1" applyProtection="1">
      <alignment horizontal="right"/>
    </xf>
    <xf numFmtId="4" fontId="6" fillId="22" borderId="28" xfId="57" applyNumberFormat="1" applyFont="1" applyFill="1" applyBorder="1" applyAlignment="1" applyProtection="1">
      <alignment horizontal="right"/>
    </xf>
    <xf numFmtId="4" fontId="6" fillId="22" borderId="15" xfId="57" applyNumberFormat="1" applyFont="1" applyFill="1" applyBorder="1" applyAlignment="1" applyProtection="1">
      <alignment horizontal="right"/>
    </xf>
    <xf numFmtId="4" fontId="6" fillId="22" borderId="22" xfId="57" applyNumberFormat="1" applyFont="1" applyFill="1" applyBorder="1" applyAlignment="1" applyProtection="1">
      <alignment horizontal="right"/>
    </xf>
    <xf numFmtId="4" fontId="6" fillId="22" borderId="0" xfId="57" applyNumberFormat="1" applyFont="1" applyFill="1" applyBorder="1" applyAlignment="1" applyProtection="1"/>
    <xf numFmtId="4" fontId="6" fillId="0" borderId="15" xfId="57" applyNumberFormat="1" applyFont="1" applyFill="1" applyBorder="1" applyAlignment="1" applyProtection="1"/>
    <xf numFmtId="4" fontId="4" fillId="23" borderId="0" xfId="57" applyNumberFormat="1" applyFont="1" applyFill="1" applyBorder="1" applyAlignment="1" applyProtection="1"/>
    <xf numFmtId="4" fontId="6" fillId="23" borderId="0" xfId="57" applyNumberFormat="1" applyFont="1" applyFill="1" applyBorder="1" applyAlignment="1" applyProtection="1"/>
    <xf numFmtId="4" fontId="14" fillId="22" borderId="0" xfId="46" applyNumberFormat="1" applyFont="1" applyFill="1" applyBorder="1" applyAlignment="1" applyProtection="1"/>
    <xf numFmtId="4" fontId="6" fillId="22" borderId="0" xfId="57" applyNumberFormat="1" applyFont="1" applyFill="1" applyBorder="1" applyAlignment="1">
      <alignment horizontal="right"/>
    </xf>
    <xf numFmtId="1" fontId="28" fillId="24" borderId="0" xfId="57" applyNumberFormat="1" applyFont="1" applyFill="1" applyBorder="1" applyAlignment="1" applyProtection="1">
      <alignment horizontal="left"/>
    </xf>
    <xf numFmtId="0" fontId="19" fillId="24" borderId="51" xfId="57" applyNumberFormat="1" applyFont="1" applyFill="1" applyBorder="1" applyAlignment="1" applyProtection="1"/>
    <xf numFmtId="0" fontId="19" fillId="24" borderId="0" xfId="57" applyNumberFormat="1" applyFont="1" applyFill="1" applyBorder="1" applyAlignment="1" applyProtection="1"/>
    <xf numFmtId="0" fontId="19" fillId="24" borderId="15" xfId="57" applyNumberFormat="1" applyFont="1" applyFill="1" applyBorder="1" applyAlignment="1" applyProtection="1"/>
    <xf numFmtId="0" fontId="19" fillId="24" borderId="22" xfId="57" applyNumberFormat="1" applyFont="1" applyFill="1" applyBorder="1" applyAlignment="1" applyProtection="1"/>
    <xf numFmtId="0" fontId="19" fillId="24" borderId="28" xfId="57" applyNumberFormat="1" applyFont="1" applyFill="1" applyBorder="1" applyAlignment="1" applyProtection="1"/>
    <xf numFmtId="0" fontId="6" fillId="24" borderId="0" xfId="57" applyNumberFormat="1" applyFont="1" applyFill="1" applyBorder="1" applyAlignment="1" applyProtection="1"/>
    <xf numFmtId="0" fontId="6" fillId="24" borderId="15" xfId="57" applyNumberFormat="1" applyFont="1" applyFill="1" applyBorder="1" applyAlignment="1" applyProtection="1"/>
    <xf numFmtId="0" fontId="4" fillId="24" borderId="0" xfId="57" applyNumberFormat="1" applyFont="1" applyFill="1" applyBorder="1" applyAlignment="1" applyProtection="1"/>
    <xf numFmtId="0" fontId="14" fillId="24" borderId="0" xfId="57" applyNumberFormat="1" applyFont="1" applyFill="1" applyBorder="1" applyAlignment="1" applyProtection="1"/>
    <xf numFmtId="0" fontId="6" fillId="24" borderId="0" xfId="57" applyFont="1" applyFill="1" applyBorder="1"/>
    <xf numFmtId="0" fontId="19" fillId="25" borderId="51" xfId="57" applyNumberFormat="1" applyFont="1" applyFill="1" applyBorder="1" applyAlignment="1" applyProtection="1"/>
    <xf numFmtId="0" fontId="19" fillId="25" borderId="0" xfId="57" applyNumberFormat="1" applyFont="1" applyFill="1" applyBorder="1" applyAlignment="1" applyProtection="1"/>
    <xf numFmtId="0" fontId="19" fillId="25" borderId="15" xfId="57" applyNumberFormat="1" applyFont="1" applyFill="1" applyBorder="1" applyAlignment="1" applyProtection="1"/>
    <xf numFmtId="210" fontId="19" fillId="25" borderId="0" xfId="57" applyNumberFormat="1" applyFont="1" applyFill="1" applyBorder="1" applyAlignment="1" applyProtection="1"/>
    <xf numFmtId="0" fontId="19" fillId="25" borderId="22" xfId="57" applyNumberFormat="1" applyFont="1" applyFill="1" applyBorder="1" applyAlignment="1" applyProtection="1"/>
    <xf numFmtId="164" fontId="19" fillId="25" borderId="15" xfId="57" applyNumberFormat="1" applyFont="1" applyFill="1" applyBorder="1" applyAlignment="1" applyProtection="1"/>
    <xf numFmtId="199" fontId="26" fillId="25" borderId="0" xfId="57" applyNumberFormat="1" applyFont="1" applyFill="1" applyBorder="1" applyAlignment="1" applyProtection="1"/>
    <xf numFmtId="0" fontId="19" fillId="25" borderId="28" xfId="57" applyNumberFormat="1" applyFont="1" applyFill="1" applyBorder="1" applyAlignment="1" applyProtection="1"/>
    <xf numFmtId="0" fontId="19" fillId="23" borderId="0" xfId="57" applyNumberFormat="1" applyFont="1" applyFill="1" applyBorder="1" applyAlignment="1" applyProtection="1"/>
    <xf numFmtId="169" fontId="6" fillId="22" borderId="0" xfId="57" applyNumberFormat="1" applyFont="1" applyFill="1" applyBorder="1" applyAlignment="1" applyProtection="1">
      <alignment horizontal="right"/>
    </xf>
    <xf numFmtId="0" fontId="6" fillId="22" borderId="0" xfId="57" applyNumberFormat="1" applyFont="1" applyFill="1" applyBorder="1" applyAlignment="1" applyProtection="1">
      <alignment horizontal="right"/>
    </xf>
    <xf numFmtId="164" fontId="5" fillId="23" borderId="0" xfId="57" applyNumberFormat="1" applyFont="1" applyFill="1" applyBorder="1" applyAlignment="1" applyProtection="1">
      <alignment horizontal="left"/>
    </xf>
    <xf numFmtId="164" fontId="5" fillId="23" borderId="51" xfId="57" applyNumberFormat="1" applyFont="1" applyFill="1" applyBorder="1" applyAlignment="1" applyProtection="1"/>
    <xf numFmtId="164" fontId="23" fillId="23" borderId="0" xfId="57" applyNumberFormat="1" applyFont="1" applyFill="1" applyBorder="1" applyAlignment="1" applyProtection="1"/>
    <xf numFmtId="164" fontId="5" fillId="23" borderId="0" xfId="57" applyNumberFormat="1" applyFont="1" applyFill="1" applyBorder="1" applyAlignment="1" applyProtection="1">
      <alignment horizontal="right"/>
    </xf>
    <xf numFmtId="164" fontId="5" fillId="23" borderId="22" xfId="57" applyNumberFormat="1" applyFont="1" applyFill="1" applyBorder="1" applyAlignment="1" applyProtection="1">
      <alignment horizontal="right"/>
    </xf>
    <xf numFmtId="164" fontId="5" fillId="23" borderId="28" xfId="57" applyNumberFormat="1" applyFont="1" applyFill="1" applyBorder="1" applyAlignment="1" applyProtection="1">
      <alignment horizontal="right"/>
    </xf>
    <xf numFmtId="164" fontId="6" fillId="22" borderId="0" xfId="57" applyNumberFormat="1" applyFont="1" applyFill="1" applyBorder="1" applyAlignment="1" applyProtection="1"/>
    <xf numFmtId="164" fontId="6" fillId="23" borderId="15" xfId="57" applyNumberFormat="1" applyFont="1" applyFill="1" applyBorder="1" applyAlignment="1" applyProtection="1"/>
    <xf numFmtId="164" fontId="4" fillId="23" borderId="0" xfId="57" applyNumberFormat="1" applyFont="1" applyFill="1" applyBorder="1" applyAlignment="1" applyProtection="1"/>
    <xf numFmtId="164" fontId="6" fillId="23" borderId="0" xfId="57" applyNumberFormat="1" applyFont="1" applyFill="1" applyBorder="1" applyAlignment="1" applyProtection="1"/>
    <xf numFmtId="164" fontId="6" fillId="22" borderId="0" xfId="57" applyNumberFormat="1" applyFont="1" applyFill="1" applyBorder="1"/>
    <xf numFmtId="164" fontId="14" fillId="22" borderId="0" xfId="57" applyNumberFormat="1" applyFont="1" applyFill="1" applyBorder="1" applyAlignment="1" applyProtection="1"/>
    <xf numFmtId="164" fontId="5" fillId="0" borderId="0" xfId="57" applyNumberFormat="1" applyFont="1" applyFill="1" applyBorder="1" applyAlignment="1">
      <alignment horizontal="right"/>
    </xf>
    <xf numFmtId="164" fontId="5" fillId="23" borderId="0" xfId="57" applyNumberFormat="1" applyFont="1" applyFill="1" applyBorder="1" applyAlignment="1">
      <alignment horizontal="right"/>
    </xf>
    <xf numFmtId="168" fontId="6" fillId="0" borderId="22" xfId="57" applyNumberFormat="1" applyFont="1" applyFill="1" applyBorder="1" applyAlignment="1" applyProtection="1"/>
    <xf numFmtId="168" fontId="6" fillId="0" borderId="28" xfId="57" applyNumberFormat="1" applyFont="1" applyFill="1" applyBorder="1" applyAlignment="1" applyProtection="1"/>
    <xf numFmtId="168" fontId="6" fillId="22" borderId="0" xfId="57" applyNumberFormat="1" applyFont="1" applyFill="1" applyBorder="1" applyAlignment="1" applyProtection="1">
      <alignment horizontal="left"/>
    </xf>
    <xf numFmtId="168" fontId="6" fillId="22" borderId="0" xfId="46" applyNumberFormat="1" applyFont="1" applyFill="1" applyBorder="1" applyAlignment="1" applyProtection="1"/>
    <xf numFmtId="168" fontId="6" fillId="0" borderId="0" xfId="57" applyNumberFormat="1" applyFont="1" applyFill="1" applyBorder="1"/>
    <xf numFmtId="9" fontId="6" fillId="0" borderId="0" xfId="46" applyNumberFormat="1" applyFont="1" applyFill="1" applyBorder="1" applyAlignment="1" applyProtection="1">
      <alignment horizontal="left" indent="2"/>
      <protection locked="0"/>
    </xf>
    <xf numFmtId="1" fontId="22" fillId="0" borderId="51" xfId="57" applyNumberFormat="1" applyFont="1" applyFill="1" applyBorder="1" applyAlignment="1" applyProtection="1"/>
    <xf numFmtId="1" fontId="22" fillId="0" borderId="0" xfId="57" applyNumberFormat="1" applyFont="1" applyFill="1" applyBorder="1" applyAlignment="1" applyProtection="1"/>
    <xf numFmtId="168" fontId="22" fillId="0" borderId="0" xfId="57" applyNumberFormat="1" applyFont="1" applyFill="1" applyBorder="1" applyAlignment="1" applyProtection="1"/>
    <xf numFmtId="168" fontId="5" fillId="0" borderId="36" xfId="57" applyNumberFormat="1" applyFont="1" applyFill="1" applyBorder="1" applyAlignment="1" applyProtection="1"/>
    <xf numFmtId="194" fontId="6" fillId="23" borderId="0" xfId="57" applyNumberFormat="1" applyFont="1" applyFill="1" applyBorder="1" applyAlignment="1" applyProtection="1"/>
    <xf numFmtId="164" fontId="5" fillId="0" borderId="0" xfId="57" applyNumberFormat="1" applyFont="1" applyFill="1" applyBorder="1" applyAlignment="1" applyProtection="1">
      <alignment horizontal="left"/>
    </xf>
    <xf numFmtId="164" fontId="5" fillId="0" borderId="0" xfId="57" applyNumberFormat="1" applyFont="1" applyFill="1" applyBorder="1" applyAlignment="1" applyProtection="1">
      <alignment horizontal="right"/>
    </xf>
    <xf numFmtId="164" fontId="23" fillId="0" borderId="15" xfId="57" applyNumberFormat="1" applyFont="1" applyFill="1" applyBorder="1" applyAlignment="1" applyProtection="1">
      <protection locked="0"/>
    </xf>
    <xf numFmtId="164" fontId="5" fillId="0" borderId="0" xfId="57" applyNumberFormat="1" applyFont="1" applyFill="1" applyBorder="1" applyAlignment="1" applyProtection="1">
      <protection locked="0"/>
    </xf>
    <xf numFmtId="0" fontId="14" fillId="22" borderId="0" xfId="57" applyNumberFormat="1" applyFont="1" applyFill="1" applyBorder="1" applyAlignment="1" applyProtection="1"/>
    <xf numFmtId="164" fontId="5" fillId="22" borderId="0" xfId="57" applyNumberFormat="1" applyFont="1" applyFill="1" applyBorder="1" applyAlignment="1" applyProtection="1">
      <alignment horizontal="left"/>
    </xf>
    <xf numFmtId="164" fontId="5" fillId="22" borderId="0" xfId="57" applyNumberFormat="1" applyFont="1" applyFill="1" applyBorder="1" applyAlignment="1" applyProtection="1">
      <alignment horizontal="right"/>
    </xf>
    <xf numFmtId="164" fontId="14" fillId="22" borderId="0" xfId="46" applyNumberFormat="1" applyFont="1" applyFill="1" applyBorder="1" applyAlignment="1" applyProtection="1"/>
    <xf numFmtId="164" fontId="5" fillId="0" borderId="0" xfId="57" applyNumberFormat="1" applyFont="1" applyFill="1" applyBorder="1"/>
    <xf numFmtId="165" fontId="5" fillId="0" borderId="14" xfId="57" applyNumberFormat="1" applyFont="1" applyFill="1" applyBorder="1" applyAlignment="1" applyProtection="1">
      <alignment horizontal="left" indent="1"/>
    </xf>
    <xf numFmtId="165" fontId="23" fillId="0" borderId="54" xfId="57" applyNumberFormat="1" applyFont="1" applyFill="1" applyBorder="1" applyAlignment="1" applyProtection="1"/>
    <xf numFmtId="165" fontId="23" fillId="0" borderId="14" xfId="57" applyNumberFormat="1" applyFont="1" applyFill="1" applyBorder="1" applyAlignment="1" applyProtection="1"/>
    <xf numFmtId="165" fontId="5" fillId="0" borderId="16" xfId="57" applyNumberFormat="1" applyFont="1" applyFill="1" applyBorder="1" applyAlignment="1" applyProtection="1"/>
    <xf numFmtId="165" fontId="5" fillId="0" borderId="14" xfId="57" applyNumberFormat="1" applyFont="1" applyFill="1" applyBorder="1" applyAlignment="1" applyProtection="1"/>
    <xf numFmtId="165" fontId="5" fillId="0" borderId="14" xfId="57" applyNumberFormat="1" applyFont="1" applyFill="1" applyBorder="1" applyAlignment="1">
      <alignment horizontal="right"/>
    </xf>
    <xf numFmtId="165" fontId="6" fillId="22" borderId="0" xfId="57" applyNumberFormat="1" applyFont="1" applyFill="1" applyBorder="1" applyAlignment="1" applyProtection="1"/>
    <xf numFmtId="164" fontId="16" fillId="23" borderId="0" xfId="57" applyNumberFormat="1" applyFont="1" applyFill="1" applyBorder="1"/>
    <xf numFmtId="165" fontId="4" fillId="23" borderId="0" xfId="57" applyNumberFormat="1" applyFont="1" applyFill="1" applyBorder="1" applyAlignment="1" applyProtection="1"/>
    <xf numFmtId="165" fontId="6" fillId="23" borderId="0" xfId="57" applyNumberFormat="1" applyFont="1" applyFill="1" applyBorder="1" applyAlignment="1" applyProtection="1"/>
    <xf numFmtId="165" fontId="6" fillId="22" borderId="0" xfId="57" applyNumberFormat="1" applyFont="1" applyFill="1" applyBorder="1"/>
    <xf numFmtId="165" fontId="14" fillId="22" borderId="0" xfId="46" applyNumberFormat="1" applyFont="1" applyFill="1" applyBorder="1" applyAlignment="1" applyProtection="1"/>
    <xf numFmtId="165" fontId="5" fillId="0" borderId="56" xfId="57" applyNumberFormat="1" applyFont="1" applyFill="1" applyBorder="1"/>
    <xf numFmtId="9" fontId="6" fillId="0" borderId="0" xfId="46" applyNumberFormat="1" applyFont="1" applyFill="1" applyBorder="1" applyAlignment="1" applyProtection="1">
      <alignment horizontal="left" indent="3"/>
      <protection locked="0"/>
    </xf>
    <xf numFmtId="0" fontId="6" fillId="0" borderId="51" xfId="57" applyNumberFormat="1" applyFont="1" applyFill="1" applyBorder="1" applyAlignment="1" applyProtection="1"/>
    <xf numFmtId="0" fontId="6" fillId="0" borderId="0" xfId="57" applyNumberFormat="1" applyFont="1" applyFill="1" applyBorder="1" applyAlignment="1" applyProtection="1"/>
    <xf numFmtId="168" fontId="8" fillId="29" borderId="0" xfId="57" applyNumberFormat="1" applyFont="1" applyFill="1" applyBorder="1" applyAlignment="1" applyProtection="1"/>
    <xf numFmtId="168" fontId="8" fillId="0" borderId="0" xfId="57" applyNumberFormat="1" applyFont="1" applyFill="1" applyBorder="1" applyAlignment="1" applyProtection="1"/>
    <xf numFmtId="165" fontId="10" fillId="0" borderId="0" xfId="57" applyNumberFormat="1" applyFont="1" applyFill="1" applyBorder="1" applyAlignment="1" applyProtection="1">
      <alignment horizontal="left" indent="2"/>
    </xf>
    <xf numFmtId="165" fontId="73" fillId="0" borderId="51" xfId="57" applyNumberFormat="1" applyFont="1" applyFill="1" applyBorder="1" applyAlignment="1" applyProtection="1"/>
    <xf numFmtId="165" fontId="73" fillId="0" borderId="0" xfId="57" applyNumberFormat="1" applyFont="1" applyFill="1" applyBorder="1" applyAlignment="1" applyProtection="1"/>
    <xf numFmtId="165" fontId="10" fillId="0" borderId="15" xfId="57" applyNumberFormat="1" applyFont="1" applyFill="1" applyBorder="1" applyAlignment="1" applyProtection="1"/>
    <xf numFmtId="165" fontId="10" fillId="0" borderId="0" xfId="57" applyNumberFormat="1" applyFont="1" applyFill="1" applyBorder="1" applyAlignment="1" applyProtection="1"/>
    <xf numFmtId="165" fontId="10" fillId="0" borderId="0" xfId="57" applyNumberFormat="1" applyFont="1" applyFill="1" applyBorder="1" applyAlignment="1">
      <alignment horizontal="right"/>
    </xf>
    <xf numFmtId="165" fontId="5" fillId="0" borderId="0" xfId="57" applyNumberFormat="1" applyFont="1" applyFill="1" applyBorder="1"/>
    <xf numFmtId="9" fontId="6" fillId="0" borderId="0" xfId="46" applyNumberFormat="1" applyFont="1" applyFill="1" applyBorder="1" applyAlignment="1" applyProtection="1">
      <alignment horizontal="left" indent="4"/>
      <protection locked="0"/>
    </xf>
    <xf numFmtId="0" fontId="22" fillId="0" borderId="51" xfId="57" applyNumberFormat="1" applyFont="1" applyFill="1" applyBorder="1" applyAlignment="1" applyProtection="1"/>
    <xf numFmtId="0" fontId="22" fillId="0" borderId="0" xfId="57" applyNumberFormat="1" applyFont="1" applyFill="1" applyBorder="1" applyAlignment="1" applyProtection="1"/>
    <xf numFmtId="166" fontId="6" fillId="22" borderId="0" xfId="57" applyNumberFormat="1" applyFont="1" applyFill="1" applyBorder="1" applyAlignment="1" applyProtection="1"/>
    <xf numFmtId="3" fontId="5" fillId="0" borderId="14" xfId="57" applyNumberFormat="1" applyFont="1" applyFill="1" applyBorder="1" applyAlignment="1">
      <alignment horizontal="left" indent="1"/>
    </xf>
    <xf numFmtId="3" fontId="23" fillId="0" borderId="54" xfId="57" applyNumberFormat="1" applyFont="1" applyFill="1" applyBorder="1" applyAlignment="1" applyProtection="1"/>
    <xf numFmtId="3" fontId="23" fillId="0" borderId="14" xfId="57" applyNumberFormat="1" applyFont="1" applyFill="1" applyBorder="1" applyAlignment="1" applyProtection="1"/>
    <xf numFmtId="3" fontId="5" fillId="0" borderId="16" xfId="57" applyNumberFormat="1" applyFont="1" applyFill="1" applyBorder="1" applyAlignment="1" applyProtection="1"/>
    <xf numFmtId="3" fontId="5" fillId="0" borderId="14" xfId="57" applyNumberFormat="1" applyFont="1" applyFill="1" applyBorder="1" applyAlignment="1" applyProtection="1"/>
    <xf numFmtId="3" fontId="4" fillId="23" borderId="0" xfId="57" applyNumberFormat="1" applyFont="1" applyFill="1" applyBorder="1" applyAlignment="1" applyProtection="1"/>
    <xf numFmtId="3" fontId="16" fillId="23" borderId="0" xfId="57" applyNumberFormat="1" applyFont="1" applyFill="1" applyBorder="1" applyAlignment="1" applyProtection="1"/>
    <xf numFmtId="3" fontId="5" fillId="23" borderId="0" xfId="57" applyNumberFormat="1" applyFont="1" applyFill="1" applyBorder="1" applyAlignment="1" applyProtection="1"/>
    <xf numFmtId="3" fontId="6" fillId="22" borderId="0" xfId="57" applyNumberFormat="1" applyFont="1" applyFill="1" applyBorder="1" applyAlignment="1" applyProtection="1"/>
    <xf numFmtId="3" fontId="14" fillId="22" borderId="0" xfId="57" applyNumberFormat="1" applyFont="1" applyFill="1" applyBorder="1" applyAlignment="1" applyProtection="1"/>
    <xf numFmtId="3" fontId="5" fillId="0" borderId="56" xfId="57" applyNumberFormat="1" applyFont="1" applyFill="1" applyBorder="1"/>
    <xf numFmtId="168" fontId="6" fillId="0" borderId="0" xfId="46" applyNumberFormat="1" applyFont="1" applyFill="1" applyBorder="1" applyAlignment="1" applyProtection="1">
      <alignment horizontal="left" indent="3"/>
      <protection locked="0"/>
    </xf>
    <xf numFmtId="168" fontId="6" fillId="0" borderId="57" xfId="57" applyNumberFormat="1" applyFont="1" applyFill="1" applyBorder="1" applyAlignment="1" applyProtection="1"/>
    <xf numFmtId="0" fontId="74" fillId="26" borderId="0" xfId="57" applyFont="1" applyFill="1" applyBorder="1"/>
    <xf numFmtId="0" fontId="6" fillId="22" borderId="0" xfId="57" applyFont="1" applyFill="1" applyBorder="1" applyAlignment="1" applyProtection="1"/>
    <xf numFmtId="172" fontId="5" fillId="0" borderId="0" xfId="60" applyNumberFormat="1" applyFont="1" applyFill="1" applyBorder="1" applyAlignment="1" applyProtection="1">
      <alignment horizontal="left" indent="3"/>
    </xf>
    <xf numFmtId="0" fontId="23" fillId="0" borderId="51" xfId="57" applyNumberFormat="1" applyFont="1" applyFill="1" applyBorder="1" applyAlignment="1" applyProtection="1"/>
    <xf numFmtId="0" fontId="23" fillId="0" borderId="0" xfId="57" applyNumberFormat="1" applyFont="1" applyFill="1" applyBorder="1" applyAlignment="1" applyProtection="1"/>
    <xf numFmtId="3" fontId="5" fillId="0" borderId="15" xfId="57" applyNumberFormat="1" applyFont="1" applyFill="1" applyBorder="1" applyAlignment="1" applyProtection="1"/>
    <xf numFmtId="3" fontId="23" fillId="0" borderId="0" xfId="57" applyNumberFormat="1" applyFont="1" applyFill="1" applyBorder="1" applyAlignment="1" applyProtection="1"/>
    <xf numFmtId="0" fontId="5" fillId="0" borderId="22" xfId="57" applyNumberFormat="1" applyFont="1" applyFill="1" applyBorder="1" applyAlignment="1" applyProtection="1"/>
    <xf numFmtId="0" fontId="5" fillId="0" borderId="0" xfId="57" applyNumberFormat="1" applyFont="1" applyFill="1" applyBorder="1" applyAlignment="1" applyProtection="1"/>
    <xf numFmtId="0" fontId="5" fillId="0" borderId="28" xfId="57" applyNumberFormat="1" applyFont="1" applyFill="1" applyBorder="1" applyAlignment="1" applyProtection="1"/>
    <xf numFmtId="3" fontId="6" fillId="0" borderId="15" xfId="57" applyNumberFormat="1" applyFont="1" applyFill="1" applyBorder="1" applyAlignment="1" applyProtection="1"/>
    <xf numFmtId="168" fontId="6" fillId="0" borderId="0" xfId="46" applyNumberFormat="1" applyFont="1" applyFill="1" applyBorder="1" applyAlignment="1" applyProtection="1">
      <alignment horizontal="left" indent="4"/>
      <protection locked="0"/>
    </xf>
    <xf numFmtId="172" fontId="5" fillId="0" borderId="0" xfId="60" applyNumberFormat="1" applyFont="1" applyFill="1" applyBorder="1" applyAlignment="1" applyProtection="1">
      <alignment horizontal="left" indent="2"/>
    </xf>
    <xf numFmtId="168" fontId="8" fillId="27" borderId="0" xfId="57" applyNumberFormat="1" applyFont="1" applyFill="1" applyBorder="1" applyAlignment="1" applyProtection="1"/>
    <xf numFmtId="168" fontId="22" fillId="0" borderId="51" xfId="57" applyNumberFormat="1" applyFont="1" applyFill="1" applyBorder="1" applyAlignment="1" applyProtection="1"/>
    <xf numFmtId="168" fontId="14" fillId="22" borderId="0" xfId="46" applyNumberFormat="1" applyFont="1" applyFill="1" applyBorder="1" applyAlignment="1" applyProtection="1"/>
    <xf numFmtId="3" fontId="23" fillId="0" borderId="51" xfId="57" applyNumberFormat="1" applyFont="1" applyFill="1" applyBorder="1" applyAlignment="1" applyProtection="1"/>
    <xf numFmtId="3" fontId="6" fillId="23" borderId="0" xfId="57" applyNumberFormat="1" applyFont="1" applyFill="1" applyBorder="1" applyAlignment="1" applyProtection="1"/>
    <xf numFmtId="168" fontId="6" fillId="0" borderId="0" xfId="46" applyNumberFormat="1" applyFont="1" applyFill="1" applyBorder="1" applyAlignment="1" applyProtection="1">
      <alignment horizontal="left" indent="5"/>
      <protection locked="0"/>
    </xf>
    <xf numFmtId="169" fontId="5" fillId="0" borderId="31" xfId="57" applyNumberFormat="1" applyFont="1" applyFill="1" applyBorder="1" applyAlignment="1">
      <alignment horizontal="left" indent="2"/>
    </xf>
    <xf numFmtId="169" fontId="23" fillId="0" borderId="58" xfId="57" applyNumberFormat="1" applyFont="1" applyFill="1" applyBorder="1" applyAlignment="1" applyProtection="1"/>
    <xf numFmtId="169" fontId="23" fillId="0" borderId="31" xfId="57" applyNumberFormat="1" applyFont="1" applyFill="1" applyBorder="1" applyAlignment="1" applyProtection="1"/>
    <xf numFmtId="169" fontId="5" fillId="0" borderId="32" xfId="57" applyNumberFormat="1" applyFont="1" applyFill="1" applyBorder="1" applyAlignment="1" applyProtection="1"/>
    <xf numFmtId="169" fontId="5" fillId="0" borderId="31" xfId="57" applyNumberFormat="1" applyFont="1" applyFill="1" applyBorder="1" applyAlignment="1" applyProtection="1"/>
    <xf numFmtId="169" fontId="69" fillId="0" borderId="59" xfId="57" applyNumberFormat="1" applyFont="1" applyFill="1" applyBorder="1" applyAlignment="1" applyProtection="1"/>
    <xf numFmtId="169" fontId="5" fillId="0" borderId="15" xfId="57" applyNumberFormat="1" applyFont="1" applyFill="1" applyBorder="1" applyAlignment="1" applyProtection="1"/>
    <xf numFmtId="169" fontId="4" fillId="23" borderId="0" xfId="57" applyNumberFormat="1" applyFont="1" applyFill="1" applyBorder="1" applyAlignment="1" applyProtection="1"/>
    <xf numFmtId="169" fontId="5" fillId="23" borderId="0" xfId="57" applyNumberFormat="1" applyFont="1" applyFill="1" applyBorder="1" applyAlignment="1" applyProtection="1"/>
    <xf numFmtId="169" fontId="17" fillId="22" borderId="0" xfId="46" applyNumberFormat="1" applyFont="1" applyFill="1" applyBorder="1" applyAlignment="1" applyProtection="1"/>
    <xf numFmtId="169" fontId="5" fillId="0" borderId="0" xfId="57" applyNumberFormat="1" applyFont="1" applyFill="1" applyBorder="1"/>
    <xf numFmtId="164" fontId="15" fillId="22" borderId="0" xfId="57" applyNumberFormat="1" applyFont="1" applyFill="1" applyBorder="1" applyAlignment="1" applyProtection="1">
      <protection locked="0"/>
    </xf>
    <xf numFmtId="164" fontId="5" fillId="22" borderId="22" xfId="57" applyNumberFormat="1" applyFont="1" applyFill="1" applyBorder="1" applyAlignment="1" applyProtection="1"/>
    <xf numFmtId="164" fontId="5" fillId="22" borderId="28" xfId="57" applyNumberFormat="1" applyFont="1" applyFill="1" applyBorder="1" applyAlignment="1" applyProtection="1"/>
    <xf numFmtId="168" fontId="6" fillId="22" borderId="22" xfId="57" applyNumberFormat="1" applyFont="1" applyFill="1" applyBorder="1" applyAlignment="1" applyProtection="1"/>
    <xf numFmtId="168" fontId="6" fillId="22" borderId="28" xfId="57" applyNumberFormat="1" applyFont="1" applyFill="1" applyBorder="1" applyAlignment="1" applyProtection="1"/>
    <xf numFmtId="5" fontId="5" fillId="22" borderId="14" xfId="57" applyNumberFormat="1" applyFont="1" applyFill="1" applyBorder="1" applyAlignment="1" applyProtection="1">
      <alignment horizontal="left"/>
    </xf>
    <xf numFmtId="5" fontId="5" fillId="22" borderId="14" xfId="57" applyNumberFormat="1" applyFont="1" applyFill="1" applyBorder="1" applyAlignment="1" applyProtection="1">
      <alignment horizontal="right"/>
    </xf>
    <xf numFmtId="5" fontId="5" fillId="22" borderId="16" xfId="57" applyNumberFormat="1" applyFont="1" applyFill="1" applyBorder="1" applyAlignment="1" applyProtection="1"/>
    <xf numFmtId="5" fontId="5" fillId="22" borderId="14" xfId="57" applyNumberFormat="1" applyFont="1" applyFill="1" applyBorder="1" applyAlignment="1" applyProtection="1">
      <protection locked="0"/>
    </xf>
    <xf numFmtId="5" fontId="5" fillId="22" borderId="14" xfId="57" applyNumberFormat="1" applyFont="1" applyFill="1" applyBorder="1" applyAlignment="1" applyProtection="1"/>
    <xf numFmtId="5" fontId="6" fillId="22" borderId="0" xfId="57" applyNumberFormat="1" applyFont="1" applyFill="1" applyBorder="1" applyAlignment="1" applyProtection="1"/>
    <xf numFmtId="5" fontId="14" fillId="22" borderId="0" xfId="57" applyNumberFormat="1" applyFont="1" applyFill="1" applyBorder="1" applyAlignment="1" applyProtection="1"/>
    <xf numFmtId="5" fontId="5" fillId="0" borderId="56" xfId="57" applyNumberFormat="1" applyFont="1" applyFill="1" applyBorder="1"/>
    <xf numFmtId="5" fontId="5" fillId="22" borderId="56" xfId="57" applyNumberFormat="1" applyFont="1" applyFill="1" applyBorder="1"/>
    <xf numFmtId="168" fontId="6" fillId="0" borderId="0" xfId="57" applyNumberFormat="1" applyFont="1" applyFill="1" applyBorder="1" applyAlignment="1" applyProtection="1">
      <alignment horizontal="left" indent="1"/>
    </xf>
    <xf numFmtId="168" fontId="6" fillId="0" borderId="51" xfId="57" applyNumberFormat="1" applyFont="1" applyFill="1" applyBorder="1" applyAlignment="1" applyProtection="1"/>
    <xf numFmtId="211" fontId="6" fillId="23" borderId="0" xfId="57" applyNumberFormat="1" applyFont="1" applyFill="1" applyBorder="1" applyAlignment="1" applyProtection="1"/>
    <xf numFmtId="7" fontId="6" fillId="0" borderId="0" xfId="57" applyNumberFormat="1" applyFont="1" applyFill="1" applyBorder="1" applyAlignment="1" applyProtection="1">
      <alignment horizontal="left" indent="1"/>
      <protection locked="0"/>
    </xf>
    <xf numFmtId="7" fontId="14" fillId="0" borderId="51" xfId="57" applyNumberFormat="1" applyFont="1" applyFill="1" applyBorder="1" applyAlignment="1" applyProtection="1">
      <protection locked="0"/>
    </xf>
    <xf numFmtId="7" fontId="14" fillId="0" borderId="0" xfId="57" applyNumberFormat="1" applyFont="1" applyFill="1" applyBorder="1" applyAlignment="1" applyProtection="1">
      <protection locked="0"/>
    </xf>
    <xf numFmtId="7" fontId="6" fillId="0" borderId="15" xfId="57" applyNumberFormat="1" applyFont="1" applyFill="1" applyBorder="1" applyAlignment="1" applyProtection="1">
      <protection locked="0"/>
    </xf>
    <xf numFmtId="7" fontId="6" fillId="0" borderId="0" xfId="57" applyNumberFormat="1" applyFont="1" applyFill="1" applyBorder="1" applyAlignment="1" applyProtection="1">
      <protection locked="0"/>
    </xf>
    <xf numFmtId="7" fontId="6" fillId="0" borderId="22" xfId="57" applyNumberFormat="1" applyFont="1" applyFill="1" applyBorder="1" applyAlignment="1" applyProtection="1"/>
    <xf numFmtId="7" fontId="6" fillId="0" borderId="0" xfId="57" applyNumberFormat="1" applyFont="1" applyFill="1" applyBorder="1" applyAlignment="1" applyProtection="1"/>
    <xf numFmtId="7" fontId="6" fillId="0" borderId="28" xfId="57" applyNumberFormat="1" applyFont="1" applyFill="1" applyBorder="1" applyAlignment="1" applyProtection="1"/>
    <xf numFmtId="7" fontId="6" fillId="22" borderId="0" xfId="57" applyNumberFormat="1" applyFont="1" applyFill="1" applyBorder="1" applyAlignment="1" applyProtection="1"/>
    <xf numFmtId="7" fontId="4" fillId="23" borderId="0" xfId="57" applyNumberFormat="1" applyFont="1" applyFill="1" applyBorder="1" applyAlignment="1" applyProtection="1"/>
    <xf numFmtId="7" fontId="6" fillId="23" borderId="0" xfId="57" applyNumberFormat="1" applyFont="1" applyFill="1" applyBorder="1" applyAlignment="1" applyProtection="1"/>
    <xf numFmtId="7" fontId="14" fillId="22" borderId="0" xfId="46" applyNumberFormat="1" applyFont="1" applyFill="1" applyBorder="1" applyAlignment="1" applyProtection="1"/>
    <xf numFmtId="7" fontId="6" fillId="0" borderId="0" xfId="57" applyNumberFormat="1" applyFont="1" applyFill="1" applyBorder="1"/>
    <xf numFmtId="9" fontId="6" fillId="22" borderId="0" xfId="46" applyNumberFormat="1" applyFont="1" applyFill="1" applyBorder="1" applyAlignment="1" applyProtection="1">
      <alignment horizontal="left" indent="2"/>
      <protection locked="0"/>
    </xf>
    <xf numFmtId="168" fontId="68" fillId="22" borderId="0" xfId="57" applyNumberFormat="1" applyFont="1" applyFill="1" applyBorder="1" applyAlignment="1" applyProtection="1"/>
    <xf numFmtId="164" fontId="23" fillId="23" borderId="51" xfId="57" applyNumberFormat="1" applyFont="1" applyFill="1" applyBorder="1" applyAlignment="1" applyProtection="1"/>
    <xf numFmtId="164" fontId="6" fillId="22" borderId="0" xfId="57" applyNumberFormat="1" applyFont="1" applyFill="1" applyBorder="1" applyAlignment="1" applyProtection="1">
      <alignment horizontal="left"/>
    </xf>
    <xf numFmtId="164" fontId="5" fillId="22" borderId="0" xfId="46" applyNumberFormat="1" applyFont="1" applyFill="1" applyBorder="1" applyAlignment="1" applyProtection="1">
      <alignment horizontal="left"/>
      <protection locked="0"/>
    </xf>
    <xf numFmtId="164" fontId="23" fillId="22" borderId="0" xfId="57" applyNumberFormat="1" applyFont="1" applyFill="1" applyBorder="1" applyAlignment="1" applyProtection="1"/>
    <xf numFmtId="164" fontId="5" fillId="22" borderId="15" xfId="57" applyNumberFormat="1" applyFont="1" applyFill="1" applyBorder="1" applyAlignment="1" applyProtection="1"/>
    <xf numFmtId="164" fontId="5" fillId="22" borderId="0" xfId="60" applyNumberFormat="1" applyFont="1" applyFill="1" applyBorder="1" applyAlignment="1" applyProtection="1"/>
    <xf numFmtId="168" fontId="6" fillId="0" borderId="0" xfId="57" applyNumberFormat="1" applyFont="1" applyFill="1" applyBorder="1" applyAlignment="1" applyProtection="1">
      <protection locked="0"/>
    </xf>
    <xf numFmtId="164" fontId="23" fillId="22" borderId="0" xfId="57" applyNumberFormat="1" applyFont="1" applyFill="1" applyBorder="1" applyAlignment="1" applyProtection="1">
      <alignment horizontal="left"/>
    </xf>
    <xf numFmtId="164" fontId="5" fillId="22" borderId="15" xfId="57" applyNumberFormat="1" applyFont="1" applyFill="1" applyBorder="1" applyAlignment="1" applyProtection="1">
      <alignment horizontal="right"/>
    </xf>
    <xf numFmtId="164" fontId="6" fillId="22" borderId="22" xfId="57" applyNumberFormat="1" applyFont="1" applyFill="1" applyBorder="1" applyAlignment="1" applyProtection="1">
      <alignment horizontal="right"/>
    </xf>
    <xf numFmtId="164" fontId="6" fillId="22" borderId="0" xfId="57" applyNumberFormat="1" applyFont="1" applyFill="1" applyBorder="1" applyAlignment="1" applyProtection="1">
      <alignment horizontal="right"/>
    </xf>
    <xf numFmtId="164" fontId="6" fillId="22" borderId="28" xfId="57" applyNumberFormat="1" applyFont="1" applyFill="1" applyBorder="1" applyAlignment="1" applyProtection="1">
      <alignment horizontal="right"/>
    </xf>
    <xf numFmtId="168" fontId="6" fillId="22" borderId="0" xfId="59" applyNumberFormat="1" applyFont="1" applyFill="1" applyBorder="1" applyAlignment="1" applyProtection="1">
      <alignment horizontal="left" indent="2"/>
      <protection locked="0"/>
    </xf>
    <xf numFmtId="168" fontId="6" fillId="0" borderId="51" xfId="59" applyNumberFormat="1" applyFont="1" applyFill="1" applyBorder="1" applyAlignment="1" applyProtection="1"/>
    <xf numFmtId="168" fontId="22" fillId="0" borderId="0" xfId="59" applyNumberFormat="1" applyFont="1" applyFill="1" applyBorder="1" applyAlignment="1" applyProtection="1"/>
    <xf numFmtId="168" fontId="6" fillId="0" borderId="15" xfId="59" applyNumberFormat="1" applyFont="1" applyFill="1" applyBorder="1" applyAlignment="1" applyProtection="1"/>
    <xf numFmtId="168" fontId="22" fillId="22" borderId="0" xfId="59" applyNumberFormat="1" applyFont="1" applyFill="1" applyBorder="1" applyAlignment="1" applyProtection="1"/>
    <xf numFmtId="168" fontId="22" fillId="22" borderId="0" xfId="59" applyNumberFormat="1" applyFont="1" applyFill="1" applyBorder="1" applyAlignment="1" applyProtection="1">
      <alignment horizontal="right"/>
    </xf>
    <xf numFmtId="168" fontId="6" fillId="22" borderId="22" xfId="59" applyNumberFormat="1" applyFont="1" applyFill="1" applyBorder="1" applyAlignment="1" applyProtection="1">
      <alignment horizontal="right"/>
    </xf>
    <xf numFmtId="168" fontId="6" fillId="22" borderId="0" xfId="59" applyNumberFormat="1" applyFont="1" applyFill="1" applyBorder="1" applyAlignment="1" applyProtection="1">
      <alignment horizontal="right"/>
    </xf>
    <xf numFmtId="168" fontId="6" fillId="22" borderId="28" xfId="59" applyNumberFormat="1" applyFont="1" applyFill="1" applyBorder="1" applyAlignment="1" applyProtection="1">
      <alignment horizontal="right"/>
    </xf>
    <xf numFmtId="0" fontId="4" fillId="23" borderId="0" xfId="57" applyFont="1" applyFill="1" applyBorder="1" applyAlignment="1" applyProtection="1"/>
    <xf numFmtId="0" fontId="6" fillId="0" borderId="0" xfId="57" applyFont="1" applyFill="1" applyBorder="1" applyAlignment="1">
      <alignment horizontal="right"/>
    </xf>
    <xf numFmtId="164" fontId="5" fillId="22" borderId="14" xfId="46" applyNumberFormat="1" applyFont="1" applyFill="1" applyBorder="1" applyAlignment="1" applyProtection="1">
      <alignment horizontal="left" indent="1"/>
      <protection locked="0"/>
    </xf>
    <xf numFmtId="164" fontId="23" fillId="22" borderId="54" xfId="57" applyNumberFormat="1" applyFont="1" applyFill="1" applyBorder="1" applyAlignment="1" applyProtection="1"/>
    <xf numFmtId="164" fontId="23" fillId="22" borderId="14" xfId="57" applyNumberFormat="1" applyFont="1" applyFill="1" applyBorder="1" applyAlignment="1" applyProtection="1"/>
    <xf numFmtId="164" fontId="5" fillId="22" borderId="16" xfId="57" applyNumberFormat="1" applyFont="1" applyFill="1" applyBorder="1" applyAlignment="1" applyProtection="1"/>
    <xf numFmtId="164" fontId="5" fillId="22" borderId="14" xfId="57" applyNumberFormat="1" applyFont="1" applyFill="1" applyBorder="1" applyAlignment="1" applyProtection="1"/>
    <xf numFmtId="164" fontId="5" fillId="22" borderId="14" xfId="57" applyNumberFormat="1" applyFont="1" applyFill="1" applyBorder="1" applyAlignment="1" applyProtection="1">
      <alignment horizontal="left"/>
    </xf>
    <xf numFmtId="164" fontId="5" fillId="0" borderId="14" xfId="57" applyNumberFormat="1" applyFont="1" applyFill="1" applyBorder="1" applyAlignment="1" applyProtection="1"/>
    <xf numFmtId="164" fontId="5" fillId="0" borderId="14" xfId="57" applyNumberFormat="1" applyFont="1" applyFill="1" applyBorder="1" applyAlignment="1" applyProtection="1">
      <protection locked="0"/>
    </xf>
    <xf numFmtId="164" fontId="5" fillId="22" borderId="43" xfId="57" applyNumberFormat="1" applyFont="1" applyFill="1" applyBorder="1" applyAlignment="1" applyProtection="1"/>
    <xf numFmtId="164" fontId="5" fillId="22" borderId="55" xfId="57" applyNumberFormat="1" applyFont="1" applyFill="1" applyBorder="1" applyAlignment="1" applyProtection="1"/>
    <xf numFmtId="9" fontId="6" fillId="22" borderId="0" xfId="46" applyNumberFormat="1" applyFont="1" applyFill="1" applyBorder="1" applyAlignment="1" applyProtection="1">
      <alignment horizontal="left" indent="3"/>
      <protection locked="0"/>
    </xf>
    <xf numFmtId="3" fontId="22" fillId="22" borderId="0" xfId="57" applyNumberFormat="1" applyFont="1" applyFill="1" applyBorder="1" applyAlignment="1" applyProtection="1">
      <alignment horizontal="right"/>
    </xf>
    <xf numFmtId="168" fontId="8" fillId="22" borderId="0" xfId="57" applyNumberFormat="1" applyFont="1" applyFill="1" applyBorder="1" applyAlignment="1" applyProtection="1"/>
    <xf numFmtId="3" fontId="14" fillId="22" borderId="51" xfId="46" applyNumberFormat="1" applyFont="1" applyFill="1" applyBorder="1"/>
    <xf numFmtId="3" fontId="14" fillId="22" borderId="0" xfId="46" applyNumberFormat="1" applyFont="1" applyFill="1" applyBorder="1"/>
    <xf numFmtId="168" fontId="6" fillId="22" borderId="15" xfId="59" applyNumberFormat="1" applyFont="1" applyFill="1" applyBorder="1" applyAlignment="1">
      <alignment horizontal="right"/>
    </xf>
    <xf numFmtId="3" fontId="6" fillId="22" borderId="0" xfId="46" applyNumberFormat="1" applyFont="1" applyFill="1" applyBorder="1"/>
    <xf numFmtId="3" fontId="22" fillId="22" borderId="0" xfId="46" applyNumberFormat="1" applyFont="1" applyFill="1" applyBorder="1"/>
    <xf numFmtId="168" fontId="6" fillId="22" borderId="0" xfId="59" applyNumberFormat="1" applyFont="1" applyFill="1" applyBorder="1" applyAlignment="1">
      <alignment horizontal="right"/>
    </xf>
    <xf numFmtId="168" fontId="6" fillId="0" borderId="0" xfId="59" applyNumberFormat="1" applyFont="1" applyFill="1" applyBorder="1" applyAlignment="1">
      <alignment horizontal="right"/>
    </xf>
    <xf numFmtId="3" fontId="6" fillId="22" borderId="22" xfId="46" applyNumberFormat="1" applyFont="1" applyFill="1" applyBorder="1" applyAlignment="1">
      <alignment horizontal="right"/>
    </xf>
    <xf numFmtId="3" fontId="6" fillId="22" borderId="0" xfId="46" applyNumberFormat="1" applyFont="1" applyFill="1" applyBorder="1" applyAlignment="1">
      <alignment horizontal="right"/>
    </xf>
    <xf numFmtId="3" fontId="6" fillId="22" borderId="28" xfId="46" applyNumberFormat="1" applyFont="1" applyFill="1" applyBorder="1" applyAlignment="1">
      <alignment horizontal="right"/>
    </xf>
    <xf numFmtId="168" fontId="16" fillId="23" borderId="0" xfId="57" applyNumberFormat="1" applyFont="1" applyFill="1" applyBorder="1" applyAlignment="1" applyProtection="1"/>
    <xf numFmtId="3" fontId="14" fillId="22" borderId="0" xfId="46" applyNumberFormat="1" applyFont="1" applyFill="1" applyBorder="1" applyAlignment="1" applyProtection="1">
      <alignment horizontal="left"/>
    </xf>
    <xf numFmtId="0" fontId="6" fillId="0" borderId="0" xfId="46" applyFont="1" applyFill="1" applyBorder="1"/>
    <xf numFmtId="0" fontId="6" fillId="22" borderId="0" xfId="46" applyFont="1" applyFill="1" applyBorder="1"/>
    <xf numFmtId="1" fontId="10" fillId="22" borderId="52" xfId="46" applyNumberFormat="1" applyFont="1" applyFill="1" applyBorder="1" applyAlignment="1" applyProtection="1">
      <alignment horizontal="left" indent="2"/>
      <protection locked="0"/>
    </xf>
    <xf numFmtId="164" fontId="10" fillId="22" borderId="0" xfId="57" applyNumberFormat="1" applyFont="1" applyFill="1" applyBorder="1" applyAlignment="1" applyProtection="1">
      <alignment horizontal="right"/>
    </xf>
    <xf numFmtId="164" fontId="10" fillId="22" borderId="15" xfId="57" applyNumberFormat="1" applyFont="1" applyFill="1" applyBorder="1" applyAlignment="1" applyProtection="1">
      <alignment horizontal="right"/>
    </xf>
    <xf numFmtId="164" fontId="10" fillId="0" borderId="0" xfId="57" applyNumberFormat="1" applyFont="1" applyFill="1" applyBorder="1" applyAlignment="1" applyProtection="1">
      <alignment horizontal="right"/>
    </xf>
    <xf numFmtId="9" fontId="6" fillId="22" borderId="0" xfId="46" applyNumberFormat="1" applyFont="1" applyFill="1" applyBorder="1" applyAlignment="1" applyProtection="1">
      <alignment horizontal="left" indent="4"/>
      <protection locked="0"/>
    </xf>
    <xf numFmtId="169" fontId="6" fillId="22" borderId="51" xfId="57" applyNumberFormat="1" applyFont="1" applyFill="1" applyBorder="1" applyAlignment="1" applyProtection="1"/>
    <xf numFmtId="169" fontId="22" fillId="22" borderId="0" xfId="57" applyNumberFormat="1" applyFont="1" applyFill="1" applyBorder="1" applyAlignment="1" applyProtection="1"/>
    <xf numFmtId="3" fontId="22" fillId="22" borderId="0" xfId="57" applyNumberFormat="1" applyFont="1" applyFill="1" applyBorder="1" applyAlignment="1" applyProtection="1"/>
    <xf numFmtId="1" fontId="5" fillId="22" borderId="52" xfId="46" applyNumberFormat="1" applyFont="1" applyFill="1" applyBorder="1" applyAlignment="1" applyProtection="1">
      <alignment horizontal="left" indent="3"/>
      <protection locked="0"/>
    </xf>
    <xf numFmtId="165" fontId="5" fillId="22" borderId="0" xfId="57" applyNumberFormat="1" applyFont="1" applyFill="1" applyBorder="1" applyAlignment="1" applyProtection="1">
      <alignment horizontal="right"/>
    </xf>
    <xf numFmtId="165" fontId="23" fillId="22" borderId="15" xfId="57" applyNumberFormat="1" applyFont="1" applyFill="1" applyBorder="1" applyAlignment="1" applyProtection="1">
      <protection locked="0"/>
    </xf>
    <xf numFmtId="165" fontId="5" fillId="22" borderId="0" xfId="57" applyNumberFormat="1" applyFont="1" applyFill="1" applyBorder="1" applyAlignment="1" applyProtection="1">
      <protection locked="0"/>
    </xf>
    <xf numFmtId="165" fontId="5" fillId="22" borderId="0" xfId="57" applyNumberFormat="1" applyFont="1" applyFill="1" applyBorder="1" applyAlignment="1" applyProtection="1"/>
    <xf numFmtId="165" fontId="5" fillId="22" borderId="15" xfId="57" applyNumberFormat="1" applyFont="1" applyFill="1" applyBorder="1" applyAlignment="1" applyProtection="1">
      <protection locked="0"/>
    </xf>
    <xf numFmtId="165" fontId="5" fillId="0" borderId="0" xfId="57" applyNumberFormat="1" applyFont="1" applyFill="1" applyBorder="1" applyAlignment="1" applyProtection="1">
      <alignment horizontal="right"/>
    </xf>
    <xf numFmtId="165" fontId="6" fillId="22" borderId="0" xfId="57" applyNumberFormat="1" applyFont="1" applyFill="1" applyBorder="1" applyAlignment="1" applyProtection="1">
      <alignment horizontal="right"/>
    </xf>
    <xf numFmtId="165" fontId="6" fillId="22" borderId="28" xfId="57" applyNumberFormat="1" applyFont="1" applyFill="1" applyBorder="1" applyAlignment="1" applyProtection="1">
      <alignment horizontal="right"/>
    </xf>
    <xf numFmtId="165" fontId="6" fillId="22" borderId="15" xfId="57" applyNumberFormat="1" applyFont="1" applyFill="1" applyBorder="1" applyAlignment="1" applyProtection="1">
      <alignment horizontal="right"/>
    </xf>
    <xf numFmtId="165" fontId="6" fillId="22" borderId="22" xfId="57" applyNumberFormat="1" applyFont="1" applyFill="1" applyBorder="1" applyAlignment="1" applyProtection="1">
      <alignment horizontal="right"/>
    </xf>
    <xf numFmtId="165" fontId="6" fillId="0" borderId="15" xfId="57" applyNumberFormat="1" applyFont="1" applyFill="1" applyBorder="1" applyAlignment="1" applyProtection="1"/>
    <xf numFmtId="165" fontId="6" fillId="0" borderId="0" xfId="57" applyNumberFormat="1" applyFont="1" applyFill="1" applyBorder="1"/>
    <xf numFmtId="9" fontId="6" fillId="22" borderId="0" xfId="46" applyNumberFormat="1" applyFont="1" applyFill="1" applyBorder="1" applyAlignment="1" applyProtection="1">
      <alignment horizontal="left" indent="5"/>
      <protection locked="0"/>
    </xf>
    <xf numFmtId="167" fontId="6" fillId="22" borderId="0" xfId="57" applyNumberFormat="1" applyFont="1" applyFill="1" applyBorder="1" applyAlignment="1" applyProtection="1">
      <alignment horizontal="right"/>
    </xf>
    <xf numFmtId="167" fontId="6" fillId="22" borderId="28" xfId="57" applyNumberFormat="1" applyFont="1" applyFill="1" applyBorder="1" applyAlignment="1" applyProtection="1">
      <alignment horizontal="right"/>
    </xf>
    <xf numFmtId="167" fontId="6" fillId="22" borderId="15" xfId="57" applyNumberFormat="1" applyFont="1" applyFill="1" applyBorder="1" applyAlignment="1" applyProtection="1">
      <alignment horizontal="right"/>
    </xf>
    <xf numFmtId="167" fontId="6" fillId="22" borderId="22" xfId="57" applyNumberFormat="1" applyFont="1" applyFill="1" applyBorder="1" applyAlignment="1" applyProtection="1">
      <alignment horizontal="right"/>
    </xf>
    <xf numFmtId="10" fontId="5" fillId="22" borderId="0" xfId="57" applyNumberFormat="1" applyFont="1" applyFill="1" applyBorder="1" applyAlignment="1" applyProtection="1">
      <alignment horizontal="right"/>
    </xf>
    <xf numFmtId="168" fontId="5" fillId="22" borderId="0" xfId="59" applyNumberFormat="1" applyFont="1" applyFill="1" applyBorder="1" applyAlignment="1" applyProtection="1">
      <alignment horizontal="right"/>
    </xf>
    <xf numFmtId="168" fontId="5" fillId="22" borderId="15" xfId="59" applyNumberFormat="1" applyFont="1" applyFill="1" applyBorder="1" applyAlignment="1" applyProtection="1"/>
    <xf numFmtId="168" fontId="5" fillId="0" borderId="0" xfId="57" applyNumberFormat="1" applyFont="1" applyFill="1" applyBorder="1" applyAlignment="1" applyProtection="1"/>
    <xf numFmtId="168" fontId="6" fillId="22" borderId="15" xfId="59" applyNumberFormat="1" applyFont="1" applyFill="1" applyBorder="1" applyAlignment="1" applyProtection="1">
      <alignment horizontal="right"/>
    </xf>
    <xf numFmtId="169" fontId="6" fillId="0" borderId="0" xfId="57" applyNumberFormat="1" applyFont="1" applyFill="1" applyBorder="1" applyAlignment="1" applyProtection="1">
      <alignment horizontal="right"/>
    </xf>
    <xf numFmtId="169" fontId="6" fillId="22" borderId="28" xfId="57" applyNumberFormat="1" applyFont="1" applyFill="1" applyBorder="1" applyAlignment="1" applyProtection="1">
      <alignment horizontal="right"/>
    </xf>
    <xf numFmtId="169" fontId="6" fillId="22" borderId="22" xfId="57" applyNumberFormat="1" applyFont="1" applyFill="1" applyBorder="1" applyAlignment="1" applyProtection="1">
      <alignment horizontal="right"/>
    </xf>
    <xf numFmtId="169" fontId="6" fillId="0" borderId="15" xfId="57" applyNumberFormat="1" applyFont="1" applyFill="1" applyBorder="1" applyAlignment="1" applyProtection="1"/>
    <xf numFmtId="169" fontId="6" fillId="23" borderId="0" xfId="57" applyNumberFormat="1" applyFont="1" applyFill="1" applyBorder="1" applyAlignment="1" applyProtection="1"/>
    <xf numFmtId="169" fontId="14" fillId="22" borderId="0" xfId="46" applyNumberFormat="1" applyFont="1" applyFill="1" applyBorder="1" applyAlignment="1" applyProtection="1"/>
    <xf numFmtId="169" fontId="6" fillId="22" borderId="0" xfId="57" applyNumberFormat="1" applyFont="1" applyFill="1" applyBorder="1" applyAlignment="1">
      <alignment horizontal="right"/>
    </xf>
    <xf numFmtId="167" fontId="23" fillId="0" borderId="0" xfId="57" applyNumberFormat="1" applyFont="1" applyFill="1" applyBorder="1" applyAlignment="1" applyProtection="1">
      <alignment horizontal="right"/>
    </xf>
    <xf numFmtId="3" fontId="5" fillId="22" borderId="14" xfId="46" applyNumberFormat="1" applyFont="1" applyFill="1" applyBorder="1" applyAlignment="1" applyProtection="1">
      <alignment horizontal="left" indent="1"/>
      <protection locked="0"/>
    </xf>
    <xf numFmtId="3" fontId="23" fillId="22" borderId="54" xfId="57" applyNumberFormat="1" applyFont="1" applyFill="1" applyBorder="1" applyAlignment="1" applyProtection="1"/>
    <xf numFmtId="3" fontId="23" fillId="22" borderId="14" xfId="57" applyNumberFormat="1" applyFont="1" applyFill="1" applyBorder="1" applyAlignment="1" applyProtection="1"/>
    <xf numFmtId="3" fontId="5" fillId="22" borderId="16" xfId="57" applyNumberFormat="1" applyFont="1" applyFill="1" applyBorder="1" applyAlignment="1" applyProtection="1"/>
    <xf numFmtId="3" fontId="5" fillId="22" borderId="14" xfId="57" applyNumberFormat="1" applyFont="1" applyFill="1" applyBorder="1" applyAlignment="1" applyProtection="1"/>
    <xf numFmtId="3" fontId="5" fillId="22" borderId="14" xfId="57" applyNumberFormat="1" applyFont="1" applyFill="1" applyBorder="1" applyAlignment="1" applyProtection="1">
      <alignment horizontal="left"/>
    </xf>
    <xf numFmtId="3" fontId="17" fillId="22" borderId="14" xfId="57" applyNumberFormat="1" applyFont="1" applyFill="1" applyBorder="1" applyAlignment="1" applyProtection="1"/>
    <xf numFmtId="3" fontId="5" fillId="22" borderId="43" xfId="57" applyNumberFormat="1" applyFont="1" applyFill="1" applyBorder="1" applyAlignment="1" applyProtection="1"/>
    <xf numFmtId="3" fontId="5" fillId="22" borderId="55" xfId="57" applyNumberFormat="1" applyFont="1" applyFill="1" applyBorder="1" applyAlignment="1" applyProtection="1"/>
    <xf numFmtId="0" fontId="16" fillId="23" borderId="0" xfId="57" applyFont="1" applyFill="1" applyBorder="1" applyAlignment="1" applyProtection="1"/>
    <xf numFmtId="3" fontId="5" fillId="0" borderId="0" xfId="57" applyNumberFormat="1" applyFont="1" applyFill="1" applyBorder="1"/>
    <xf numFmtId="3" fontId="5" fillId="22" borderId="0" xfId="57" applyNumberFormat="1" applyFont="1" applyFill="1" applyBorder="1"/>
    <xf numFmtId="2" fontId="6" fillId="22" borderId="28" xfId="46" applyNumberFormat="1" applyFont="1" applyFill="1" applyBorder="1" applyAlignment="1" applyProtection="1">
      <alignment horizontal="left" indent="3"/>
      <protection locked="0"/>
    </xf>
    <xf numFmtId="1" fontId="22" fillId="22" borderId="51" xfId="57" applyNumberFormat="1" applyFont="1" applyFill="1" applyBorder="1" applyAlignment="1" applyProtection="1"/>
    <xf numFmtId="1" fontId="22" fillId="22" borderId="0" xfId="57" applyNumberFormat="1" applyFont="1" applyFill="1" applyBorder="1" applyAlignment="1" applyProtection="1"/>
    <xf numFmtId="3" fontId="5" fillId="22" borderId="0" xfId="46" applyNumberFormat="1" applyFont="1" applyFill="1" applyBorder="1" applyAlignment="1" applyProtection="1">
      <alignment horizontal="left" indent="2"/>
      <protection locked="0"/>
    </xf>
    <xf numFmtId="3" fontId="5" fillId="22" borderId="51" xfId="57" applyNumberFormat="1" applyFont="1" applyFill="1" applyBorder="1" applyAlignment="1" applyProtection="1"/>
    <xf numFmtId="3" fontId="5" fillId="0" borderId="0" xfId="57" applyNumberFormat="1" applyFont="1" applyFill="1" applyBorder="1" applyAlignment="1" applyProtection="1">
      <alignment horizontal="right"/>
    </xf>
    <xf numFmtId="3" fontId="5" fillId="22" borderId="22" xfId="57" applyNumberFormat="1" applyFont="1" applyFill="1" applyBorder="1" applyAlignment="1" applyProtection="1">
      <alignment horizontal="right"/>
    </xf>
    <xf numFmtId="3" fontId="5" fillId="22" borderId="28" xfId="57" applyNumberFormat="1" applyFont="1" applyFill="1" applyBorder="1" applyAlignment="1" applyProtection="1">
      <alignment horizontal="right"/>
    </xf>
    <xf numFmtId="3" fontId="6" fillId="0" borderId="0" xfId="57" applyNumberFormat="1" applyFont="1" applyFill="1" applyBorder="1" applyAlignment="1">
      <alignment horizontal="right"/>
    </xf>
    <xf numFmtId="3" fontId="6" fillId="22" borderId="0" xfId="57" applyNumberFormat="1" applyFont="1" applyFill="1" applyBorder="1" applyAlignment="1">
      <alignment horizontal="right"/>
    </xf>
    <xf numFmtId="3" fontId="6" fillId="22" borderId="15" xfId="57" applyNumberFormat="1" applyFont="1" applyFill="1" applyBorder="1" applyAlignment="1" applyProtection="1">
      <alignment horizontal="right"/>
    </xf>
    <xf numFmtId="3" fontId="6" fillId="22" borderId="51" xfId="57" applyNumberFormat="1" applyFont="1" applyFill="1" applyBorder="1" applyAlignment="1" applyProtection="1"/>
    <xf numFmtId="3" fontId="6" fillId="22" borderId="15" xfId="57" applyNumberFormat="1" applyFont="1" applyFill="1" applyBorder="1" applyAlignment="1" applyProtection="1"/>
    <xf numFmtId="3" fontId="6" fillId="22" borderId="0" xfId="57" applyNumberFormat="1" applyFont="1" applyFill="1" applyBorder="1" applyAlignment="1" applyProtection="1">
      <alignment horizontal="right"/>
    </xf>
    <xf numFmtId="3" fontId="22" fillId="0" borderId="0" xfId="57" applyNumberFormat="1" applyFont="1" applyFill="1" applyBorder="1" applyAlignment="1" applyProtection="1">
      <alignment horizontal="right"/>
    </xf>
    <xf numFmtId="3" fontId="6" fillId="22" borderId="22" xfId="57" applyNumberFormat="1" applyFont="1" applyFill="1" applyBorder="1" applyAlignment="1" applyProtection="1">
      <alignment horizontal="right"/>
    </xf>
    <xf numFmtId="3" fontId="6" fillId="22" borderId="28" xfId="57" applyNumberFormat="1" applyFont="1" applyFill="1" applyBorder="1" applyAlignment="1" applyProtection="1">
      <alignment horizontal="right"/>
    </xf>
    <xf numFmtId="164" fontId="5" fillId="22" borderId="54" xfId="57" applyNumberFormat="1" applyFont="1" applyFill="1" applyBorder="1" applyAlignment="1" applyProtection="1"/>
    <xf numFmtId="164" fontId="5" fillId="22" borderId="14" xfId="57" applyNumberFormat="1" applyFont="1" applyFill="1" applyBorder="1" applyAlignment="1" applyProtection="1">
      <alignment horizontal="right"/>
    </xf>
    <xf numFmtId="164" fontId="5" fillId="22" borderId="16" xfId="57" applyNumberFormat="1" applyFont="1" applyFill="1" applyBorder="1" applyAlignment="1" applyProtection="1">
      <alignment horizontal="right"/>
    </xf>
    <xf numFmtId="164" fontId="5" fillId="0" borderId="14" xfId="57" applyNumberFormat="1" applyFont="1" applyFill="1" applyBorder="1" applyAlignment="1" applyProtection="1">
      <alignment horizontal="right"/>
    </xf>
    <xf numFmtId="164" fontId="5" fillId="22" borderId="43" xfId="57" applyNumberFormat="1" applyFont="1" applyFill="1" applyBorder="1" applyAlignment="1" applyProtection="1">
      <alignment horizontal="right"/>
    </xf>
    <xf numFmtId="164" fontId="5" fillId="22" borderId="55" xfId="57" applyNumberFormat="1" applyFont="1" applyFill="1" applyBorder="1" applyAlignment="1" applyProtection="1">
      <alignment horizontal="right"/>
    </xf>
    <xf numFmtId="164" fontId="5" fillId="22" borderId="0" xfId="57" applyNumberFormat="1" applyFont="1" applyFill="1" applyBorder="1" applyAlignment="1">
      <alignment horizontal="right"/>
    </xf>
    <xf numFmtId="9" fontId="6" fillId="22" borderId="0" xfId="46" applyNumberFormat="1" applyFont="1" applyFill="1" applyBorder="1" applyAlignment="1" applyProtection="1">
      <alignment horizontal="left" indent="1"/>
      <protection locked="0"/>
    </xf>
    <xf numFmtId="164" fontId="6" fillId="22" borderId="15" xfId="57" applyNumberFormat="1" applyFont="1" applyFill="1" applyBorder="1" applyAlignment="1" applyProtection="1"/>
    <xf numFmtId="168" fontId="6" fillId="27" borderId="15" xfId="57" applyNumberFormat="1" applyFont="1" applyFill="1" applyBorder="1" applyAlignment="1" applyProtection="1"/>
    <xf numFmtId="0" fontId="6" fillId="27" borderId="22" xfId="57" applyNumberFormat="1" applyFont="1" applyFill="1" applyBorder="1" applyAlignment="1" applyProtection="1"/>
    <xf numFmtId="0" fontId="6" fillId="27" borderId="0" xfId="57" applyNumberFormat="1" applyFont="1" applyFill="1" applyBorder="1" applyAlignment="1" applyProtection="1"/>
    <xf numFmtId="0" fontId="6" fillId="27" borderId="28" xfId="57" applyNumberFormat="1" applyFont="1" applyFill="1" applyBorder="1" applyAlignment="1" applyProtection="1"/>
    <xf numFmtId="168" fontId="8" fillId="27" borderId="15" xfId="57" applyNumberFormat="1" applyFont="1" applyFill="1" applyBorder="1" applyAlignment="1" applyProtection="1"/>
    <xf numFmtId="0" fontId="14" fillId="22" borderId="51" xfId="57" applyNumberFormat="1" applyFont="1" applyFill="1" applyBorder="1" applyAlignment="1" applyProtection="1">
      <protection locked="0"/>
    </xf>
    <xf numFmtId="0" fontId="14" fillId="22" borderId="0" xfId="57" applyNumberFormat="1" applyFont="1" applyFill="1" applyBorder="1" applyAlignment="1" applyProtection="1">
      <protection locked="0"/>
    </xf>
    <xf numFmtId="165" fontId="6" fillId="22" borderId="15" xfId="57" applyNumberFormat="1" applyFont="1" applyFill="1" applyBorder="1" applyAlignment="1" applyProtection="1">
      <protection locked="0"/>
    </xf>
    <xf numFmtId="171" fontId="14" fillId="22" borderId="0" xfId="57" applyNumberFormat="1" applyFont="1" applyFill="1" applyBorder="1" applyAlignment="1" applyProtection="1">
      <protection locked="0"/>
    </xf>
    <xf numFmtId="171" fontId="6" fillId="22" borderId="0" xfId="57" applyNumberFormat="1" applyFont="1" applyFill="1" applyBorder="1" applyAlignment="1" applyProtection="1">
      <protection locked="0"/>
    </xf>
    <xf numFmtId="165" fontId="6" fillId="22" borderId="0" xfId="57" applyNumberFormat="1" applyFont="1" applyFill="1" applyBorder="1" applyAlignment="1" applyProtection="1">
      <protection locked="0"/>
    </xf>
    <xf numFmtId="165" fontId="6" fillId="0" borderId="0" xfId="57" applyNumberFormat="1" applyFont="1" applyFill="1" applyBorder="1" applyAlignment="1" applyProtection="1">
      <protection locked="0"/>
    </xf>
    <xf numFmtId="168" fontId="6" fillId="22" borderId="31" xfId="46" applyNumberFormat="1" applyFont="1" applyFill="1" applyBorder="1" applyAlignment="1" applyProtection="1">
      <alignment horizontal="left" indent="2"/>
      <protection locked="0"/>
    </xf>
    <xf numFmtId="0" fontId="22" fillId="22" borderId="58" xfId="57" applyNumberFormat="1" applyFont="1" applyFill="1" applyBorder="1" applyAlignment="1" applyProtection="1"/>
    <xf numFmtId="0" fontId="22" fillId="22" borderId="31" xfId="57" applyNumberFormat="1" applyFont="1" applyFill="1" applyBorder="1" applyAlignment="1" applyProtection="1"/>
    <xf numFmtId="168" fontId="6" fillId="22" borderId="32" xfId="57" applyNumberFormat="1" applyFont="1" applyFill="1" applyBorder="1" applyAlignment="1" applyProtection="1"/>
    <xf numFmtId="168" fontId="6" fillId="22" borderId="31" xfId="57" applyNumberFormat="1" applyFont="1" applyFill="1" applyBorder="1" applyAlignment="1" applyProtection="1"/>
    <xf numFmtId="168" fontId="6" fillId="0" borderId="31" xfId="57" applyNumberFormat="1" applyFont="1" applyFill="1" applyBorder="1" applyAlignment="1" applyProtection="1"/>
    <xf numFmtId="0" fontId="6" fillId="22" borderId="44" xfId="57" applyNumberFormat="1" applyFont="1" applyFill="1" applyBorder="1" applyAlignment="1" applyProtection="1"/>
    <xf numFmtId="0" fontId="6" fillId="22" borderId="31" xfId="57" applyNumberFormat="1" applyFont="1" applyFill="1" applyBorder="1" applyAlignment="1" applyProtection="1"/>
    <xf numFmtId="0" fontId="6" fillId="22" borderId="59" xfId="57" applyNumberFormat="1" applyFont="1" applyFill="1" applyBorder="1" applyAlignment="1" applyProtection="1"/>
    <xf numFmtId="166" fontId="5" fillId="22" borderId="0" xfId="46" applyNumberFormat="1" applyFont="1" applyFill="1" applyBorder="1" applyAlignment="1" applyProtection="1">
      <alignment horizontal="left"/>
      <protection locked="0"/>
    </xf>
    <xf numFmtId="166" fontId="5" fillId="0" borderId="51" xfId="57" applyNumberFormat="1" applyFont="1" applyFill="1" applyBorder="1" applyAlignment="1" applyProtection="1"/>
    <xf numFmtId="166" fontId="23" fillId="0" borderId="0" xfId="57" applyNumberFormat="1" applyFont="1" applyFill="1" applyBorder="1" applyAlignment="1" applyProtection="1"/>
    <xf numFmtId="166" fontId="5" fillId="0" borderId="15" xfId="57" applyNumberFormat="1" applyFont="1" applyFill="1" applyBorder="1" applyAlignment="1" applyProtection="1"/>
    <xf numFmtId="166" fontId="5" fillId="22" borderId="0" xfId="57" applyNumberFormat="1" applyFont="1" applyFill="1" applyBorder="1" applyAlignment="1" applyProtection="1">
      <alignment horizontal="right"/>
    </xf>
    <xf numFmtId="166" fontId="5" fillId="22" borderId="15" xfId="57" applyNumberFormat="1" applyFont="1" applyFill="1" applyBorder="1" applyAlignment="1" applyProtection="1">
      <alignment horizontal="right"/>
    </xf>
    <xf numFmtId="166" fontId="5" fillId="0" borderId="0" xfId="57" applyNumberFormat="1" applyFont="1" applyFill="1" applyBorder="1" applyAlignment="1" applyProtection="1">
      <alignment horizontal="right"/>
    </xf>
    <xf numFmtId="166" fontId="15" fillId="22" borderId="0" xfId="57" applyNumberFormat="1" applyFont="1" applyFill="1" applyBorder="1" applyAlignment="1" applyProtection="1">
      <alignment horizontal="right"/>
    </xf>
    <xf numFmtId="166" fontId="5" fillId="22" borderId="22" xfId="57" applyNumberFormat="1" applyFont="1" applyFill="1" applyBorder="1" applyAlignment="1" applyProtection="1">
      <alignment horizontal="right"/>
    </xf>
    <xf numFmtId="166" fontId="5" fillId="22" borderId="28" xfId="57" applyNumberFormat="1" applyFont="1" applyFill="1" applyBorder="1" applyAlignment="1" applyProtection="1">
      <alignment horizontal="right"/>
    </xf>
    <xf numFmtId="166" fontId="15" fillId="22" borderId="15" xfId="57" applyNumberFormat="1" applyFont="1" applyFill="1" applyBorder="1" applyAlignment="1" applyProtection="1">
      <alignment horizontal="right"/>
    </xf>
    <xf numFmtId="166" fontId="6" fillId="0" borderId="15" xfId="57" applyNumberFormat="1" applyFont="1" applyFill="1" applyBorder="1" applyAlignment="1" applyProtection="1"/>
    <xf numFmtId="166" fontId="4" fillId="23" borderId="0" xfId="57" applyNumberFormat="1" applyFont="1" applyFill="1" applyBorder="1" applyAlignment="1" applyProtection="1"/>
    <xf numFmtId="166" fontId="5" fillId="23" borderId="0" xfId="57" applyNumberFormat="1" applyFont="1" applyFill="1" applyBorder="1" applyAlignment="1" applyProtection="1"/>
    <xf numFmtId="166" fontId="14" fillId="22" borderId="0" xfId="46" applyNumberFormat="1" applyFont="1" applyFill="1" applyBorder="1" applyAlignment="1" applyProtection="1"/>
    <xf numFmtId="166" fontId="5" fillId="0" borderId="56" xfId="57" applyNumberFormat="1" applyFont="1" applyFill="1" applyBorder="1" applyAlignment="1">
      <alignment horizontal="right"/>
    </xf>
    <xf numFmtId="0" fontId="16" fillId="23" borderId="0" xfId="57" applyNumberFormat="1" applyFont="1" applyFill="1" applyBorder="1" applyAlignment="1" applyProtection="1"/>
    <xf numFmtId="0" fontId="14" fillId="22" borderId="51" xfId="57" applyNumberFormat="1" applyFont="1" applyFill="1" applyBorder="1" applyAlignment="1" applyProtection="1"/>
    <xf numFmtId="168" fontId="14" fillId="22" borderId="0" xfId="57" applyNumberFormat="1" applyFont="1" applyFill="1" applyBorder="1" applyAlignment="1" applyProtection="1"/>
    <xf numFmtId="166" fontId="5" fillId="23" borderId="0" xfId="57" applyNumberFormat="1" applyFont="1" applyFill="1" applyBorder="1" applyAlignment="1" applyProtection="1">
      <alignment horizontal="left"/>
    </xf>
    <xf numFmtId="166" fontId="5" fillId="23" borderId="51" xfId="57" applyNumberFormat="1" applyFont="1" applyFill="1" applyBorder="1" applyAlignment="1" applyProtection="1"/>
    <xf numFmtId="166" fontId="23" fillId="23" borderId="0" xfId="57" applyNumberFormat="1" applyFont="1" applyFill="1" applyBorder="1" applyAlignment="1" applyProtection="1"/>
    <xf numFmtId="166" fontId="5" fillId="23" borderId="15" xfId="57" applyNumberFormat="1" applyFont="1" applyFill="1" applyBorder="1" applyAlignment="1" applyProtection="1"/>
    <xf numFmtId="166" fontId="5" fillId="23" borderId="0" xfId="57" applyNumberFormat="1" applyFont="1" applyFill="1" applyBorder="1" applyAlignment="1" applyProtection="1">
      <alignment horizontal="right"/>
    </xf>
    <xf numFmtId="166" fontId="5" fillId="23" borderId="22" xfId="57" applyNumberFormat="1" applyFont="1" applyFill="1" applyBorder="1" applyAlignment="1" applyProtection="1">
      <alignment horizontal="right"/>
    </xf>
    <xf numFmtId="166" fontId="5" fillId="23" borderId="28" xfId="57" applyNumberFormat="1" applyFont="1" applyFill="1" applyBorder="1" applyAlignment="1" applyProtection="1">
      <alignment horizontal="right"/>
    </xf>
    <xf numFmtId="166" fontId="6" fillId="23" borderId="0" xfId="57" applyNumberFormat="1" applyFont="1" applyFill="1" applyBorder="1" applyAlignment="1" applyProtection="1"/>
    <xf numFmtId="166" fontId="14" fillId="22" borderId="0" xfId="57" applyNumberFormat="1" applyFont="1" applyFill="1" applyBorder="1" applyAlignment="1" applyProtection="1"/>
    <xf numFmtId="166" fontId="5" fillId="0" borderId="0" xfId="57" applyNumberFormat="1" applyFont="1" applyFill="1" applyBorder="1" applyAlignment="1">
      <alignment horizontal="right"/>
    </xf>
    <xf numFmtId="166" fontId="5" fillId="23" borderId="0" xfId="57" applyNumberFormat="1" applyFont="1" applyFill="1" applyBorder="1" applyAlignment="1">
      <alignment horizontal="right"/>
    </xf>
    <xf numFmtId="0" fontId="22" fillId="0" borderId="51" xfId="57" applyFont="1" applyFill="1" applyBorder="1" applyAlignment="1" applyProtection="1"/>
    <xf numFmtId="0" fontId="22" fillId="0" borderId="0" xfId="57" applyFont="1" applyFill="1" applyBorder="1" applyAlignment="1" applyProtection="1"/>
    <xf numFmtId="168" fontId="6" fillId="0" borderId="15" xfId="57" applyNumberFormat="1" applyFont="1" applyFill="1" applyBorder="1" applyAlignment="1" applyProtection="1">
      <alignment horizontal="right"/>
    </xf>
    <xf numFmtId="0" fontId="6" fillId="0" borderId="0" xfId="57" applyFont="1" applyFill="1" applyBorder="1" applyAlignment="1" applyProtection="1"/>
    <xf numFmtId="168" fontId="6" fillId="0" borderId="0" xfId="57" applyNumberFormat="1" applyFont="1" applyFill="1" applyBorder="1" applyAlignment="1" applyProtection="1">
      <alignment horizontal="left"/>
    </xf>
    <xf numFmtId="168" fontId="6" fillId="0" borderId="0" xfId="57" applyNumberFormat="1" applyFont="1" applyFill="1" applyBorder="1" applyAlignment="1" applyProtection="1">
      <alignment horizontal="right"/>
    </xf>
    <xf numFmtId="0" fontId="6" fillId="0" borderId="22" xfId="57" applyFont="1" applyFill="1" applyBorder="1" applyAlignment="1" applyProtection="1">
      <alignment horizontal="right"/>
    </xf>
    <xf numFmtId="0" fontId="6" fillId="0" borderId="0" xfId="57" applyFont="1" applyFill="1" applyBorder="1" applyAlignment="1" applyProtection="1">
      <alignment horizontal="right"/>
    </xf>
    <xf numFmtId="0" fontId="6" fillId="0" borderId="28" xfId="57" applyFont="1" applyFill="1" applyBorder="1" applyAlignment="1" applyProtection="1">
      <alignment horizontal="right"/>
    </xf>
    <xf numFmtId="0" fontId="14" fillId="22" borderId="0" xfId="57" applyFont="1" applyFill="1" applyBorder="1" applyAlignment="1" applyProtection="1"/>
    <xf numFmtId="168" fontId="8" fillId="0" borderId="0" xfId="57" applyNumberFormat="1" applyFont="1" applyFill="1" applyBorder="1" applyAlignment="1" applyProtection="1">
      <alignment horizontal="right"/>
    </xf>
    <xf numFmtId="168" fontId="6" fillId="0" borderId="22" xfId="57" applyNumberFormat="1" applyFont="1" applyFill="1" applyBorder="1" applyAlignment="1" applyProtection="1">
      <alignment horizontal="right"/>
    </xf>
    <xf numFmtId="168" fontId="6" fillId="0" borderId="28" xfId="57" applyNumberFormat="1" applyFont="1" applyFill="1" applyBorder="1" applyAlignment="1" applyProtection="1">
      <alignment horizontal="right"/>
    </xf>
    <xf numFmtId="168" fontId="8" fillId="0" borderId="15" xfId="57" applyNumberFormat="1" applyFont="1" applyFill="1" applyBorder="1" applyAlignment="1" applyProtection="1">
      <alignment horizontal="right"/>
    </xf>
    <xf numFmtId="168" fontId="6" fillId="22" borderId="0" xfId="57" applyNumberFormat="1" applyFont="1" applyFill="1" applyBorder="1" applyAlignment="1" applyProtection="1">
      <alignment horizontal="left" indent="2"/>
      <protection locked="0"/>
    </xf>
    <xf numFmtId="168" fontId="14" fillId="22" borderId="0" xfId="46" applyNumberFormat="1" applyFont="1" applyFill="1" applyBorder="1" applyAlignment="1" applyProtection="1">
      <alignment horizontal="left"/>
    </xf>
    <xf numFmtId="168" fontId="6" fillId="22" borderId="0" xfId="57" applyNumberFormat="1" applyFont="1" applyFill="1" applyBorder="1" applyAlignment="1">
      <alignment horizontal="right"/>
    </xf>
    <xf numFmtId="199" fontId="6" fillId="0" borderId="0" xfId="57" applyNumberFormat="1" applyFont="1" applyFill="1" applyBorder="1" applyAlignment="1" applyProtection="1">
      <alignment horizontal="right"/>
    </xf>
    <xf numFmtId="199" fontId="6" fillId="0" borderId="37" xfId="57" applyNumberFormat="1" applyFont="1" applyFill="1" applyBorder="1" applyAlignment="1" applyProtection="1">
      <alignment horizontal="right"/>
    </xf>
    <xf numFmtId="199" fontId="8" fillId="0" borderId="0" xfId="57" applyNumberFormat="1" applyFont="1" applyFill="1" applyBorder="1" applyAlignment="1" applyProtection="1">
      <alignment horizontal="right"/>
    </xf>
    <xf numFmtId="168" fontId="8" fillId="0" borderId="22" xfId="57" applyNumberFormat="1" applyFont="1" applyFill="1" applyBorder="1" applyAlignment="1" applyProtection="1">
      <alignment horizontal="right"/>
    </xf>
    <xf numFmtId="168" fontId="8" fillId="0" borderId="28" xfId="57" applyNumberFormat="1" applyFont="1" applyFill="1" applyBorder="1" applyAlignment="1" applyProtection="1">
      <alignment horizontal="right"/>
    </xf>
    <xf numFmtId="199" fontId="8" fillId="0" borderId="37" xfId="57" applyNumberFormat="1" applyFont="1" applyFill="1" applyBorder="1" applyAlignment="1" applyProtection="1">
      <alignment horizontal="right"/>
    </xf>
    <xf numFmtId="0" fontId="24" fillId="25" borderId="0" xfId="57" applyFont="1" applyFill="1"/>
    <xf numFmtId="0" fontId="24" fillId="25" borderId="15" xfId="57" applyFont="1" applyFill="1" applyBorder="1"/>
    <xf numFmtId="166" fontId="24" fillId="25" borderId="0" xfId="57" applyNumberFormat="1" applyFont="1" applyFill="1" applyBorder="1" applyAlignment="1" applyProtection="1">
      <alignment horizontal="right"/>
    </xf>
    <xf numFmtId="166" fontId="24" fillId="25" borderId="0" xfId="57" applyNumberFormat="1" applyFont="1" applyFill="1" applyBorder="1"/>
    <xf numFmtId="0" fontId="24" fillId="25" borderId="0" xfId="57" applyFont="1" applyFill="1" applyBorder="1"/>
    <xf numFmtId="165" fontId="24" fillId="25" borderId="0" xfId="57" applyNumberFormat="1" applyFont="1" applyFill="1" applyBorder="1"/>
    <xf numFmtId="7" fontId="24" fillId="25" borderId="0" xfId="57" applyNumberFormat="1" applyFont="1" applyFill="1" applyBorder="1"/>
    <xf numFmtId="0" fontId="24" fillId="25" borderId="22" xfId="57" applyFont="1" applyFill="1" applyBorder="1"/>
    <xf numFmtId="0" fontId="24" fillId="25" borderId="28" xfId="57" applyFont="1" applyFill="1" applyBorder="1"/>
    <xf numFmtId="0" fontId="24" fillId="22" borderId="0" xfId="57" applyFont="1" applyFill="1" applyBorder="1"/>
    <xf numFmtId="0" fontId="41" fillId="23" borderId="0" xfId="57" applyFont="1" applyFill="1" applyBorder="1"/>
    <xf numFmtId="0" fontId="24" fillId="23" borderId="0" xfId="57" applyFont="1" applyFill="1" applyBorder="1"/>
    <xf numFmtId="0" fontId="7" fillId="22" borderId="0" xfId="57" applyFont="1" applyFill="1" applyBorder="1"/>
    <xf numFmtId="0" fontId="24" fillId="0" borderId="0" xfId="57" applyFont="1" applyFill="1"/>
    <xf numFmtId="0" fontId="24" fillId="22" borderId="0" xfId="57" applyFont="1" applyFill="1"/>
    <xf numFmtId="0" fontId="5" fillId="23" borderId="0" xfId="57" applyNumberFormat="1" applyFont="1" applyFill="1" applyBorder="1" applyAlignment="1" applyProtection="1">
      <alignment horizontal="left"/>
    </xf>
    <xf numFmtId="0" fontId="5" fillId="23" borderId="51" xfId="57" applyNumberFormat="1" applyFont="1" applyFill="1" applyBorder="1" applyAlignment="1" applyProtection="1"/>
    <xf numFmtId="168" fontId="5" fillId="23" borderId="15" xfId="57" applyNumberFormat="1" applyFont="1" applyFill="1" applyBorder="1" applyAlignment="1" applyProtection="1"/>
    <xf numFmtId="168" fontId="15" fillId="23" borderId="0" xfId="57" applyNumberFormat="1" applyFont="1" applyFill="1" applyBorder="1" applyAlignment="1" applyProtection="1"/>
    <xf numFmtId="168" fontId="15" fillId="23" borderId="15" xfId="57" applyNumberFormat="1" applyFont="1" applyFill="1" applyBorder="1" applyAlignment="1" applyProtection="1"/>
    <xf numFmtId="169" fontId="6" fillId="0" borderId="0" xfId="46" applyNumberFormat="1" applyFont="1" applyFill="1" applyBorder="1" applyAlignment="1" applyProtection="1">
      <alignment horizontal="left" indent="2"/>
      <protection locked="0"/>
    </xf>
    <xf numFmtId="0" fontId="5" fillId="0" borderId="51" xfId="57" applyNumberFormat="1" applyFont="1" applyFill="1" applyBorder="1" applyAlignment="1" applyProtection="1"/>
    <xf numFmtId="169" fontId="6" fillId="22" borderId="0" xfId="59" applyNumberFormat="1" applyFont="1" applyFill="1" applyBorder="1" applyAlignment="1" applyProtection="1">
      <protection locked="0"/>
    </xf>
    <xf numFmtId="202" fontId="5" fillId="0" borderId="36" xfId="57" applyNumberFormat="1" applyFont="1" applyFill="1" applyBorder="1" applyAlignment="1" applyProtection="1"/>
    <xf numFmtId="203" fontId="6" fillId="23" borderId="0" xfId="57" applyNumberFormat="1" applyFont="1" applyFill="1" applyBorder="1" applyAlignment="1" applyProtection="1"/>
    <xf numFmtId="164" fontId="5" fillId="0" borderId="28" xfId="57" applyNumberFormat="1" applyFont="1" applyFill="1" applyBorder="1" applyAlignment="1" applyProtection="1">
      <alignment horizontal="left" indent="1"/>
      <protection locked="0"/>
    </xf>
    <xf numFmtId="164" fontId="5" fillId="0" borderId="51" xfId="57" applyNumberFormat="1" applyFont="1" applyFill="1" applyBorder="1" applyAlignment="1" applyProtection="1"/>
    <xf numFmtId="164" fontId="5" fillId="0" borderId="15" xfId="57" applyNumberFormat="1" applyFont="1" applyFill="1" applyBorder="1" applyAlignment="1" applyProtection="1"/>
    <xf numFmtId="164" fontId="23" fillId="0" borderId="0" xfId="34" applyNumberFormat="1" applyFont="1" applyFill="1" applyBorder="1" applyAlignment="1" applyProtection="1">
      <alignment horizontal="right"/>
    </xf>
    <xf numFmtId="0" fontId="14" fillId="22" borderId="51" xfId="57" applyFont="1" applyFill="1" applyBorder="1" applyAlignment="1" applyProtection="1"/>
    <xf numFmtId="0" fontId="14" fillId="22" borderId="0" xfId="57" applyFont="1" applyFill="1" applyBorder="1" applyAlignment="1"/>
    <xf numFmtId="168" fontId="14" fillId="22" borderId="0" xfId="57" applyNumberFormat="1" applyFont="1" applyFill="1" applyBorder="1" applyAlignment="1"/>
    <xf numFmtId="169" fontId="6" fillId="22" borderId="22" xfId="57" applyNumberFormat="1" applyFont="1" applyFill="1" applyBorder="1" applyAlignment="1" applyProtection="1"/>
    <xf numFmtId="169" fontId="6" fillId="22" borderId="28" xfId="57" applyNumberFormat="1" applyFont="1" applyFill="1" applyBorder="1" applyAlignment="1" applyProtection="1"/>
    <xf numFmtId="168" fontId="6" fillId="23" borderId="0" xfId="59" applyNumberFormat="1" applyFont="1" applyFill="1" applyBorder="1" applyAlignment="1" applyProtection="1"/>
    <xf numFmtId="0" fontId="6" fillId="23" borderId="0" xfId="57" applyFont="1" applyFill="1" applyBorder="1" applyAlignment="1" applyProtection="1"/>
    <xf numFmtId="168" fontId="7" fillId="0" borderId="0" xfId="46" applyNumberFormat="1" applyFont="1" applyFill="1" applyBorder="1" applyAlignment="1" applyProtection="1">
      <alignment horizontal="left" indent="1"/>
      <protection locked="0"/>
    </xf>
    <xf numFmtId="0" fontId="7" fillId="0" borderId="51" xfId="57" applyNumberFormat="1" applyFont="1" applyFill="1" applyBorder="1" applyAlignment="1" applyProtection="1"/>
    <xf numFmtId="0" fontId="7" fillId="0" borderId="0" xfId="57" applyNumberFormat="1" applyFont="1" applyFill="1" applyBorder="1" applyAlignment="1" applyProtection="1"/>
    <xf numFmtId="168" fontId="7" fillId="0" borderId="15" xfId="57" applyNumberFormat="1" applyFont="1" applyFill="1" applyBorder="1" applyAlignment="1" applyProtection="1"/>
    <xf numFmtId="168" fontId="7" fillId="0" borderId="0" xfId="57" applyNumberFormat="1" applyFont="1" applyFill="1" applyBorder="1" applyAlignment="1" applyProtection="1"/>
    <xf numFmtId="168" fontId="7" fillId="22" borderId="0" xfId="57" applyNumberFormat="1" applyFont="1" applyFill="1" applyBorder="1" applyAlignment="1" applyProtection="1"/>
    <xf numFmtId="168" fontId="41" fillId="23" borderId="0" xfId="57" applyNumberFormat="1" applyFont="1" applyFill="1" applyBorder="1" applyAlignment="1" applyProtection="1"/>
    <xf numFmtId="168" fontId="7" fillId="23" borderId="0" xfId="57" applyNumberFormat="1" applyFont="1" applyFill="1" applyBorder="1" applyAlignment="1" applyProtection="1"/>
    <xf numFmtId="0" fontId="75" fillId="22" borderId="0" xfId="57" applyNumberFormat="1" applyFont="1" applyFill="1" applyBorder="1" applyAlignment="1" applyProtection="1"/>
    <xf numFmtId="0" fontId="7" fillId="0" borderId="0" xfId="57" applyFont="1" applyFill="1" applyBorder="1"/>
    <xf numFmtId="0" fontId="15" fillId="23" borderId="22" xfId="57" applyNumberFormat="1" applyFont="1" applyFill="1" applyBorder="1" applyAlignment="1" applyProtection="1"/>
    <xf numFmtId="0" fontId="15" fillId="23" borderId="0" xfId="57" applyNumberFormat="1" applyFont="1" applyFill="1" applyBorder="1" applyAlignment="1" applyProtection="1"/>
    <xf numFmtId="0" fontId="15" fillId="23" borderId="28" xfId="57" applyNumberFormat="1" applyFont="1" applyFill="1" applyBorder="1" applyAlignment="1" applyProtection="1"/>
    <xf numFmtId="166" fontId="5" fillId="0" borderId="28" xfId="57" applyNumberFormat="1" applyFont="1" applyFill="1" applyBorder="1" applyAlignment="1" applyProtection="1">
      <alignment horizontal="left" indent="1"/>
      <protection locked="0"/>
    </xf>
    <xf numFmtId="166" fontId="5" fillId="0" borderId="37" xfId="57" applyNumberFormat="1" applyFont="1" applyFill="1" applyBorder="1" applyAlignment="1" applyProtection="1"/>
    <xf numFmtId="9" fontId="6" fillId="0" borderId="15" xfId="59" applyFont="1" applyFill="1" applyBorder="1" applyAlignment="1" applyProtection="1"/>
    <xf numFmtId="166" fontId="5" fillId="0" borderId="0" xfId="57" applyNumberFormat="1" applyFont="1" applyFill="1" applyBorder="1"/>
    <xf numFmtId="2" fontId="7" fillId="22" borderId="55" xfId="57" applyNumberFormat="1" applyFont="1" applyFill="1" applyBorder="1" applyAlignment="1" applyProtection="1">
      <alignment horizontal="left"/>
      <protection locked="0"/>
    </xf>
    <xf numFmtId="0" fontId="5" fillId="0" borderId="54" xfId="57" applyNumberFormat="1" applyFont="1" applyFill="1" applyBorder="1" applyAlignment="1" applyProtection="1"/>
    <xf numFmtId="0" fontId="5" fillId="0" borderId="14" xfId="57" applyNumberFormat="1" applyFont="1" applyFill="1" applyBorder="1" applyAlignment="1" applyProtection="1"/>
    <xf numFmtId="168" fontId="5" fillId="0" borderId="16" xfId="57" applyNumberFormat="1" applyFont="1" applyFill="1" applyBorder="1" applyAlignment="1" applyProtection="1"/>
    <xf numFmtId="168" fontId="5" fillId="0" borderId="14" xfId="57" applyNumberFormat="1" applyFont="1" applyFill="1" applyBorder="1" applyAlignment="1" applyProtection="1"/>
    <xf numFmtId="168" fontId="7" fillId="0" borderId="14" xfId="57" applyNumberFormat="1" applyFont="1" applyFill="1" applyBorder="1" applyAlignment="1" applyProtection="1"/>
    <xf numFmtId="168" fontId="7" fillId="0" borderId="16" xfId="57" applyNumberFormat="1" applyFont="1" applyFill="1" applyBorder="1" applyAlignment="1" applyProtection="1"/>
    <xf numFmtId="0" fontId="5" fillId="0" borderId="43" xfId="57" applyNumberFormat="1" applyFont="1" applyFill="1" applyBorder="1" applyAlignment="1" applyProtection="1"/>
    <xf numFmtId="0" fontId="5" fillId="0" borderId="55" xfId="57" applyNumberFormat="1" applyFont="1" applyFill="1" applyBorder="1" applyAlignment="1" applyProtection="1"/>
    <xf numFmtId="164" fontId="10" fillId="0" borderId="28" xfId="57" applyNumberFormat="1" applyFont="1" applyFill="1" applyBorder="1" applyAlignment="1" applyProtection="1">
      <alignment horizontal="left" indent="1"/>
      <protection locked="0"/>
    </xf>
    <xf numFmtId="164" fontId="10" fillId="0" borderId="51" xfId="57" applyNumberFormat="1" applyFont="1" applyFill="1" applyBorder="1" applyAlignment="1" applyProtection="1"/>
    <xf numFmtId="164" fontId="10" fillId="0" borderId="0" xfId="57" applyNumberFormat="1" applyFont="1" applyFill="1" applyBorder="1" applyAlignment="1" applyProtection="1"/>
    <xf numFmtId="164" fontId="10" fillId="0" borderId="15" xfId="57" applyNumberFormat="1" applyFont="1" applyFill="1" applyBorder="1" applyAlignment="1" applyProtection="1"/>
    <xf numFmtId="164" fontId="10" fillId="0" borderId="0" xfId="59" applyNumberFormat="1" applyFont="1" applyFill="1" applyBorder="1" applyAlignment="1" applyProtection="1"/>
    <xf numFmtId="164" fontId="10" fillId="0" borderId="22" xfId="57" applyNumberFormat="1" applyFont="1" applyFill="1" applyBorder="1" applyAlignment="1" applyProtection="1"/>
    <xf numFmtId="164" fontId="10" fillId="0" borderId="28" xfId="57" applyNumberFormat="1" applyFont="1" applyFill="1" applyBorder="1" applyAlignment="1" applyProtection="1"/>
    <xf numFmtId="0" fontId="10" fillId="0" borderId="51" xfId="57" applyNumberFormat="1" applyFont="1" applyFill="1" applyBorder="1" applyAlignment="1" applyProtection="1"/>
    <xf numFmtId="0" fontId="10" fillId="0" borderId="0" xfId="57" applyNumberFormat="1" applyFont="1" applyFill="1" applyBorder="1" applyAlignment="1" applyProtection="1"/>
    <xf numFmtId="168" fontId="10" fillId="0" borderId="15" xfId="57" applyNumberFormat="1" applyFont="1" applyFill="1" applyBorder="1" applyAlignment="1" applyProtection="1"/>
    <xf numFmtId="168" fontId="10" fillId="0" borderId="0" xfId="57" applyNumberFormat="1" applyFont="1" applyFill="1" applyBorder="1" applyAlignment="1" applyProtection="1"/>
    <xf numFmtId="0" fontId="10" fillId="0" borderId="22" xfId="57" applyNumberFormat="1" applyFont="1" applyFill="1" applyBorder="1" applyAlignment="1" applyProtection="1"/>
    <xf numFmtId="0" fontId="10" fillId="0" borderId="28" xfId="57" applyNumberFormat="1" applyFont="1" applyFill="1" applyBorder="1" applyAlignment="1" applyProtection="1"/>
    <xf numFmtId="169" fontId="6" fillId="0" borderId="31" xfId="46" applyNumberFormat="1" applyFont="1" applyFill="1" applyBorder="1" applyAlignment="1" applyProtection="1">
      <alignment horizontal="left" indent="2"/>
      <protection locked="0"/>
    </xf>
    <xf numFmtId="0" fontId="5" fillId="0" borderId="58" xfId="57" applyNumberFormat="1" applyFont="1" applyFill="1" applyBorder="1" applyAlignment="1" applyProtection="1"/>
    <xf numFmtId="0" fontId="5" fillId="0" borderId="31" xfId="57" applyNumberFormat="1" applyFont="1" applyFill="1" applyBorder="1" applyAlignment="1" applyProtection="1"/>
    <xf numFmtId="168" fontId="5" fillId="0" borderId="32" xfId="57" applyNumberFormat="1" applyFont="1" applyFill="1" applyBorder="1" applyAlignment="1" applyProtection="1"/>
    <xf numFmtId="168" fontId="5" fillId="0" borderId="31" xfId="57" applyNumberFormat="1" applyFont="1" applyFill="1" applyBorder="1" applyAlignment="1" applyProtection="1"/>
    <xf numFmtId="169" fontId="6" fillId="22" borderId="31" xfId="59" applyNumberFormat="1" applyFont="1" applyFill="1" applyBorder="1" applyAlignment="1" applyProtection="1">
      <protection locked="0"/>
    </xf>
    <xf numFmtId="169" fontId="6" fillId="0" borderId="32" xfId="57" applyNumberFormat="1" applyFont="1" applyFill="1" applyBorder="1" applyAlignment="1" applyProtection="1"/>
    <xf numFmtId="0" fontId="5" fillId="0" borderId="44" xfId="57" applyNumberFormat="1" applyFont="1" applyFill="1" applyBorder="1" applyAlignment="1" applyProtection="1"/>
    <xf numFmtId="0" fontId="5" fillId="0" borderId="59" xfId="57" applyNumberFormat="1" applyFont="1" applyFill="1" applyBorder="1" applyAlignment="1" applyProtection="1"/>
    <xf numFmtId="169" fontId="6" fillId="0" borderId="0" xfId="59" applyNumberFormat="1" applyFont="1" applyFill="1" applyBorder="1" applyAlignment="1" applyProtection="1">
      <protection locked="0"/>
    </xf>
    <xf numFmtId="169" fontId="5" fillId="0" borderId="0" xfId="46" applyNumberFormat="1" applyFont="1" applyFill="1" applyBorder="1" applyAlignment="1" applyProtection="1">
      <alignment horizontal="left" indent="2"/>
      <protection locked="0"/>
    </xf>
    <xf numFmtId="168" fontId="5" fillId="0" borderId="0" xfId="59" applyNumberFormat="1" applyFont="1" applyFill="1" applyBorder="1" applyAlignment="1" applyProtection="1"/>
    <xf numFmtId="168" fontId="15" fillId="0" borderId="0" xfId="59" applyNumberFormat="1" applyFont="1" applyFill="1" applyBorder="1" applyAlignment="1" applyProtection="1"/>
    <xf numFmtId="0" fontId="15" fillId="0" borderId="22" xfId="57" applyNumberFormat="1" applyFont="1" applyFill="1" applyBorder="1" applyAlignment="1" applyProtection="1"/>
    <xf numFmtId="0" fontId="15" fillId="0" borderId="0" xfId="57" applyNumberFormat="1" applyFont="1" applyFill="1" applyBorder="1" applyAlignment="1" applyProtection="1"/>
    <xf numFmtId="0" fontId="15" fillId="0" borderId="28" xfId="57" applyNumberFormat="1" applyFont="1" applyFill="1" applyBorder="1" applyAlignment="1" applyProtection="1"/>
    <xf numFmtId="168" fontId="15" fillId="0" borderId="15" xfId="57" applyNumberFormat="1" applyFont="1" applyFill="1" applyBorder="1" applyAlignment="1" applyProtection="1"/>
    <xf numFmtId="0" fontId="17" fillId="22" borderId="0" xfId="57" applyNumberFormat="1" applyFont="1" applyFill="1" applyBorder="1" applyAlignment="1" applyProtection="1"/>
    <xf numFmtId="2" fontId="5" fillId="0" borderId="60" xfId="57" applyNumberFormat="1" applyFont="1" applyFill="1" applyBorder="1" applyAlignment="1" applyProtection="1">
      <alignment horizontal="left" indent="1"/>
      <protection locked="0"/>
    </xf>
    <xf numFmtId="0" fontId="5" fillId="0" borderId="61" xfId="57" applyNumberFormat="1" applyFont="1" applyFill="1" applyBorder="1" applyAlignment="1" applyProtection="1"/>
    <xf numFmtId="0" fontId="5" fillId="0" borderId="56" xfId="57" applyNumberFormat="1" applyFont="1" applyFill="1" applyBorder="1" applyAlignment="1" applyProtection="1"/>
    <xf numFmtId="168" fontId="5" fillId="0" borderId="62" xfId="57" applyNumberFormat="1" applyFont="1" applyFill="1" applyBorder="1" applyAlignment="1" applyProtection="1"/>
    <xf numFmtId="168" fontId="5" fillId="0" borderId="56" xfId="57" applyNumberFormat="1" applyFont="1" applyFill="1" applyBorder="1" applyAlignment="1" applyProtection="1"/>
    <xf numFmtId="168" fontId="15" fillId="0" borderId="56" xfId="57" applyNumberFormat="1" applyFont="1" applyFill="1" applyBorder="1" applyAlignment="1" applyProtection="1"/>
    <xf numFmtId="0" fontId="15" fillId="0" borderId="63" xfId="57" applyNumberFormat="1" applyFont="1" applyFill="1" applyBorder="1" applyAlignment="1" applyProtection="1"/>
    <xf numFmtId="0" fontId="15" fillId="0" borderId="56" xfId="57" applyNumberFormat="1" applyFont="1" applyFill="1" applyBorder="1" applyAlignment="1" applyProtection="1"/>
    <xf numFmtId="0" fontId="15" fillId="0" borderId="60" xfId="57" applyNumberFormat="1" applyFont="1" applyFill="1" applyBorder="1" applyAlignment="1" applyProtection="1"/>
    <xf numFmtId="168" fontId="15" fillId="0" borderId="62" xfId="57" applyNumberFormat="1" applyFont="1" applyFill="1" applyBorder="1" applyAlignment="1" applyProtection="1"/>
    <xf numFmtId="168" fontId="7" fillId="0" borderId="0" xfId="59" applyNumberFormat="1" applyFont="1" applyFill="1" applyBorder="1" applyAlignment="1" applyProtection="1"/>
    <xf numFmtId="166" fontId="5" fillId="23" borderId="28" xfId="57" applyNumberFormat="1" applyFont="1" applyFill="1" applyBorder="1" applyAlignment="1" applyProtection="1">
      <alignment horizontal="left"/>
      <protection locked="0"/>
    </xf>
    <xf numFmtId="168" fontId="5" fillId="23" borderId="15" xfId="59" applyNumberFormat="1" applyFont="1" applyFill="1" applyBorder="1" applyAlignment="1" applyProtection="1"/>
    <xf numFmtId="166" fontId="5" fillId="26" borderId="0" xfId="57" applyNumberFormat="1" applyFont="1" applyFill="1" applyBorder="1" applyAlignment="1" applyProtection="1"/>
    <xf numFmtId="166" fontId="69" fillId="23" borderId="0" xfId="57" applyNumberFormat="1" applyFont="1" applyFill="1" applyBorder="1" applyAlignment="1" applyProtection="1"/>
    <xf numFmtId="166" fontId="15" fillId="23" borderId="22" xfId="57" applyNumberFormat="1" applyFont="1" applyFill="1" applyBorder="1" applyAlignment="1" applyProtection="1"/>
    <xf numFmtId="166" fontId="15" fillId="23" borderId="0" xfId="57" applyNumberFormat="1" applyFont="1" applyFill="1" applyBorder="1" applyAlignment="1" applyProtection="1"/>
    <xf numFmtId="166" fontId="15" fillId="23" borderId="28" xfId="57" applyNumberFormat="1" applyFont="1" applyFill="1" applyBorder="1" applyAlignment="1" applyProtection="1"/>
    <xf numFmtId="166" fontId="15" fillId="23" borderId="15" xfId="57" applyNumberFormat="1" applyFont="1" applyFill="1" applyBorder="1" applyAlignment="1" applyProtection="1"/>
    <xf numFmtId="164" fontId="6" fillId="23" borderId="0" xfId="57" applyNumberFormat="1" applyFont="1" applyFill="1" applyBorder="1"/>
    <xf numFmtId="168" fontId="5" fillId="23" borderId="37" xfId="57" applyNumberFormat="1" applyFont="1" applyFill="1" applyBorder="1" applyAlignment="1" applyProtection="1"/>
    <xf numFmtId="168" fontId="10" fillId="0" borderId="0" xfId="46" applyNumberFormat="1" applyFont="1" applyFill="1" applyBorder="1" applyAlignment="1" applyProtection="1">
      <alignment horizontal="left"/>
      <protection locked="0"/>
    </xf>
    <xf numFmtId="0" fontId="10" fillId="0" borderId="0" xfId="57" applyFont="1" applyFill="1" applyBorder="1"/>
    <xf numFmtId="0" fontId="10" fillId="22" borderId="0" xfId="57" applyFont="1" applyFill="1" applyBorder="1"/>
    <xf numFmtId="1" fontId="28" fillId="25" borderId="0" xfId="57" applyNumberFormat="1" applyFont="1" applyFill="1" applyBorder="1" applyAlignment="1" applyProtection="1">
      <alignment horizontal="left"/>
    </xf>
    <xf numFmtId="168" fontId="19" fillId="25" borderId="0" xfId="59" applyNumberFormat="1" applyFont="1" applyFill="1" applyBorder="1" applyAlignment="1" applyProtection="1"/>
    <xf numFmtId="164" fontId="17" fillId="23" borderId="51" xfId="57" applyNumberFormat="1" applyFont="1" applyFill="1" applyBorder="1" applyAlignment="1" applyProtection="1"/>
    <xf numFmtId="164" fontId="17" fillId="23" borderId="0" xfId="57" applyNumberFormat="1" applyFont="1" applyFill="1" applyBorder="1" applyAlignment="1"/>
    <xf numFmtId="164" fontId="17" fillId="23" borderId="0" xfId="57" applyNumberFormat="1" applyFont="1" applyFill="1" applyBorder="1" applyAlignment="1" applyProtection="1"/>
    <xf numFmtId="164" fontId="5" fillId="26" borderId="0" xfId="57" applyNumberFormat="1" applyFont="1" applyFill="1" applyBorder="1" applyAlignment="1" applyProtection="1"/>
    <xf numFmtId="164" fontId="5" fillId="28" borderId="0" xfId="57" applyNumberFormat="1" applyFont="1" applyFill="1" applyBorder="1" applyAlignment="1" applyProtection="1"/>
    <xf numFmtId="164" fontId="5" fillId="23" borderId="22" xfId="57" applyNumberFormat="1" applyFont="1" applyFill="1" applyBorder="1" applyAlignment="1" applyProtection="1"/>
    <xf numFmtId="164" fontId="5" fillId="23" borderId="28" xfId="57" applyNumberFormat="1" applyFont="1" applyFill="1" applyBorder="1" applyAlignment="1" applyProtection="1"/>
    <xf numFmtId="203" fontId="6" fillId="0" borderId="15" xfId="57" applyNumberFormat="1" applyFont="1" applyFill="1" applyBorder="1" applyAlignment="1" applyProtection="1"/>
    <xf numFmtId="166" fontId="6" fillId="22" borderId="0" xfId="57" applyNumberFormat="1" applyFont="1" applyFill="1" applyBorder="1"/>
    <xf numFmtId="164" fontId="5" fillId="23" borderId="0" xfId="57" applyNumberFormat="1" applyFont="1" applyFill="1" applyBorder="1"/>
    <xf numFmtId="168" fontId="8" fillId="22" borderId="15" xfId="59" applyNumberFormat="1" applyFont="1" applyFill="1" applyBorder="1" applyAlignment="1" applyProtection="1"/>
    <xf numFmtId="168" fontId="6" fillId="0" borderId="0" xfId="46" applyNumberFormat="1" applyFont="1" applyFill="1" applyBorder="1" applyAlignment="1" applyProtection="1">
      <alignment horizontal="left" indent="2"/>
      <protection locked="0"/>
    </xf>
    <xf numFmtId="0" fontId="14" fillId="0" borderId="51" xfId="57" applyFont="1" applyFill="1" applyBorder="1" applyAlignment="1" applyProtection="1"/>
    <xf numFmtId="0" fontId="14" fillId="0" borderId="0" xfId="57" applyFont="1" applyFill="1" applyBorder="1" applyAlignment="1"/>
    <xf numFmtId="0" fontId="14" fillId="0" borderId="0" xfId="57" applyFont="1" applyFill="1" applyBorder="1" applyAlignment="1" applyProtection="1"/>
    <xf numFmtId="168" fontId="14" fillId="0" borderId="0" xfId="57" applyNumberFormat="1" applyFont="1" applyFill="1" applyBorder="1" applyAlignment="1"/>
    <xf numFmtId="168" fontId="14" fillId="0" borderId="0" xfId="57" applyNumberFormat="1" applyFont="1" applyFill="1" applyBorder="1" applyAlignment="1" applyProtection="1"/>
    <xf numFmtId="166" fontId="7" fillId="0" borderId="56" xfId="57" applyNumberFormat="1" applyFont="1" applyFill="1" applyBorder="1" applyAlignment="1" applyProtection="1">
      <alignment horizontal="left"/>
    </xf>
    <xf numFmtId="166" fontId="76" fillId="0" borderId="61" xfId="57" applyNumberFormat="1" applyFont="1" applyFill="1" applyBorder="1" applyAlignment="1" applyProtection="1"/>
    <xf numFmtId="166" fontId="76" fillId="0" borderId="56" xfId="57" applyNumberFormat="1" applyFont="1" applyFill="1" applyBorder="1" applyAlignment="1" applyProtection="1"/>
    <xf numFmtId="166" fontId="7" fillId="0" borderId="62" xfId="57" applyNumberFormat="1" applyFont="1" applyFill="1" applyBorder="1" applyAlignment="1" applyProtection="1"/>
    <xf numFmtId="166" fontId="7" fillId="0" borderId="56" xfId="57" applyNumberFormat="1" applyFont="1" applyFill="1" applyBorder="1" applyAlignment="1" applyProtection="1"/>
    <xf numFmtId="166" fontId="7" fillId="0" borderId="63" xfId="57" applyNumberFormat="1" applyFont="1" applyFill="1" applyBorder="1" applyAlignment="1" applyProtection="1"/>
    <xf numFmtId="166" fontId="7" fillId="0" borderId="60" xfId="57" applyNumberFormat="1" applyFont="1" applyFill="1" applyBorder="1" applyAlignment="1" applyProtection="1"/>
    <xf numFmtId="166" fontId="7" fillId="22" borderId="0" xfId="57" applyNumberFormat="1" applyFont="1" applyFill="1" applyBorder="1" applyAlignment="1" applyProtection="1"/>
    <xf numFmtId="166" fontId="41" fillId="23" borderId="0" xfId="57" applyNumberFormat="1" applyFont="1" applyFill="1" applyBorder="1" applyAlignment="1" applyProtection="1"/>
    <xf numFmtId="166" fontId="7" fillId="23" borderId="0" xfId="57" applyNumberFormat="1" applyFont="1" applyFill="1" applyBorder="1" applyAlignment="1" applyProtection="1"/>
    <xf numFmtId="166" fontId="75" fillId="22" borderId="0" xfId="46" applyNumberFormat="1" applyFont="1" applyFill="1" applyBorder="1" applyAlignment="1" applyProtection="1"/>
    <xf numFmtId="166" fontId="7" fillId="0" borderId="56" xfId="57" applyNumberFormat="1" applyFont="1" applyFill="1" applyBorder="1"/>
    <xf numFmtId="164" fontId="6" fillId="22" borderId="0" xfId="57" applyNumberFormat="1" applyFont="1" applyFill="1" applyBorder="1" applyAlignment="1" applyProtection="1">
      <alignment horizontal="left" indent="1"/>
    </xf>
    <xf numFmtId="164" fontId="14" fillId="22" borderId="51" xfId="57" applyNumberFormat="1" applyFont="1" applyFill="1" applyBorder="1" applyAlignment="1" applyProtection="1"/>
    <xf numFmtId="164" fontId="14" fillId="22" borderId="0" xfId="57" applyNumberFormat="1" applyFont="1" applyFill="1" applyBorder="1" applyAlignment="1"/>
    <xf numFmtId="164" fontId="22" fillId="22" borderId="0" xfId="57" applyNumberFormat="1" applyFont="1" applyFill="1" applyBorder="1" applyAlignment="1" applyProtection="1"/>
    <xf numFmtId="164" fontId="6" fillId="0" borderId="0" xfId="57" applyNumberFormat="1" applyFont="1" applyFill="1" applyBorder="1" applyAlignment="1" applyProtection="1"/>
    <xf numFmtId="164" fontId="6" fillId="22" borderId="22" xfId="57" applyNumberFormat="1" applyFont="1" applyFill="1" applyBorder="1" applyAlignment="1" applyProtection="1"/>
    <xf numFmtId="164" fontId="6" fillId="22" borderId="28" xfId="57" applyNumberFormat="1" applyFont="1" applyFill="1" applyBorder="1" applyAlignment="1" applyProtection="1"/>
    <xf numFmtId="164" fontId="6" fillId="0" borderId="0" xfId="57" applyNumberFormat="1" applyFont="1" applyFill="1" applyBorder="1"/>
    <xf numFmtId="164" fontId="6" fillId="0" borderId="15" xfId="57" applyNumberFormat="1" applyFont="1" applyFill="1" applyBorder="1" applyAlignment="1" applyProtection="1"/>
    <xf numFmtId="164" fontId="16" fillId="23" borderId="0" xfId="57" applyNumberFormat="1" applyFont="1" applyFill="1" applyBorder="1" applyAlignment="1" applyProtection="1"/>
    <xf numFmtId="168" fontId="22" fillId="22" borderId="0" xfId="59" applyNumberFormat="1" applyFont="1" applyFill="1" applyBorder="1" applyAlignment="1" applyProtection="1">
      <alignment horizontal="left" indent="2"/>
    </xf>
    <xf numFmtId="168" fontId="6" fillId="22" borderId="51" xfId="57" applyNumberFormat="1" applyFont="1" applyFill="1" applyBorder="1" applyAlignment="1">
      <alignment horizontal="right"/>
    </xf>
    <xf numFmtId="168" fontId="6" fillId="22" borderId="15" xfId="57" applyNumberFormat="1" applyFont="1" applyFill="1" applyBorder="1" applyAlignment="1">
      <alignment horizontal="right"/>
    </xf>
    <xf numFmtId="168" fontId="6" fillId="22" borderId="22" xfId="57" applyNumberFormat="1" applyFont="1" applyFill="1" applyBorder="1" applyAlignment="1">
      <alignment horizontal="right"/>
    </xf>
    <xf numFmtId="168" fontId="6" fillId="22" borderId="28" xfId="57" applyNumberFormat="1" applyFont="1" applyFill="1" applyBorder="1" applyAlignment="1">
      <alignment horizontal="right"/>
    </xf>
    <xf numFmtId="168" fontId="5" fillId="22" borderId="15" xfId="57" applyNumberFormat="1" applyFont="1" applyFill="1" applyBorder="1" applyAlignment="1" applyProtection="1">
      <alignment horizontal="right"/>
    </xf>
    <xf numFmtId="168" fontId="6" fillId="0" borderId="0" xfId="57" applyNumberFormat="1" applyFont="1" applyFill="1"/>
    <xf numFmtId="168" fontId="6" fillId="22" borderId="0" xfId="57" applyNumberFormat="1" applyFont="1" applyFill="1"/>
    <xf numFmtId="171" fontId="5" fillId="23" borderId="0" xfId="57" applyNumberFormat="1" applyFont="1" applyFill="1" applyBorder="1" applyAlignment="1" applyProtection="1"/>
    <xf numFmtId="164" fontId="24" fillId="25" borderId="15" xfId="57" applyNumberFormat="1" applyFont="1" applyFill="1" applyBorder="1"/>
    <xf numFmtId="164" fontId="5" fillId="0" borderId="28" xfId="57" applyNumberFormat="1" applyFont="1" applyFill="1" applyBorder="1" applyAlignment="1" applyProtection="1">
      <alignment horizontal="left"/>
      <protection locked="0"/>
    </xf>
    <xf numFmtId="0" fontId="14" fillId="22" borderId="0" xfId="57" applyNumberFormat="1" applyFont="1" applyFill="1" applyBorder="1" applyAlignment="1"/>
    <xf numFmtId="164" fontId="5" fillId="0" borderId="37" xfId="57" applyNumberFormat="1" applyFont="1" applyFill="1" applyBorder="1" applyAlignment="1" applyProtection="1"/>
    <xf numFmtId="22" fontId="28" fillId="25" borderId="0" xfId="46" applyNumberFormat="1" applyFont="1" applyFill="1" applyBorder="1" applyAlignment="1" applyProtection="1">
      <alignment horizontal="left"/>
      <protection locked="0"/>
    </xf>
    <xf numFmtId="0" fontId="14" fillId="25" borderId="51" xfId="46" applyFont="1" applyFill="1" applyBorder="1"/>
    <xf numFmtId="0" fontId="14" fillId="25" borderId="0" xfId="46" applyFont="1" applyFill="1" applyBorder="1"/>
    <xf numFmtId="0" fontId="22" fillId="25" borderId="15" xfId="46" applyFont="1" applyFill="1" applyBorder="1" applyAlignment="1">
      <alignment horizontal="right"/>
    </xf>
    <xf numFmtId="0" fontId="6" fillId="25" borderId="0" xfId="46" applyFont="1" applyFill="1" applyBorder="1"/>
    <xf numFmtId="0" fontId="22" fillId="25" borderId="0" xfId="46" applyFont="1" applyFill="1" applyBorder="1"/>
    <xf numFmtId="0" fontId="6" fillId="25" borderId="0" xfId="46" applyFont="1" applyFill="1" applyBorder="1" applyAlignment="1">
      <alignment horizontal="right"/>
    </xf>
    <xf numFmtId="0" fontId="22" fillId="25" borderId="0" xfId="46" applyFont="1" applyFill="1" applyBorder="1" applyAlignment="1">
      <alignment horizontal="right"/>
    </xf>
    <xf numFmtId="0" fontId="6" fillId="25" borderId="0" xfId="46" applyFont="1" applyFill="1" applyBorder="1" applyAlignment="1">
      <alignment horizontal="left"/>
    </xf>
    <xf numFmtId="0" fontId="6" fillId="25" borderId="15" xfId="46" applyFont="1" applyFill="1" applyBorder="1" applyAlignment="1">
      <alignment horizontal="right"/>
    </xf>
    <xf numFmtId="0" fontId="6" fillId="25" borderId="22" xfId="46" applyFont="1" applyFill="1" applyBorder="1" applyAlignment="1">
      <alignment horizontal="right"/>
    </xf>
    <xf numFmtId="0" fontId="6" fillId="25" borderId="28" xfId="46" applyFont="1" applyFill="1" applyBorder="1" applyAlignment="1">
      <alignment horizontal="right"/>
    </xf>
    <xf numFmtId="0" fontId="6" fillId="23" borderId="0" xfId="0" applyFont="1" applyFill="1" applyBorder="1" applyAlignment="1" applyProtection="1"/>
    <xf numFmtId="0" fontId="14" fillId="22" borderId="0" xfId="46" applyFont="1" applyFill="1" applyBorder="1" applyAlignment="1"/>
    <xf numFmtId="166" fontId="6" fillId="22" borderId="0" xfId="57" applyNumberFormat="1" applyFont="1" applyFill="1" applyBorder="1" applyAlignment="1" applyProtection="1">
      <alignment horizontal="left" indent="1"/>
    </xf>
    <xf numFmtId="166" fontId="14" fillId="22" borderId="51" xfId="57" applyNumberFormat="1" applyFont="1" applyFill="1" applyBorder="1" applyAlignment="1" applyProtection="1"/>
    <xf numFmtId="166" fontId="14" fillId="22" borderId="0" xfId="57" applyNumberFormat="1" applyFont="1" applyFill="1" applyBorder="1" applyAlignment="1"/>
    <xf numFmtId="166" fontId="6" fillId="22" borderId="15" xfId="57" applyNumberFormat="1" applyFont="1" applyFill="1" applyBorder="1" applyAlignment="1" applyProtection="1"/>
    <xf numFmtId="166" fontId="22" fillId="22" borderId="0" xfId="57" applyNumberFormat="1" applyFont="1" applyFill="1" applyBorder="1" applyAlignment="1" applyProtection="1"/>
    <xf numFmtId="166" fontId="6" fillId="0" borderId="0" xfId="57" applyNumberFormat="1" applyFont="1" applyFill="1" applyBorder="1" applyAlignment="1" applyProtection="1"/>
    <xf numFmtId="166" fontId="8" fillId="0" borderId="0" xfId="57" applyNumberFormat="1" applyFont="1" applyFill="1" applyBorder="1" applyAlignment="1" applyProtection="1"/>
    <xf numFmtId="166" fontId="6" fillId="22" borderId="22" xfId="57" applyNumberFormat="1" applyFont="1" applyFill="1" applyBorder="1" applyAlignment="1" applyProtection="1"/>
    <xf numFmtId="166" fontId="6" fillId="22" borderId="28" xfId="57" applyNumberFormat="1" applyFont="1" applyFill="1" applyBorder="1" applyAlignment="1" applyProtection="1"/>
    <xf numFmtId="166" fontId="8" fillId="22" borderId="15" xfId="57" applyNumberFormat="1" applyFont="1" applyFill="1" applyBorder="1" applyAlignment="1" applyProtection="1"/>
    <xf numFmtId="169" fontId="6" fillId="22" borderId="0" xfId="57" applyNumberFormat="1" applyFont="1" applyFill="1" applyBorder="1" applyAlignment="1"/>
    <xf numFmtId="166" fontId="6" fillId="0" borderId="0" xfId="57" applyNumberFormat="1" applyFont="1" applyFill="1" applyBorder="1"/>
    <xf numFmtId="166" fontId="8" fillId="22" borderId="0" xfId="57" applyNumberFormat="1" applyFont="1" applyFill="1" applyBorder="1" applyAlignment="1" applyProtection="1"/>
    <xf numFmtId="164" fontId="17" fillId="22" borderId="0" xfId="46" applyNumberFormat="1" applyFont="1" applyFill="1" applyBorder="1" applyAlignment="1">
      <alignment horizontal="left" indent="2"/>
    </xf>
    <xf numFmtId="166" fontId="17" fillId="22" borderId="15" xfId="57" applyNumberFormat="1" applyFont="1" applyFill="1" applyBorder="1" applyAlignment="1" applyProtection="1"/>
    <xf numFmtId="166" fontId="6" fillId="22" borderId="0" xfId="57" applyNumberFormat="1" applyFont="1" applyFill="1" applyBorder="1" applyAlignment="1" applyProtection="1">
      <alignment horizontal="left" indent="2"/>
    </xf>
    <xf numFmtId="166" fontId="7" fillId="22" borderId="22" xfId="57" applyNumberFormat="1" applyFont="1" applyFill="1" applyBorder="1" applyAlignment="1" applyProtection="1"/>
    <xf numFmtId="166" fontId="7" fillId="22" borderId="28" xfId="57" applyNumberFormat="1" applyFont="1" applyFill="1" applyBorder="1" applyAlignment="1" applyProtection="1"/>
    <xf numFmtId="166" fontId="17" fillId="22" borderId="51" xfId="57" applyNumberFormat="1" applyFont="1" applyFill="1" applyBorder="1" applyAlignment="1" applyProtection="1"/>
    <xf numFmtId="166" fontId="17" fillId="22" borderId="0" xfId="57" applyNumberFormat="1" applyFont="1" applyFill="1" applyBorder="1" applyAlignment="1" applyProtection="1"/>
    <xf numFmtId="166" fontId="5" fillId="22" borderId="15" xfId="57" applyNumberFormat="1" applyFont="1" applyFill="1" applyBorder="1" applyAlignment="1"/>
    <xf numFmtId="166" fontId="5" fillId="22" borderId="0" xfId="57" applyNumberFormat="1" applyFont="1" applyFill="1" applyBorder="1" applyAlignment="1"/>
    <xf numFmtId="166" fontId="5" fillId="0" borderId="0" xfId="57" applyNumberFormat="1" applyFont="1" applyFill="1" applyBorder="1" applyAlignment="1"/>
    <xf numFmtId="166" fontId="5" fillId="22" borderId="22" xfId="57" applyNumberFormat="1" applyFont="1" applyFill="1" applyBorder="1" applyAlignment="1" applyProtection="1"/>
    <xf numFmtId="166" fontId="5" fillId="22" borderId="28" xfId="57" applyNumberFormat="1" applyFont="1" applyFill="1" applyBorder="1" applyAlignment="1" applyProtection="1"/>
    <xf numFmtId="169" fontId="17" fillId="23" borderId="51" xfId="57" applyNumberFormat="1" applyFont="1" applyFill="1" applyBorder="1" applyAlignment="1" applyProtection="1"/>
    <xf numFmtId="169" fontId="17" fillId="23" borderId="0" xfId="57" applyNumberFormat="1" applyFont="1" applyFill="1" applyBorder="1" applyAlignment="1" applyProtection="1"/>
    <xf numFmtId="166" fontId="5" fillId="23" borderId="0" xfId="57" applyNumberFormat="1" applyFont="1" applyFill="1" applyBorder="1" applyAlignment="1"/>
    <xf numFmtId="166" fontId="23" fillId="23" borderId="0" xfId="57" applyNumberFormat="1" applyFont="1" applyFill="1" applyBorder="1" applyAlignment="1"/>
    <xf numFmtId="166" fontId="23" fillId="23" borderId="15" xfId="57" applyNumberFormat="1" applyFont="1" applyFill="1" applyBorder="1" applyAlignment="1"/>
    <xf numFmtId="0" fontId="5" fillId="23" borderId="0" xfId="57" applyFont="1" applyFill="1" applyBorder="1"/>
    <xf numFmtId="164" fontId="17" fillId="22" borderId="51" xfId="57" applyNumberFormat="1" applyFont="1" applyFill="1" applyBorder="1" applyAlignment="1" applyProtection="1"/>
    <xf numFmtId="164" fontId="17" fillId="22" borderId="0" xfId="57" applyNumberFormat="1" applyFont="1" applyFill="1" applyBorder="1" applyAlignment="1"/>
    <xf numFmtId="164" fontId="17" fillId="22" borderId="0" xfId="57" applyNumberFormat="1" applyFont="1" applyFill="1" applyBorder="1" applyAlignment="1" applyProtection="1"/>
    <xf numFmtId="168" fontId="6" fillId="22" borderId="0" xfId="46" applyNumberFormat="1" applyFont="1" applyFill="1" applyBorder="1" applyAlignment="1">
      <alignment horizontal="left" indent="1"/>
    </xf>
    <xf numFmtId="0" fontId="14" fillId="22" borderId="51" xfId="57" applyNumberFormat="1" applyFont="1" applyFill="1" applyBorder="1" applyAlignment="1"/>
    <xf numFmtId="168" fontId="6" fillId="22" borderId="15" xfId="57" applyNumberFormat="1" applyFont="1" applyFill="1" applyBorder="1" applyAlignment="1"/>
    <xf numFmtId="168" fontId="6" fillId="22" borderId="0" xfId="57" applyNumberFormat="1" applyFont="1" applyFill="1" applyBorder="1" applyAlignment="1"/>
    <xf numFmtId="168" fontId="8" fillId="22" borderId="0" xfId="57" applyNumberFormat="1" applyFont="1" applyFill="1" applyBorder="1" applyAlignment="1"/>
    <xf numFmtId="0" fontId="5" fillId="22" borderId="22" xfId="57" applyNumberFormat="1" applyFont="1" applyFill="1" applyBorder="1" applyAlignment="1"/>
    <xf numFmtId="0" fontId="5" fillId="22" borderId="0" xfId="57" applyNumberFormat="1" applyFont="1" applyFill="1" applyBorder="1" applyAlignment="1"/>
    <xf numFmtId="0" fontId="5" fillId="22" borderId="28" xfId="57" applyNumberFormat="1" applyFont="1" applyFill="1" applyBorder="1" applyAlignment="1"/>
    <xf numFmtId="168" fontId="8" fillId="22" borderId="15" xfId="57" applyNumberFormat="1" applyFont="1" applyFill="1" applyBorder="1" applyAlignment="1"/>
    <xf numFmtId="164" fontId="6" fillId="22" borderId="0" xfId="34" applyNumberFormat="1" applyFont="1" applyFill="1" applyBorder="1" applyAlignment="1">
      <alignment horizontal="left" indent="1"/>
    </xf>
    <xf numFmtId="164" fontId="8" fillId="22" borderId="0" xfId="57" applyNumberFormat="1" applyFont="1" applyFill="1" applyBorder="1" applyAlignment="1" applyProtection="1"/>
    <xf numFmtId="164" fontId="8" fillId="22" borderId="15" xfId="57" applyNumberFormat="1" applyFont="1" applyFill="1" applyBorder="1" applyAlignment="1" applyProtection="1"/>
    <xf numFmtId="165" fontId="23" fillId="22" borderId="0" xfId="57" applyNumberFormat="1" applyFont="1" applyFill="1" applyBorder="1" applyAlignment="1" applyProtection="1"/>
    <xf numFmtId="164" fontId="5" fillId="31" borderId="0" xfId="57" applyNumberFormat="1" applyFont="1" applyFill="1" applyBorder="1" applyAlignment="1" applyProtection="1"/>
    <xf numFmtId="164" fontId="7" fillId="22" borderId="0" xfId="57" applyNumberFormat="1" applyFont="1" applyFill="1" applyBorder="1" applyAlignment="1" applyProtection="1">
      <alignment horizontal="left"/>
    </xf>
    <xf numFmtId="165" fontId="8" fillId="22" borderId="0" xfId="57" applyNumberFormat="1" applyFont="1" applyFill="1" applyBorder="1" applyAlignment="1" applyProtection="1"/>
    <xf numFmtId="164" fontId="6" fillId="22" borderId="0" xfId="57" applyNumberFormat="1" applyFont="1" applyFill="1" applyBorder="1" applyAlignment="1" applyProtection="1">
      <alignment horizontal="left" indent="2"/>
    </xf>
    <xf numFmtId="164" fontId="14" fillId="22" borderId="0" xfId="57" applyNumberFormat="1" applyFont="1" applyFill="1" applyAlignment="1"/>
    <xf numFmtId="164" fontId="6" fillId="22" borderId="0" xfId="57" applyNumberFormat="1" applyFont="1" applyFill="1" applyBorder="1" applyAlignment="1">
      <alignment horizontal="left" indent="2"/>
    </xf>
    <xf numFmtId="164" fontId="6" fillId="22" borderId="15" xfId="57" applyNumberFormat="1" applyFont="1" applyFill="1" applyBorder="1" applyAlignment="1"/>
    <xf numFmtId="164" fontId="6" fillId="22" borderId="0" xfId="57" applyNumberFormat="1" applyFont="1" applyFill="1" applyBorder="1" applyAlignment="1"/>
    <xf numFmtId="164" fontId="22" fillId="22" borderId="0" xfId="57" applyNumberFormat="1" applyFont="1" applyFill="1" applyBorder="1" applyAlignment="1"/>
    <xf numFmtId="164" fontId="6" fillId="0" borderId="0" xfId="57" applyNumberFormat="1" applyFont="1" applyFill="1" applyBorder="1" applyAlignment="1"/>
    <xf numFmtId="164" fontId="6" fillId="0" borderId="15" xfId="57" applyNumberFormat="1" applyFont="1" applyFill="1" applyBorder="1" applyAlignment="1"/>
    <xf numFmtId="164" fontId="6" fillId="22" borderId="0" xfId="57" applyNumberFormat="1" applyFont="1" applyFill="1" applyBorder="1" applyAlignment="1">
      <alignment horizontal="left" indent="1"/>
    </xf>
    <xf numFmtId="164" fontId="14" fillId="22" borderId="51" xfId="57" applyNumberFormat="1" applyFont="1" applyFill="1" applyBorder="1" applyAlignment="1"/>
    <xf numFmtId="164" fontId="5" fillId="22" borderId="0" xfId="57" applyNumberFormat="1" applyFont="1" applyFill="1" applyBorder="1" applyAlignment="1"/>
    <xf numFmtId="164" fontId="23" fillId="22" borderId="0" xfId="57" applyNumberFormat="1" applyFont="1" applyFill="1" applyBorder="1" applyAlignment="1"/>
    <xf numFmtId="166" fontId="5" fillId="22" borderId="15" xfId="57" applyNumberFormat="1" applyFont="1" applyFill="1" applyBorder="1" applyAlignment="1" applyProtection="1"/>
    <xf numFmtId="165" fontId="16" fillId="22" borderId="18" xfId="57" applyNumberFormat="1" applyFont="1" applyFill="1" applyBorder="1"/>
    <xf numFmtId="165" fontId="16" fillId="22" borderId="10" xfId="57" applyNumberFormat="1" applyFont="1" applyFill="1" applyBorder="1"/>
    <xf numFmtId="165" fontId="16" fillId="22" borderId="18" xfId="59" applyNumberFormat="1" applyFont="1" applyFill="1" applyBorder="1"/>
    <xf numFmtId="165" fontId="16" fillId="22" borderId="18" xfId="60" applyNumberFormat="1" applyFont="1" applyFill="1" applyBorder="1"/>
    <xf numFmtId="165" fontId="16" fillId="0" borderId="18" xfId="57" applyNumberFormat="1" applyFont="1" applyFill="1" applyBorder="1"/>
    <xf numFmtId="165" fontId="16" fillId="22" borderId="10" xfId="59" applyNumberFormat="1" applyFont="1" applyFill="1" applyBorder="1"/>
    <xf numFmtId="165" fontId="16" fillId="22" borderId="33" xfId="57" applyNumberFormat="1" applyFont="1" applyFill="1" applyBorder="1"/>
    <xf numFmtId="165" fontId="16" fillId="22" borderId="34" xfId="57" applyNumberFormat="1" applyFont="1" applyFill="1" applyBorder="1"/>
    <xf numFmtId="165" fontId="14" fillId="22" borderId="0" xfId="57" applyNumberFormat="1" applyFont="1" applyFill="1" applyBorder="1" applyAlignment="1"/>
    <xf numFmtId="165" fontId="17" fillId="0" borderId="0" xfId="57" applyNumberFormat="1" applyFont="1" applyFill="1" applyBorder="1"/>
    <xf numFmtId="165" fontId="17" fillId="22" borderId="0" xfId="57" applyNumberFormat="1" applyFont="1" applyFill="1" applyBorder="1"/>
    <xf numFmtId="168" fontId="6" fillId="22" borderId="0" xfId="59" applyNumberFormat="1" applyFont="1" applyFill="1" applyBorder="1"/>
    <xf numFmtId="168" fontId="6" fillId="22" borderId="15" xfId="59" applyNumberFormat="1" applyFont="1" applyFill="1" applyBorder="1"/>
    <xf numFmtId="168" fontId="6" fillId="22" borderId="22" xfId="59" applyNumberFormat="1" applyFont="1" applyFill="1" applyBorder="1"/>
    <xf numFmtId="168" fontId="6" fillId="22" borderId="28" xfId="59" applyNumberFormat="1" applyFont="1" applyFill="1" applyBorder="1"/>
    <xf numFmtId="168" fontId="6" fillId="22" borderId="0" xfId="59" applyNumberFormat="1" applyFont="1" applyFill="1" applyBorder="1" applyAlignment="1">
      <alignment horizontal="left"/>
    </xf>
    <xf numFmtId="168" fontId="14" fillId="22" borderId="0" xfId="59" applyNumberFormat="1" applyFont="1" applyFill="1" applyBorder="1" applyAlignment="1"/>
    <xf numFmtId="168" fontId="17" fillId="0" borderId="0" xfId="59" applyNumberFormat="1" applyFont="1" applyFill="1" applyBorder="1"/>
    <xf numFmtId="168" fontId="17" fillId="22" borderId="0" xfId="59" applyNumberFormat="1" applyFont="1" applyFill="1" applyBorder="1"/>
    <xf numFmtId="165" fontId="5" fillId="22" borderId="18" xfId="57" applyNumberFormat="1" applyFont="1" applyFill="1" applyBorder="1"/>
    <xf numFmtId="165" fontId="5" fillId="22" borderId="10" xfId="57" applyNumberFormat="1" applyFont="1" applyFill="1" applyBorder="1"/>
    <xf numFmtId="165" fontId="5" fillId="22" borderId="18" xfId="59" applyNumberFormat="1" applyFont="1" applyFill="1" applyBorder="1"/>
    <xf numFmtId="165" fontId="5" fillId="22" borderId="18" xfId="60" applyNumberFormat="1" applyFont="1" applyFill="1" applyBorder="1"/>
    <xf numFmtId="165" fontId="5" fillId="22" borderId="10" xfId="59" applyNumberFormat="1" applyFont="1" applyFill="1" applyBorder="1"/>
    <xf numFmtId="165" fontId="5" fillId="22" borderId="33" xfId="57" applyNumberFormat="1" applyFont="1" applyFill="1" applyBorder="1"/>
    <xf numFmtId="165" fontId="5" fillId="22" borderId="34" xfId="57" applyNumberFormat="1" applyFont="1" applyFill="1" applyBorder="1"/>
    <xf numFmtId="168" fontId="4" fillId="32" borderId="0" xfId="57" applyNumberFormat="1" applyFont="1" applyFill="1" applyBorder="1" applyAlignment="1" applyProtection="1"/>
    <xf numFmtId="164" fontId="6" fillId="32" borderId="0" xfId="57" applyNumberFormat="1" applyFont="1" applyFill="1" applyBorder="1" applyAlignment="1" applyProtection="1"/>
    <xf numFmtId="202" fontId="6" fillId="32" borderId="0" xfId="57" applyNumberFormat="1" applyFont="1" applyFill="1" applyBorder="1" applyAlignment="1" applyProtection="1"/>
    <xf numFmtId="168" fontId="22" fillId="23" borderId="0" xfId="57" applyNumberFormat="1" applyFont="1" applyFill="1" applyBorder="1" applyAlignment="1" applyProtection="1"/>
    <xf numFmtId="169" fontId="6" fillId="23" borderId="22" xfId="57" applyNumberFormat="1" applyFont="1" applyFill="1" applyBorder="1" applyAlignment="1" applyProtection="1"/>
    <xf numFmtId="169" fontId="6" fillId="23" borderId="28" xfId="57" applyNumberFormat="1" applyFont="1" applyFill="1" applyBorder="1" applyAlignment="1" applyProtection="1"/>
    <xf numFmtId="169" fontId="22" fillId="22" borderId="0" xfId="57" applyNumberFormat="1" applyFont="1" applyFill="1" applyBorder="1" applyAlignment="1"/>
    <xf numFmtId="169" fontId="6" fillId="22" borderId="15" xfId="57" applyNumberFormat="1" applyFont="1" applyFill="1" applyBorder="1" applyAlignment="1"/>
    <xf numFmtId="169" fontId="6" fillId="0" borderId="0" xfId="57" applyNumberFormat="1" applyFont="1" applyFill="1" applyBorder="1" applyAlignment="1" applyProtection="1"/>
    <xf numFmtId="169" fontId="6" fillId="22" borderId="22" xfId="57" applyNumberFormat="1" applyFont="1" applyFill="1" applyBorder="1" applyAlignment="1"/>
    <xf numFmtId="169" fontId="6" fillId="22" borderId="28" xfId="57" applyNumberFormat="1" applyFont="1" applyFill="1" applyBorder="1" applyAlignment="1"/>
    <xf numFmtId="169" fontId="6" fillId="22" borderId="0" xfId="57" applyNumberFormat="1" applyFont="1" applyFill="1" applyBorder="1" applyAlignment="1" applyProtection="1">
      <alignment horizontal="left" indent="1"/>
      <protection locked="0"/>
    </xf>
    <xf numFmtId="169" fontId="8" fillId="22" borderId="0" xfId="57" applyNumberFormat="1" applyFont="1" applyFill="1" applyBorder="1" applyAlignment="1" applyProtection="1"/>
    <xf numFmtId="169" fontId="8" fillId="22" borderId="15" xfId="57" applyNumberFormat="1" applyFont="1" applyFill="1" applyBorder="1" applyAlignment="1"/>
    <xf numFmtId="169" fontId="23" fillId="22" borderId="0" xfId="57" applyNumberFormat="1" applyFont="1" applyFill="1" applyBorder="1" applyAlignment="1"/>
    <xf numFmtId="169" fontId="5" fillId="22" borderId="15" xfId="57" applyNumberFormat="1" applyFont="1" applyFill="1" applyBorder="1" applyAlignment="1"/>
    <xf numFmtId="169" fontId="5" fillId="0" borderId="0" xfId="57" applyNumberFormat="1" applyFont="1" applyFill="1" applyBorder="1" applyAlignment="1" applyProtection="1"/>
    <xf numFmtId="7" fontId="5" fillId="22" borderId="0" xfId="57" applyNumberFormat="1" applyFont="1" applyFill="1" applyBorder="1" applyAlignment="1" applyProtection="1"/>
    <xf numFmtId="168" fontId="6" fillId="22" borderId="0" xfId="59" applyNumberFormat="1" applyFont="1" applyFill="1" applyBorder="1" applyAlignment="1"/>
    <xf numFmtId="168" fontId="8" fillId="22" borderId="0" xfId="59" applyNumberFormat="1" applyFont="1" applyFill="1" applyBorder="1" applyAlignment="1"/>
    <xf numFmtId="168" fontId="8" fillId="22" borderId="15" xfId="59" applyNumberFormat="1" applyFont="1" applyFill="1" applyBorder="1" applyAlignment="1"/>
    <xf numFmtId="165" fontId="6" fillId="22" borderId="15" xfId="57" applyNumberFormat="1" applyFont="1" applyFill="1" applyBorder="1"/>
    <xf numFmtId="165" fontId="6" fillId="22" borderId="51" xfId="57" applyNumberFormat="1" applyFont="1" applyFill="1" applyBorder="1"/>
    <xf numFmtId="165" fontId="22" fillId="22" borderId="0" xfId="59" applyNumberFormat="1" applyFont="1" applyFill="1" applyBorder="1"/>
    <xf numFmtId="165" fontId="22" fillId="22" borderId="0" xfId="60" applyNumberFormat="1" applyFont="1" applyFill="1" applyBorder="1"/>
    <xf numFmtId="165" fontId="22" fillId="22" borderId="15" xfId="60" applyNumberFormat="1" applyFont="1" applyFill="1" applyBorder="1"/>
    <xf numFmtId="165" fontId="22" fillId="22" borderId="0" xfId="59" applyNumberFormat="1" applyFont="1" applyFill="1" applyBorder="1" applyAlignment="1">
      <alignment horizontal="right"/>
    </xf>
    <xf numFmtId="165" fontId="22" fillId="22" borderId="28" xfId="60" applyNumberFormat="1" applyFont="1" applyFill="1" applyBorder="1"/>
    <xf numFmtId="165" fontId="14" fillId="0" borderId="0" xfId="57" applyNumberFormat="1" applyFont="1" applyFill="1" applyBorder="1"/>
    <xf numFmtId="165" fontId="14" fillId="22" borderId="0" xfId="57" applyNumberFormat="1" applyFont="1" applyFill="1" applyBorder="1"/>
    <xf numFmtId="168" fontId="22" fillId="22" borderId="0" xfId="59" applyNumberFormat="1" applyFont="1" applyFill="1" applyBorder="1"/>
    <xf numFmtId="168" fontId="22" fillId="22" borderId="15" xfId="59" applyNumberFormat="1" applyFont="1" applyFill="1" applyBorder="1"/>
    <xf numFmtId="168" fontId="8" fillId="22" borderId="0" xfId="60" applyNumberFormat="1" applyFont="1" applyFill="1" applyBorder="1"/>
    <xf numFmtId="167" fontId="23" fillId="23" borderId="0" xfId="60" applyNumberFormat="1" applyFont="1" applyFill="1" applyBorder="1" applyAlignment="1" applyProtection="1">
      <alignment horizontal="left" vertical="top"/>
    </xf>
    <xf numFmtId="168" fontId="5" fillId="23" borderId="0" xfId="59" applyNumberFormat="1" applyFont="1" applyFill="1" applyBorder="1"/>
    <xf numFmtId="168" fontId="5" fillId="23" borderId="15" xfId="59" applyNumberFormat="1" applyFont="1" applyFill="1" applyBorder="1"/>
    <xf numFmtId="0" fontId="5" fillId="23" borderId="15" xfId="57" applyFont="1" applyFill="1" applyBorder="1"/>
    <xf numFmtId="0" fontId="5" fillId="23" borderId="64" xfId="57" applyFont="1" applyFill="1" applyBorder="1"/>
    <xf numFmtId="169" fontId="4" fillId="23" borderId="0" xfId="57" applyNumberFormat="1" applyFont="1" applyFill="1" applyBorder="1"/>
    <xf numFmtId="169" fontId="5" fillId="23" borderId="0" xfId="57" applyNumberFormat="1" applyFont="1" applyFill="1" applyBorder="1"/>
    <xf numFmtId="164" fontId="6" fillId="22" borderId="0" xfId="57" applyNumberFormat="1" applyFont="1" applyFill="1" applyBorder="1" applyAlignment="1" applyProtection="1">
      <alignment horizontal="left" indent="1"/>
      <protection locked="0"/>
    </xf>
    <xf numFmtId="164" fontId="6" fillId="0" borderId="0" xfId="57" applyNumberFormat="1" applyFont="1" applyFill="1" applyBorder="1" applyAlignment="1">
      <alignment horizontal="right"/>
    </xf>
    <xf numFmtId="164" fontId="8" fillId="22" borderId="0" xfId="57" applyNumberFormat="1" applyFont="1" applyFill="1" applyBorder="1" applyAlignment="1"/>
    <xf numFmtId="164" fontId="8" fillId="22" borderId="15" xfId="57" applyNumberFormat="1" applyFont="1" applyFill="1" applyBorder="1" applyAlignment="1"/>
    <xf numFmtId="164" fontId="6" fillId="0" borderId="0" xfId="57" applyNumberFormat="1" applyFont="1" applyFill="1" applyBorder="1" applyAlignment="1" applyProtection="1">
      <alignment horizontal="left"/>
    </xf>
    <xf numFmtId="165" fontId="5" fillId="0" borderId="0" xfId="57" applyNumberFormat="1" applyFont="1" applyFill="1" applyBorder="1" applyAlignment="1" applyProtection="1">
      <alignment horizontal="left"/>
    </xf>
    <xf numFmtId="165" fontId="5" fillId="22" borderId="15" xfId="57" applyNumberFormat="1" applyFont="1" applyFill="1" applyBorder="1" applyAlignment="1" applyProtection="1"/>
    <xf numFmtId="165" fontId="5" fillId="22" borderId="0" xfId="57" applyNumberFormat="1" applyFont="1" applyFill="1" applyBorder="1" applyAlignment="1"/>
    <xf numFmtId="165" fontId="5" fillId="0" borderId="0" xfId="57" applyNumberFormat="1" applyFont="1" applyFill="1" applyBorder="1" applyAlignment="1"/>
    <xf numFmtId="165" fontId="14" fillId="22" borderId="0" xfId="57" applyNumberFormat="1" applyFont="1" applyFill="1" applyBorder="1" applyAlignment="1" applyProtection="1"/>
    <xf numFmtId="165" fontId="5" fillId="22" borderId="0" xfId="57" applyNumberFormat="1" applyFont="1" applyFill="1" applyBorder="1"/>
    <xf numFmtId="0" fontId="5" fillId="22" borderId="0" xfId="57" applyNumberFormat="1" applyFont="1" applyFill="1" applyBorder="1" applyAlignment="1">
      <alignment horizontal="left" indent="1"/>
    </xf>
    <xf numFmtId="165" fontId="5" fillId="22" borderId="15" xfId="57" applyNumberFormat="1" applyFont="1" applyFill="1" applyBorder="1" applyAlignment="1"/>
    <xf numFmtId="165" fontId="15" fillId="22" borderId="0" xfId="57" applyNumberFormat="1" applyFont="1" applyFill="1" applyBorder="1" applyAlignment="1"/>
    <xf numFmtId="165" fontId="15" fillId="22" borderId="0" xfId="57" applyNumberFormat="1" applyFont="1" applyFill="1" applyBorder="1" applyAlignment="1" applyProtection="1"/>
    <xf numFmtId="168" fontId="6" fillId="22" borderId="15" xfId="57" applyNumberFormat="1" applyFont="1" applyFill="1" applyBorder="1"/>
    <xf numFmtId="7" fontId="6" fillId="22" borderId="0" xfId="57" applyNumberFormat="1" applyFont="1" applyFill="1" applyBorder="1"/>
    <xf numFmtId="165" fontId="75" fillId="22" borderId="0" xfId="57" applyNumberFormat="1" applyFont="1" applyFill="1" applyBorder="1" applyAlignment="1"/>
    <xf numFmtId="0" fontId="6" fillId="0" borderId="0" xfId="57" applyFont="1" applyBorder="1"/>
    <xf numFmtId="168" fontId="5" fillId="22" borderId="0" xfId="59" applyNumberFormat="1" applyFont="1" applyFill="1" applyBorder="1" applyAlignment="1"/>
    <xf numFmtId="168" fontId="5" fillId="22" borderId="15" xfId="59" applyNumberFormat="1" applyFont="1" applyFill="1" applyBorder="1" applyAlignment="1"/>
    <xf numFmtId="168" fontId="5" fillId="22" borderId="0" xfId="59" applyNumberFormat="1" applyFont="1" applyFill="1" applyBorder="1" applyAlignment="1" applyProtection="1"/>
    <xf numFmtId="0" fontId="28" fillId="24" borderId="0" xfId="57" applyNumberFormat="1" applyFont="1" applyFill="1" applyBorder="1" applyAlignment="1">
      <alignment horizontal="left"/>
    </xf>
    <xf numFmtId="0" fontId="19" fillId="24" borderId="0" xfId="57" applyNumberFormat="1" applyFont="1" applyFill="1" applyBorder="1" applyAlignment="1"/>
    <xf numFmtId="9" fontId="19" fillId="24" borderId="15" xfId="57" applyNumberFormat="1" applyFont="1" applyFill="1" applyBorder="1" applyAlignment="1"/>
    <xf numFmtId="9" fontId="19" fillId="24" borderId="0" xfId="57" applyNumberFormat="1" applyFont="1" applyFill="1" applyBorder="1" applyAlignment="1"/>
    <xf numFmtId="0" fontId="19" fillId="22" borderId="0" xfId="57" applyNumberFormat="1" applyFont="1" applyFill="1" applyBorder="1" applyAlignment="1">
      <alignment horizontal="right"/>
    </xf>
    <xf numFmtId="164" fontId="14" fillId="22" borderId="0" xfId="57" applyNumberFormat="1" applyFont="1" applyFill="1" applyBorder="1" applyAlignment="1">
      <alignment horizontal="right"/>
    </xf>
    <xf numFmtId="0" fontId="6" fillId="22" borderId="0" xfId="57" applyNumberFormat="1" applyFont="1" applyFill="1" applyBorder="1" applyAlignment="1" applyProtection="1">
      <alignment horizontal="left" indent="2"/>
    </xf>
    <xf numFmtId="0" fontId="6" fillId="22" borderId="0" xfId="57" applyNumberFormat="1" applyFont="1" applyFill="1" applyBorder="1" applyAlignment="1" applyProtection="1">
      <protection locked="0"/>
    </xf>
    <xf numFmtId="164" fontId="6" fillId="22" borderId="0" xfId="57" applyNumberFormat="1" applyFont="1" applyFill="1" applyBorder="1" applyAlignment="1" applyProtection="1">
      <protection locked="0"/>
    </xf>
    <xf numFmtId="168" fontId="8" fillId="22" borderId="0" xfId="57" applyNumberFormat="1" applyFont="1" applyFill="1" applyBorder="1" applyAlignment="1" applyProtection="1">
      <protection locked="0"/>
    </xf>
    <xf numFmtId="164" fontId="8" fillId="22" borderId="0" xfId="57" applyNumberFormat="1" applyFont="1" applyFill="1" applyBorder="1" applyAlignment="1" applyProtection="1">
      <protection locked="0"/>
    </xf>
    <xf numFmtId="0" fontId="8" fillId="22" borderId="0" xfId="57" applyNumberFormat="1" applyFont="1" applyFill="1" applyBorder="1" applyAlignment="1">
      <alignment horizontal="right"/>
    </xf>
    <xf numFmtId="164" fontId="6" fillId="22" borderId="29" xfId="57" applyNumberFormat="1" applyFont="1" applyFill="1" applyBorder="1" applyAlignment="1" applyProtection="1"/>
    <xf numFmtId="0" fontId="5" fillId="23" borderId="18" xfId="57" applyNumberFormat="1" applyFont="1" applyFill="1" applyBorder="1" applyAlignment="1">
      <alignment horizontal="left"/>
    </xf>
    <xf numFmtId="0" fontId="5" fillId="23" borderId="18" xfId="57" applyNumberFormat="1" applyFont="1" applyFill="1" applyBorder="1" applyAlignment="1"/>
    <xf numFmtId="164" fontId="5" fillId="23" borderId="10" xfId="57" applyNumberFormat="1" applyFont="1" applyFill="1" applyBorder="1" applyAlignment="1"/>
    <xf numFmtId="164" fontId="5" fillId="23" borderId="18" xfId="57" applyNumberFormat="1" applyFont="1" applyFill="1" applyBorder="1" applyAlignment="1"/>
    <xf numFmtId="0" fontId="14" fillId="22" borderId="0" xfId="57" applyNumberFormat="1" applyFont="1" applyFill="1" applyBorder="1" applyAlignment="1">
      <alignment horizontal="right"/>
    </xf>
    <xf numFmtId="164" fontId="8" fillId="0" borderId="0" xfId="57" applyNumberFormat="1" applyFont="1" applyFill="1" applyBorder="1" applyAlignment="1" applyProtection="1"/>
    <xf numFmtId="164" fontId="8" fillId="0" borderId="15" xfId="57" applyNumberFormat="1" applyFont="1" applyFill="1" applyBorder="1" applyAlignment="1" applyProtection="1"/>
    <xf numFmtId="164" fontId="5" fillId="0" borderId="0" xfId="46" applyNumberFormat="1" applyFont="1" applyFill="1" applyBorder="1" applyAlignment="1">
      <alignment horizontal="left"/>
    </xf>
    <xf numFmtId="164" fontId="5" fillId="0" borderId="0" xfId="46" applyNumberFormat="1" applyFont="1" applyFill="1" applyBorder="1" applyAlignment="1">
      <alignment horizontal="left" indent="2"/>
    </xf>
    <xf numFmtId="164" fontId="5" fillId="0" borderId="15" xfId="57" applyNumberFormat="1" applyFont="1" applyFill="1" applyBorder="1" applyAlignment="1" applyProtection="1">
      <alignment horizontal="right"/>
    </xf>
    <xf numFmtId="164" fontId="5" fillId="0" borderId="0" xfId="57" applyNumberFormat="1" applyFont="1" applyFill="1" applyBorder="1" applyAlignment="1" applyProtection="1">
      <alignment horizontal="center"/>
    </xf>
    <xf numFmtId="164" fontId="28" fillId="0" borderId="0" xfId="57" applyNumberFormat="1" applyFont="1" applyFill="1" applyBorder="1"/>
    <xf numFmtId="164" fontId="28" fillId="23" borderId="0" xfId="57" applyNumberFormat="1" applyFont="1" applyFill="1" applyBorder="1"/>
    <xf numFmtId="164" fontId="6" fillId="0" borderId="0" xfId="46" applyNumberFormat="1" applyFont="1" applyFill="1" applyBorder="1" applyAlignment="1">
      <alignment horizontal="left" indent="2"/>
    </xf>
    <xf numFmtId="169" fontId="6" fillId="22" borderId="0" xfId="46" applyNumberFormat="1" applyFont="1" applyFill="1" applyBorder="1" applyAlignment="1">
      <alignment horizontal="left" indent="2"/>
    </xf>
    <xf numFmtId="168" fontId="6" fillId="22" borderId="15" xfId="57" applyNumberFormat="1" applyFont="1" applyFill="1" applyBorder="1" applyAlignment="1" applyProtection="1">
      <alignment horizontal="right"/>
    </xf>
    <xf numFmtId="168" fontId="6" fillId="0" borderId="0" xfId="57" applyNumberFormat="1" applyFont="1" applyFill="1" applyBorder="1" applyAlignment="1" applyProtection="1">
      <alignment horizontal="center"/>
    </xf>
    <xf numFmtId="164" fontId="6" fillId="0" borderId="0" xfId="57" applyNumberFormat="1" applyFont="1" applyFill="1" applyBorder="1" applyAlignment="1" applyProtection="1">
      <alignment horizontal="right"/>
    </xf>
    <xf numFmtId="0" fontId="28" fillId="22" borderId="0" xfId="57" applyNumberFormat="1" applyFont="1" applyFill="1" applyBorder="1"/>
    <xf numFmtId="0" fontId="4" fillId="23" borderId="0" xfId="57" applyNumberFormat="1" applyFont="1" applyFill="1" applyBorder="1"/>
    <xf numFmtId="0" fontId="28" fillId="23" borderId="0" xfId="57" applyNumberFormat="1" applyFont="1" applyFill="1" applyBorder="1"/>
    <xf numFmtId="164" fontId="5" fillId="0" borderId="65" xfId="57" applyNumberFormat="1" applyFont="1" applyFill="1" applyBorder="1" applyAlignment="1">
      <alignment horizontal="left"/>
    </xf>
    <xf numFmtId="164" fontId="5" fillId="0" borderId="65" xfId="57" applyNumberFormat="1" applyFont="1" applyFill="1" applyBorder="1" applyAlignment="1"/>
    <xf numFmtId="164" fontId="5" fillId="0" borderId="36" xfId="57" applyNumberFormat="1" applyFont="1" applyFill="1" applyBorder="1" applyAlignment="1"/>
    <xf numFmtId="166" fontId="14" fillId="22" borderId="0" xfId="57" applyNumberFormat="1" applyFont="1" applyFill="1" applyBorder="1" applyAlignment="1">
      <alignment horizontal="right"/>
    </xf>
    <xf numFmtId="164" fontId="5" fillId="22" borderId="26" xfId="57" applyNumberFormat="1" applyFont="1" applyFill="1" applyBorder="1" applyAlignment="1" applyProtection="1">
      <alignment horizontal="left"/>
    </xf>
    <xf numFmtId="164" fontId="5" fillId="22" borderId="26" xfId="57" applyNumberFormat="1" applyFont="1" applyFill="1" applyBorder="1" applyAlignment="1" applyProtection="1"/>
    <xf numFmtId="164" fontId="5" fillId="22" borderId="35" xfId="57" applyNumberFormat="1" applyFont="1" applyFill="1" applyBorder="1" applyAlignment="1" applyProtection="1"/>
    <xf numFmtId="164" fontId="23" fillId="22" borderId="26" xfId="57" applyNumberFormat="1" applyFont="1" applyFill="1" applyBorder="1" applyAlignment="1" applyProtection="1"/>
    <xf numFmtId="171" fontId="6" fillId="22" borderId="0" xfId="57" applyNumberFormat="1" applyFont="1" applyFill="1" applyBorder="1" applyAlignment="1" applyProtection="1"/>
    <xf numFmtId="164" fontId="6" fillId="22" borderId="0" xfId="57" applyNumberFormat="1" applyFont="1" applyFill="1" applyBorder="1" applyAlignment="1">
      <alignment horizontal="right"/>
    </xf>
    <xf numFmtId="171" fontId="8" fillId="22" borderId="0" xfId="57" applyNumberFormat="1" applyFont="1" applyFill="1" applyBorder="1" applyAlignment="1" applyProtection="1"/>
    <xf numFmtId="164" fontId="5" fillId="22" borderId="19" xfId="57" applyNumberFormat="1" applyFont="1" applyFill="1" applyBorder="1" applyAlignment="1" applyProtection="1">
      <alignment horizontal="left"/>
    </xf>
    <xf numFmtId="164" fontId="5" fillId="22" borderId="19" xfId="57" applyNumberFormat="1" applyFont="1" applyFill="1" applyBorder="1" applyAlignment="1" applyProtection="1"/>
    <xf numFmtId="164" fontId="5" fillId="22" borderId="17" xfId="57" applyNumberFormat="1" applyFont="1" applyFill="1" applyBorder="1" applyAlignment="1" applyProtection="1"/>
    <xf numFmtId="164" fontId="23" fillId="22" borderId="19" xfId="57" applyNumberFormat="1" applyFont="1" applyFill="1" applyBorder="1" applyAlignment="1" applyProtection="1"/>
    <xf numFmtId="171" fontId="5" fillId="22" borderId="19" xfId="57" applyNumberFormat="1" applyFont="1" applyFill="1" applyBorder="1" applyAlignment="1" applyProtection="1"/>
    <xf numFmtId="164" fontId="5" fillId="0" borderId="19" xfId="57" applyNumberFormat="1" applyFont="1" applyFill="1" applyBorder="1"/>
    <xf numFmtId="164" fontId="5" fillId="22" borderId="19" xfId="57" applyNumberFormat="1" applyFont="1" applyFill="1" applyBorder="1"/>
    <xf numFmtId="164" fontId="19" fillId="24" borderId="15" xfId="57" applyNumberFormat="1" applyFont="1" applyFill="1" applyBorder="1" applyAlignment="1"/>
    <xf numFmtId="164" fontId="19" fillId="24" borderId="0" xfId="57" applyNumberFormat="1" applyFont="1" applyFill="1" applyBorder="1" applyAlignment="1"/>
    <xf numFmtId="0" fontId="14" fillId="23" borderId="51" xfId="57" applyNumberFormat="1" applyFont="1" applyFill="1" applyBorder="1" applyAlignment="1" applyProtection="1"/>
    <xf numFmtId="0" fontId="14" fillId="23" borderId="0" xfId="57" applyNumberFormat="1" applyFont="1" applyFill="1" applyBorder="1" applyAlignment="1" applyProtection="1"/>
    <xf numFmtId="168" fontId="14" fillId="23" borderId="0" xfId="57" applyNumberFormat="1" applyFont="1" applyFill="1" applyBorder="1" applyAlignment="1" applyProtection="1"/>
    <xf numFmtId="167" fontId="6" fillId="22" borderId="15" xfId="57" applyNumberFormat="1" applyFont="1" applyFill="1" applyBorder="1" applyAlignment="1" applyProtection="1"/>
    <xf numFmtId="167" fontId="8" fillId="22" borderId="0" xfId="57" applyNumberFormat="1" applyFont="1" applyFill="1" applyBorder="1" applyAlignment="1"/>
    <xf numFmtId="167" fontId="6" fillId="0" borderId="0" xfId="57" applyNumberFormat="1" applyFont="1" applyFill="1" applyBorder="1" applyAlignment="1" applyProtection="1">
      <alignment horizontal="right"/>
    </xf>
    <xf numFmtId="167" fontId="8" fillId="22" borderId="15" xfId="57" applyNumberFormat="1" applyFont="1" applyFill="1" applyBorder="1" applyAlignment="1"/>
    <xf numFmtId="0" fontId="6" fillId="22" borderId="0" xfId="57" applyNumberFormat="1" applyFont="1" applyFill="1" applyBorder="1" applyAlignment="1">
      <alignment horizontal="left" indent="2"/>
    </xf>
    <xf numFmtId="168" fontId="8" fillId="22" borderId="0" xfId="57" applyNumberFormat="1" applyFont="1" applyFill="1" applyBorder="1" applyAlignment="1" applyProtection="1">
      <alignment horizontal="right"/>
    </xf>
    <xf numFmtId="168" fontId="8" fillId="22" borderId="15" xfId="57" applyNumberFormat="1" applyFont="1" applyFill="1" applyBorder="1" applyAlignment="1" applyProtection="1">
      <alignment horizontal="right"/>
    </xf>
    <xf numFmtId="0" fontId="14" fillId="22" borderId="0" xfId="57" applyNumberFormat="1" applyFont="1" applyFill="1" applyBorder="1" applyAlignment="1" applyProtection="1">
      <alignment horizontal="right"/>
    </xf>
    <xf numFmtId="164" fontId="14" fillId="22" borderId="0" xfId="57" applyNumberFormat="1" applyFont="1" applyFill="1" applyBorder="1" applyAlignment="1" applyProtection="1">
      <alignment horizontal="right"/>
    </xf>
    <xf numFmtId="164" fontId="5" fillId="0" borderId="0" xfId="57" applyNumberFormat="1" applyFont="1" applyFill="1" applyBorder="1" applyAlignment="1">
      <alignment horizontal="left"/>
    </xf>
    <xf numFmtId="164" fontId="5" fillId="0" borderId="0" xfId="57" applyNumberFormat="1" applyFont="1" applyFill="1" applyBorder="1" applyAlignment="1"/>
    <xf numFmtId="164" fontId="5" fillId="0" borderId="15" xfId="57" applyNumberFormat="1" applyFont="1" applyFill="1" applyBorder="1" applyAlignment="1"/>
    <xf numFmtId="164" fontId="65" fillId="22" borderId="0" xfId="57" applyNumberFormat="1" applyFont="1" applyFill="1" applyBorder="1" applyAlignment="1" applyProtection="1"/>
    <xf numFmtId="167" fontId="6" fillId="22" borderId="0" xfId="57" applyNumberFormat="1" applyFont="1" applyFill="1" applyBorder="1" applyAlignment="1" applyProtection="1">
      <alignment horizontal="left" indent="2"/>
    </xf>
    <xf numFmtId="167" fontId="8" fillId="22" borderId="0" xfId="57" applyNumberFormat="1" applyFont="1" applyFill="1" applyBorder="1" applyAlignment="1" applyProtection="1"/>
    <xf numFmtId="167" fontId="8" fillId="22" borderId="15" xfId="57" applyNumberFormat="1" applyFont="1" applyFill="1" applyBorder="1" applyAlignment="1" applyProtection="1"/>
    <xf numFmtId="167" fontId="6" fillId="23" borderId="0" xfId="57" applyNumberFormat="1" applyFont="1" applyFill="1" applyBorder="1" applyAlignment="1" applyProtection="1"/>
    <xf numFmtId="167" fontId="6" fillId="22" borderId="0" xfId="57" applyNumberFormat="1" applyFont="1" applyFill="1" applyBorder="1"/>
    <xf numFmtId="167" fontId="14" fillId="22" borderId="0" xfId="57" applyNumberFormat="1" applyFont="1" applyFill="1" applyBorder="1" applyAlignment="1" applyProtection="1">
      <alignment horizontal="right"/>
    </xf>
    <xf numFmtId="167" fontId="6" fillId="0" borderId="0" xfId="57" applyNumberFormat="1" applyFont="1" applyFill="1" applyBorder="1"/>
    <xf numFmtId="164" fontId="17" fillId="0" borderId="51" xfId="57" applyNumberFormat="1" applyFont="1" applyFill="1" applyBorder="1" applyAlignment="1" applyProtection="1"/>
    <xf numFmtId="164" fontId="17" fillId="0" borderId="0" xfId="57" applyNumberFormat="1" applyFont="1" applyFill="1" applyBorder="1" applyAlignment="1" applyProtection="1"/>
    <xf numFmtId="164" fontId="23" fillId="0" borderId="0" xfId="57" applyNumberFormat="1" applyFont="1" applyFill="1" applyBorder="1" applyAlignment="1" applyProtection="1"/>
    <xf numFmtId="0" fontId="9" fillId="22" borderId="0" xfId="57" applyNumberFormat="1" applyFont="1" applyFill="1" applyBorder="1" applyAlignment="1"/>
    <xf numFmtId="0" fontId="9" fillId="22" borderId="0" xfId="57" applyNumberFormat="1" applyFont="1" applyFill="1" applyBorder="1" applyAlignment="1" applyProtection="1"/>
    <xf numFmtId="165" fontId="9" fillId="22" borderId="15" xfId="57" applyNumberFormat="1" applyFont="1" applyFill="1" applyBorder="1" applyAlignment="1"/>
    <xf numFmtId="164" fontId="9" fillId="22" borderId="0" xfId="57" applyNumberFormat="1" applyFont="1" applyFill="1" applyBorder="1" applyAlignment="1" applyProtection="1"/>
    <xf numFmtId="165" fontId="9" fillId="22" borderId="0" xfId="57" applyNumberFormat="1" applyFont="1" applyFill="1" applyBorder="1" applyAlignment="1"/>
    <xf numFmtId="0" fontId="77" fillId="22" borderId="0" xfId="57" applyNumberFormat="1" applyFont="1" applyFill="1" applyBorder="1" applyAlignment="1" applyProtection="1"/>
    <xf numFmtId="0" fontId="77" fillId="23" borderId="0" xfId="57" applyNumberFormat="1" applyFont="1" applyFill="1" applyBorder="1" applyAlignment="1" applyProtection="1"/>
    <xf numFmtId="0" fontId="9" fillId="22" borderId="0" xfId="57" applyFont="1" applyFill="1" applyBorder="1"/>
    <xf numFmtId="0" fontId="9" fillId="22" borderId="0" xfId="57" applyNumberFormat="1" applyFont="1" applyFill="1" applyBorder="1" applyAlignment="1">
      <alignment horizontal="right"/>
    </xf>
    <xf numFmtId="0" fontId="9" fillId="0" borderId="0" xfId="57" applyFont="1" applyFill="1" applyBorder="1"/>
    <xf numFmtId="2" fontId="6" fillId="0" borderId="0" xfId="57" applyNumberFormat="1" applyFont="1" applyBorder="1" applyAlignment="1">
      <alignment horizontal="left"/>
    </xf>
    <xf numFmtId="164" fontId="14" fillId="23" borderId="51" xfId="57" applyNumberFormat="1" applyFont="1" applyFill="1" applyBorder="1" applyAlignment="1" applyProtection="1"/>
    <xf numFmtId="164" fontId="14" fillId="23" borderId="0" xfId="57" applyNumberFormat="1" applyFont="1" applyFill="1" applyBorder="1" applyAlignment="1" applyProtection="1"/>
    <xf numFmtId="164" fontId="22" fillId="23" borderId="0" xfId="57" applyNumberFormat="1" applyFont="1" applyFill="1" applyBorder="1" applyAlignment="1" applyProtection="1"/>
    <xf numFmtId="0" fontId="6" fillId="22" borderId="0" xfId="57" applyNumberFormat="1" applyFont="1" applyFill="1" applyBorder="1" applyAlignment="1"/>
    <xf numFmtId="165" fontId="6" fillId="22" borderId="0" xfId="57" applyNumberFormat="1" applyFont="1" applyFill="1" applyBorder="1" applyAlignment="1"/>
    <xf numFmtId="0" fontId="6" fillId="22" borderId="52" xfId="57" applyNumberFormat="1" applyFont="1" applyFill="1" applyBorder="1" applyAlignment="1" applyProtection="1">
      <alignment horizontal="left"/>
    </xf>
    <xf numFmtId="167" fontId="6" fillId="22" borderId="51" xfId="57" applyNumberFormat="1" applyFont="1" applyFill="1" applyBorder="1" applyAlignment="1"/>
    <xf numFmtId="167" fontId="6" fillId="22" borderId="0" xfId="57" applyNumberFormat="1" applyFont="1" applyFill="1" applyBorder="1" applyAlignment="1"/>
    <xf numFmtId="167" fontId="6" fillId="22" borderId="15" xfId="57" applyNumberFormat="1" applyFont="1" applyFill="1" applyBorder="1" applyAlignment="1"/>
    <xf numFmtId="167" fontId="5" fillId="22" borderId="0" xfId="57" applyNumberFormat="1" applyFont="1" applyFill="1" applyBorder="1" applyAlignment="1"/>
    <xf numFmtId="165" fontId="6" fillId="22" borderId="15" xfId="57" applyNumberFormat="1" applyFont="1" applyFill="1" applyBorder="1" applyAlignment="1"/>
    <xf numFmtId="0" fontId="6" fillId="22" borderId="15" xfId="57" applyNumberFormat="1" applyFont="1" applyFill="1" applyBorder="1" applyAlignment="1"/>
    <xf numFmtId="0" fontId="6" fillId="22" borderId="0" xfId="57" applyNumberFormat="1" applyFont="1" applyFill="1" applyBorder="1" applyAlignment="1">
      <alignment horizontal="right"/>
    </xf>
    <xf numFmtId="0" fontId="6" fillId="22" borderId="0" xfId="57" applyFont="1" applyFill="1"/>
    <xf numFmtId="0" fontId="6" fillId="22" borderId="15" xfId="57" applyFont="1" applyFill="1" applyBorder="1"/>
    <xf numFmtId="0" fontId="4" fillId="22" borderId="0" xfId="57" applyFill="1" applyBorder="1"/>
    <xf numFmtId="0" fontId="43" fillId="22" borderId="0" xfId="57" applyFont="1" applyFill="1" applyBorder="1" applyAlignment="1"/>
    <xf numFmtId="164" fontId="5" fillId="29" borderId="0" xfId="57" applyNumberFormat="1" applyFont="1" applyFill="1" applyBorder="1" applyAlignment="1" applyProtection="1">
      <alignment horizontal="right"/>
    </xf>
    <xf numFmtId="165" fontId="5" fillId="29" borderId="0" xfId="57" applyNumberFormat="1" applyFont="1" applyFill="1" applyBorder="1" applyAlignment="1" applyProtection="1">
      <alignment horizontal="right"/>
    </xf>
    <xf numFmtId="168" fontId="5" fillId="29" borderId="0" xfId="59" applyNumberFormat="1" applyFont="1" applyFill="1" applyBorder="1" applyAlignment="1" applyProtection="1">
      <alignment horizontal="right"/>
    </xf>
    <xf numFmtId="167" fontId="5" fillId="29" borderId="0" xfId="57" applyNumberFormat="1" applyFont="1" applyFill="1" applyBorder="1" applyAlignment="1" applyProtection="1">
      <alignment horizontal="right"/>
    </xf>
    <xf numFmtId="3" fontId="5" fillId="29" borderId="14" xfId="57" applyNumberFormat="1" applyFont="1" applyFill="1" applyBorder="1" applyAlignment="1" applyProtection="1"/>
    <xf numFmtId="3" fontId="22" fillId="29" borderId="0" xfId="57" applyNumberFormat="1" applyFont="1" applyFill="1" applyBorder="1" applyAlignment="1" applyProtection="1">
      <alignment horizontal="right"/>
    </xf>
    <xf numFmtId="164" fontId="5" fillId="29" borderId="14" xfId="57" applyNumberFormat="1" applyFont="1" applyFill="1" applyBorder="1" applyAlignment="1" applyProtection="1">
      <alignment horizontal="right"/>
    </xf>
    <xf numFmtId="166" fontId="8" fillId="29" borderId="0" xfId="57" applyNumberFormat="1" applyFont="1" applyFill="1" applyBorder="1" applyAlignment="1" applyProtection="1"/>
    <xf numFmtId="168" fontId="8" fillId="29" borderId="0" xfId="57" applyNumberFormat="1" applyFont="1" applyFill="1" applyBorder="1" applyAlignment="1"/>
    <xf numFmtId="169" fontId="8" fillId="29" borderId="0" xfId="57" applyNumberFormat="1" applyFont="1" applyFill="1" applyBorder="1" applyAlignment="1" applyProtection="1"/>
    <xf numFmtId="168" fontId="8" fillId="29" borderId="0" xfId="59" applyNumberFormat="1" applyFont="1" applyFill="1" applyBorder="1" applyAlignment="1"/>
    <xf numFmtId="168" fontId="8" fillId="29" borderId="0" xfId="60" applyNumberFormat="1" applyFont="1" applyFill="1" applyBorder="1"/>
    <xf numFmtId="164" fontId="8" fillId="29" borderId="0" xfId="57" applyNumberFormat="1" applyFont="1" applyFill="1" applyBorder="1" applyAlignment="1"/>
    <xf numFmtId="165" fontId="15" fillId="29" borderId="0" xfId="57" applyNumberFormat="1" applyFont="1" applyFill="1" applyBorder="1" applyAlignment="1"/>
    <xf numFmtId="164" fontId="5" fillId="28" borderId="0" xfId="57" applyNumberFormat="1" applyFont="1" applyFill="1" applyBorder="1" applyAlignment="1" applyProtection="1">
      <alignment horizontal="right"/>
    </xf>
    <xf numFmtId="166" fontId="5" fillId="28" borderId="0" xfId="57" applyNumberFormat="1" applyFont="1" applyFill="1" applyBorder="1" applyAlignment="1" applyProtection="1">
      <alignment horizontal="right"/>
    </xf>
    <xf numFmtId="168" fontId="68" fillId="22" borderId="0" xfId="59" applyNumberFormat="1" applyFont="1" applyFill="1" applyBorder="1" applyAlignment="1" applyProtection="1"/>
    <xf numFmtId="169" fontId="69" fillId="0" borderId="31" xfId="57" applyNumberFormat="1" applyFont="1" applyFill="1" applyBorder="1" applyAlignment="1" applyProtection="1"/>
    <xf numFmtId="0" fontId="6" fillId="0" borderId="0" xfId="57" applyFont="1" applyAlignment="1">
      <alignment horizontal="left"/>
    </xf>
    <xf numFmtId="0" fontId="6" fillId="0" borderId="0" xfId="57" applyFont="1"/>
    <xf numFmtId="171" fontId="5" fillId="0" borderId="0" xfId="57" applyNumberFormat="1" applyFont="1" applyAlignment="1">
      <alignment horizontal="center"/>
    </xf>
    <xf numFmtId="0" fontId="6" fillId="0" borderId="0" xfId="57" applyFont="1" applyAlignment="1">
      <alignment horizontal="center"/>
    </xf>
    <xf numFmtId="0" fontId="5" fillId="0" borderId="0" xfId="57" applyFont="1" applyBorder="1"/>
    <xf numFmtId="0" fontId="6" fillId="0" borderId="0" xfId="57" applyFont="1" applyBorder="1" applyAlignment="1">
      <alignment horizontal="right"/>
    </xf>
    <xf numFmtId="0" fontId="5" fillId="0" borderId="0" xfId="57" applyFont="1" applyBorder="1" applyAlignment="1">
      <alignment horizontal="right"/>
    </xf>
    <xf numFmtId="0" fontId="15" fillId="0" borderId="0" xfId="57" applyFont="1" applyBorder="1" applyAlignment="1">
      <alignment horizontal="right"/>
    </xf>
    <xf numFmtId="0" fontId="5" fillId="0" borderId="19" xfId="57" applyFont="1" applyBorder="1" applyAlignment="1">
      <alignment horizontal="left" wrapText="1"/>
    </xf>
    <xf numFmtId="171" fontId="5" fillId="0" borderId="19" xfId="57" applyNumberFormat="1" applyFont="1" applyBorder="1" applyAlignment="1">
      <alignment horizontal="center" wrapText="1"/>
    </xf>
    <xf numFmtId="0" fontId="5" fillId="0" borderId="0" xfId="57" applyFont="1" applyBorder="1" applyAlignment="1">
      <alignment horizontal="center" wrapText="1"/>
    </xf>
    <xf numFmtId="0" fontId="28" fillId="33" borderId="68" xfId="57" applyFont="1" applyFill="1" applyBorder="1" applyAlignment="1">
      <alignment horizontal="center" wrapText="1"/>
    </xf>
    <xf numFmtId="0" fontId="28" fillId="33" borderId="13" xfId="57" applyFont="1" applyFill="1" applyBorder="1" applyAlignment="1">
      <alignment horizontal="center" wrapText="1"/>
    </xf>
    <xf numFmtId="0" fontId="28" fillId="24" borderId="19" xfId="57" applyFont="1" applyFill="1" applyBorder="1" applyAlignment="1">
      <alignment horizontal="right" wrapText="1"/>
    </xf>
    <xf numFmtId="0" fontId="28" fillId="24" borderId="19" xfId="57" applyFont="1" applyFill="1" applyBorder="1" applyAlignment="1">
      <alignment horizontal="center" wrapText="1"/>
    </xf>
    <xf numFmtId="0" fontId="5" fillId="0" borderId="0" xfId="57" applyFont="1" applyBorder="1" applyAlignment="1">
      <alignment horizontal="right" wrapText="1"/>
    </xf>
    <xf numFmtId="176" fontId="6" fillId="0" borderId="0" xfId="57" applyNumberFormat="1" applyFont="1" applyAlignment="1">
      <alignment horizontal="left"/>
    </xf>
    <xf numFmtId="222" fontId="6" fillId="0" borderId="0" xfId="62" applyNumberFormat="1" applyFont="1" applyAlignment="1">
      <alignment horizontal="left" wrapText="1"/>
    </xf>
    <xf numFmtId="222" fontId="15" fillId="0" borderId="0" xfId="62" applyNumberFormat="1" applyFont="1" applyAlignment="1">
      <alignment horizontal="left" wrapText="1"/>
    </xf>
    <xf numFmtId="223" fontId="6" fillId="0" borderId="0" xfId="57" applyNumberFormat="1" applyFont="1" applyAlignment="1">
      <alignment horizontal="center"/>
    </xf>
    <xf numFmtId="168" fontId="6" fillId="0" borderId="69" xfId="59" applyNumberFormat="1" applyFont="1" applyBorder="1" applyAlignment="1">
      <alignment horizontal="center"/>
    </xf>
    <xf numFmtId="168" fontId="6" fillId="0" borderId="70" xfId="59" applyNumberFormat="1" applyFont="1" applyBorder="1" applyAlignment="1">
      <alignment horizontal="center"/>
    </xf>
    <xf numFmtId="168" fontId="79" fillId="0" borderId="22" xfId="59" applyNumberFormat="1" applyFont="1" applyBorder="1" applyAlignment="1">
      <alignment horizontal="center"/>
    </xf>
    <xf numFmtId="165" fontId="6" fillId="0" borderId="69" xfId="59" applyNumberFormat="1" applyFont="1" applyBorder="1" applyAlignment="1">
      <alignment horizontal="center"/>
    </xf>
    <xf numFmtId="165" fontId="6" fillId="0" borderId="70" xfId="59" applyNumberFormat="1" applyFont="1" applyBorder="1" applyAlignment="1">
      <alignment horizontal="center"/>
    </xf>
    <xf numFmtId="10" fontId="6" fillId="0" borderId="0" xfId="59" applyNumberFormat="1" applyFont="1" applyAlignment="1">
      <alignment horizontal="center"/>
    </xf>
    <xf numFmtId="165" fontId="6" fillId="0" borderId="0" xfId="59" applyNumberFormat="1" applyFont="1" applyAlignment="1">
      <alignment horizontal="center"/>
    </xf>
    <xf numFmtId="171" fontId="6" fillId="0" borderId="0" xfId="57" applyNumberFormat="1" applyFont="1" applyBorder="1"/>
    <xf numFmtId="171" fontId="6" fillId="0" borderId="71" xfId="57" applyNumberFormat="1" applyFont="1" applyBorder="1"/>
    <xf numFmtId="168" fontId="6" fillId="0" borderId="22" xfId="59" applyNumberFormat="1" applyFont="1" applyBorder="1" applyAlignment="1">
      <alignment horizontal="center"/>
    </xf>
    <xf numFmtId="168" fontId="6" fillId="0" borderId="28" xfId="59" applyNumberFormat="1" applyFont="1" applyBorder="1" applyAlignment="1">
      <alignment horizontal="center"/>
    </xf>
    <xf numFmtId="165" fontId="6" fillId="0" borderId="22" xfId="59" applyNumberFormat="1" applyFont="1" applyBorder="1" applyAlignment="1">
      <alignment horizontal="center"/>
    </xf>
    <xf numFmtId="165" fontId="6" fillId="0" borderId="28" xfId="59" applyNumberFormat="1" applyFont="1" applyBorder="1" applyAlignment="1">
      <alignment horizontal="center"/>
    </xf>
    <xf numFmtId="0" fontId="7" fillId="0" borderId="0" xfId="57" applyFont="1" applyBorder="1"/>
    <xf numFmtId="10" fontId="6" fillId="0" borderId="0" xfId="59" applyNumberFormat="1" applyFont="1" applyBorder="1"/>
    <xf numFmtId="3" fontId="6" fillId="0" borderId="0" xfId="57" applyNumberFormat="1" applyFont="1" applyBorder="1"/>
    <xf numFmtId="168" fontId="6" fillId="0" borderId="0" xfId="59" applyNumberFormat="1" applyFont="1" applyBorder="1"/>
    <xf numFmtId="171" fontId="6" fillId="0" borderId="0" xfId="59" applyNumberFormat="1" applyFont="1" applyBorder="1"/>
    <xf numFmtId="171" fontId="5" fillId="0" borderId="0" xfId="57" applyNumberFormat="1" applyFont="1" applyBorder="1"/>
    <xf numFmtId="223" fontId="79" fillId="0" borderId="0" xfId="57" applyNumberFormat="1" applyFont="1" applyAlignment="1">
      <alignment horizontal="center"/>
    </xf>
    <xf numFmtId="10" fontId="68" fillId="0" borderId="0" xfId="59" applyNumberFormat="1" applyFont="1" applyAlignment="1">
      <alignment horizontal="center"/>
    </xf>
    <xf numFmtId="176" fontId="6" fillId="0" borderId="0" xfId="57" applyNumberFormat="1" applyFont="1" applyFill="1" applyAlignment="1">
      <alignment horizontal="left"/>
    </xf>
    <xf numFmtId="222" fontId="6" fillId="0" borderId="0" xfId="62" applyNumberFormat="1" applyFont="1" applyFill="1" applyAlignment="1">
      <alignment horizontal="left" wrapText="1"/>
    </xf>
    <xf numFmtId="171" fontId="5" fillId="0" borderId="0" xfId="57" applyNumberFormat="1" applyFont="1" applyFill="1" applyAlignment="1">
      <alignment horizontal="center"/>
    </xf>
    <xf numFmtId="223" fontId="6" fillId="0" borderId="0" xfId="57" applyNumberFormat="1" applyFont="1" applyFill="1" applyAlignment="1">
      <alignment horizontal="center"/>
    </xf>
    <xf numFmtId="168" fontId="68" fillId="0" borderId="22" xfId="59" applyNumberFormat="1" applyFont="1" applyFill="1" applyBorder="1" applyAlignment="1">
      <alignment horizontal="center"/>
    </xf>
    <xf numFmtId="168" fontId="6" fillId="0" borderId="28" xfId="59" applyNumberFormat="1" applyFont="1" applyFill="1" applyBorder="1" applyAlignment="1">
      <alignment horizontal="center"/>
    </xf>
    <xf numFmtId="165" fontId="6" fillId="0" borderId="22" xfId="59" applyNumberFormat="1" applyFont="1" applyFill="1" applyBorder="1" applyAlignment="1">
      <alignment horizontal="center"/>
    </xf>
    <xf numFmtId="165" fontId="6" fillId="0" borderId="28" xfId="59" applyNumberFormat="1" applyFont="1" applyFill="1" applyBorder="1" applyAlignment="1">
      <alignment horizontal="center"/>
    </xf>
    <xf numFmtId="10" fontId="68" fillId="0" borderId="0" xfId="59" applyNumberFormat="1" applyFont="1" applyFill="1" applyAlignment="1">
      <alignment horizontal="center"/>
    </xf>
    <xf numFmtId="165" fontId="6" fillId="0" borderId="0" xfId="59" applyNumberFormat="1" applyFont="1" applyFill="1" applyAlignment="1">
      <alignment horizontal="center"/>
    </xf>
    <xf numFmtId="168" fontId="68" fillId="0" borderId="22" xfId="59" applyNumberFormat="1" applyFont="1" applyBorder="1" applyAlignment="1">
      <alignment horizontal="center"/>
    </xf>
    <xf numFmtId="10" fontId="6" fillId="0" borderId="0" xfId="57" applyNumberFormat="1" applyFont="1" applyAlignment="1">
      <alignment horizontal="center"/>
    </xf>
    <xf numFmtId="10" fontId="6" fillId="0" borderId="0" xfId="57" applyNumberFormat="1" applyFont="1" applyFill="1" applyAlignment="1">
      <alignment horizontal="center"/>
    </xf>
    <xf numFmtId="10" fontId="6" fillId="0" borderId="0" xfId="57" applyNumberFormat="1" applyFont="1"/>
    <xf numFmtId="223" fontId="80" fillId="0" borderId="0" xfId="57" applyNumberFormat="1" applyFont="1" applyAlignment="1">
      <alignment horizontal="center"/>
    </xf>
    <xf numFmtId="171" fontId="81" fillId="0" borderId="0" xfId="57" applyNumberFormat="1" applyFont="1" applyAlignment="1">
      <alignment horizontal="center"/>
    </xf>
    <xf numFmtId="7" fontId="6" fillId="0" borderId="39" xfId="57" applyNumberFormat="1" applyFont="1" applyFill="1" applyBorder="1" applyAlignment="1" applyProtection="1">
      <protection locked="0"/>
    </xf>
    <xf numFmtId="168" fontId="68" fillId="22" borderId="48" xfId="59" applyNumberFormat="1" applyFont="1" applyFill="1" applyBorder="1" applyAlignment="1" applyProtection="1"/>
    <xf numFmtId="164" fontId="5" fillId="22" borderId="48" xfId="57" applyNumberFormat="1" applyFont="1" applyFill="1" applyBorder="1" applyAlignment="1" applyProtection="1">
      <alignment horizontal="right"/>
    </xf>
    <xf numFmtId="208" fontId="82" fillId="0" borderId="0" xfId="0" applyNumberFormat="1" applyFont="1" applyFill="1" applyBorder="1" applyAlignment="1">
      <alignment horizontal="right"/>
    </xf>
    <xf numFmtId="7" fontId="82" fillId="0" borderId="0" xfId="0" applyNumberFormat="1" applyFont="1" applyFill="1" applyBorder="1" applyAlignment="1">
      <alignment horizontal="right"/>
    </xf>
    <xf numFmtId="0" fontId="4" fillId="22" borderId="0" xfId="63" applyFill="1"/>
    <xf numFmtId="0" fontId="6" fillId="22" borderId="0" xfId="63" applyFont="1" applyFill="1" applyAlignment="1">
      <alignment vertical="center"/>
    </xf>
    <xf numFmtId="224" fontId="6" fillId="22" borderId="0" xfId="63" applyNumberFormat="1" applyFont="1" applyFill="1" applyAlignment="1">
      <alignment vertical="center"/>
    </xf>
    <xf numFmtId="0" fontId="4" fillId="0" borderId="0" xfId="63"/>
    <xf numFmtId="0" fontId="5" fillId="22" borderId="0" xfId="63" applyFont="1" applyFill="1" applyBorder="1" applyAlignment="1">
      <alignment vertical="center"/>
    </xf>
    <xf numFmtId="0" fontId="83" fillId="22" borderId="0" xfId="63" applyFont="1" applyFill="1" applyBorder="1" applyAlignment="1">
      <alignment horizontal="centerContinuous" vertical="center"/>
    </xf>
    <xf numFmtId="0" fontId="16" fillId="22" borderId="72" xfId="63" applyFont="1" applyFill="1" applyBorder="1" applyAlignment="1">
      <alignment vertical="center"/>
    </xf>
    <xf numFmtId="225" fontId="16" fillId="22" borderId="72" xfId="63" applyNumberFormat="1" applyFont="1" applyFill="1" applyBorder="1" applyAlignment="1">
      <alignment horizontal="right" vertical="center"/>
    </xf>
    <xf numFmtId="226" fontId="16" fillId="22" borderId="72" xfId="63" applyNumberFormat="1" applyFont="1" applyFill="1" applyBorder="1" applyAlignment="1">
      <alignment horizontal="right" vertical="center"/>
    </xf>
    <xf numFmtId="0" fontId="4" fillId="22" borderId="0" xfId="63" applyFont="1" applyFill="1" applyAlignment="1">
      <alignment vertical="center"/>
    </xf>
    <xf numFmtId="0" fontId="4" fillId="22" borderId="0" xfId="63" applyFont="1" applyFill="1"/>
    <xf numFmtId="0" fontId="16" fillId="22" borderId="19" xfId="63" applyFont="1" applyFill="1" applyBorder="1" applyAlignment="1">
      <alignment vertical="center"/>
    </xf>
    <xf numFmtId="0" fontId="4" fillId="22" borderId="0" xfId="63" applyFont="1" applyFill="1" applyAlignment="1">
      <alignment horizontal="left" vertical="center"/>
    </xf>
    <xf numFmtId="227" fontId="4" fillId="22" borderId="0" xfId="63" applyNumberFormat="1" applyFont="1" applyFill="1" applyAlignment="1">
      <alignment vertical="center"/>
    </xf>
    <xf numFmtId="0" fontId="41" fillId="22" borderId="0" xfId="63" applyFont="1" applyFill="1" applyAlignment="1">
      <alignment horizontal="left" vertical="center" indent="1"/>
    </xf>
    <xf numFmtId="228" fontId="41" fillId="22" borderId="0" xfId="63" applyNumberFormat="1" applyFont="1" applyFill="1" applyAlignment="1">
      <alignment horizontal="right" vertical="center"/>
    </xf>
    <xf numFmtId="228" fontId="42" fillId="22" borderId="0" xfId="63" applyNumberFormat="1" applyFont="1" applyFill="1" applyAlignment="1">
      <alignment horizontal="right" vertical="center"/>
    </xf>
    <xf numFmtId="0" fontId="4" fillId="22" borderId="0" xfId="63" applyFont="1" applyFill="1" applyAlignment="1">
      <alignment horizontal="left" vertical="center" indent="1"/>
    </xf>
    <xf numFmtId="5" fontId="4" fillId="22" borderId="0" xfId="63" applyNumberFormat="1" applyFont="1" applyFill="1" applyAlignment="1">
      <alignment vertical="center"/>
    </xf>
    <xf numFmtId="5" fontId="37" fillId="22" borderId="0" xfId="63" applyNumberFormat="1" applyFont="1" applyFill="1" applyAlignment="1">
      <alignment vertical="center"/>
    </xf>
    <xf numFmtId="0" fontId="16" fillId="22" borderId="0" xfId="63" applyFont="1" applyFill="1" applyAlignment="1">
      <alignment vertical="center"/>
    </xf>
    <xf numFmtId="5" fontId="16" fillId="22" borderId="26" xfId="63" applyNumberFormat="1" applyFont="1" applyFill="1" applyBorder="1" applyAlignment="1">
      <alignment horizontal="right" vertical="center"/>
    </xf>
    <xf numFmtId="227" fontId="84" fillId="22" borderId="0" xfId="63" applyNumberFormat="1" applyFont="1" applyFill="1" applyAlignment="1">
      <alignment vertical="center"/>
    </xf>
    <xf numFmtId="228" fontId="4" fillId="22" borderId="0" xfId="63" applyNumberFormat="1" applyFont="1" applyFill="1" applyAlignment="1">
      <alignment horizontal="right" vertical="center"/>
    </xf>
    <xf numFmtId="228" fontId="37" fillId="22" borderId="0" xfId="63" applyNumberFormat="1" applyFont="1" applyFill="1" applyAlignment="1">
      <alignment horizontal="right" vertical="center"/>
    </xf>
    <xf numFmtId="224" fontId="16" fillId="22" borderId="19" xfId="63" applyNumberFormat="1" applyFont="1" applyFill="1" applyBorder="1" applyAlignment="1">
      <alignment vertical="center"/>
    </xf>
    <xf numFmtId="0" fontId="43" fillId="22" borderId="0" xfId="63" applyFont="1" applyFill="1" applyAlignment="1">
      <alignment horizontal="center" vertical="center"/>
    </xf>
    <xf numFmtId="227" fontId="4" fillId="22" borderId="0" xfId="63" applyNumberFormat="1" applyFont="1" applyFill="1" applyBorder="1" applyAlignment="1">
      <alignment vertical="center"/>
    </xf>
    <xf numFmtId="4" fontId="40" fillId="22" borderId="0" xfId="63" applyNumberFormat="1" applyFont="1" applyFill="1" applyBorder="1" applyAlignment="1">
      <alignment vertical="center"/>
    </xf>
    <xf numFmtId="4" fontId="38" fillId="22" borderId="0" xfId="63" applyNumberFormat="1" applyFont="1" applyFill="1" applyBorder="1" applyAlignment="1">
      <alignment vertical="center"/>
    </xf>
    <xf numFmtId="229" fontId="4" fillId="22" borderId="0" xfId="63" applyNumberFormat="1" applyFont="1" applyFill="1" applyAlignment="1">
      <alignment vertical="center"/>
    </xf>
    <xf numFmtId="227" fontId="43" fillId="22" borderId="0" xfId="63" applyNumberFormat="1" applyFont="1" applyFill="1" applyBorder="1" applyAlignment="1">
      <alignment vertical="center"/>
    </xf>
    <xf numFmtId="227" fontId="43" fillId="22" borderId="0" xfId="63" applyNumberFormat="1" applyFont="1" applyFill="1" applyAlignment="1">
      <alignment vertical="center"/>
    </xf>
    <xf numFmtId="229" fontId="84" fillId="22" borderId="0" xfId="63" applyNumberFormat="1" applyFont="1" applyFill="1" applyAlignment="1">
      <alignment vertical="center"/>
    </xf>
    <xf numFmtId="0" fontId="4" fillId="22" borderId="0" xfId="63" applyFont="1" applyFill="1" applyAlignment="1">
      <alignment horizontal="left" vertical="center" indent="2"/>
    </xf>
    <xf numFmtId="168" fontId="40" fillId="22" borderId="10" xfId="63" applyNumberFormat="1" applyFont="1" applyFill="1" applyBorder="1" applyAlignment="1">
      <alignment vertical="center"/>
    </xf>
    <xf numFmtId="0" fontId="16" fillId="22" borderId="33" xfId="63" applyFont="1" applyFill="1" applyBorder="1" applyAlignment="1">
      <alignment vertical="center"/>
    </xf>
    <xf numFmtId="0" fontId="4" fillId="22" borderId="18" xfId="63" applyFont="1" applyFill="1" applyBorder="1" applyAlignment="1">
      <alignment vertical="center"/>
    </xf>
    <xf numFmtId="0" fontId="4" fillId="22" borderId="34" xfId="63" applyFont="1" applyFill="1" applyBorder="1" applyAlignment="1">
      <alignment vertical="center"/>
    </xf>
    <xf numFmtId="229" fontId="19" fillId="22" borderId="0" xfId="63" applyNumberFormat="1" applyFont="1" applyFill="1" applyAlignment="1">
      <alignment vertical="center"/>
    </xf>
    <xf numFmtId="228" fontId="85" fillId="22" borderId="0" xfId="63" applyNumberFormat="1" applyFont="1" applyFill="1" applyAlignment="1">
      <alignment vertical="center"/>
    </xf>
    <xf numFmtId="0" fontId="4" fillId="22" borderId="22" xfId="63" applyFont="1" applyFill="1" applyBorder="1" applyAlignment="1">
      <alignment vertical="center"/>
    </xf>
    <xf numFmtId="0" fontId="4" fillId="22" borderId="0" xfId="63" applyFont="1" applyFill="1" applyBorder="1" applyAlignment="1">
      <alignment vertical="center"/>
    </xf>
    <xf numFmtId="5" fontId="4" fillId="22" borderId="28" xfId="63" applyNumberFormat="1" applyFont="1" applyFill="1" applyBorder="1" applyAlignment="1">
      <alignment vertical="center"/>
    </xf>
    <xf numFmtId="0" fontId="4" fillId="0" borderId="0" xfId="63" applyFont="1"/>
    <xf numFmtId="0" fontId="16" fillId="22" borderId="33" xfId="63" applyFont="1" applyFill="1" applyBorder="1" applyAlignment="1">
      <alignment horizontal="centerContinuous" vertical="center"/>
    </xf>
    <xf numFmtId="0" fontId="16" fillId="22" borderId="18" xfId="63" applyFont="1" applyFill="1" applyBorder="1" applyAlignment="1">
      <alignment horizontal="centerContinuous" vertical="center"/>
    </xf>
    <xf numFmtId="0" fontId="16" fillId="22" borderId="34" xfId="63" applyFont="1" applyFill="1" applyBorder="1" applyAlignment="1">
      <alignment horizontal="centerContinuous" vertical="center"/>
    </xf>
    <xf numFmtId="228" fontId="22" fillId="22" borderId="0" xfId="63" applyNumberFormat="1" applyFont="1" applyFill="1" applyAlignment="1">
      <alignment vertical="center"/>
    </xf>
    <xf numFmtId="227" fontId="21" fillId="0" borderId="22" xfId="63" applyNumberFormat="1" applyFont="1" applyFill="1" applyBorder="1" applyAlignment="1">
      <alignment vertical="center"/>
    </xf>
    <xf numFmtId="228" fontId="16" fillId="0" borderId="0" xfId="63" applyNumberFormat="1" applyFont="1" applyFill="1" applyBorder="1" applyAlignment="1">
      <alignment vertical="center"/>
    </xf>
    <xf numFmtId="228" fontId="40" fillId="0" borderId="73" xfId="63" applyNumberFormat="1" applyFont="1" applyFill="1" applyBorder="1" applyAlignment="1">
      <alignment vertical="center"/>
    </xf>
    <xf numFmtId="228" fontId="16" fillId="0" borderId="28" xfId="63" applyNumberFormat="1" applyFont="1" applyFill="1" applyBorder="1" applyAlignment="1">
      <alignment vertical="center"/>
    </xf>
    <xf numFmtId="0" fontId="16" fillId="22" borderId="22" xfId="63" applyFont="1" applyFill="1" applyBorder="1" applyAlignment="1">
      <alignment vertical="center"/>
    </xf>
    <xf numFmtId="0" fontId="16" fillId="22" borderId="0" xfId="63" applyFont="1" applyFill="1" applyBorder="1" applyAlignment="1">
      <alignment vertical="center"/>
    </xf>
    <xf numFmtId="10" fontId="16" fillId="0" borderId="22" xfId="63" applyNumberFormat="1" applyFont="1" applyFill="1" applyBorder="1" applyAlignment="1">
      <alignment vertical="center"/>
    </xf>
    <xf numFmtId="5" fontId="4" fillId="0" borderId="25" xfId="63" applyNumberFormat="1" applyFont="1" applyFill="1" applyBorder="1" applyAlignment="1">
      <alignment vertical="center"/>
    </xf>
    <xf numFmtId="5" fontId="4" fillId="0" borderId="26" xfId="63" applyNumberFormat="1" applyFont="1" applyFill="1" applyBorder="1" applyAlignment="1">
      <alignment vertical="center"/>
    </xf>
    <xf numFmtId="5" fontId="4" fillId="0" borderId="74" xfId="63" applyNumberFormat="1" applyFont="1" applyFill="1" applyBorder="1" applyAlignment="1">
      <alignment vertical="center"/>
    </xf>
    <xf numFmtId="5" fontId="4" fillId="0" borderId="27" xfId="63" applyNumberFormat="1" applyFont="1" applyFill="1" applyBorder="1" applyAlignment="1">
      <alignment vertical="center"/>
    </xf>
    <xf numFmtId="10" fontId="40" fillId="0" borderId="63" xfId="63" applyNumberFormat="1" applyFont="1" applyFill="1" applyBorder="1" applyAlignment="1">
      <alignment vertical="center"/>
    </xf>
    <xf numFmtId="5" fontId="4" fillId="0" borderId="63" xfId="63" applyNumberFormat="1" applyFont="1" applyFill="1" applyBorder="1" applyAlignment="1">
      <alignment vertical="center"/>
    </xf>
    <xf numFmtId="5" fontId="4" fillId="0" borderId="56" xfId="63" applyNumberFormat="1" applyFont="1" applyFill="1" applyBorder="1" applyAlignment="1">
      <alignment vertical="center"/>
    </xf>
    <xf numFmtId="5" fontId="16" fillId="0" borderId="66" xfId="63" applyNumberFormat="1" applyFont="1" applyFill="1" applyBorder="1" applyAlignment="1">
      <alignment vertical="center"/>
    </xf>
    <xf numFmtId="5" fontId="4" fillId="0" borderId="60" xfId="63" applyNumberFormat="1" applyFont="1" applyFill="1" applyBorder="1" applyAlignment="1">
      <alignment vertical="center"/>
    </xf>
    <xf numFmtId="0" fontId="15" fillId="0" borderId="0" xfId="63" applyFont="1" applyFill="1" applyBorder="1" applyAlignment="1">
      <alignment horizontal="center"/>
    </xf>
    <xf numFmtId="227" fontId="5" fillId="22" borderId="0" xfId="63" applyNumberFormat="1" applyFont="1" applyFill="1" applyBorder="1" applyAlignment="1">
      <alignment vertical="center"/>
    </xf>
    <xf numFmtId="0" fontId="4" fillId="22" borderId="0" xfId="63" applyFill="1" applyBorder="1"/>
    <xf numFmtId="10" fontId="16" fillId="0" borderId="29" xfId="63" applyNumberFormat="1" applyFont="1" applyFill="1" applyBorder="1" applyAlignment="1">
      <alignment vertical="center"/>
    </xf>
    <xf numFmtId="5" fontId="4" fillId="0" borderId="29" xfId="63" applyNumberFormat="1" applyFont="1" applyFill="1" applyBorder="1" applyAlignment="1">
      <alignment vertical="center"/>
    </xf>
    <xf numFmtId="5" fontId="4" fillId="0" borderId="19" xfId="63" applyNumberFormat="1" applyFont="1" applyFill="1" applyBorder="1" applyAlignment="1">
      <alignment vertical="center"/>
    </xf>
    <xf numFmtId="5" fontId="4" fillId="0" borderId="75" xfId="63" applyNumberFormat="1" applyFont="1" applyFill="1" applyBorder="1" applyAlignment="1">
      <alignment vertical="center"/>
    </xf>
    <xf numFmtId="5" fontId="4" fillId="0" borderId="30" xfId="63" applyNumberFormat="1" applyFont="1" applyFill="1" applyBorder="1" applyAlignment="1">
      <alignment vertical="center"/>
    </xf>
    <xf numFmtId="0" fontId="6" fillId="22" borderId="0" xfId="63" applyFont="1" applyFill="1" applyBorder="1" applyAlignment="1">
      <alignment vertical="center"/>
    </xf>
    <xf numFmtId="229" fontId="19" fillId="22" borderId="0" xfId="63" applyNumberFormat="1" applyFont="1" applyFill="1" applyBorder="1" applyAlignment="1">
      <alignment vertical="center"/>
    </xf>
    <xf numFmtId="227" fontId="6" fillId="22" borderId="0" xfId="63" applyNumberFormat="1" applyFont="1" applyFill="1" applyBorder="1" applyAlignment="1">
      <alignment vertical="center"/>
    </xf>
    <xf numFmtId="9" fontId="6" fillId="22" borderId="0" xfId="63" applyNumberFormat="1" applyFont="1" applyFill="1" applyBorder="1"/>
    <xf numFmtId="0" fontId="4" fillId="0" borderId="0" xfId="63" applyFont="1" applyFill="1" applyAlignment="1">
      <alignment vertical="center"/>
    </xf>
    <xf numFmtId="229" fontId="4" fillId="0" borderId="30" xfId="63" applyNumberFormat="1" applyFont="1" applyFill="1" applyBorder="1" applyAlignment="1">
      <alignment vertical="center"/>
    </xf>
    <xf numFmtId="0" fontId="16" fillId="0" borderId="33" xfId="63" applyFont="1" applyFill="1" applyBorder="1" applyAlignment="1">
      <alignment horizontal="centerContinuous" vertical="center"/>
    </xf>
    <xf numFmtId="0" fontId="16" fillId="0" borderId="18" xfId="63" applyFont="1" applyFill="1" applyBorder="1" applyAlignment="1">
      <alignment horizontal="centerContinuous" vertical="center"/>
    </xf>
    <xf numFmtId="0" fontId="16" fillId="0" borderId="34" xfId="63" applyFont="1" applyFill="1" applyBorder="1" applyAlignment="1">
      <alignment horizontal="centerContinuous" vertical="center"/>
    </xf>
    <xf numFmtId="9" fontId="4" fillId="22" borderId="0" xfId="63" applyNumberFormat="1" applyFont="1" applyFill="1" applyAlignment="1">
      <alignment vertical="center"/>
    </xf>
    <xf numFmtId="228" fontId="16" fillId="0" borderId="73" xfId="63" applyNumberFormat="1" applyFont="1" applyFill="1" applyBorder="1" applyAlignment="1">
      <alignment vertical="center"/>
    </xf>
    <xf numFmtId="0" fontId="4" fillId="22" borderId="29" xfId="63" applyFont="1" applyFill="1" applyBorder="1" applyAlignment="1">
      <alignment vertical="center"/>
    </xf>
    <xf numFmtId="0" fontId="4" fillId="22" borderId="19" xfId="63" applyFont="1" applyFill="1" applyBorder="1" applyAlignment="1">
      <alignment vertical="center"/>
    </xf>
    <xf numFmtId="230" fontId="5" fillId="22" borderId="0" xfId="63" applyNumberFormat="1" applyFont="1" applyFill="1" applyBorder="1" applyAlignment="1">
      <alignment vertical="center"/>
    </xf>
    <xf numFmtId="10" fontId="16" fillId="0" borderId="63" xfId="63" applyNumberFormat="1" applyFont="1" applyFill="1" applyBorder="1" applyAlignment="1">
      <alignment vertical="center"/>
    </xf>
    <xf numFmtId="8" fontId="6" fillId="22" borderId="0" xfId="63" applyNumberFormat="1" applyFont="1" applyFill="1" applyBorder="1" applyAlignment="1">
      <alignment vertical="center"/>
    </xf>
    <xf numFmtId="0" fontId="16" fillId="22" borderId="18" xfId="63" applyFont="1" applyFill="1" applyBorder="1" applyAlignment="1">
      <alignment vertical="center"/>
    </xf>
    <xf numFmtId="0" fontId="4" fillId="22" borderId="76" xfId="63" applyFont="1" applyFill="1" applyBorder="1" applyAlignment="1">
      <alignment vertical="center"/>
    </xf>
    <xf numFmtId="0" fontId="4" fillId="22" borderId="77" xfId="63" applyFont="1" applyFill="1" applyBorder="1" applyAlignment="1">
      <alignment vertical="center"/>
    </xf>
    <xf numFmtId="232" fontId="5" fillId="22" borderId="0" xfId="63" applyNumberFormat="1" applyFont="1" applyFill="1" applyBorder="1" applyAlignment="1">
      <alignment vertical="center"/>
    </xf>
    <xf numFmtId="232" fontId="6" fillId="22" borderId="0" xfId="63" applyNumberFormat="1" applyFont="1" applyFill="1" applyBorder="1" applyAlignment="1">
      <alignment vertical="center"/>
    </xf>
    <xf numFmtId="0" fontId="16" fillId="0" borderId="33" xfId="63" applyFont="1" applyFill="1" applyBorder="1" applyAlignment="1">
      <alignment vertical="center"/>
    </xf>
    <xf numFmtId="0" fontId="16" fillId="0" borderId="18" xfId="63" applyFont="1" applyFill="1" applyBorder="1" applyAlignment="1">
      <alignment vertical="center"/>
    </xf>
    <xf numFmtId="228" fontId="38" fillId="22" borderId="30" xfId="63" applyNumberFormat="1" applyFont="1" applyFill="1" applyBorder="1" applyAlignment="1">
      <alignment vertical="center"/>
    </xf>
    <xf numFmtId="229" fontId="5" fillId="22" borderId="0" xfId="63" applyNumberFormat="1" applyFont="1" applyFill="1" applyBorder="1" applyAlignment="1">
      <alignment vertical="center"/>
    </xf>
    <xf numFmtId="166" fontId="67" fillId="22" borderId="15" xfId="0" applyNumberFormat="1" applyFont="1" applyFill="1" applyBorder="1" applyAlignment="1"/>
    <xf numFmtId="166" fontId="67" fillId="22" borderId="0" xfId="0" applyNumberFormat="1" applyFont="1" applyFill="1" applyBorder="1" applyAlignment="1"/>
    <xf numFmtId="191" fontId="5" fillId="23" borderId="48" xfId="0" applyNumberFormat="1" applyFont="1" applyFill="1" applyBorder="1" applyAlignment="1"/>
    <xf numFmtId="5" fontId="89" fillId="22" borderId="0" xfId="63" applyNumberFormat="1" applyFont="1" applyFill="1" applyAlignment="1">
      <alignment vertical="center"/>
    </xf>
    <xf numFmtId="5" fontId="4" fillId="0" borderId="28" xfId="63" applyNumberFormat="1" applyFont="1" applyFill="1" applyBorder="1" applyAlignment="1">
      <alignment vertical="center"/>
    </xf>
    <xf numFmtId="166" fontId="68" fillId="22" borderId="0" xfId="34" applyNumberFormat="1" applyFont="1" applyFill="1" applyBorder="1" applyAlignment="1" applyProtection="1">
      <alignment horizontal="right"/>
      <protection locked="0"/>
    </xf>
    <xf numFmtId="203" fontId="6" fillId="23" borderId="0" xfId="0" applyNumberFormat="1" applyFont="1" applyFill="1" applyBorder="1" applyAlignment="1"/>
    <xf numFmtId="199" fontId="6" fillId="23" borderId="0" xfId="0" applyNumberFormat="1" applyFont="1" applyFill="1" applyBorder="1" applyAlignment="1"/>
    <xf numFmtId="199" fontId="7" fillId="23" borderId="0" xfId="0" applyNumberFormat="1" applyFont="1" applyFill="1" applyBorder="1" applyAlignment="1"/>
    <xf numFmtId="199" fontId="10" fillId="23" borderId="0" xfId="0" applyNumberFormat="1" applyFont="1" applyFill="1" applyBorder="1" applyAlignment="1"/>
    <xf numFmtId="199" fontId="90" fillId="22" borderId="0" xfId="63" applyNumberFormat="1" applyFont="1" applyFill="1" applyAlignment="1">
      <alignment vertical="center"/>
    </xf>
    <xf numFmtId="44" fontId="4" fillId="22" borderId="0" xfId="35" applyFont="1" applyFill="1" applyAlignment="1"/>
    <xf numFmtId="203" fontId="19" fillId="24" borderId="0" xfId="57" applyNumberFormat="1" applyFont="1" applyFill="1" applyBorder="1" applyAlignment="1"/>
    <xf numFmtId="166" fontId="6" fillId="27" borderId="0" xfId="0" applyNumberFormat="1" applyFont="1" applyFill="1" applyBorder="1" applyAlignment="1" applyProtection="1">
      <protection locked="0"/>
    </xf>
    <xf numFmtId="0" fontId="65" fillId="22" borderId="0" xfId="0" applyFont="1" applyFill="1" applyAlignment="1">
      <alignment horizontal="left"/>
    </xf>
    <xf numFmtId="165" fontId="65" fillId="22" borderId="22" xfId="0" applyNumberFormat="1" applyFont="1" applyFill="1" applyBorder="1" applyAlignment="1"/>
    <xf numFmtId="165" fontId="65" fillId="22" borderId="0" xfId="0" applyNumberFormat="1" applyFont="1" applyFill="1" applyAlignment="1"/>
    <xf numFmtId="166" fontId="65" fillId="22" borderId="15" xfId="0" applyNumberFormat="1" applyFont="1" applyFill="1" applyBorder="1" applyAlignment="1"/>
    <xf numFmtId="166" fontId="65" fillId="22" borderId="0" xfId="0" applyNumberFormat="1" applyFont="1" applyFill="1" applyBorder="1" applyAlignment="1"/>
    <xf numFmtId="166" fontId="65" fillId="22" borderId="0" xfId="0" applyNumberFormat="1" applyFont="1" applyFill="1" applyAlignment="1"/>
    <xf numFmtId="166" fontId="65" fillId="0" borderId="0" xfId="0" applyNumberFormat="1" applyFont="1" applyFill="1" applyBorder="1" applyAlignment="1"/>
    <xf numFmtId="166" fontId="65" fillId="24" borderId="0" xfId="0" applyNumberFormat="1" applyFont="1" applyFill="1" applyBorder="1" applyAlignment="1"/>
    <xf numFmtId="5" fontId="67" fillId="0" borderId="20" xfId="0" applyNumberFormat="1" applyFont="1" applyFill="1" applyBorder="1" applyAlignment="1"/>
    <xf numFmtId="5" fontId="67" fillId="0" borderId="15" xfId="0" applyNumberFormat="1" applyFont="1" applyFill="1" applyBorder="1" applyAlignment="1"/>
    <xf numFmtId="0" fontId="65" fillId="23" borderId="0" xfId="0" applyFont="1" applyFill="1" applyBorder="1" applyAlignment="1"/>
    <xf numFmtId="0" fontId="65" fillId="24" borderId="0" xfId="0" applyFont="1" applyFill="1" applyBorder="1" applyAlignment="1"/>
    <xf numFmtId="0" fontId="65" fillId="22" borderId="0" xfId="0" applyFont="1" applyFill="1" applyBorder="1" applyAlignment="1"/>
    <xf numFmtId="0" fontId="65" fillId="0" borderId="0" xfId="0" applyFont="1" applyFill="1" applyBorder="1" applyAlignment="1"/>
    <xf numFmtId="166" fontId="65" fillId="27" borderId="15" xfId="0" applyNumberFormat="1" applyFont="1" applyFill="1" applyBorder="1" applyAlignment="1">
      <alignment horizontal="right"/>
    </xf>
    <xf numFmtId="166" fontId="65" fillId="27" borderId="22" xfId="0" applyNumberFormat="1" applyFont="1" applyFill="1" applyBorder="1" applyAlignment="1">
      <alignment horizontal="right"/>
    </xf>
    <xf numFmtId="166" fontId="65" fillId="27" borderId="0" xfId="0" applyNumberFormat="1" applyFont="1" applyFill="1" applyBorder="1" applyAlignment="1">
      <alignment horizontal="right"/>
    </xf>
    <xf numFmtId="166" fontId="65" fillId="27" borderId="28" xfId="0" applyNumberFormat="1" applyFont="1" applyFill="1" applyBorder="1" applyAlignment="1">
      <alignment horizontal="right"/>
    </xf>
    <xf numFmtId="166" fontId="65" fillId="27" borderId="0" xfId="0" applyNumberFormat="1" applyFont="1" applyFill="1" applyAlignment="1">
      <alignment horizontal="right"/>
    </xf>
    <xf numFmtId="165" fontId="9" fillId="22" borderId="15" xfId="0" applyNumberFormat="1" applyFont="1" applyFill="1" applyBorder="1" applyAlignment="1"/>
    <xf numFmtId="171" fontId="67" fillId="0" borderId="0" xfId="57" applyNumberFormat="1" applyFont="1" applyAlignment="1">
      <alignment horizontal="center"/>
    </xf>
    <xf numFmtId="169" fontId="6" fillId="26" borderId="0" xfId="0" applyNumberFormat="1" applyFont="1" applyFill="1" applyBorder="1" applyAlignment="1"/>
    <xf numFmtId="0" fontId="28" fillId="24" borderId="79" xfId="0" applyFont="1" applyFill="1" applyBorder="1" applyAlignment="1">
      <alignment horizontal="center"/>
    </xf>
    <xf numFmtId="7" fontId="30" fillId="23" borderId="79" xfId="0" applyNumberFormat="1" applyFont="1" applyFill="1" applyBorder="1" applyAlignment="1"/>
    <xf numFmtId="0" fontId="28" fillId="24" borderId="81" xfId="0" applyFont="1" applyFill="1" applyBorder="1" applyAlignment="1">
      <alignment horizontal="center"/>
    </xf>
    <xf numFmtId="0" fontId="28" fillId="24" borderId="80" xfId="0" applyFont="1" applyFill="1" applyBorder="1" applyAlignment="1">
      <alignment horizontal="center"/>
    </xf>
    <xf numFmtId="0" fontId="28" fillId="24" borderId="81" xfId="0" applyFont="1" applyFill="1" applyBorder="1" applyAlignment="1" applyProtection="1">
      <alignment horizontal="right"/>
      <protection locked="0"/>
    </xf>
    <xf numFmtId="168" fontId="5" fillId="25" borderId="81" xfId="50" applyNumberFormat="1" applyFont="1" applyFill="1" applyBorder="1" applyAlignment="1" applyProtection="1">
      <alignment horizontal="right"/>
      <protection locked="0"/>
    </xf>
    <xf numFmtId="191" fontId="5" fillId="23" borderId="81" xfId="0" applyNumberFormat="1" applyFont="1" applyFill="1" applyBorder="1" applyAlignment="1">
      <alignment horizontal="right"/>
    </xf>
    <xf numFmtId="168" fontId="6" fillId="22" borderId="81" xfId="50" applyNumberFormat="1" applyFont="1" applyFill="1" applyBorder="1" applyAlignment="1"/>
    <xf numFmtId="191" fontId="5" fillId="30" borderId="81" xfId="0" applyNumberFormat="1" applyFont="1" applyFill="1" applyBorder="1" applyAlignment="1">
      <alignment horizontal="right"/>
    </xf>
    <xf numFmtId="168" fontId="6" fillId="22" borderId="82" xfId="50" applyNumberFormat="1" applyFont="1" applyFill="1" applyBorder="1" applyAlignment="1"/>
    <xf numFmtId="168" fontId="6" fillId="22" borderId="47" xfId="50" applyNumberFormat="1" applyFont="1" applyFill="1" applyBorder="1" applyAlignment="1"/>
    <xf numFmtId="168" fontId="6" fillId="22" borderId="47" xfId="50" applyNumberFormat="1" applyFont="1" applyFill="1" applyBorder="1" applyAlignment="1">
      <alignment horizontal="right"/>
    </xf>
    <xf numFmtId="191" fontId="5" fillId="0" borderId="81" xfId="0" applyNumberFormat="1" applyFont="1" applyFill="1" applyBorder="1" applyAlignment="1">
      <alignment horizontal="right"/>
    </xf>
    <xf numFmtId="191" fontId="5" fillId="23" borderId="81" xfId="0" applyNumberFormat="1" applyFont="1" applyFill="1" applyBorder="1" applyAlignment="1"/>
    <xf numFmtId="0" fontId="5" fillId="25" borderId="81" xfId="0" applyFont="1" applyFill="1" applyBorder="1" applyAlignment="1" applyProtection="1">
      <alignment horizontal="right"/>
      <protection locked="0"/>
    </xf>
    <xf numFmtId="168" fontId="5" fillId="23" borderId="81" xfId="50" applyNumberFormat="1" applyFont="1" applyFill="1" applyBorder="1" applyAlignment="1"/>
    <xf numFmtId="169" fontId="6" fillId="22" borderId="81" xfId="50" applyNumberFormat="1" applyFont="1" applyFill="1" applyBorder="1" applyAlignment="1"/>
    <xf numFmtId="167" fontId="6" fillId="22" borderId="81" xfId="50" applyNumberFormat="1" applyFont="1" applyFill="1" applyBorder="1" applyAlignment="1"/>
    <xf numFmtId="191" fontId="5" fillId="0" borderId="81" xfId="0" applyNumberFormat="1" applyFont="1" applyFill="1" applyBorder="1" applyAlignment="1"/>
    <xf numFmtId="169" fontId="6" fillId="0" borderId="81" xfId="50" applyNumberFormat="1" applyFont="1" applyFill="1" applyBorder="1" applyAlignment="1"/>
    <xf numFmtId="167" fontId="6" fillId="0" borderId="81" xfId="50" applyNumberFormat="1" applyFont="1" applyFill="1" applyBorder="1" applyAlignment="1"/>
    <xf numFmtId="168" fontId="5" fillId="22" borderId="81" xfId="50" applyNumberFormat="1" applyFont="1" applyFill="1" applyBorder="1" applyAlignment="1">
      <alignment horizontal="right"/>
    </xf>
    <xf numFmtId="168" fontId="7" fillId="22" borderId="81" xfId="50" applyNumberFormat="1" applyFont="1" applyFill="1" applyBorder="1" applyAlignment="1"/>
    <xf numFmtId="166" fontId="5" fillId="0" borderId="81" xfId="0" applyNumberFormat="1" applyFont="1" applyFill="1" applyBorder="1" applyAlignment="1">
      <alignment horizontal="right"/>
    </xf>
    <xf numFmtId="168" fontId="5" fillId="22" borderId="81" xfId="50" applyNumberFormat="1" applyFont="1" applyFill="1" applyBorder="1" applyAlignment="1"/>
    <xf numFmtId="168" fontId="5" fillId="22" borderId="81" xfId="0" applyNumberFormat="1" applyFont="1" applyFill="1" applyBorder="1" applyAlignment="1" applyProtection="1">
      <alignment horizontal="right"/>
      <protection locked="0"/>
    </xf>
    <xf numFmtId="168" fontId="7" fillId="22" borderId="81" xfId="0" applyNumberFormat="1" applyFont="1" applyFill="1" applyBorder="1" applyAlignment="1" applyProtection="1">
      <alignment horizontal="right"/>
      <protection locked="0"/>
    </xf>
    <xf numFmtId="166" fontId="6" fillId="22" borderId="81" xfId="0" applyNumberFormat="1" applyFont="1" applyFill="1" applyBorder="1" applyAlignment="1"/>
    <xf numFmtId="168" fontId="6" fillId="22" borderId="81" xfId="0" applyNumberFormat="1" applyFont="1" applyFill="1" applyBorder="1" applyAlignment="1"/>
    <xf numFmtId="166" fontId="5" fillId="22" borderId="81" xfId="0" applyNumberFormat="1" applyFont="1" applyFill="1" applyBorder="1" applyAlignment="1"/>
    <xf numFmtId="166" fontId="5" fillId="25" borderId="81" xfId="0" applyNumberFormat="1" applyFont="1" applyFill="1" applyBorder="1" applyAlignment="1" applyProtection="1">
      <alignment horizontal="right"/>
      <protection locked="0"/>
    </xf>
    <xf numFmtId="5" fontId="5" fillId="23" borderId="81" xfId="0" applyNumberFormat="1" applyFont="1" applyFill="1" applyBorder="1" applyAlignment="1"/>
    <xf numFmtId="7" fontId="5" fillId="23" borderId="81" xfId="0" applyNumberFormat="1" applyFont="1" applyFill="1" applyBorder="1" applyAlignment="1"/>
    <xf numFmtId="167" fontId="6" fillId="22" borderId="81" xfId="0" applyNumberFormat="1" applyFont="1" applyFill="1" applyBorder="1" applyAlignment="1"/>
    <xf numFmtId="167" fontId="5" fillId="22" borderId="81" xfId="0" applyNumberFormat="1" applyFont="1" applyFill="1" applyBorder="1" applyAlignment="1"/>
    <xf numFmtId="168" fontId="6" fillId="22" borderId="81" xfId="50" applyNumberFormat="1" applyFont="1" applyFill="1" applyBorder="1" applyAlignment="1">
      <alignment horizontal="right"/>
    </xf>
    <xf numFmtId="165" fontId="6" fillId="22" borderId="81" xfId="0" applyNumberFormat="1" applyFont="1" applyFill="1" applyBorder="1" applyAlignment="1"/>
    <xf numFmtId="166" fontId="6" fillId="22" borderId="81" xfId="34" applyNumberFormat="1" applyFont="1" applyFill="1" applyBorder="1" applyAlignment="1" applyProtection="1">
      <alignment horizontal="right"/>
      <protection locked="0"/>
    </xf>
    <xf numFmtId="165" fontId="6" fillId="22" borderId="81" xfId="0" applyNumberFormat="1" applyFont="1" applyFill="1" applyBorder="1" applyAlignment="1" applyProtection="1">
      <alignment horizontal="right"/>
      <protection locked="0"/>
    </xf>
    <xf numFmtId="7" fontId="5" fillId="22" borderId="81" xfId="0" applyNumberFormat="1" applyFont="1" applyFill="1" applyBorder="1" applyAlignment="1"/>
    <xf numFmtId="168" fontId="6" fillId="22" borderId="81" xfId="46" applyNumberFormat="1" applyFont="1" applyFill="1" applyBorder="1" applyAlignment="1">
      <alignment horizontal="right"/>
    </xf>
    <xf numFmtId="165" fontId="23" fillId="22" borderId="81" xfId="34" applyNumberFormat="1" applyFont="1" applyFill="1" applyBorder="1" applyAlignment="1" applyProtection="1">
      <alignment horizontal="right"/>
      <protection locked="0"/>
    </xf>
    <xf numFmtId="168" fontId="23" fillId="22" borderId="81" xfId="46" applyNumberFormat="1" applyFont="1" applyFill="1" applyBorder="1" applyAlignment="1" applyProtection="1">
      <alignment horizontal="right"/>
    </xf>
    <xf numFmtId="207" fontId="5" fillId="23" borderId="81" xfId="0" applyNumberFormat="1" applyFont="1" applyFill="1" applyBorder="1" applyAlignment="1"/>
    <xf numFmtId="166" fontId="9" fillId="22" borderId="81" xfId="0" applyNumberFormat="1" applyFont="1" applyFill="1" applyBorder="1" applyAlignment="1"/>
    <xf numFmtId="192" fontId="7" fillId="22" borderId="81" xfId="0" applyNumberFormat="1" applyFont="1" applyFill="1" applyBorder="1" applyAlignment="1">
      <alignment horizontal="right"/>
    </xf>
    <xf numFmtId="7" fontId="30" fillId="23" borderId="80" xfId="0" applyNumberFormat="1" applyFont="1" applyFill="1" applyBorder="1" applyAlignment="1"/>
    <xf numFmtId="164" fontId="7" fillId="0" borderId="81" xfId="0" applyNumberFormat="1" applyFont="1" applyFill="1" applyBorder="1" applyAlignment="1"/>
    <xf numFmtId="172" fontId="6" fillId="0" borderId="81" xfId="33" applyNumberFormat="1" applyFont="1" applyFill="1" applyBorder="1" applyAlignment="1"/>
    <xf numFmtId="167" fontId="6" fillId="0" borderId="81" xfId="0" applyNumberFormat="1" applyFont="1" applyFill="1" applyBorder="1" applyAlignment="1"/>
    <xf numFmtId="9" fontId="7" fillId="0" borderId="81" xfId="0" applyNumberFormat="1" applyFont="1" applyFill="1" applyBorder="1" applyAlignment="1"/>
    <xf numFmtId="191" fontId="5" fillId="27" borderId="0" xfId="0" applyNumberFormat="1" applyFont="1" applyFill="1" applyBorder="1" applyAlignment="1">
      <alignment horizontal="right"/>
    </xf>
    <xf numFmtId="0" fontId="6" fillId="22" borderId="0" xfId="0" applyFont="1" applyFill="1" applyBorder="1" applyAlignment="1">
      <alignment horizontal="left" indent="2"/>
    </xf>
    <xf numFmtId="0" fontId="7" fillId="22" borderId="0" xfId="0" applyFont="1" applyFill="1" applyBorder="1" applyAlignment="1">
      <alignment horizontal="left" indent="2"/>
    </xf>
    <xf numFmtId="168" fontId="7" fillId="0" borderId="39" xfId="50" applyNumberFormat="1" applyFont="1" applyFill="1" applyBorder="1" applyAlignment="1"/>
    <xf numFmtId="168" fontId="7" fillId="0" borderId="40" xfId="50" applyNumberFormat="1" applyFont="1" applyFill="1" applyBorder="1" applyAlignment="1"/>
    <xf numFmtId="168" fontId="7" fillId="24" borderId="0" xfId="50" applyNumberFormat="1" applyFont="1" applyFill="1" applyBorder="1" applyAlignment="1"/>
    <xf numFmtId="5" fontId="7" fillId="0" borderId="20" xfId="0" applyNumberFormat="1" applyFont="1" applyFill="1" applyBorder="1" applyAlignment="1"/>
    <xf numFmtId="5" fontId="7" fillId="0" borderId="15" xfId="0" applyNumberFormat="1" applyFont="1" applyFill="1" applyBorder="1" applyAlignment="1"/>
    <xf numFmtId="168" fontId="7" fillId="23" borderId="0" xfId="50" applyNumberFormat="1" applyFont="1" applyFill="1" applyBorder="1" applyAlignment="1"/>
    <xf numFmtId="5" fontId="5" fillId="0" borderId="81" xfId="0" applyNumberFormat="1" applyFont="1" applyFill="1" applyBorder="1" applyAlignment="1"/>
    <xf numFmtId="168" fontId="66" fillId="0" borderId="0" xfId="50" applyNumberFormat="1" applyFont="1" applyFill="1" applyBorder="1" applyAlignment="1"/>
    <xf numFmtId="168" fontId="66" fillId="22" borderId="0" xfId="50" applyNumberFormat="1" applyFont="1" applyFill="1" applyBorder="1" applyAlignment="1"/>
    <xf numFmtId="168" fontId="66" fillId="0" borderId="39" xfId="50" applyNumberFormat="1" applyFont="1" applyFill="1" applyBorder="1" applyAlignment="1"/>
    <xf numFmtId="168" fontId="66" fillId="0" borderId="40" xfId="50" applyNumberFormat="1" applyFont="1" applyFill="1" applyBorder="1" applyAlignment="1"/>
    <xf numFmtId="166" fontId="5" fillId="22" borderId="39" xfId="0" applyNumberFormat="1" applyFont="1" applyFill="1" applyBorder="1">
      <alignment wrapText="1"/>
    </xf>
    <xf numFmtId="166" fontId="5" fillId="22" borderId="40" xfId="0" applyNumberFormat="1" applyFont="1" applyFill="1" applyBorder="1">
      <alignment wrapText="1"/>
    </xf>
    <xf numFmtId="166" fontId="5" fillId="22" borderId="48" xfId="0" applyNumberFormat="1" applyFont="1" applyFill="1" applyBorder="1">
      <alignment wrapText="1"/>
    </xf>
    <xf numFmtId="166" fontId="5" fillId="0" borderId="48" xfId="0" applyNumberFormat="1" applyFont="1" applyFill="1" applyBorder="1">
      <alignment wrapText="1"/>
    </xf>
    <xf numFmtId="168" fontId="6" fillId="22" borderId="49" xfId="50" applyNumberFormat="1" applyFont="1" applyFill="1" applyBorder="1" applyAlignment="1"/>
    <xf numFmtId="168" fontId="68" fillId="0" borderId="0" xfId="50" applyNumberFormat="1" applyFont="1" applyFill="1" applyBorder="1" applyAlignment="1"/>
    <xf numFmtId="203" fontId="6" fillId="22" borderId="81" xfId="50" applyNumberFormat="1" applyFont="1" applyFill="1" applyBorder="1" applyAlignment="1"/>
    <xf numFmtId="166" fontId="5" fillId="0" borderId="81" xfId="0" applyNumberFormat="1" applyFont="1" applyFill="1" applyBorder="1" applyAlignment="1"/>
    <xf numFmtId="166" fontId="70" fillId="25" borderId="0" xfId="0" applyNumberFormat="1" applyFont="1" applyFill="1" applyBorder="1" applyAlignment="1" applyProtection="1">
      <alignment horizontal="right"/>
      <protection locked="0"/>
    </xf>
    <xf numFmtId="166" fontId="5" fillId="22" borderId="40" xfId="0" applyNumberFormat="1" applyFont="1" applyFill="1" applyBorder="1" applyAlignment="1"/>
    <xf numFmtId="166" fontId="5" fillId="22" borderId="48" xfId="0" applyNumberFormat="1" applyFont="1" applyFill="1" applyBorder="1" applyAlignment="1"/>
    <xf numFmtId="191" fontId="5" fillId="25" borderId="0" xfId="35" applyNumberFormat="1" applyFont="1" applyFill="1" applyBorder="1" applyAlignment="1" applyProtection="1">
      <alignment horizontal="right"/>
      <protection locked="0"/>
    </xf>
    <xf numFmtId="191" fontId="5" fillId="25" borderId="81" xfId="0" applyNumberFormat="1" applyFont="1" applyFill="1" applyBorder="1" applyAlignment="1" applyProtection="1">
      <alignment horizontal="right"/>
      <protection locked="0"/>
    </xf>
    <xf numFmtId="165" fontId="5" fillId="25" borderId="81" xfId="0" applyNumberFormat="1" applyFont="1" applyFill="1" applyBorder="1" applyAlignment="1" applyProtection="1">
      <alignment horizontal="right"/>
      <protection locked="0"/>
    </xf>
    <xf numFmtId="203" fontId="6" fillId="22" borderId="39" xfId="50" applyNumberFormat="1" applyFont="1" applyFill="1" applyBorder="1" applyAlignment="1"/>
    <xf numFmtId="203" fontId="6" fillId="22" borderId="48" xfId="50" applyNumberFormat="1" applyFont="1" applyFill="1" applyBorder="1" applyAlignment="1"/>
    <xf numFmtId="168" fontId="68" fillId="0" borderId="48" xfId="50" applyNumberFormat="1" applyFont="1" applyFill="1" applyBorder="1" applyAlignment="1"/>
    <xf numFmtId="191" fontId="5" fillId="23" borderId="42" xfId="0" applyNumberFormat="1" applyFont="1" applyFill="1" applyBorder="1" applyAlignment="1"/>
    <xf numFmtId="191" fontId="5" fillId="23" borderId="14" xfId="0" applyNumberFormat="1" applyFont="1" applyFill="1" applyBorder="1" applyAlignment="1">
      <alignment horizontal="left" indent="1"/>
    </xf>
    <xf numFmtId="236" fontId="5" fillId="25" borderId="81" xfId="50" applyNumberFormat="1" applyFont="1" applyFill="1" applyBorder="1" applyAlignment="1" applyProtection="1">
      <alignment horizontal="right"/>
      <protection locked="0"/>
    </xf>
    <xf numFmtId="165" fontId="67" fillId="22" borderId="0" xfId="34" applyNumberFormat="1" applyFont="1" applyFill="1" applyBorder="1" applyAlignment="1" applyProtection="1">
      <alignment horizontal="right"/>
      <protection locked="0"/>
    </xf>
    <xf numFmtId="166" fontId="6" fillId="27" borderId="49" xfId="0" applyNumberFormat="1" applyFont="1" applyFill="1" applyBorder="1" applyAlignment="1">
      <alignment horizontal="right"/>
    </xf>
    <xf numFmtId="166" fontId="6" fillId="27" borderId="49" xfId="0" applyNumberFormat="1" applyFont="1" applyFill="1" applyBorder="1" applyAlignment="1" applyProtection="1">
      <protection locked="0"/>
    </xf>
    <xf numFmtId="199" fontId="7" fillId="0" borderId="49" xfId="0" applyNumberFormat="1" applyFont="1" applyFill="1" applyBorder="1" applyAlignment="1" applyProtection="1">
      <protection locked="0"/>
    </xf>
    <xf numFmtId="166" fontId="5" fillId="23" borderId="83" xfId="0" applyNumberFormat="1" applyFont="1" applyFill="1" applyBorder="1" applyAlignment="1"/>
    <xf numFmtId="166" fontId="6" fillId="22" borderId="49" xfId="0" applyNumberFormat="1" applyFont="1" applyFill="1" applyBorder="1" applyAlignment="1">
      <alignment horizontal="right"/>
    </xf>
    <xf numFmtId="168" fontId="6" fillId="22" borderId="49" xfId="0" applyNumberFormat="1" applyFont="1" applyFill="1" applyBorder="1" applyAlignment="1"/>
    <xf numFmtId="166" fontId="5" fillId="22" borderId="84" xfId="0" applyNumberFormat="1" applyFont="1" applyFill="1" applyBorder="1" applyAlignment="1"/>
    <xf numFmtId="192" fontId="6" fillId="22" borderId="49" xfId="0" applyNumberFormat="1" applyFont="1" applyFill="1" applyBorder="1" applyAlignment="1">
      <alignment horizontal="right"/>
    </xf>
    <xf numFmtId="5" fontId="6" fillId="22" borderId="49" xfId="50" applyNumberFormat="1" applyFont="1" applyFill="1" applyBorder="1" applyAlignment="1"/>
    <xf numFmtId="166" fontId="6" fillId="22" borderId="49" xfId="0" applyNumberFormat="1" applyFont="1" applyFill="1" applyBorder="1" applyAlignment="1" applyProtection="1"/>
    <xf numFmtId="166" fontId="6" fillId="0" borderId="49" xfId="0" applyNumberFormat="1" applyFont="1" applyFill="1" applyBorder="1" applyAlignment="1">
      <alignment horizontal="right"/>
    </xf>
    <xf numFmtId="167" fontId="6" fillId="22" borderId="49" xfId="0" applyNumberFormat="1" applyFont="1" applyFill="1" applyBorder="1" applyAlignment="1"/>
    <xf numFmtId="5" fontId="5" fillId="23" borderId="49" xfId="0" applyNumberFormat="1" applyFont="1" applyFill="1" applyBorder="1" applyAlignment="1"/>
    <xf numFmtId="167" fontId="6" fillId="22" borderId="49" xfId="33" applyNumberFormat="1" applyFont="1" applyFill="1" applyBorder="1" applyAlignment="1"/>
    <xf numFmtId="166" fontId="6" fillId="0" borderId="49" xfId="0" applyNumberFormat="1" applyFont="1" applyFill="1" applyBorder="1" applyAlignment="1"/>
    <xf numFmtId="171" fontId="9" fillId="22" borderId="49" xfId="0" applyNumberFormat="1" applyFont="1" applyFill="1" applyBorder="1" applyAlignment="1"/>
    <xf numFmtId="166" fontId="9" fillId="22" borderId="49" xfId="0" applyNumberFormat="1" applyFont="1" applyFill="1" applyBorder="1" applyAlignment="1"/>
    <xf numFmtId="166" fontId="68" fillId="22" borderId="81" xfId="0" applyNumberFormat="1" applyFont="1" applyFill="1" applyBorder="1" applyAlignment="1"/>
    <xf numFmtId="166" fontId="5" fillId="22" borderId="39" xfId="0" applyNumberFormat="1" applyFont="1" applyFill="1" applyBorder="1" applyAlignment="1"/>
    <xf numFmtId="7" fontId="5" fillId="23" borderId="14" xfId="0" applyNumberFormat="1" applyFont="1" applyFill="1" applyBorder="1" applyAlignment="1"/>
    <xf numFmtId="203" fontId="65" fillId="22" borderId="0" xfId="50" applyNumberFormat="1" applyFont="1" applyFill="1" applyBorder="1" applyAlignment="1"/>
    <xf numFmtId="203" fontId="65" fillId="22" borderId="81" xfId="50" applyNumberFormat="1" applyFont="1" applyFill="1" applyBorder="1" applyAlignment="1"/>
    <xf numFmtId="168" fontId="65" fillId="22" borderId="0" xfId="50" applyNumberFormat="1" applyFont="1" applyFill="1" applyBorder="1" applyAlignment="1"/>
    <xf numFmtId="203" fontId="65" fillId="22" borderId="48" xfId="50" applyNumberFormat="1" applyFont="1" applyFill="1" applyBorder="1" applyAlignment="1"/>
    <xf numFmtId="203" fontId="65" fillId="22" borderId="39" xfId="50" applyNumberFormat="1" applyFont="1" applyFill="1" applyBorder="1" applyAlignment="1"/>
    <xf numFmtId="7" fontId="70" fillId="25" borderId="48" xfId="0" applyNumberFormat="1" applyFont="1" applyFill="1" applyBorder="1" applyAlignment="1" applyProtection="1">
      <alignment horizontal="right"/>
      <protection locked="0"/>
    </xf>
    <xf numFmtId="166" fontId="5" fillId="22" borderId="28" xfId="0" applyNumberFormat="1" applyFont="1" applyFill="1" applyBorder="1" applyAlignment="1"/>
    <xf numFmtId="227" fontId="16" fillId="0" borderId="28" xfId="63" applyNumberFormat="1" applyFont="1" applyFill="1" applyBorder="1" applyAlignment="1">
      <alignment vertical="center"/>
    </xf>
    <xf numFmtId="5" fontId="16" fillId="0" borderId="28" xfId="63" applyNumberFormat="1" applyFont="1" applyFill="1" applyBorder="1" applyAlignment="1">
      <alignment vertical="center"/>
    </xf>
    <xf numFmtId="192" fontId="4" fillId="0" borderId="30" xfId="63" applyNumberFormat="1" applyFont="1" applyFill="1" applyBorder="1" applyAlignment="1">
      <alignment horizontal="right"/>
    </xf>
    <xf numFmtId="227" fontId="4" fillId="0" borderId="0" xfId="63" applyNumberFormat="1" applyFont="1" applyFill="1" applyBorder="1" applyAlignment="1">
      <alignment vertical="center"/>
    </xf>
    <xf numFmtId="0" fontId="16" fillId="0" borderId="34" xfId="63" applyFont="1" applyFill="1" applyBorder="1" applyAlignment="1">
      <alignment vertical="center"/>
    </xf>
    <xf numFmtId="231" fontId="86" fillId="0" borderId="78" xfId="63" applyNumberFormat="1" applyFont="1" applyFill="1" applyBorder="1" applyAlignment="1">
      <alignment horizontal="right" vertical="center"/>
    </xf>
    <xf numFmtId="228" fontId="37" fillId="0" borderId="28" xfId="63" applyNumberFormat="1" applyFont="1" applyFill="1" applyBorder="1" applyAlignment="1">
      <alignment vertical="center"/>
    </xf>
    <xf numFmtId="228" fontId="4" fillId="0" borderId="28" xfId="63" applyNumberFormat="1" applyFont="1" applyFill="1" applyBorder="1" applyAlignment="1">
      <alignment vertical="center"/>
    </xf>
    <xf numFmtId="166" fontId="6" fillId="0" borderId="15" xfId="0" applyNumberFormat="1" applyFont="1" applyFill="1" applyBorder="1" applyAlignment="1" applyProtection="1">
      <protection locked="0"/>
    </xf>
    <xf numFmtId="169" fontId="6" fillId="27" borderId="22" xfId="50" applyNumberFormat="1" applyFont="1" applyFill="1" applyBorder="1" applyAlignment="1"/>
    <xf numFmtId="169" fontId="6" fillId="27" borderId="0" xfId="50" applyNumberFormat="1" applyFont="1" applyFill="1" applyBorder="1" applyAlignment="1"/>
    <xf numFmtId="169" fontId="6" fillId="27" borderId="81" xfId="50" applyNumberFormat="1" applyFont="1" applyFill="1" applyBorder="1" applyAlignment="1"/>
    <xf numFmtId="169" fontId="6" fillId="27" borderId="28" xfId="50" applyNumberFormat="1" applyFont="1" applyFill="1" applyBorder="1" applyAlignment="1"/>
    <xf numFmtId="167" fontId="6" fillId="27" borderId="22" xfId="50" applyNumberFormat="1" applyFont="1" applyFill="1" applyBorder="1" applyAlignment="1"/>
    <xf numFmtId="167" fontId="6" fillId="27" borderId="0" xfId="50" applyNumberFormat="1" applyFont="1" applyFill="1" applyBorder="1" applyAlignment="1"/>
    <xf numFmtId="167" fontId="6" fillId="27" borderId="81" xfId="50" applyNumberFormat="1" applyFont="1" applyFill="1" applyBorder="1" applyAlignment="1"/>
    <xf numFmtId="191" fontId="5" fillId="27" borderId="0" xfId="0" applyNumberFormat="1" applyFont="1" applyFill="1" applyBorder="1" applyAlignment="1"/>
    <xf numFmtId="191" fontId="5" fillId="27" borderId="81" xfId="0" applyNumberFormat="1" applyFont="1" applyFill="1" applyBorder="1" applyAlignment="1"/>
    <xf numFmtId="168" fontId="6" fillId="27" borderId="22" xfId="50" applyNumberFormat="1" applyFont="1" applyFill="1" applyBorder="1" applyAlignment="1"/>
    <xf numFmtId="168" fontId="6" fillId="27" borderId="0" xfId="50" applyNumberFormat="1" applyFont="1" applyFill="1" applyBorder="1" applyAlignment="1"/>
    <xf numFmtId="168" fontId="6" fillId="27" borderId="81" xfId="50" applyNumberFormat="1" applyFont="1" applyFill="1" applyBorder="1" applyAlignment="1"/>
    <xf numFmtId="5" fontId="5" fillId="27" borderId="0" xfId="0" applyNumberFormat="1" applyFont="1" applyFill="1" applyBorder="1" applyAlignment="1"/>
    <xf numFmtId="171" fontId="5" fillId="0" borderId="0" xfId="0" applyNumberFormat="1" applyFont="1" applyFill="1" applyBorder="1" applyAlignment="1"/>
    <xf numFmtId="5" fontId="67" fillId="0" borderId="0" xfId="0" applyNumberFormat="1" applyFont="1" applyFill="1" applyBorder="1" applyAlignment="1"/>
    <xf numFmtId="166" fontId="10" fillId="0" borderId="0" xfId="0" applyNumberFormat="1" applyFont="1" applyFill="1" applyBorder="1" applyAlignment="1"/>
    <xf numFmtId="5" fontId="10" fillId="0" borderId="0" xfId="0" applyNumberFormat="1" applyFont="1" applyFill="1" applyBorder="1" applyAlignment="1"/>
    <xf numFmtId="0" fontId="28" fillId="34" borderId="0" xfId="0" applyFont="1" applyFill="1" applyBorder="1" applyAlignment="1">
      <alignment horizontal="center"/>
    </xf>
    <xf numFmtId="0" fontId="28" fillId="34" borderId="0" xfId="46" applyFont="1" applyFill="1" applyBorder="1" applyAlignment="1">
      <alignment horizontal="center"/>
    </xf>
    <xf numFmtId="5" fontId="5" fillId="34" borderId="0" xfId="0" applyNumberFormat="1" applyFont="1" applyFill="1" applyBorder="1" applyAlignment="1"/>
    <xf numFmtId="0" fontId="5" fillId="34" borderId="0" xfId="0" applyFont="1" applyFill="1" applyBorder="1" applyAlignment="1" applyProtection="1">
      <alignment horizontal="right"/>
      <protection locked="0"/>
    </xf>
    <xf numFmtId="191" fontId="5" fillId="34" borderId="0" xfId="0" applyNumberFormat="1" applyFont="1" applyFill="1" applyBorder="1" applyAlignment="1"/>
    <xf numFmtId="202" fontId="5" fillId="34" borderId="0" xfId="50" applyNumberFormat="1" applyFont="1" applyFill="1" applyBorder="1" applyAlignment="1"/>
    <xf numFmtId="5" fontId="7" fillId="34" borderId="0" xfId="0" applyNumberFormat="1" applyFont="1" applyFill="1" applyBorder="1" applyAlignment="1"/>
    <xf numFmtId="5" fontId="6" fillId="34" borderId="0" xfId="0" applyNumberFormat="1" applyFont="1" applyFill="1" applyBorder="1" applyAlignment="1"/>
    <xf numFmtId="166" fontId="7" fillId="34" borderId="0" xfId="0" applyNumberFormat="1" applyFont="1" applyFill="1" applyBorder="1" applyAlignment="1"/>
    <xf numFmtId="166" fontId="5" fillId="34" borderId="0" xfId="0" applyNumberFormat="1" applyFont="1" applyFill="1" applyBorder="1" applyAlignment="1"/>
    <xf numFmtId="199" fontId="5" fillId="34" borderId="0" xfId="50" applyNumberFormat="1" applyFont="1" applyFill="1" applyBorder="1" applyAlignment="1"/>
    <xf numFmtId="166" fontId="6" fillId="34" borderId="0" xfId="0" applyNumberFormat="1" applyFont="1" applyFill="1" applyBorder="1" applyAlignment="1"/>
    <xf numFmtId="168" fontId="5" fillId="34" borderId="0" xfId="0" applyNumberFormat="1" applyFont="1" applyFill="1" applyBorder="1" applyAlignment="1"/>
    <xf numFmtId="171" fontId="5" fillId="34" borderId="0" xfId="0" applyNumberFormat="1" applyFont="1" applyFill="1" applyBorder="1" applyAlignment="1"/>
    <xf numFmtId="5" fontId="67" fillId="34" borderId="0" xfId="0" applyNumberFormat="1" applyFont="1" applyFill="1" applyBorder="1" applyAlignment="1"/>
    <xf numFmtId="166" fontId="10" fillId="34" borderId="0" xfId="0" applyNumberFormat="1" applyFont="1" applyFill="1" applyBorder="1" applyAlignment="1"/>
    <xf numFmtId="5" fontId="10" fillId="34" borderId="0" xfId="0" applyNumberFormat="1" applyFont="1" applyFill="1" applyBorder="1" applyAlignment="1"/>
    <xf numFmtId="9" fontId="5" fillId="23" borderId="0" xfId="0" applyNumberFormat="1" applyFont="1" applyFill="1" applyBorder="1" applyAlignment="1">
      <alignment horizontal="right"/>
    </xf>
    <xf numFmtId="9" fontId="5" fillId="30" borderId="0" xfId="0" applyNumberFormat="1" applyFont="1" applyFill="1" applyBorder="1" applyAlignment="1">
      <alignment horizontal="right"/>
    </xf>
    <xf numFmtId="9" fontId="5" fillId="0" borderId="0" xfId="0" applyNumberFormat="1" applyFont="1" applyFill="1" applyBorder="1" applyAlignment="1">
      <alignment horizontal="right"/>
    </xf>
    <xf numFmtId="9" fontId="5" fillId="0" borderId="0" xfId="0" applyNumberFormat="1" applyFont="1" applyFill="1" applyBorder="1" applyAlignment="1"/>
    <xf numFmtId="9" fontId="5" fillId="27" borderId="0" xfId="0" applyNumberFormat="1" applyFont="1" applyFill="1" applyBorder="1" applyAlignment="1"/>
    <xf numFmtId="9" fontId="5" fillId="0" borderId="0" xfId="0" applyNumberFormat="1" applyFont="1" applyFill="1" applyBorder="1">
      <alignment wrapText="1"/>
    </xf>
    <xf numFmtId="9" fontId="5" fillId="23" borderId="0" xfId="0" applyNumberFormat="1" applyFont="1" applyFill="1" applyBorder="1" applyAlignment="1"/>
    <xf numFmtId="9" fontId="6" fillId="0" borderId="0" xfId="0" applyNumberFormat="1" applyFont="1" applyFill="1" applyBorder="1" applyAlignment="1"/>
    <xf numFmtId="9" fontId="6" fillId="22" borderId="0" xfId="0" applyNumberFormat="1" applyFont="1" applyFill="1" applyBorder="1" applyAlignment="1"/>
    <xf numFmtId="9" fontId="5" fillId="23" borderId="14" xfId="0" applyNumberFormat="1" applyFont="1" applyFill="1" applyBorder="1" applyAlignment="1"/>
    <xf numFmtId="9" fontId="6" fillId="22" borderId="14" xfId="50" applyNumberFormat="1" applyFont="1" applyFill="1" applyBorder="1" applyAlignment="1"/>
    <xf numFmtId="9" fontId="5" fillId="22" borderId="0" xfId="0" applyNumberFormat="1" applyFont="1" applyFill="1" applyBorder="1" applyAlignment="1"/>
    <xf numFmtId="9" fontId="6" fillId="22" borderId="0" xfId="50" applyNumberFormat="1" applyFont="1" applyFill="1" applyBorder="1" applyAlignment="1"/>
    <xf numFmtId="9" fontId="39" fillId="22" borderId="18" xfId="0" applyNumberFormat="1" applyFont="1" applyFill="1" applyBorder="1" applyAlignment="1"/>
    <xf numFmtId="9" fontId="5" fillId="22" borderId="18" xfId="0" applyNumberFormat="1" applyFont="1" applyFill="1" applyBorder="1" applyAlignment="1"/>
    <xf numFmtId="9" fontId="6" fillId="22" borderId="14" xfId="0" applyNumberFormat="1" applyFont="1" applyFill="1" applyBorder="1" applyAlignment="1"/>
    <xf numFmtId="9" fontId="6" fillId="0" borderId="31" xfId="0" applyNumberFormat="1" applyFont="1" applyFill="1" applyBorder="1" applyAlignment="1"/>
    <xf numFmtId="9" fontId="22" fillId="0" borderId="0" xfId="50" applyNumberFormat="1" applyFont="1" applyFill="1" applyBorder="1" applyAlignment="1">
      <alignment horizontal="right"/>
    </xf>
    <xf numFmtId="9" fontId="6" fillId="0" borderId="0" xfId="34" applyNumberFormat="1" applyFont="1" applyFill="1" applyBorder="1" applyAlignment="1" applyProtection="1">
      <alignment horizontal="right"/>
      <protection locked="0"/>
    </xf>
    <xf numFmtId="9" fontId="6" fillId="22" borderId="0" xfId="34" applyNumberFormat="1" applyFont="1" applyFill="1" applyBorder="1" applyAlignment="1" applyProtection="1">
      <alignment horizontal="right"/>
      <protection locked="0"/>
    </xf>
    <xf numFmtId="9" fontId="6" fillId="22" borderId="0" xfId="0" applyNumberFormat="1" applyFont="1" applyFill="1" applyBorder="1" applyAlignment="1" applyProtection="1">
      <alignment horizontal="right"/>
      <protection locked="0"/>
    </xf>
    <xf numFmtId="9" fontId="5" fillId="0" borderId="0" xfId="34" applyNumberFormat="1" applyFont="1" applyFill="1" applyBorder="1" applyAlignment="1" applyProtection="1">
      <alignment horizontal="right"/>
      <protection locked="0"/>
    </xf>
    <xf numFmtId="1" fontId="6" fillId="22" borderId="0" xfId="50" applyNumberFormat="1" applyFont="1" applyFill="1" applyBorder="1" applyAlignment="1"/>
    <xf numFmtId="1" fontId="65" fillId="0" borderId="0" xfId="50" applyNumberFormat="1" applyFont="1" applyFill="1" applyBorder="1" applyAlignment="1"/>
    <xf numFmtId="1" fontId="5" fillId="23" borderId="0" xfId="50" applyNumberFormat="1" applyFont="1" applyFill="1" applyBorder="1" applyAlignment="1"/>
    <xf numFmtId="1" fontId="6" fillId="0" borderId="0" xfId="50" applyNumberFormat="1" applyFont="1" applyFill="1" applyBorder="1" applyAlignment="1"/>
    <xf numFmtId="1" fontId="5" fillId="22" borderId="0" xfId="50" applyNumberFormat="1" applyFont="1" applyFill="1" applyBorder="1" applyAlignment="1"/>
    <xf numFmtId="1" fontId="7" fillId="0" borderId="0" xfId="50" applyNumberFormat="1" applyFont="1" applyFill="1" applyBorder="1" applyAlignment="1"/>
    <xf numFmtId="1" fontId="5" fillId="0" borderId="0" xfId="50" applyNumberFormat="1" applyFont="1" applyFill="1" applyBorder="1" applyAlignment="1"/>
    <xf numFmtId="1" fontId="7" fillId="22" borderId="0" xfId="50" applyNumberFormat="1" applyFont="1" applyFill="1" applyBorder="1" applyAlignment="1">
      <alignment horizontal="right"/>
    </xf>
    <xf numFmtId="1" fontId="5" fillId="22" borderId="0" xfId="0" applyNumberFormat="1" applyFont="1" applyFill="1" applyBorder="1" applyAlignment="1" applyProtection="1">
      <alignment horizontal="right"/>
      <protection locked="0"/>
    </xf>
    <xf numFmtId="1" fontId="7" fillId="22" borderId="0" xfId="0" applyNumberFormat="1" applyFont="1" applyFill="1" applyBorder="1" applyAlignment="1" applyProtection="1">
      <alignment horizontal="right"/>
      <protection locked="0"/>
    </xf>
    <xf numFmtId="1" fontId="6" fillId="0" borderId="0" xfId="50" applyNumberFormat="1" applyFont="1" applyFill="1" applyBorder="1" applyAlignment="1">
      <alignment horizontal="right"/>
    </xf>
    <xf numFmtId="1" fontId="6" fillId="22" borderId="0" xfId="46" applyNumberFormat="1" applyFont="1" applyFill="1" applyBorder="1" applyAlignment="1">
      <alignment horizontal="right"/>
    </xf>
    <xf numFmtId="1" fontId="23" fillId="22" borderId="0" xfId="46" applyNumberFormat="1" applyFont="1" applyFill="1" applyBorder="1" applyAlignment="1" applyProtection="1">
      <alignment horizontal="right"/>
    </xf>
    <xf numFmtId="168" fontId="6" fillId="22" borderId="48" xfId="50" applyNumberFormat="1" applyFont="1" applyFill="1" applyBorder="1" applyAlignment="1"/>
    <xf numFmtId="191" fontId="5" fillId="30" borderId="49" xfId="0" applyNumberFormat="1" applyFont="1" applyFill="1" applyBorder="1" applyAlignment="1">
      <alignment horizontal="right"/>
    </xf>
    <xf numFmtId="168" fontId="6" fillId="22" borderId="85" xfId="50" applyNumberFormat="1" applyFont="1" applyFill="1" applyBorder="1" applyAlignment="1"/>
    <xf numFmtId="191" fontId="5" fillId="26" borderId="0" xfId="0" applyNumberFormat="1" applyFont="1" applyFill="1" applyBorder="1" applyAlignment="1">
      <alignment horizontal="right"/>
    </xf>
    <xf numFmtId="191" fontId="67" fillId="26" borderId="28" xfId="0" applyNumberFormat="1" applyFont="1" applyFill="1" applyBorder="1" applyAlignment="1"/>
    <xf numFmtId="191" fontId="67" fillId="26" borderId="48" xfId="0" applyNumberFormat="1" applyFont="1" applyFill="1" applyBorder="1" applyAlignment="1"/>
    <xf numFmtId="203" fontId="6" fillId="0" borderId="0" xfId="50" applyNumberFormat="1" applyFont="1" applyFill="1" applyBorder="1" applyAlignment="1"/>
    <xf numFmtId="166" fontId="6" fillId="0" borderId="22" xfId="34" applyNumberFormat="1" applyFont="1" applyFill="1" applyBorder="1" applyAlignment="1" applyProtection="1">
      <alignment horizontal="right"/>
      <protection locked="0"/>
    </xf>
    <xf numFmtId="168" fontId="6" fillId="22" borderId="39" xfId="50" applyNumberFormat="1" applyFont="1" applyFill="1" applyBorder="1" applyAlignment="1"/>
    <xf numFmtId="203" fontId="5" fillId="23" borderId="22" xfId="50" applyNumberFormat="1" applyFont="1" applyFill="1" applyBorder="1" applyAlignment="1"/>
    <xf numFmtId="166" fontId="68" fillId="22" borderId="0" xfId="0" applyNumberFormat="1" applyFont="1" applyFill="1" applyAlignment="1">
      <alignment horizontal="right"/>
    </xf>
    <xf numFmtId="166" fontId="69" fillId="22" borderId="0" xfId="0" applyNumberFormat="1" applyFont="1" applyFill="1" applyAlignment="1">
      <alignment horizontal="right"/>
    </xf>
    <xf numFmtId="167" fontId="65" fillId="22" borderId="22" xfId="0" applyNumberFormat="1" applyFont="1" applyFill="1" applyBorder="1" applyAlignment="1"/>
    <xf numFmtId="166" fontId="68" fillId="0" borderId="0" xfId="0" applyNumberFormat="1" applyFont="1" applyFill="1" applyAlignment="1"/>
    <xf numFmtId="0" fontId="28" fillId="34" borderId="0" xfId="0" applyFont="1" applyFill="1" applyBorder="1" applyAlignment="1"/>
    <xf numFmtId="168" fontId="5" fillId="27" borderId="0" xfId="0" applyNumberFormat="1" applyFont="1" applyFill="1" applyBorder="1" applyAlignment="1" applyProtection="1">
      <alignment horizontal="right"/>
      <protection locked="0"/>
    </xf>
    <xf numFmtId="166" fontId="6" fillId="27" borderId="0" xfId="34" applyNumberFormat="1" applyFont="1" applyFill="1" applyBorder="1" applyAlignment="1" applyProtection="1">
      <alignment horizontal="right"/>
      <protection locked="0"/>
    </xf>
    <xf numFmtId="167" fontId="7" fillId="22" borderId="14" xfId="50" applyNumberFormat="1" applyFont="1" applyFill="1" applyBorder="1" applyAlignment="1"/>
    <xf numFmtId="167" fontId="7" fillId="22" borderId="55" xfId="50" applyNumberFormat="1" applyFont="1" applyFill="1" applyBorder="1" applyAlignment="1"/>
    <xf numFmtId="167" fontId="7" fillId="22" borderId="16" xfId="50" applyNumberFormat="1" applyFont="1" applyFill="1" applyBorder="1" applyAlignment="1"/>
    <xf numFmtId="191" fontId="69" fillId="28" borderId="0" xfId="0" applyNumberFormat="1" applyFont="1" applyFill="1" applyBorder="1" applyAlignment="1">
      <alignment horizontal="right"/>
    </xf>
    <xf numFmtId="191" fontId="69" fillId="28" borderId="15" xfId="0" applyNumberFormat="1" applyFont="1" applyFill="1" applyBorder="1" applyAlignment="1"/>
    <xf numFmtId="166" fontId="68" fillId="23" borderId="0" xfId="46" applyNumberFormat="1" applyFont="1" applyFill="1" applyBorder="1" applyAlignment="1"/>
    <xf numFmtId="166" fontId="68" fillId="0" borderId="0" xfId="0" applyNumberFormat="1" applyFont="1" applyFill="1" applyAlignment="1">
      <alignment horizontal="right"/>
    </xf>
    <xf numFmtId="166" fontId="5" fillId="0" borderId="24" xfId="0" applyNumberFormat="1" applyFont="1" applyFill="1" applyBorder="1" applyAlignment="1"/>
    <xf numFmtId="199" fontId="91" fillId="25" borderId="0" xfId="0" applyNumberFormat="1" applyFont="1" applyFill="1" applyBorder="1" applyAlignment="1" applyProtection="1">
      <alignment horizontal="right"/>
      <protection locked="0"/>
    </xf>
    <xf numFmtId="237" fontId="5" fillId="23" borderId="0" xfId="0" applyNumberFormat="1" applyFont="1" applyFill="1" applyBorder="1" applyAlignment="1"/>
    <xf numFmtId="238" fontId="6" fillId="23" borderId="0" xfId="0" applyNumberFormat="1" applyFont="1" applyFill="1" applyBorder="1" applyAlignment="1"/>
    <xf numFmtId="239" fontId="6" fillId="23" borderId="0" xfId="35" applyNumberFormat="1" applyFont="1" applyFill="1" applyBorder="1" applyAlignment="1" applyProtection="1"/>
    <xf numFmtId="223" fontId="6" fillId="23" borderId="0" xfId="0" applyNumberFormat="1" applyFont="1" applyFill="1" applyBorder="1" applyAlignment="1"/>
    <xf numFmtId="223" fontId="7" fillId="23" borderId="0" xfId="0" applyNumberFormat="1" applyFont="1" applyFill="1" applyBorder="1" applyAlignment="1"/>
    <xf numFmtId="223" fontId="5" fillId="23" borderId="0" xfId="0" applyNumberFormat="1" applyFont="1" applyFill="1" applyBorder="1" applyAlignment="1"/>
    <xf numFmtId="168" fontId="7" fillId="27" borderId="0" xfId="0" applyNumberFormat="1" applyFont="1" applyFill="1" applyBorder="1" applyAlignment="1" applyProtection="1">
      <alignment horizontal="right"/>
      <protection locked="0"/>
    </xf>
    <xf numFmtId="191" fontId="5" fillId="28" borderId="81" xfId="0" applyNumberFormat="1" applyFont="1" applyFill="1" applyBorder="1" applyAlignment="1">
      <alignment horizontal="right"/>
    </xf>
    <xf numFmtId="168" fontId="6" fillId="0" borderId="81" xfId="50" applyNumberFormat="1" applyFont="1" applyFill="1" applyBorder="1" applyAlignment="1"/>
    <xf numFmtId="5" fontId="5" fillId="27" borderId="81" xfId="0" applyNumberFormat="1" applyFont="1" applyFill="1" applyBorder="1" applyAlignment="1"/>
    <xf numFmtId="168" fontId="65" fillId="22" borderId="81" xfId="50" applyNumberFormat="1" applyFont="1" applyFill="1" applyBorder="1" applyAlignment="1"/>
    <xf numFmtId="208" fontId="82" fillId="0" borderId="47" xfId="0" applyNumberFormat="1" applyFont="1" applyFill="1" applyBorder="1" applyAlignment="1">
      <alignment horizontal="right"/>
    </xf>
    <xf numFmtId="7" fontId="82" fillId="0" borderId="47" xfId="0" applyNumberFormat="1" applyFont="1" applyFill="1" applyBorder="1" applyAlignment="1">
      <alignment horizontal="right"/>
    </xf>
    <xf numFmtId="168" fontId="7" fillId="0" borderId="47" xfId="50" applyNumberFormat="1" applyFont="1" applyFill="1" applyBorder="1" applyAlignment="1"/>
    <xf numFmtId="168" fontId="8" fillId="22" borderId="28" xfId="50" applyNumberFormat="1" applyFont="1" applyFill="1" applyBorder="1" applyAlignment="1"/>
    <xf numFmtId="168" fontId="68" fillId="22" borderId="28" xfId="50" applyNumberFormat="1" applyFont="1" applyFill="1" applyBorder="1" applyAlignment="1"/>
    <xf numFmtId="168" fontId="6" fillId="22" borderId="28" xfId="50" applyNumberFormat="1" applyFont="1" applyFill="1" applyBorder="1" applyAlignment="1"/>
    <xf numFmtId="0" fontId="5" fillId="25" borderId="28" xfId="0" applyFont="1" applyFill="1" applyBorder="1" applyAlignment="1" applyProtection="1">
      <alignment horizontal="right"/>
      <protection locked="0"/>
    </xf>
    <xf numFmtId="168" fontId="15" fillId="23" borderId="28" xfId="50" applyNumberFormat="1" applyFont="1" applyFill="1" applyBorder="1" applyAlignment="1"/>
    <xf numFmtId="169" fontId="6" fillId="22" borderId="28" xfId="50" applyNumberFormat="1" applyFont="1" applyFill="1" applyBorder="1" applyAlignment="1"/>
    <xf numFmtId="167" fontId="6" fillId="22" borderId="28" xfId="50" applyNumberFormat="1" applyFont="1" applyFill="1" applyBorder="1" applyAlignment="1"/>
    <xf numFmtId="191" fontId="5" fillId="0" borderId="28" xfId="0" applyNumberFormat="1" applyFont="1" applyFill="1" applyBorder="1" applyAlignment="1"/>
    <xf numFmtId="168" fontId="6" fillId="27" borderId="28" xfId="50" applyNumberFormat="1" applyFont="1" applyFill="1" applyBorder="1" applyAlignment="1"/>
    <xf numFmtId="168" fontId="15" fillId="22" borderId="28" xfId="50" applyNumberFormat="1" applyFont="1" applyFill="1" applyBorder="1" applyAlignment="1"/>
    <xf numFmtId="168" fontId="5" fillId="22" borderId="28" xfId="50" applyNumberFormat="1" applyFont="1" applyFill="1" applyBorder="1" applyAlignment="1"/>
    <xf numFmtId="168" fontId="5" fillId="22" borderId="28" xfId="0" applyNumberFormat="1" applyFont="1" applyFill="1" applyBorder="1" applyAlignment="1" applyProtection="1">
      <alignment horizontal="right"/>
      <protection locked="0"/>
    </xf>
    <xf numFmtId="168" fontId="7" fillId="22" borderId="28" xfId="0" applyNumberFormat="1" applyFont="1" applyFill="1" applyBorder="1" applyAlignment="1" applyProtection="1">
      <alignment horizontal="right"/>
      <protection locked="0"/>
    </xf>
    <xf numFmtId="168" fontId="68" fillId="22" borderId="31" xfId="50" applyNumberFormat="1" applyFont="1" applyFill="1" applyBorder="1" applyAlignment="1"/>
    <xf numFmtId="191" fontId="5" fillId="23" borderId="28" xfId="0" applyNumberFormat="1" applyFont="1" applyFill="1" applyBorder="1" applyAlignment="1">
      <alignment horizontal="right"/>
    </xf>
    <xf numFmtId="191" fontId="67" fillId="30" borderId="28" xfId="0" applyNumberFormat="1" applyFont="1" applyFill="1" applyBorder="1" applyAlignment="1">
      <alignment horizontal="right"/>
    </xf>
    <xf numFmtId="191" fontId="69" fillId="30" borderId="28" xfId="0" applyNumberFormat="1" applyFont="1" applyFill="1" applyBorder="1" applyAlignment="1">
      <alignment horizontal="right"/>
    </xf>
    <xf numFmtId="191" fontId="5" fillId="0" borderId="28" xfId="0" applyNumberFormat="1" applyFont="1" applyFill="1" applyBorder="1" applyAlignment="1">
      <alignment horizontal="right"/>
    </xf>
    <xf numFmtId="191" fontId="5" fillId="30" borderId="28" xfId="0" applyNumberFormat="1" applyFont="1" applyFill="1" applyBorder="1" applyAlignment="1">
      <alignment horizontal="right"/>
    </xf>
    <xf numFmtId="168" fontId="8" fillId="0" borderId="28" xfId="50" applyNumberFormat="1" applyFont="1" applyFill="1" applyBorder="1" applyAlignment="1">
      <alignment horizontal="right"/>
    </xf>
    <xf numFmtId="191" fontId="67" fillId="26" borderId="28" xfId="50" applyNumberFormat="1" applyFont="1" applyFill="1" applyBorder="1" applyAlignment="1"/>
    <xf numFmtId="168" fontId="65" fillId="22" borderId="28" xfId="50" applyNumberFormat="1" applyFont="1" applyFill="1" applyBorder="1" applyAlignment="1">
      <alignment horizontal="right"/>
    </xf>
    <xf numFmtId="191" fontId="5" fillId="25" borderId="28" xfId="0" applyNumberFormat="1" applyFont="1" applyFill="1" applyBorder="1" applyAlignment="1" applyProtection="1">
      <alignment horizontal="right"/>
      <protection locked="0"/>
    </xf>
    <xf numFmtId="167" fontId="6" fillId="0" borderId="28" xfId="50" applyNumberFormat="1" applyFont="1" applyFill="1" applyBorder="1" applyAlignment="1"/>
    <xf numFmtId="168" fontId="6" fillId="0" borderId="28" xfId="50" applyNumberFormat="1" applyFont="1" applyFill="1" applyBorder="1" applyAlignment="1"/>
    <xf numFmtId="167" fontId="6" fillId="27" borderId="28" xfId="50" applyNumberFormat="1" applyFont="1" applyFill="1" applyBorder="1" applyAlignment="1"/>
    <xf numFmtId="5" fontId="5" fillId="27" borderId="28" xfId="0" applyNumberFormat="1" applyFont="1" applyFill="1" applyBorder="1" applyAlignment="1"/>
    <xf numFmtId="168" fontId="5" fillId="26" borderId="28" xfId="50" applyNumberFormat="1" applyFont="1" applyFill="1" applyBorder="1" applyAlignment="1"/>
    <xf numFmtId="166" fontId="5" fillId="22" borderId="28" xfId="0" applyNumberFormat="1" applyFont="1" applyFill="1" applyBorder="1">
      <alignment wrapText="1"/>
    </xf>
    <xf numFmtId="166" fontId="5" fillId="0" borderId="28" xfId="0" applyNumberFormat="1" applyFont="1" applyFill="1" applyBorder="1">
      <alignment wrapText="1"/>
    </xf>
    <xf numFmtId="191" fontId="5" fillId="27" borderId="28" xfId="0" applyNumberFormat="1" applyFont="1" applyFill="1" applyBorder="1" applyAlignment="1"/>
    <xf numFmtId="191" fontId="5" fillId="23" borderId="28" xfId="0" applyNumberFormat="1" applyFont="1" applyFill="1" applyBorder="1" applyAlignment="1"/>
    <xf numFmtId="168" fontId="68" fillId="0" borderId="28" xfId="50" applyNumberFormat="1" applyFont="1" applyFill="1" applyBorder="1" applyAlignment="1"/>
    <xf numFmtId="168" fontId="5" fillId="25" borderId="28" xfId="0" applyNumberFormat="1" applyFont="1" applyFill="1" applyBorder="1" applyAlignment="1" applyProtection="1">
      <alignment horizontal="right"/>
      <protection locked="0"/>
    </xf>
    <xf numFmtId="166" fontId="6" fillId="22" borderId="28" xfId="0" applyNumberFormat="1" applyFont="1" applyFill="1" applyBorder="1" applyAlignment="1"/>
    <xf numFmtId="166" fontId="6" fillId="22" borderId="86" xfId="0" applyNumberFormat="1" applyFont="1" applyFill="1" applyBorder="1" applyAlignment="1"/>
    <xf numFmtId="166" fontId="6" fillId="0" borderId="28" xfId="0" applyNumberFormat="1" applyFont="1" applyFill="1" applyBorder="1" applyAlignment="1"/>
    <xf numFmtId="166" fontId="68" fillId="0" borderId="28" xfId="0" applyNumberFormat="1" applyFont="1" applyFill="1" applyBorder="1" applyAlignment="1"/>
    <xf numFmtId="168" fontId="6" fillId="22" borderId="31" xfId="50" applyNumberFormat="1" applyFont="1" applyFill="1" applyBorder="1" applyAlignment="1"/>
    <xf numFmtId="203" fontId="6" fillId="22" borderId="28" xfId="50" applyNumberFormat="1" applyFont="1" applyFill="1" applyBorder="1" applyAlignment="1"/>
    <xf numFmtId="203" fontId="65" fillId="22" borderId="28" xfId="50" applyNumberFormat="1" applyFont="1" applyFill="1" applyBorder="1" applyAlignment="1"/>
    <xf numFmtId="0" fontId="28" fillId="24" borderId="35" xfId="0" applyFont="1" applyFill="1" applyBorder="1" applyAlignment="1" applyProtection="1">
      <alignment horizontal="right"/>
      <protection locked="0"/>
    </xf>
    <xf numFmtId="0" fontId="28" fillId="24" borderId="0" xfId="46" applyFont="1" applyFill="1" applyBorder="1" applyAlignment="1">
      <alignment horizontal="center"/>
    </xf>
    <xf numFmtId="202" fontId="5" fillId="0" borderId="0" xfId="50" applyNumberFormat="1" applyFont="1" applyFill="1" applyBorder="1" applyAlignment="1"/>
    <xf numFmtId="5" fontId="7" fillId="0" borderId="0" xfId="0" applyNumberFormat="1" applyFont="1" applyFill="1" applyBorder="1" applyAlignment="1"/>
    <xf numFmtId="5" fontId="6" fillId="0" borderId="0" xfId="0" applyNumberFormat="1" applyFont="1" applyFill="1" applyBorder="1" applyAlignment="1"/>
    <xf numFmtId="199" fontId="5" fillId="0" borderId="0" xfId="50" applyNumberFormat="1" applyFont="1" applyFill="1" applyBorder="1" applyAlignment="1"/>
    <xf numFmtId="168" fontId="91" fillId="25" borderId="81" xfId="0" applyNumberFormat="1" applyFont="1" applyFill="1" applyBorder="1" applyAlignment="1" applyProtection="1">
      <alignment horizontal="right"/>
      <protection locked="0"/>
    </xf>
    <xf numFmtId="166" fontId="5" fillId="29" borderId="23" xfId="0" applyNumberFormat="1" applyFont="1" applyFill="1" applyBorder="1" applyAlignment="1"/>
    <xf numFmtId="191" fontId="8" fillId="0" borderId="0" xfId="0" applyNumberFormat="1" applyFont="1" applyFill="1" applyBorder="1" applyAlignment="1"/>
    <xf numFmtId="166" fontId="5" fillId="35" borderId="0" xfId="0" applyNumberFormat="1" applyFont="1" applyFill="1" applyBorder="1" applyAlignment="1"/>
    <xf numFmtId="166" fontId="5" fillId="35" borderId="0" xfId="0" applyNumberFormat="1" applyFont="1" applyFill="1" applyAlignment="1"/>
    <xf numFmtId="0" fontId="6" fillId="35" borderId="0" xfId="0" applyFont="1" applyFill="1" applyAlignment="1">
      <alignment horizontal="left" vertical="center"/>
    </xf>
    <xf numFmtId="165" fontId="6" fillId="35" borderId="0" xfId="0" applyNumberFormat="1" applyFont="1" applyFill="1" applyAlignment="1">
      <alignment horizontal="left"/>
    </xf>
    <xf numFmtId="0" fontId="6" fillId="35" borderId="0" xfId="0" applyFont="1" applyFill="1" applyBorder="1" applyAlignment="1">
      <alignment horizontal="left" vertical="center"/>
    </xf>
    <xf numFmtId="192" fontId="6" fillId="35" borderId="0" xfId="0" applyNumberFormat="1" applyFont="1" applyFill="1" applyBorder="1" applyAlignment="1">
      <alignment horizontal="left"/>
    </xf>
    <xf numFmtId="205" fontId="6" fillId="35" borderId="0" xfId="0" applyNumberFormat="1" applyFont="1" applyFill="1" applyBorder="1" applyAlignment="1">
      <alignment horizontal="left"/>
    </xf>
    <xf numFmtId="203" fontId="68" fillId="35" borderId="0" xfId="0" applyNumberFormat="1" applyFont="1" applyFill="1" applyBorder="1" applyAlignment="1">
      <alignment horizontal="left"/>
    </xf>
    <xf numFmtId="0" fontId="5" fillId="35" borderId="0" xfId="0" applyFont="1" applyFill="1" applyBorder="1" applyAlignment="1">
      <alignment horizontal="left" vertical="center"/>
    </xf>
    <xf numFmtId="199" fontId="7" fillId="35" borderId="0" xfId="0" applyNumberFormat="1" applyFont="1" applyFill="1" applyBorder="1" applyAlignment="1">
      <alignment horizontal="left"/>
    </xf>
    <xf numFmtId="166" fontId="65" fillId="0" borderId="15" xfId="0" applyNumberFormat="1" applyFont="1" applyFill="1" applyBorder="1" applyAlignment="1">
      <alignment horizontal="right"/>
    </xf>
    <xf numFmtId="192" fontId="7" fillId="0" borderId="15" xfId="0" applyNumberFormat="1" applyFont="1" applyFill="1" applyBorder="1" applyAlignment="1">
      <alignment horizontal="right"/>
    </xf>
    <xf numFmtId="166" fontId="7" fillId="0" borderId="0" xfId="0" applyNumberFormat="1" applyFont="1" applyFill="1" applyAlignment="1">
      <alignment horizontal="right"/>
    </xf>
    <xf numFmtId="203" fontId="65" fillId="22" borderId="47" xfId="50" applyNumberFormat="1" applyFont="1" applyFill="1" applyBorder="1" applyAlignment="1"/>
    <xf numFmtId="168" fontId="6" fillId="0" borderId="20" xfId="50" applyNumberFormat="1" applyFont="1" applyFill="1" applyBorder="1" applyAlignment="1"/>
    <xf numFmtId="167" fontId="6" fillId="36" borderId="0" xfId="0" applyNumberFormat="1" applyFont="1" applyFill="1" applyBorder="1" applyAlignment="1"/>
    <xf numFmtId="167" fontId="6" fillId="36" borderId="31" xfId="0" applyNumberFormat="1" applyFont="1" applyFill="1" applyBorder="1" applyAlignment="1"/>
    <xf numFmtId="168" fontId="6" fillId="22" borderId="0" xfId="46" applyNumberFormat="1" applyFont="1" applyFill="1" applyBorder="1" applyAlignment="1" applyProtection="1">
      <alignment horizontal="left" indent="5"/>
      <protection locked="0"/>
    </xf>
    <xf numFmtId="191" fontId="5" fillId="30" borderId="0" xfId="0" applyNumberFormat="1" applyFont="1" applyFill="1" applyBorder="1" applyAlignment="1">
      <alignment horizontal="left" indent="3"/>
    </xf>
    <xf numFmtId="168" fontId="6" fillId="22" borderId="0" xfId="46" applyNumberFormat="1" applyFont="1" applyFill="1" applyBorder="1" applyAlignment="1" applyProtection="1">
      <alignment horizontal="left" indent="6"/>
      <protection locked="0"/>
    </xf>
    <xf numFmtId="191" fontId="5" fillId="30" borderId="0" xfId="0" applyNumberFormat="1" applyFont="1" applyFill="1" applyBorder="1" applyAlignment="1">
      <alignment horizontal="left" indent="4"/>
    </xf>
    <xf numFmtId="191" fontId="5" fillId="0" borderId="0" xfId="0" applyNumberFormat="1" applyFont="1" applyFill="1" applyBorder="1" applyAlignment="1">
      <alignment horizontal="left" indent="5"/>
    </xf>
    <xf numFmtId="191" fontId="5" fillId="28" borderId="28" xfId="0" applyNumberFormat="1" applyFont="1" applyFill="1" applyBorder="1" applyAlignment="1">
      <alignment horizontal="right"/>
    </xf>
    <xf numFmtId="191" fontId="5" fillId="28" borderId="39" xfId="0" applyNumberFormat="1" applyFont="1" applyFill="1" applyBorder="1" applyAlignment="1">
      <alignment horizontal="right"/>
    </xf>
    <xf numFmtId="166" fontId="6" fillId="22" borderId="0" xfId="0" applyNumberFormat="1" applyFont="1" applyFill="1" applyBorder="1" applyAlignment="1">
      <alignment horizontal="left" indent="5"/>
    </xf>
    <xf numFmtId="0" fontId="5" fillId="22" borderId="0" xfId="0" applyFont="1" applyFill="1" applyBorder="1" applyAlignment="1">
      <alignment horizontal="left" indent="3"/>
    </xf>
    <xf numFmtId="0" fontId="7" fillId="22" borderId="0" xfId="0" applyFont="1" applyFill="1" applyBorder="1" applyAlignment="1">
      <alignment horizontal="left" indent="4"/>
    </xf>
    <xf numFmtId="166" fontId="6" fillId="0" borderId="81" xfId="0" applyNumberFormat="1" applyFont="1" applyFill="1" applyBorder="1" applyAlignment="1"/>
    <xf numFmtId="165" fontId="5" fillId="0" borderId="0" xfId="0" applyNumberFormat="1" applyFont="1" applyFill="1" applyBorder="1">
      <alignment wrapText="1"/>
    </xf>
    <xf numFmtId="167" fontId="65" fillId="29" borderId="31" xfId="0" applyNumberFormat="1" applyFont="1" applyFill="1" applyBorder="1" applyAlignment="1"/>
    <xf numFmtId="167" fontId="6" fillId="29" borderId="0" xfId="0" applyNumberFormat="1" applyFont="1" applyFill="1" applyBorder="1" applyAlignment="1"/>
    <xf numFmtId="165" fontId="22" fillId="27" borderId="0" xfId="50" applyNumberFormat="1" applyFont="1" applyFill="1" applyBorder="1" applyAlignment="1">
      <alignment horizontal="right"/>
    </xf>
    <xf numFmtId="166" fontId="6" fillId="22" borderId="81" xfId="0" applyNumberFormat="1" applyFont="1" applyFill="1" applyBorder="1" applyAlignment="1">
      <alignment horizontal="right"/>
    </xf>
    <xf numFmtId="166" fontId="6" fillId="0" borderId="81" xfId="0" applyNumberFormat="1" applyFont="1" applyFill="1" applyBorder="1" applyAlignment="1">
      <alignment horizontal="right"/>
    </xf>
    <xf numFmtId="166" fontId="8" fillId="22" borderId="81" xfId="0" applyNumberFormat="1" applyFont="1" applyFill="1" applyBorder="1" applyAlignment="1">
      <alignment horizontal="right"/>
    </xf>
    <xf numFmtId="164" fontId="6" fillId="0" borderId="20" xfId="0" applyNumberFormat="1" applyFont="1" applyFill="1" applyBorder="1" applyAlignment="1"/>
    <xf numFmtId="165" fontId="14" fillId="23" borderId="0" xfId="0" applyNumberFormat="1" applyFont="1" applyFill="1" applyBorder="1" applyAlignment="1">
      <alignment horizontal="left"/>
    </xf>
    <xf numFmtId="166" fontId="5" fillId="23" borderId="0" xfId="46" applyNumberFormat="1" applyFont="1" applyFill="1" applyBorder="1" applyAlignment="1"/>
    <xf numFmtId="202" fontId="6" fillId="0" borderId="36" xfId="57" applyNumberFormat="1" applyFont="1" applyFill="1" applyBorder="1" applyAlignment="1" applyProtection="1"/>
    <xf numFmtId="164" fontId="5" fillId="0" borderId="20" xfId="0" applyNumberFormat="1" applyFont="1" applyFill="1" applyBorder="1" applyAlignment="1"/>
    <xf numFmtId="166" fontId="5" fillId="27" borderId="0" xfId="0" applyNumberFormat="1" applyFont="1" applyFill="1" applyBorder="1" applyAlignment="1"/>
    <xf numFmtId="167" fontId="6" fillId="29" borderId="22" xfId="0" applyNumberFormat="1" applyFont="1" applyFill="1" applyBorder="1" applyAlignment="1"/>
    <xf numFmtId="167" fontId="6" fillId="29" borderId="44" xfId="0" applyNumberFormat="1" applyFont="1" applyFill="1" applyBorder="1" applyAlignment="1"/>
    <xf numFmtId="166" fontId="5" fillId="27" borderId="22" xfId="0" applyNumberFormat="1" applyFont="1" applyFill="1" applyBorder="1" applyAlignment="1"/>
    <xf numFmtId="166" fontId="5" fillId="27" borderId="81" xfId="0" applyNumberFormat="1" applyFont="1" applyFill="1" applyBorder="1" applyAlignment="1"/>
    <xf numFmtId="166" fontId="5" fillId="27" borderId="15" xfId="0" applyNumberFormat="1" applyFont="1" applyFill="1" applyBorder="1" applyAlignment="1"/>
    <xf numFmtId="168" fontId="6" fillId="27" borderId="15" xfId="50" applyNumberFormat="1" applyFont="1" applyFill="1" applyBorder="1" applyAlignment="1"/>
    <xf numFmtId="166" fontId="5" fillId="27" borderId="39" xfId="0" applyNumberFormat="1" applyFont="1" applyFill="1" applyBorder="1" applyAlignment="1"/>
    <xf numFmtId="166" fontId="5" fillId="27" borderId="40" xfId="0" applyNumberFormat="1" applyFont="1" applyFill="1" applyBorder="1" applyAlignment="1"/>
    <xf numFmtId="165" fontId="5" fillId="27" borderId="22" xfId="34" applyNumberFormat="1" applyFont="1" applyFill="1" applyBorder="1" applyAlignment="1" applyProtection="1">
      <alignment horizontal="right"/>
      <protection locked="0"/>
    </xf>
    <xf numFmtId="165" fontId="5" fillId="27" borderId="0" xfId="34" applyNumberFormat="1" applyFont="1" applyFill="1" applyBorder="1" applyAlignment="1" applyProtection="1">
      <alignment horizontal="right"/>
      <protection locked="0"/>
    </xf>
    <xf numFmtId="165" fontId="23" fillId="27" borderId="81" xfId="34" applyNumberFormat="1" applyFont="1" applyFill="1" applyBorder="1" applyAlignment="1" applyProtection="1">
      <alignment horizontal="right"/>
      <protection locked="0"/>
    </xf>
    <xf numFmtId="165" fontId="15" fillId="27" borderId="0" xfId="34" applyNumberFormat="1" applyFont="1" applyFill="1" applyBorder="1" applyAlignment="1" applyProtection="1">
      <alignment horizontal="right"/>
      <protection locked="0"/>
    </xf>
    <xf numFmtId="165" fontId="15" fillId="27" borderId="15" xfId="34" applyNumberFormat="1" applyFont="1" applyFill="1" applyBorder="1" applyAlignment="1" applyProtection="1">
      <alignment horizontal="right"/>
      <protection locked="0"/>
    </xf>
    <xf numFmtId="168" fontId="6" fillId="27" borderId="22" xfId="0" applyNumberFormat="1" applyFont="1" applyFill="1" applyBorder="1" applyAlignment="1" applyProtection="1"/>
    <xf numFmtId="168" fontId="6" fillId="27" borderId="0" xfId="0" applyNumberFormat="1" applyFont="1" applyFill="1" applyBorder="1" applyAlignment="1" applyProtection="1"/>
    <xf numFmtId="168" fontId="23" fillId="27" borderId="22" xfId="46" applyNumberFormat="1" applyFont="1" applyFill="1" applyBorder="1" applyAlignment="1" applyProtection="1">
      <alignment horizontal="right"/>
    </xf>
    <xf numFmtId="168" fontId="23" fillId="27" borderId="0" xfId="46" applyNumberFormat="1" applyFont="1" applyFill="1" applyBorder="1" applyAlignment="1" applyProtection="1">
      <alignment horizontal="right"/>
    </xf>
    <xf numFmtId="168" fontId="23" fillId="27" borderId="81" xfId="46" applyNumberFormat="1" applyFont="1" applyFill="1" applyBorder="1" applyAlignment="1" applyProtection="1">
      <alignment horizontal="right"/>
    </xf>
    <xf numFmtId="168" fontId="23" fillId="27" borderId="15" xfId="46" applyNumberFormat="1" applyFont="1" applyFill="1" applyBorder="1" applyAlignment="1" applyProtection="1">
      <alignment horizontal="right"/>
    </xf>
    <xf numFmtId="10" fontId="6" fillId="22" borderId="0" xfId="46" applyNumberFormat="1" applyFont="1" applyFill="1" applyBorder="1" applyAlignment="1" applyProtection="1">
      <alignment horizontal="left" indent="5"/>
      <protection locked="0"/>
    </xf>
    <xf numFmtId="44" fontId="17" fillId="0" borderId="0" xfId="35" applyFont="1" applyFill="1" applyBorder="1" applyAlignment="1"/>
    <xf numFmtId="220" fontId="17" fillId="0" borderId="0" xfId="35" applyNumberFormat="1" applyFont="1" applyFill="1" applyBorder="1" applyAlignment="1"/>
    <xf numFmtId="166" fontId="23" fillId="0" borderId="0" xfId="34" applyNumberFormat="1" applyFont="1" applyFill="1" applyBorder="1" applyAlignment="1" applyProtection="1">
      <alignment horizontal="right"/>
    </xf>
    <xf numFmtId="168" fontId="69" fillId="23" borderId="0" xfId="50" applyNumberFormat="1" applyFont="1" applyFill="1" applyBorder="1" applyAlignment="1" applyProtection="1"/>
    <xf numFmtId="0" fontId="5" fillId="0" borderId="0" xfId="46" applyFont="1" applyFill="1" applyBorder="1" applyAlignment="1">
      <alignment horizontal="left"/>
    </xf>
    <xf numFmtId="0" fontId="6" fillId="0" borderId="81" xfId="57" applyNumberFormat="1" applyFont="1" applyFill="1" applyBorder="1" applyAlignment="1" applyProtection="1"/>
    <xf numFmtId="210" fontId="6" fillId="0" borderId="0" xfId="57" applyNumberFormat="1" applyFont="1" applyFill="1" applyBorder="1" applyAlignment="1" applyProtection="1"/>
    <xf numFmtId="164" fontId="6" fillId="0" borderId="81" xfId="57" applyNumberFormat="1" applyFont="1" applyFill="1" applyBorder="1" applyAlignment="1" applyProtection="1"/>
    <xf numFmtId="199" fontId="7" fillId="0" borderId="0" xfId="57" applyNumberFormat="1" applyFont="1" applyFill="1" applyBorder="1" applyAlignment="1" applyProtection="1"/>
    <xf numFmtId="166" fontId="68" fillId="0" borderId="0" xfId="57" applyNumberFormat="1" applyFont="1" applyFill="1" applyBorder="1" applyAlignment="1" applyProtection="1"/>
    <xf numFmtId="164" fontId="69" fillId="23" borderId="0" xfId="57" applyNumberFormat="1" applyFont="1" applyFill="1" applyBorder="1" applyAlignment="1" applyProtection="1"/>
    <xf numFmtId="166" fontId="92" fillId="0" borderId="0" xfId="57" applyNumberFormat="1" applyFont="1" applyFill="1" applyBorder="1" applyAlignment="1" applyProtection="1"/>
    <xf numFmtId="166" fontId="92" fillId="0" borderId="22" xfId="57" applyNumberFormat="1" applyFont="1" applyFill="1" applyBorder="1" applyAlignment="1" applyProtection="1"/>
    <xf numFmtId="0" fontId="93" fillId="23" borderId="0" xfId="0" applyFont="1" applyFill="1" applyBorder="1" applyAlignment="1"/>
    <xf numFmtId="166" fontId="79" fillId="22" borderId="0" xfId="0" applyNumberFormat="1" applyFont="1" applyFill="1" applyAlignment="1">
      <alignment horizontal="right"/>
    </xf>
    <xf numFmtId="0" fontId="94" fillId="25" borderId="0" xfId="57" applyFont="1" applyFill="1" applyBorder="1"/>
    <xf numFmtId="0" fontId="6" fillId="23" borderId="0" xfId="0" applyFont="1" applyFill="1" applyBorder="1" applyAlignment="1">
      <alignment horizontal="right"/>
    </xf>
    <xf numFmtId="9" fontId="6" fillId="23" borderId="0" xfId="50" applyFont="1" applyFill="1" applyBorder="1" applyAlignment="1"/>
    <xf numFmtId="164" fontId="5" fillId="36" borderId="15" xfId="57" applyNumberFormat="1" applyFont="1" applyFill="1" applyBorder="1" applyAlignment="1" applyProtection="1"/>
    <xf numFmtId="164" fontId="5" fillId="36" borderId="0" xfId="57" applyNumberFormat="1" applyFont="1" applyFill="1" applyBorder="1" applyAlignment="1" applyProtection="1"/>
    <xf numFmtId="0" fontId="5" fillId="36" borderId="22" xfId="57" applyNumberFormat="1" applyFont="1" applyFill="1" applyBorder="1" applyAlignment="1" applyProtection="1"/>
    <xf numFmtId="166" fontId="5" fillId="36" borderId="0" xfId="57" applyNumberFormat="1" applyFont="1" applyFill="1" applyBorder="1" applyAlignment="1" applyProtection="1"/>
    <xf numFmtId="166" fontId="5" fillId="36" borderId="28" xfId="57" applyNumberFormat="1" applyFont="1" applyFill="1" applyBorder="1" applyAlignment="1" applyProtection="1"/>
    <xf numFmtId="166" fontId="5" fillId="36" borderId="22" xfId="57" applyNumberFormat="1" applyFont="1" applyFill="1" applyBorder="1" applyAlignment="1" applyProtection="1"/>
    <xf numFmtId="168" fontId="79" fillId="0" borderId="20" xfId="50" applyNumberFormat="1" applyFont="1" applyFill="1" applyBorder="1" applyAlignment="1"/>
    <xf numFmtId="168" fontId="93" fillId="23" borderId="0" xfId="57" applyNumberFormat="1" applyFont="1" applyFill="1" applyBorder="1" applyAlignment="1" applyProtection="1"/>
    <xf numFmtId="0" fontId="6" fillId="37" borderId="0" xfId="0" applyFont="1" applyFill="1" applyBorder="1" applyAlignment="1"/>
    <xf numFmtId="0" fontId="6" fillId="37" borderId="79" xfId="0" applyFont="1" applyFill="1" applyBorder="1" applyAlignment="1">
      <alignment horizontal="right"/>
    </xf>
    <xf numFmtId="5" fontId="6" fillId="37" borderId="0" xfId="0" applyNumberFormat="1" applyFont="1" applyFill="1" applyBorder="1" applyAlignment="1"/>
    <xf numFmtId="166" fontId="95" fillId="23" borderId="0" xfId="46" applyNumberFormat="1" applyFont="1" applyFill="1" applyBorder="1" applyAlignment="1"/>
    <xf numFmtId="13" fontId="6" fillId="23" borderId="79" xfId="0" applyNumberFormat="1" applyFont="1" applyFill="1" applyBorder="1" applyAlignment="1"/>
    <xf numFmtId="7" fontId="6" fillId="23" borderId="79" xfId="0" applyNumberFormat="1" applyFont="1" applyFill="1" applyBorder="1" applyAlignment="1">
      <alignment horizontal="right"/>
    </xf>
    <xf numFmtId="0" fontId="6" fillId="23" borderId="79" xfId="0" applyNumberFormat="1" applyFont="1" applyFill="1" applyBorder="1" applyAlignment="1">
      <alignment horizontal="right"/>
    </xf>
    <xf numFmtId="166" fontId="5" fillId="38" borderId="0" xfId="0" applyNumberFormat="1" applyFont="1" applyFill="1" applyBorder="1" applyAlignment="1" applyProtection="1">
      <protection locked="0"/>
    </xf>
    <xf numFmtId="2" fontId="4" fillId="22" borderId="0" xfId="63" applyNumberFormat="1" applyFont="1" applyFill="1" applyBorder="1" applyAlignment="1">
      <alignment vertical="center"/>
    </xf>
    <xf numFmtId="164" fontId="5" fillId="29" borderId="0" xfId="57" applyNumberFormat="1" applyFont="1" applyFill="1" applyBorder="1" applyAlignment="1" applyProtection="1"/>
    <xf numFmtId="164" fontId="5" fillId="29" borderId="15" xfId="57" applyNumberFormat="1" applyFont="1" applyFill="1" applyBorder="1" applyAlignment="1" applyProtection="1"/>
    <xf numFmtId="168" fontId="10" fillId="0" borderId="22" xfId="50" applyNumberFormat="1" applyFont="1" applyFill="1" applyBorder="1" applyAlignment="1" applyProtection="1"/>
    <xf numFmtId="168" fontId="10" fillId="0" borderId="0" xfId="50" applyNumberFormat="1" applyFont="1" applyFill="1" applyBorder="1" applyAlignment="1" applyProtection="1"/>
    <xf numFmtId="168" fontId="10" fillId="0" borderId="28" xfId="50" applyNumberFormat="1" applyFont="1" applyFill="1" applyBorder="1" applyAlignment="1" applyProtection="1"/>
    <xf numFmtId="167" fontId="6" fillId="29" borderId="31" xfId="0" applyNumberFormat="1" applyFont="1" applyFill="1" applyBorder="1" applyAlignment="1"/>
    <xf numFmtId="169" fontId="70" fillId="25" borderId="0" xfId="0" applyNumberFormat="1" applyFont="1" applyFill="1" applyBorder="1" applyAlignment="1" applyProtection="1">
      <alignment horizontal="right"/>
      <protection locked="0"/>
    </xf>
    <xf numFmtId="166" fontId="79" fillId="23" borderId="0" xfId="0" applyNumberFormat="1" applyFont="1" applyFill="1" applyBorder="1" applyAlignment="1" applyProtection="1">
      <protection locked="0"/>
    </xf>
    <xf numFmtId="169" fontId="79" fillId="22" borderId="0" xfId="50" applyNumberFormat="1" applyFont="1" applyFill="1" applyBorder="1" applyAlignment="1"/>
    <xf numFmtId="5" fontId="5" fillId="27" borderId="22" xfId="0" applyNumberFormat="1" applyFont="1" applyFill="1" applyBorder="1" applyAlignment="1"/>
    <xf numFmtId="168" fontId="5" fillId="0" borderId="22" xfId="0" applyNumberFormat="1" applyFont="1" applyFill="1" applyBorder="1" applyAlignment="1" applyProtection="1">
      <alignment horizontal="right"/>
      <protection locked="0"/>
    </xf>
    <xf numFmtId="203" fontId="6" fillId="22" borderId="22" xfId="50" applyNumberFormat="1" applyFont="1" applyFill="1" applyBorder="1" applyAlignment="1"/>
    <xf numFmtId="203" fontId="65" fillId="22" borderId="22" xfId="50" applyNumberFormat="1" applyFont="1" applyFill="1" applyBorder="1" applyAlignment="1"/>
    <xf numFmtId="199" fontId="66" fillId="0" borderId="48" xfId="0" applyNumberFormat="1" applyFont="1" applyFill="1" applyBorder="1" applyAlignment="1">
      <alignment horizontal="right"/>
    </xf>
    <xf numFmtId="208" fontId="82" fillId="0" borderId="28" xfId="0" applyNumberFormat="1" applyFont="1" applyFill="1" applyBorder="1" applyAlignment="1">
      <alignment horizontal="right"/>
    </xf>
    <xf numFmtId="7" fontId="82" fillId="0" borderId="28" xfId="0" applyNumberFormat="1" applyFont="1" applyFill="1" applyBorder="1" applyAlignment="1">
      <alignment horizontal="right"/>
    </xf>
    <xf numFmtId="168" fontId="7" fillId="0" borderId="28" xfId="50" applyNumberFormat="1" applyFont="1" applyFill="1" applyBorder="1" applyAlignment="1"/>
    <xf numFmtId="166" fontId="5" fillId="27" borderId="28" xfId="0" applyNumberFormat="1" applyFont="1" applyFill="1" applyBorder="1" applyAlignment="1"/>
    <xf numFmtId="166" fontId="15" fillId="22" borderId="28" xfId="0" applyNumberFormat="1" applyFont="1" applyFill="1" applyBorder="1" applyAlignment="1"/>
    <xf numFmtId="5" fontId="5" fillId="23" borderId="28" xfId="0" applyNumberFormat="1" applyFont="1" applyFill="1" applyBorder="1" applyAlignment="1"/>
    <xf numFmtId="7" fontId="5" fillId="23" borderId="28" xfId="0" applyNumberFormat="1" applyFont="1" applyFill="1" applyBorder="1" applyAlignment="1"/>
    <xf numFmtId="167" fontId="6" fillId="22" borderId="28" xfId="0" applyNumberFormat="1" applyFont="1" applyFill="1" applyBorder="1" applyAlignment="1"/>
    <xf numFmtId="167" fontId="8" fillId="22" borderId="28" xfId="0" applyNumberFormat="1" applyFont="1" applyFill="1" applyBorder="1" applyAlignment="1"/>
    <xf numFmtId="167" fontId="5" fillId="22" borderId="28" xfId="0" applyNumberFormat="1" applyFont="1" applyFill="1" applyBorder="1" applyAlignment="1"/>
    <xf numFmtId="165" fontId="22" fillId="22" borderId="28" xfId="50" applyNumberFormat="1" applyFont="1" applyFill="1" applyBorder="1" applyAlignment="1"/>
    <xf numFmtId="166" fontId="6" fillId="22" borderId="28" xfId="34" applyNumberFormat="1" applyFont="1" applyFill="1" applyBorder="1" applyAlignment="1" applyProtection="1">
      <alignment horizontal="right"/>
      <protection locked="0"/>
    </xf>
    <xf numFmtId="165" fontId="6" fillId="22" borderId="28" xfId="0" applyNumberFormat="1" applyFont="1" applyFill="1" applyBorder="1" applyAlignment="1" applyProtection="1">
      <alignment horizontal="right"/>
      <protection locked="0"/>
    </xf>
    <xf numFmtId="7" fontId="5" fillId="22" borderId="28" xfId="0" applyNumberFormat="1" applyFont="1" applyFill="1" applyBorder="1" applyAlignment="1"/>
    <xf numFmtId="168" fontId="6" fillId="22" borderId="28" xfId="46" applyNumberFormat="1" applyFont="1" applyFill="1" applyBorder="1" applyAlignment="1">
      <alignment horizontal="right"/>
    </xf>
    <xf numFmtId="165" fontId="15" fillId="27" borderId="28" xfId="34" applyNumberFormat="1" applyFont="1" applyFill="1" applyBorder="1" applyAlignment="1" applyProtection="1">
      <alignment horizontal="right"/>
      <protection locked="0"/>
    </xf>
    <xf numFmtId="168" fontId="23" fillId="27" borderId="28" xfId="46" applyNumberFormat="1" applyFont="1" applyFill="1" applyBorder="1" applyAlignment="1" applyProtection="1">
      <alignment horizontal="right"/>
    </xf>
    <xf numFmtId="191" fontId="67" fillId="30" borderId="22" xfId="0" applyNumberFormat="1" applyFont="1" applyFill="1" applyBorder="1" applyAlignment="1">
      <alignment horizontal="right"/>
    </xf>
    <xf numFmtId="168" fontId="8" fillId="22" borderId="22" xfId="50" applyNumberFormat="1" applyFont="1" applyFill="1" applyBorder="1" applyAlignment="1"/>
    <xf numFmtId="168" fontId="68" fillId="22" borderId="22" xfId="50" applyNumberFormat="1" applyFont="1" applyFill="1" applyBorder="1" applyAlignment="1"/>
    <xf numFmtId="191" fontId="69" fillId="30" borderId="22" xfId="0" applyNumberFormat="1" applyFont="1" applyFill="1" applyBorder="1" applyAlignment="1">
      <alignment horizontal="right"/>
    </xf>
    <xf numFmtId="168" fontId="8" fillId="0" borderId="22" xfId="50" applyNumberFormat="1" applyFont="1" applyFill="1" applyBorder="1" applyAlignment="1">
      <alignment horizontal="right"/>
    </xf>
    <xf numFmtId="208" fontId="82" fillId="0" borderId="22" xfId="0" applyNumberFormat="1" applyFont="1" applyFill="1" applyBorder="1" applyAlignment="1">
      <alignment horizontal="right"/>
    </xf>
    <xf numFmtId="7" fontId="82" fillId="0" borderId="22" xfId="0" applyNumberFormat="1" applyFont="1" applyFill="1" applyBorder="1" applyAlignment="1">
      <alignment horizontal="right"/>
    </xf>
    <xf numFmtId="191" fontId="67" fillId="26" borderId="22" xfId="50" applyNumberFormat="1" applyFont="1" applyFill="1" applyBorder="1" applyAlignment="1"/>
    <xf numFmtId="191" fontId="69" fillId="28" borderId="22" xfId="0" applyNumberFormat="1" applyFont="1" applyFill="1" applyBorder="1" applyAlignment="1">
      <alignment horizontal="right"/>
    </xf>
    <xf numFmtId="191" fontId="5" fillId="25" borderId="22" xfId="0" applyNumberFormat="1" applyFont="1" applyFill="1" applyBorder="1" applyAlignment="1" applyProtection="1">
      <alignment horizontal="right"/>
      <protection locked="0"/>
    </xf>
    <xf numFmtId="168" fontId="15" fillId="23" borderId="22" xfId="50" applyNumberFormat="1" applyFont="1" applyFill="1" applyBorder="1" applyAlignment="1"/>
    <xf numFmtId="168" fontId="5" fillId="26" borderId="22" xfId="50" applyNumberFormat="1" applyFont="1" applyFill="1" applyBorder="1" applyAlignment="1"/>
    <xf numFmtId="168" fontId="15" fillId="22" borderId="22" xfId="50" applyNumberFormat="1" applyFont="1" applyFill="1" applyBorder="1" applyAlignment="1"/>
    <xf numFmtId="166" fontId="5" fillId="22" borderId="22" xfId="0" applyNumberFormat="1" applyFont="1" applyFill="1" applyBorder="1">
      <alignment wrapText="1"/>
    </xf>
    <xf numFmtId="168" fontId="66" fillId="0" borderId="22" xfId="50" applyNumberFormat="1" applyFont="1" applyFill="1" applyBorder="1" applyAlignment="1"/>
    <xf numFmtId="168" fontId="68" fillId="0" borderId="22" xfId="50" applyNumberFormat="1" applyFont="1" applyFill="1" applyBorder="1" applyAlignment="1"/>
    <xf numFmtId="168" fontId="5" fillId="25" borderId="22" xfId="0" applyNumberFormat="1" applyFont="1" applyFill="1" applyBorder="1" applyAlignment="1" applyProtection="1">
      <alignment horizontal="right"/>
      <protection locked="0"/>
    </xf>
    <xf numFmtId="166" fontId="68" fillId="0" borderId="22" xfId="0" applyNumberFormat="1" applyFont="1" applyFill="1" applyBorder="1" applyAlignment="1"/>
    <xf numFmtId="166" fontId="8" fillId="0" borderId="22" xfId="0" applyNumberFormat="1" applyFont="1" applyFill="1" applyBorder="1" applyAlignment="1"/>
    <xf numFmtId="166" fontId="8" fillId="22" borderId="22" xfId="0" applyNumberFormat="1" applyFont="1" applyFill="1" applyBorder="1" applyAlignment="1"/>
    <xf numFmtId="191" fontId="8" fillId="0" borderId="22" xfId="0" applyNumberFormat="1" applyFont="1" applyFill="1" applyBorder="1" applyAlignment="1"/>
    <xf numFmtId="166" fontId="70" fillId="25" borderId="22" xfId="0" applyNumberFormat="1" applyFont="1" applyFill="1" applyBorder="1" applyAlignment="1" applyProtection="1">
      <alignment horizontal="right"/>
      <protection locked="0"/>
    </xf>
    <xf numFmtId="199" fontId="91" fillId="25" borderId="22" xfId="0" applyNumberFormat="1" applyFont="1" applyFill="1" applyBorder="1" applyAlignment="1" applyProtection="1">
      <alignment horizontal="right"/>
      <protection locked="0"/>
    </xf>
    <xf numFmtId="166" fontId="15" fillId="0" borderId="22" xfId="0" applyNumberFormat="1" applyFont="1" applyFill="1" applyBorder="1" applyAlignment="1"/>
    <xf numFmtId="44" fontId="17" fillId="0" borderId="22" xfId="35" applyFont="1" applyFill="1" applyBorder="1" applyAlignment="1"/>
    <xf numFmtId="166" fontId="15" fillId="22" borderId="22" xfId="0" applyNumberFormat="1" applyFont="1" applyFill="1" applyBorder="1" applyAlignment="1"/>
    <xf numFmtId="167" fontId="8" fillId="22" borderId="22" xfId="0" applyNumberFormat="1" applyFont="1" applyFill="1" applyBorder="1" applyAlignment="1"/>
    <xf numFmtId="168" fontId="6" fillId="0" borderId="22" xfId="50" applyNumberFormat="1" applyFont="1" applyFill="1" applyBorder="1" applyAlignment="1">
      <alignment horizontal="right"/>
    </xf>
    <xf numFmtId="166" fontId="68" fillId="22" borderId="22" xfId="34" applyNumberFormat="1" applyFont="1" applyFill="1" applyBorder="1" applyAlignment="1" applyProtection="1">
      <alignment horizontal="right"/>
      <protection locked="0"/>
    </xf>
    <xf numFmtId="165" fontId="15" fillId="27" borderId="22" xfId="34" applyNumberFormat="1" applyFont="1" applyFill="1" applyBorder="1" applyAlignment="1" applyProtection="1">
      <alignment horizontal="right"/>
      <protection locked="0"/>
    </xf>
    <xf numFmtId="191" fontId="69" fillId="28" borderId="28" xfId="0" applyNumberFormat="1" applyFont="1" applyFill="1" applyBorder="1" applyAlignment="1">
      <alignment horizontal="right"/>
    </xf>
    <xf numFmtId="166" fontId="8" fillId="0" borderId="28" xfId="0" applyNumberFormat="1" applyFont="1" applyFill="1" applyBorder="1" applyAlignment="1"/>
    <xf numFmtId="191" fontId="8" fillId="0" borderId="28" xfId="0" applyNumberFormat="1" applyFont="1" applyFill="1" applyBorder="1" applyAlignment="1"/>
    <xf numFmtId="166" fontId="70" fillId="25" borderId="28" xfId="0" applyNumberFormat="1" applyFont="1" applyFill="1" applyBorder="1" applyAlignment="1" applyProtection="1">
      <alignment horizontal="right"/>
      <protection locked="0"/>
    </xf>
    <xf numFmtId="199" fontId="91" fillId="25" borderId="28" xfId="0" applyNumberFormat="1" applyFont="1" applyFill="1" applyBorder="1" applyAlignment="1" applyProtection="1">
      <alignment horizontal="right"/>
      <protection locked="0"/>
    </xf>
    <xf numFmtId="220" fontId="17" fillId="0" borderId="28" xfId="35" applyNumberFormat="1" applyFont="1" applyFill="1" applyBorder="1" applyAlignment="1"/>
    <xf numFmtId="166" fontId="5" fillId="0" borderId="28" xfId="0" applyNumberFormat="1" applyFont="1" applyFill="1" applyBorder="1" applyAlignment="1"/>
    <xf numFmtId="166" fontId="68" fillId="22" borderId="28" xfId="34" applyNumberFormat="1" applyFont="1" applyFill="1" applyBorder="1" applyAlignment="1" applyProtection="1">
      <alignment horizontal="right"/>
      <protection locked="0"/>
    </xf>
    <xf numFmtId="168" fontId="6" fillId="27" borderId="28" xfId="0" applyNumberFormat="1" applyFont="1" applyFill="1" applyBorder="1" applyAlignment="1" applyProtection="1"/>
    <xf numFmtId="7" fontId="39" fillId="22" borderId="34" xfId="0" applyNumberFormat="1" applyFont="1" applyFill="1" applyBorder="1" applyAlignment="1"/>
    <xf numFmtId="167" fontId="6" fillId="22" borderId="55" xfId="0" applyNumberFormat="1" applyFont="1" applyFill="1" applyBorder="1" applyAlignment="1"/>
    <xf numFmtId="167" fontId="6" fillId="22" borderId="59" xfId="0" applyNumberFormat="1" applyFont="1" applyFill="1" applyBorder="1" applyAlignment="1"/>
    <xf numFmtId="168" fontId="8" fillId="22" borderId="81" xfId="50" applyNumberFormat="1" applyFont="1" applyFill="1" applyBorder="1" applyAlignment="1"/>
    <xf numFmtId="208" fontId="82" fillId="0" borderId="81" xfId="0" applyNumberFormat="1" applyFont="1" applyFill="1" applyBorder="1" applyAlignment="1">
      <alignment horizontal="right"/>
    </xf>
    <xf numFmtId="7" fontId="82" fillId="0" borderId="81" xfId="0" applyNumberFormat="1" applyFont="1" applyFill="1" applyBorder="1" applyAlignment="1">
      <alignment horizontal="right"/>
    </xf>
    <xf numFmtId="168" fontId="7" fillId="0" borderId="81" xfId="50" applyNumberFormat="1" applyFont="1" applyFill="1" applyBorder="1" applyAlignment="1"/>
    <xf numFmtId="166" fontId="17" fillId="0" borderId="81" xfId="0" applyNumberFormat="1" applyFont="1" applyFill="1" applyBorder="1" applyAlignment="1"/>
    <xf numFmtId="168" fontId="68" fillId="0" borderId="15" xfId="57" applyNumberFormat="1" applyFont="1" applyFill="1" applyBorder="1" applyAlignment="1" applyProtection="1"/>
    <xf numFmtId="168" fontId="68" fillId="0" borderId="0" xfId="57" applyNumberFormat="1" applyFont="1" applyFill="1" applyBorder="1" applyAlignment="1" applyProtection="1"/>
    <xf numFmtId="165" fontId="5" fillId="0" borderId="16" xfId="0" applyNumberFormat="1" applyFont="1" applyFill="1" applyBorder="1" applyAlignment="1">
      <alignment horizontal="right"/>
    </xf>
    <xf numFmtId="165" fontId="5" fillId="0" borderId="14" xfId="0" applyNumberFormat="1" applyFont="1" applyFill="1" applyBorder="1" applyAlignment="1">
      <alignment horizontal="right"/>
    </xf>
    <xf numFmtId="168" fontId="68" fillId="27" borderId="0" xfId="57" applyNumberFormat="1" applyFont="1" applyFill="1" applyBorder="1" applyAlignment="1" applyProtection="1"/>
    <xf numFmtId="164" fontId="69" fillId="22" borderId="15" xfId="57" applyNumberFormat="1" applyFont="1" applyFill="1" applyBorder="1" applyAlignment="1" applyProtection="1">
      <protection locked="0"/>
    </xf>
    <xf numFmtId="164" fontId="69" fillId="22" borderId="0" xfId="57" applyNumberFormat="1" applyFont="1" applyFill="1" applyBorder="1" applyAlignment="1" applyProtection="1">
      <protection locked="0"/>
    </xf>
    <xf numFmtId="10" fontId="5" fillId="0" borderId="0" xfId="59" applyNumberFormat="1" applyFont="1" applyBorder="1"/>
    <xf numFmtId="168" fontId="68" fillId="22" borderId="15" xfId="57" applyNumberFormat="1" applyFont="1" applyFill="1" applyBorder="1" applyAlignment="1" applyProtection="1"/>
    <xf numFmtId="168" fontId="69" fillId="23" borderId="15" xfId="57" applyNumberFormat="1" applyFont="1" applyFill="1" applyBorder="1" applyAlignment="1" applyProtection="1"/>
    <xf numFmtId="169" fontId="68" fillId="22" borderId="22" xfId="57" applyNumberFormat="1" applyFont="1" applyFill="1" applyBorder="1" applyAlignment="1" applyProtection="1"/>
    <xf numFmtId="169" fontId="68" fillId="22" borderId="0" xfId="57" applyNumberFormat="1" applyFont="1" applyFill="1" applyBorder="1" applyAlignment="1" applyProtection="1"/>
    <xf numFmtId="169" fontId="68" fillId="22" borderId="28" xfId="57" applyNumberFormat="1" applyFont="1" applyFill="1" applyBorder="1" applyAlignment="1" applyProtection="1"/>
    <xf numFmtId="168" fontId="6" fillId="22" borderId="81" xfId="57" applyNumberFormat="1" applyFont="1" applyFill="1" applyBorder="1" applyAlignment="1" applyProtection="1"/>
    <xf numFmtId="166" fontId="68" fillId="22" borderId="15" xfId="57" applyNumberFormat="1" applyFont="1" applyFill="1" applyBorder="1" applyAlignment="1" applyProtection="1"/>
    <xf numFmtId="168" fontId="65" fillId="0" borderId="28" xfId="50" applyNumberFormat="1" applyFont="1" applyFill="1" applyBorder="1" applyAlignment="1">
      <alignment horizontal="right"/>
    </xf>
    <xf numFmtId="166" fontId="66" fillId="23" borderId="0" xfId="46" applyNumberFormat="1" applyFont="1" applyFill="1" applyBorder="1" applyAlignment="1"/>
    <xf numFmtId="166" fontId="5" fillId="39" borderId="0" xfId="0" applyNumberFormat="1" applyFont="1" applyFill="1" applyBorder="1" applyAlignment="1" applyProtection="1">
      <protection locked="0"/>
    </xf>
    <xf numFmtId="167" fontId="7" fillId="0" borderId="14" xfId="50" applyNumberFormat="1" applyFont="1" applyFill="1" applyBorder="1" applyAlignment="1"/>
    <xf numFmtId="168" fontId="22" fillId="0" borderId="0" xfId="50" applyNumberFormat="1" applyFont="1" applyFill="1" applyBorder="1" applyAlignment="1"/>
    <xf numFmtId="2" fontId="6" fillId="23" borderId="15" xfId="0" applyNumberFormat="1" applyFont="1" applyFill="1" applyBorder="1" applyAlignment="1"/>
    <xf numFmtId="2" fontId="79" fillId="23" borderId="15" xfId="0" applyNumberFormat="1" applyFont="1" applyFill="1" applyBorder="1" applyAlignment="1"/>
    <xf numFmtId="5" fontId="96" fillId="23" borderId="0" xfId="0" applyNumberFormat="1" applyFont="1" applyFill="1" applyBorder="1" applyAlignment="1"/>
    <xf numFmtId="2" fontId="79" fillId="23" borderId="81" xfId="0" applyNumberFormat="1" applyFont="1" applyFill="1" applyBorder="1" applyAlignment="1"/>
    <xf numFmtId="169" fontId="79" fillId="23" borderId="22" xfId="0" applyNumberFormat="1" applyFont="1" applyFill="1" applyBorder="1" applyAlignment="1"/>
    <xf numFmtId="169" fontId="79" fillId="23" borderId="0" xfId="0" applyNumberFormat="1" applyFont="1" applyFill="1" applyBorder="1" applyAlignment="1"/>
    <xf numFmtId="168" fontId="5" fillId="0" borderId="28" xfId="0" applyNumberFormat="1" applyFont="1" applyFill="1" applyBorder="1" applyAlignment="1" applyProtection="1">
      <alignment horizontal="right"/>
      <protection locked="0"/>
    </xf>
    <xf numFmtId="168" fontId="65" fillId="0" borderId="0" xfId="50" applyNumberFormat="1" applyFont="1" applyFill="1" applyBorder="1" applyAlignment="1">
      <alignment horizontal="right"/>
    </xf>
    <xf numFmtId="241" fontId="28" fillId="24" borderId="17" xfId="0" applyNumberFormat="1" applyFont="1" applyFill="1" applyBorder="1" applyAlignment="1">
      <alignment horizontal="center"/>
    </xf>
    <xf numFmtId="168" fontId="7" fillId="25" borderId="15" xfId="50" applyNumberFormat="1" applyFont="1" applyFill="1" applyBorder="1" applyAlignment="1"/>
    <xf numFmtId="168" fontId="8" fillId="0" borderId="22" xfId="50" applyNumberFormat="1" applyFont="1" applyFill="1" applyBorder="1" applyAlignment="1"/>
    <xf numFmtId="168" fontId="8" fillId="0" borderId="28" xfId="50" applyNumberFormat="1" applyFont="1" applyFill="1" applyBorder="1" applyAlignment="1"/>
    <xf numFmtId="166" fontId="6" fillId="28" borderId="0" xfId="50" applyNumberFormat="1" applyFont="1" applyFill="1" applyBorder="1" applyAlignment="1"/>
    <xf numFmtId="9" fontId="4" fillId="22" borderId="0" xfId="50" applyNumberFormat="1" applyFont="1" applyFill="1" applyBorder="1" applyAlignment="1">
      <alignment vertical="center"/>
    </xf>
    <xf numFmtId="196" fontId="37" fillId="0" borderId="28" xfId="63" applyNumberFormat="1" applyFont="1" applyFill="1" applyBorder="1" applyAlignment="1">
      <alignment vertical="center"/>
    </xf>
    <xf numFmtId="168" fontId="6" fillId="29" borderId="15" xfId="57" applyNumberFormat="1" applyFont="1" applyFill="1" applyBorder="1" applyAlignment="1" applyProtection="1"/>
    <xf numFmtId="166" fontId="79" fillId="23" borderId="0" xfId="46" applyNumberFormat="1" applyFont="1" applyFill="1" applyBorder="1" applyAlignment="1"/>
    <xf numFmtId="228" fontId="71" fillId="0" borderId="28" xfId="63" applyNumberFormat="1" applyFont="1" applyFill="1" applyBorder="1" applyAlignment="1">
      <alignment vertical="center"/>
    </xf>
    <xf numFmtId="228" fontId="16" fillId="0" borderId="34" xfId="63" applyNumberFormat="1" applyFont="1" applyFill="1" applyBorder="1" applyAlignment="1">
      <alignment vertical="center"/>
    </xf>
    <xf numFmtId="228" fontId="41" fillId="0" borderId="0" xfId="63" applyNumberFormat="1" applyFont="1" applyFill="1" applyAlignment="1">
      <alignment horizontal="right" vertical="center"/>
    </xf>
    <xf numFmtId="228" fontId="42" fillId="0" borderId="0" xfId="63" applyNumberFormat="1" applyFont="1" applyFill="1" applyAlignment="1">
      <alignment horizontal="right" vertical="center"/>
    </xf>
    <xf numFmtId="167" fontId="5" fillId="0" borderId="81" xfId="0" applyNumberFormat="1" applyFont="1" applyFill="1" applyBorder="1" applyAlignment="1"/>
    <xf numFmtId="0" fontId="6" fillId="0" borderId="20" xfId="50" applyNumberFormat="1" applyFont="1" applyFill="1" applyBorder="1" applyAlignment="1"/>
    <xf numFmtId="5" fontId="6" fillId="0" borderId="20" xfId="50" applyNumberFormat="1" applyFont="1" applyFill="1" applyBorder="1" applyAlignment="1"/>
    <xf numFmtId="168" fontId="5" fillId="29" borderId="81" xfId="0" applyNumberFormat="1" applyFont="1" applyFill="1" applyBorder="1" applyAlignment="1" applyProtection="1">
      <alignment horizontal="right"/>
      <protection locked="0"/>
    </xf>
    <xf numFmtId="164" fontId="5" fillId="28" borderId="15" xfId="57" applyNumberFormat="1" applyFont="1" applyFill="1" applyBorder="1" applyAlignment="1" applyProtection="1"/>
    <xf numFmtId="164" fontId="69" fillId="28" borderId="0" xfId="57" applyNumberFormat="1" applyFont="1" applyFill="1" applyBorder="1" applyAlignment="1" applyProtection="1"/>
    <xf numFmtId="0" fontId="62" fillId="33" borderId="67" xfId="57" applyFont="1" applyFill="1" applyBorder="1" applyAlignment="1">
      <alignment horizontal="center"/>
    </xf>
    <xf numFmtId="0" fontId="62" fillId="33" borderId="12" xfId="57" applyFont="1" applyFill="1" applyBorder="1" applyAlignment="1">
      <alignment horizontal="center"/>
    </xf>
    <xf numFmtId="0" fontId="28" fillId="24" borderId="0" xfId="57" applyFont="1" applyFill="1" applyAlignment="1">
      <alignment horizontal="center"/>
    </xf>
    <xf numFmtId="203" fontId="6" fillId="0" borderId="81" xfId="50" applyNumberFormat="1" applyFont="1" applyFill="1" applyBorder="1" applyAlignment="1"/>
    <xf numFmtId="0" fontId="4" fillId="40" borderId="0" xfId="86" applyFont="1" applyFill="1" applyAlignment="1">
      <alignment vertical="top"/>
    </xf>
    <xf numFmtId="0" fontId="4" fillId="40" borderId="0" xfId="57" applyFill="1" applyAlignment="1">
      <alignment vertical="top"/>
    </xf>
    <xf numFmtId="0" fontId="4" fillId="40" borderId="0" xfId="57" applyFill="1"/>
    <xf numFmtId="0" fontId="29" fillId="40" borderId="0" xfId="86" applyFont="1" applyFill="1" applyAlignment="1">
      <alignment horizontal="left" vertical="top"/>
    </xf>
    <xf numFmtId="0" fontId="4" fillId="40" borderId="0" xfId="57" applyFont="1" applyFill="1" applyAlignment="1">
      <alignment vertical="top"/>
    </xf>
    <xf numFmtId="0" fontId="41" fillId="40" borderId="0" xfId="86" applyFont="1" applyFill="1" applyAlignment="1">
      <alignment vertical="top"/>
    </xf>
    <xf numFmtId="0" fontId="0" fillId="40" borderId="0" xfId="0" applyFill="1" applyAlignment="1">
      <alignment vertical="top"/>
    </xf>
    <xf numFmtId="0" fontId="89" fillId="40" borderId="0" xfId="0" applyFont="1" applyFill="1" applyAlignment="1">
      <alignment vertical="top"/>
    </xf>
    <xf numFmtId="0" fontId="97" fillId="40" borderId="0" xfId="0" applyFont="1" applyFill="1" applyAlignment="1">
      <alignment vertical="top"/>
    </xf>
    <xf numFmtId="0" fontId="97" fillId="40" borderId="0" xfId="0" applyFont="1" applyFill="1" applyAlignment="1">
      <alignment vertical="top"/>
    </xf>
    <xf numFmtId="0" fontId="89" fillId="40" borderId="0" xfId="0" applyFont="1" applyFill="1" applyAlignment="1">
      <alignment vertical="top"/>
    </xf>
    <xf numFmtId="0" fontId="0" fillId="40" borderId="0" xfId="0" applyFill="1" applyAlignment="1">
      <alignment vertical="top"/>
    </xf>
    <xf numFmtId="0" fontId="0" fillId="40" borderId="91" xfId="0" applyFill="1" applyBorder="1" applyAlignment="1">
      <alignment vertical="top"/>
    </xf>
    <xf numFmtId="0" fontId="89" fillId="40" borderId="87" xfId="0" applyFont="1" applyFill="1" applyBorder="1" applyAlignment="1">
      <alignment vertical="top"/>
    </xf>
    <xf numFmtId="0" fontId="89" fillId="40" borderId="88" xfId="0" applyFont="1" applyFill="1" applyBorder="1" applyAlignment="1">
      <alignment vertical="top"/>
    </xf>
    <xf numFmtId="0" fontId="89" fillId="40" borderId="89" xfId="0" applyFont="1" applyFill="1" applyBorder="1" applyAlignment="1">
      <alignment vertical="top"/>
    </xf>
    <xf numFmtId="0" fontId="89" fillId="40" borderId="90" xfId="0" applyFont="1" applyFill="1" applyBorder="1" applyAlignment="1">
      <alignment vertical="top"/>
    </xf>
    <xf numFmtId="9" fontId="89" fillId="40" borderId="87" xfId="0" applyNumberFormat="1" applyFont="1" applyFill="1" applyBorder="1" applyAlignment="1">
      <alignment vertical="top"/>
    </xf>
    <xf numFmtId="3" fontId="89" fillId="40" borderId="87" xfId="0" applyNumberFormat="1" applyFont="1" applyFill="1" applyBorder="1" applyAlignment="1">
      <alignment vertical="top"/>
    </xf>
    <xf numFmtId="0" fontId="0" fillId="40" borderId="92" xfId="0" applyFill="1" applyBorder="1" applyAlignment="1">
      <alignment vertical="top"/>
    </xf>
    <xf numFmtId="2" fontId="4" fillId="0" borderId="0" xfId="57" applyNumberFormat="1" applyAlignment="1">
      <alignment horizontal="left"/>
    </xf>
    <xf numFmtId="0" fontId="4" fillId="0" borderId="0" xfId="57" applyNumberFormat="1" applyAlignment="1">
      <alignment horizontal="left"/>
    </xf>
    <xf numFmtId="1" fontId="4" fillId="0" borderId="0" xfId="57" applyNumberFormat="1" applyAlignment="1">
      <alignment horizontal="left"/>
    </xf>
    <xf numFmtId="0" fontId="4" fillId="0" borderId="0" xfId="57" applyFont="1"/>
    <xf numFmtId="247" fontId="4" fillId="0" borderId="0" xfId="57" applyNumberFormat="1" applyAlignment="1">
      <alignment horizontal="left"/>
    </xf>
    <xf numFmtId="49" fontId="4" fillId="0" borderId="0" xfId="57" applyNumberFormat="1"/>
  </cellXfs>
  <cellStyles count="87">
    <cellStyle name=" 1" xfId="1"/>
    <cellStyle name="$_AA - BenefitsBonus " xfId="64"/>
    <cellStyle name="_AA - BenefitsBonus " xfId="65"/>
    <cellStyle name="_Comma_AA - BenefitsBonus " xfId="66"/>
    <cellStyle name="_Currency_AA - BenefitsBonus " xfId="67"/>
    <cellStyle name="_CurrencySpace_AA - BenefitsBonus " xfId="68"/>
    <cellStyle name="—_GS_Cash " xfId="69"/>
    <cellStyle name="_Multiple_AA - BenefitsBonus " xfId="70"/>
    <cellStyle name="_MultipleSpace_AA - BenefitsBonus " xfId="71"/>
    <cellStyle name="_Percent_AA - BenefitsBonus " xfId="72"/>
    <cellStyle name="_PercentSpace_AA - BenefitsBonus " xfId="73"/>
    <cellStyle name="_SUMMARY " xfId="2"/>
    <cellStyle name="0_Capex &amp; Depreciation " xfId="3"/>
    <cellStyle name="0_Valuing BP " xfId="4"/>
    <cellStyle name="20% - Accent1" xfId="5" builtinId="30" customBuiltin="1"/>
    <cellStyle name="20% - Accent2" xfId="6" builtinId="34" customBuiltin="1"/>
    <cellStyle name="20% - Accent3" xfId="7" builtinId="38" customBuiltin="1"/>
    <cellStyle name="20% - Accent4" xfId="8" builtinId="42" customBuiltin="1"/>
    <cellStyle name="20% - Accent5" xfId="9" builtinId="46" customBuiltin="1"/>
    <cellStyle name="20% - Accent6" xfId="10" builtinId="50" customBuiltin="1"/>
    <cellStyle name="40% - Accent1" xfId="11" builtinId="31" customBuiltin="1"/>
    <cellStyle name="40% - Accent2" xfId="12" builtinId="35" customBuiltin="1"/>
    <cellStyle name="40% - Accent3" xfId="13" builtinId="39" customBuiltin="1"/>
    <cellStyle name="40% - Accent4" xfId="14" builtinId="43" customBuiltin="1"/>
    <cellStyle name="40% - Accent5" xfId="15" builtinId="47" customBuiltin="1"/>
    <cellStyle name="40% - Accent6" xfId="16" builtinId="51" customBuiltin="1"/>
    <cellStyle name="60% - Accent1" xfId="17" builtinId="32" customBuiltin="1"/>
    <cellStyle name="60% - Accent2" xfId="18" builtinId="36" customBuiltin="1"/>
    <cellStyle name="60% - Accent3" xfId="19" builtinId="40" customBuiltin="1"/>
    <cellStyle name="60% - Accent4" xfId="20" builtinId="44" customBuiltin="1"/>
    <cellStyle name="60% - Accent5" xfId="21" builtinId="48" customBuiltin="1"/>
    <cellStyle name="60% - Accent6" xfId="22" builtinId="52" customBuiltin="1"/>
    <cellStyle name="Accent1" xfId="23" builtinId="29" customBuiltin="1"/>
    <cellStyle name="Accent2" xfId="24" builtinId="33" customBuiltin="1"/>
    <cellStyle name="Accent3" xfId="25" builtinId="37" customBuiltin="1"/>
    <cellStyle name="Accent4" xfId="26" builtinId="41" customBuiltin="1"/>
    <cellStyle name="Accent5" xfId="27" builtinId="45" customBuiltin="1"/>
    <cellStyle name="Accent6" xfId="28" builtinId="49" customBuiltin="1"/>
    <cellStyle name="Bad" xfId="29" builtinId="27" customBuiltin="1"/>
    <cellStyle name="c_HardInc " xfId="30"/>
    <cellStyle name="Calculation" xfId="31" builtinId="22" customBuiltin="1"/>
    <cellStyle name="Check Cell" xfId="32" builtinId="23" customBuiltin="1"/>
    <cellStyle name="Comma" xfId="33" builtinId="3"/>
    <cellStyle name="Comma 2" xfId="60"/>
    <cellStyle name="Comma_JBHTqq" xfId="34"/>
    <cellStyle name="Currency" xfId="35" builtinId="4"/>
    <cellStyle name="Currency 2" xfId="61"/>
    <cellStyle name="d_yield_AA - BenefitsBonus " xfId="74"/>
    <cellStyle name="Explanatory Text" xfId="36" builtinId="53" customBuiltin="1"/>
    <cellStyle name="g_rate_AA - BenefitsBonus " xfId="75"/>
    <cellStyle name="Good" xfId="37" builtinId="26" customBuiltin="1"/>
    <cellStyle name="Heading 1" xfId="38" builtinId="16" customBuiltin="1"/>
    <cellStyle name="Heading 2" xfId="39" builtinId="17" customBuiltin="1"/>
    <cellStyle name="Heading 3" xfId="40" builtinId="18" customBuiltin="1"/>
    <cellStyle name="Heading 4" xfId="41" builtinId="19" customBuiltin="1"/>
    <cellStyle name="Input" xfId="42" builtinId="20" customBuiltin="1"/>
    <cellStyle name="Linked Cell" xfId="43" builtinId="24" customBuiltin="1"/>
    <cellStyle name="m_AA - BenefitsBonus " xfId="76"/>
    <cellStyle name="Neutral" xfId="44" builtinId="28" customBuiltin="1"/>
    <cellStyle name="Normal" xfId="0" builtinId="0"/>
    <cellStyle name="Normal 4" xfId="45"/>
    <cellStyle name="Normal 5" xfId="57"/>
    <cellStyle name="Normal 6" xfId="80"/>
    <cellStyle name="Normal 7" xfId="81"/>
    <cellStyle name="Normal 8" xfId="85"/>
    <cellStyle name="Normal_299650.GOOG.O" xfId="63"/>
    <cellStyle name="Normal_DisclaimerSheet Samples" xfId="86"/>
    <cellStyle name="Normal_JBHTqq" xfId="46"/>
    <cellStyle name="Normal_psw18vwall" xfId="62"/>
    <cellStyle name="Note" xfId="47" builtinId="10" customBuiltin="1"/>
    <cellStyle name="Output" xfId="48" builtinId="21" customBuiltin="1"/>
    <cellStyle name="p " xfId="49"/>
    <cellStyle name="Percent" xfId="50" builtinId="5"/>
    <cellStyle name="Percent 2" xfId="59"/>
    <cellStyle name="Percent 3" xfId="82"/>
    <cellStyle name="q_AA - BenefitsBonus " xfId="77"/>
    <cellStyle name="RRSInstruction" xfId="84"/>
    <cellStyle name="RRSInstruction 2" xfId="58"/>
    <cellStyle name="s_HardInc " xfId="51"/>
    <cellStyle name="s_Valuation " xfId="52"/>
    <cellStyle name="ssp " xfId="53"/>
    <cellStyle name="Style 32 2" xfId="83"/>
    <cellStyle name="Title" xfId="54" builtinId="15" customBuiltin="1"/>
    <cellStyle name="Total" xfId="55" builtinId="25" customBuiltin="1"/>
    <cellStyle name="Warning Text" xfId="56" builtinId="11" customBuiltin="1"/>
    <cellStyle name="콤마 [0]_#3이설 견적_준공내역총괄표 " xfId="78"/>
    <cellStyle name="콤마_#3이설 견적_준공내역총괄표 " xfId="79"/>
  </cellStyles>
  <dxfs count="44">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80"/>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t="s">
        <v>$41.52</v>
        <stp/>
        <stp>4b6b42b9-c68c-4ee4-afdd-616a15562543</stp>
        <tr r="EC241" s="103"/>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theme/theme1.xml" Type="http://schemas.openxmlformats.org/officeDocument/2006/relationships/theme"/>
<Relationship Id="rId12" Target="styles.xml" Type="http://schemas.openxmlformats.org/officeDocument/2006/relationships/styles"/>
<Relationship Id="rId13" Target="sharedStrings.xml" Type="http://schemas.openxmlformats.org/officeDocument/2006/relationships/sharedStrings"/>
<Relationship Id="rId14" Target="calcChain.xml" Type="http://schemas.openxmlformats.org/officeDocument/2006/relationships/calcChain"/>
<Relationship Id="rId15" Target="../customXml/item1.xml" Type="http://schemas.openxmlformats.org/officeDocument/2006/relationships/customXml"/>
<Relationship Id="rId16" Target="../customXml/item2.xml" Type="http://schemas.openxmlformats.org/officeDocument/2006/relationships/customXml"/>
<Relationship Id="rId17" Target="volatileDependencies.xml" Type="http://schemas.openxmlformats.org/officeDocument/2006/relationships/volatileDependencies"/>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vmlDrawing3.vml.rels><?xml version="1.0" encoding="UTF-8" standalone="yes"?>
<Relationships xmlns="http://schemas.openxmlformats.org/package/2006/relationships">
<Relationship Id="rId1" Target="../media/image4.pn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180</xdr:row>
      <xdr:rowOff>0</xdr:rowOff>
    </xdr:from>
    <xdr:to>
      <xdr:col>7</xdr:col>
      <xdr:colOff>390525</xdr:colOff>
      <xdr:row>203</xdr:row>
      <xdr:rowOff>104775</xdr:rowOff>
    </xdr:to>
    <xdr:pic>
      <xdr:nvPicPr>
        <xdr:cNvPr id="2136065" name="Picture 1" descr="C:\Users\diahuang\AppData\Local\Temp\MercuryPriceRatingHistoryChart\XPO.N_2018_04_04_22_24_16.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7749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Morgan Stanley Palette">
      <a:dk1>
        <a:sysClr val="windowText" lastClr="000000"/>
      </a:dk1>
      <a:lt1>
        <a:srgbClr val="FFFFFF"/>
      </a:lt1>
      <a:dk2>
        <a:srgbClr val="FFFFFF"/>
      </a:dk2>
      <a:lt2>
        <a:srgbClr val="214283"/>
      </a:lt2>
      <a:accent1>
        <a:srgbClr val="137CB1"/>
      </a:accent1>
      <a:accent2>
        <a:srgbClr val="EACC80"/>
      </a:accent2>
      <a:accent3>
        <a:srgbClr val="4AAC6B"/>
      </a:accent3>
      <a:accent4>
        <a:srgbClr val="A8D7E2"/>
      </a:accent4>
      <a:accent5>
        <a:srgbClr val="E58061"/>
      </a:accent5>
      <a:accent6>
        <a:srgbClr val="BCE3A1"/>
      </a:accent6>
      <a:hlink>
        <a:srgbClr val="8E466A"/>
      </a:hlink>
      <a:folHlink>
        <a:srgbClr val="C0C0C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drawing1.xml" Type="http://schemas.openxmlformats.org/officeDocument/2006/relationships/drawing"/>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2.vml" Type="http://schemas.openxmlformats.org/officeDocument/2006/relationships/vmlDrawing"/>
<Relationship Id="rId3" Target="../drawings/vmlDrawing3.vml" Type="http://schemas.openxmlformats.org/officeDocument/2006/relationships/vmlDrawing"/>
<Relationship Id="rId4" Target="../comments2.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4.vml" Type="http://schemas.openxmlformats.org/officeDocument/2006/relationships/vmlDrawing"/>
<Relationship Id="rId3" Target="../comments3.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5.vml" Type="http://schemas.openxmlformats.org/officeDocument/2006/relationships/vmlDrawing"/>
<Relationship Id="rId3" Target="../comments4.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2.75"/>
  <sheetData>
    <row r="1" spans="1:1">
      <c r="A1" s="31"/>
    </row>
  </sheetData>
  <phoneticPr fontId="13"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V2"/>
  <sheetViews>
    <sheetView workbookViewId="0"/>
  </sheetViews>
  <sheetFormatPr defaultRowHeight="12.75"/>
  <cols>
    <col min="46" max="46" width="11.5703125" bestFit="1" customWidth="1"/>
    <col min="52" max="52" width="11.5703125" bestFit="1" customWidth="1"/>
    <col min="54" max="54" width="11.5703125" bestFit="1" customWidth="1"/>
    <col min="60" max="60" width="11.5703125" bestFit="1" customWidth="1"/>
    <col min="62" max="62" width="11.5703125" bestFit="1" customWidth="1"/>
    <col min="68" max="68" width="11.5703125" bestFit="1" customWidth="1"/>
    <col min="70" max="70" width="11.5703125" bestFit="1" customWidth="1"/>
  </cols>
  <sheetData>
    <row r="1" spans="1:74">
      <c r="A1" t="s">
        <v>578</v>
      </c>
    </row>
    <row r="2" spans="1:74" ht="63.75">
      <c r="A2" s="29" t="s">
        <v>166</v>
      </c>
      <c r="B2" s="29" t="s">
        <v>125</v>
      </c>
      <c r="C2" s="29" t="s">
        <v>635</v>
      </c>
      <c r="D2" s="29" t="s">
        <v>632</v>
      </c>
      <c r="E2" s="29" t="s">
        <v>634</v>
      </c>
      <c r="F2" s="29" t="s">
        <v>67</v>
      </c>
      <c r="G2" s="29" t="s">
        <v>167</v>
      </c>
      <c r="H2" s="29" t="s">
        <v>639</v>
      </c>
      <c r="I2" s="29" t="s">
        <v>168</v>
      </c>
      <c r="J2" s="29" t="s">
        <v>67</v>
      </c>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c r="BU2" s="29"/>
      <c r="BV2" s="29"/>
    </row>
  </sheetData>
  <phoneticPr fontId="13"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B1"/>
  <sheetViews>
    <sheetView workbookViewId="0"/>
  </sheetViews>
  <sheetFormatPr defaultRowHeight="12.75"/>
  <sheetData>
    <row r="1" spans="1:2"/>
  </sheetData>
  <phoneticPr fontId="13" type="noConversion"/>
  <pageMargins left="0.75" right="0.75" top="1" bottom="1" header="0.5" footer="0.5"/>
  <pageSetup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97"/>
  <sheetViews>
    <sheetView showGridLines="0" tabSelected="1" workbookViewId="0">
      <selection activeCell="Z1" sqref="Z1"/>
    </sheetView>
  </sheetViews>
  <sheetFormatPr defaultRowHeight="12.75"/>
  <cols>
    <col min="1" max="1" width="25.7109375" style="2437" customWidth="1"/>
    <col min="2" max="5" width="9.140625" style="2437"/>
    <col min="6" max="6" width="18.7109375" style="2437" customWidth="1"/>
    <col min="7" max="256" width="9.140625" style="2437"/>
    <col min="257" max="257" width="100.7109375" style="2437" customWidth="1"/>
    <col min="258" max="512" width="9.140625" style="2437"/>
    <col min="513" max="513" width="100.7109375" style="2437" customWidth="1"/>
    <col min="514" max="768" width="9.140625" style="2437"/>
    <col min="769" max="769" width="100.7109375" style="2437" customWidth="1"/>
    <col min="770" max="1024" width="9.140625" style="2437"/>
    <col min="1025" max="1025" width="100.7109375" style="2437" customWidth="1"/>
    <col min="1026" max="1280" width="9.140625" style="2437"/>
    <col min="1281" max="1281" width="100.7109375" style="2437" customWidth="1"/>
    <col min="1282" max="1536" width="9.140625" style="2437"/>
    <col min="1537" max="1537" width="100.7109375" style="2437" customWidth="1"/>
    <col min="1538" max="1792" width="9.140625" style="2437"/>
    <col min="1793" max="1793" width="100.7109375" style="2437" customWidth="1"/>
    <col min="1794" max="2048" width="9.140625" style="2437"/>
    <col min="2049" max="2049" width="100.7109375" style="2437" customWidth="1"/>
    <col min="2050" max="2304" width="9.140625" style="2437"/>
    <col min="2305" max="2305" width="100.7109375" style="2437" customWidth="1"/>
    <col min="2306" max="2560" width="9.140625" style="2437"/>
    <col min="2561" max="2561" width="100.7109375" style="2437" customWidth="1"/>
    <col min="2562" max="2816" width="9.140625" style="2437"/>
    <col min="2817" max="2817" width="100.7109375" style="2437" customWidth="1"/>
    <col min="2818" max="3072" width="9.140625" style="2437"/>
    <col min="3073" max="3073" width="100.7109375" style="2437" customWidth="1"/>
    <col min="3074" max="3328" width="9.140625" style="2437"/>
    <col min="3329" max="3329" width="100.7109375" style="2437" customWidth="1"/>
    <col min="3330" max="3584" width="9.140625" style="2437"/>
    <col min="3585" max="3585" width="100.7109375" style="2437" customWidth="1"/>
    <col min="3586" max="3840" width="9.140625" style="2437"/>
    <col min="3841" max="3841" width="100.7109375" style="2437" customWidth="1"/>
    <col min="3842" max="4096" width="9.140625" style="2437"/>
    <col min="4097" max="4097" width="100.7109375" style="2437" customWidth="1"/>
    <col min="4098" max="4352" width="9.140625" style="2437"/>
    <col min="4353" max="4353" width="100.7109375" style="2437" customWidth="1"/>
    <col min="4354" max="4608" width="9.140625" style="2437"/>
    <col min="4609" max="4609" width="100.7109375" style="2437" customWidth="1"/>
    <col min="4610" max="4864" width="9.140625" style="2437"/>
    <col min="4865" max="4865" width="100.7109375" style="2437" customWidth="1"/>
    <col min="4866" max="5120" width="9.140625" style="2437"/>
    <col min="5121" max="5121" width="100.7109375" style="2437" customWidth="1"/>
    <col min="5122" max="5376" width="9.140625" style="2437"/>
    <col min="5377" max="5377" width="100.7109375" style="2437" customWidth="1"/>
    <col min="5378" max="5632" width="9.140625" style="2437"/>
    <col min="5633" max="5633" width="100.7109375" style="2437" customWidth="1"/>
    <col min="5634" max="5888" width="9.140625" style="2437"/>
    <col min="5889" max="5889" width="100.7109375" style="2437" customWidth="1"/>
    <col min="5890" max="6144" width="9.140625" style="2437"/>
    <col min="6145" max="6145" width="100.7109375" style="2437" customWidth="1"/>
    <col min="6146" max="6400" width="9.140625" style="2437"/>
    <col min="6401" max="6401" width="100.7109375" style="2437" customWidth="1"/>
    <col min="6402" max="6656" width="9.140625" style="2437"/>
    <col min="6657" max="6657" width="100.7109375" style="2437" customWidth="1"/>
    <col min="6658" max="6912" width="9.140625" style="2437"/>
    <col min="6913" max="6913" width="100.7109375" style="2437" customWidth="1"/>
    <col min="6914" max="7168" width="9.140625" style="2437"/>
    <col min="7169" max="7169" width="100.7109375" style="2437" customWidth="1"/>
    <col min="7170" max="7424" width="9.140625" style="2437"/>
    <col min="7425" max="7425" width="100.7109375" style="2437" customWidth="1"/>
    <col min="7426" max="7680" width="9.140625" style="2437"/>
    <col min="7681" max="7681" width="100.7109375" style="2437" customWidth="1"/>
    <col min="7682" max="7936" width="9.140625" style="2437"/>
    <col min="7937" max="7937" width="100.7109375" style="2437" customWidth="1"/>
    <col min="7938" max="8192" width="9.140625" style="2437"/>
    <col min="8193" max="8193" width="100.7109375" style="2437" customWidth="1"/>
    <col min="8194" max="8448" width="9.140625" style="2437"/>
    <col min="8449" max="8449" width="100.7109375" style="2437" customWidth="1"/>
    <col min="8450" max="8704" width="9.140625" style="2437"/>
    <col min="8705" max="8705" width="100.7109375" style="2437" customWidth="1"/>
    <col min="8706" max="8960" width="9.140625" style="2437"/>
    <col min="8961" max="8961" width="100.7109375" style="2437" customWidth="1"/>
    <col min="8962" max="9216" width="9.140625" style="2437"/>
    <col min="9217" max="9217" width="100.7109375" style="2437" customWidth="1"/>
    <col min="9218" max="9472" width="9.140625" style="2437"/>
    <col min="9473" max="9473" width="100.7109375" style="2437" customWidth="1"/>
    <col min="9474" max="9728" width="9.140625" style="2437"/>
    <col min="9729" max="9729" width="100.7109375" style="2437" customWidth="1"/>
    <col min="9730" max="9984" width="9.140625" style="2437"/>
    <col min="9985" max="9985" width="100.7109375" style="2437" customWidth="1"/>
    <col min="9986" max="10240" width="9.140625" style="2437"/>
    <col min="10241" max="10241" width="100.7109375" style="2437" customWidth="1"/>
    <col min="10242" max="10496" width="9.140625" style="2437"/>
    <col min="10497" max="10497" width="100.7109375" style="2437" customWidth="1"/>
    <col min="10498" max="10752" width="9.140625" style="2437"/>
    <col min="10753" max="10753" width="100.7109375" style="2437" customWidth="1"/>
    <col min="10754" max="11008" width="9.140625" style="2437"/>
    <col min="11009" max="11009" width="100.7109375" style="2437" customWidth="1"/>
    <col min="11010" max="11264" width="9.140625" style="2437"/>
    <col min="11265" max="11265" width="100.7109375" style="2437" customWidth="1"/>
    <col min="11266" max="11520" width="9.140625" style="2437"/>
    <col min="11521" max="11521" width="100.7109375" style="2437" customWidth="1"/>
    <col min="11522" max="11776" width="9.140625" style="2437"/>
    <col min="11777" max="11777" width="100.7109375" style="2437" customWidth="1"/>
    <col min="11778" max="12032" width="9.140625" style="2437"/>
    <col min="12033" max="12033" width="100.7109375" style="2437" customWidth="1"/>
    <col min="12034" max="12288" width="9.140625" style="2437"/>
    <col min="12289" max="12289" width="100.7109375" style="2437" customWidth="1"/>
    <col min="12290" max="12544" width="9.140625" style="2437"/>
    <col min="12545" max="12545" width="100.7109375" style="2437" customWidth="1"/>
    <col min="12546" max="12800" width="9.140625" style="2437"/>
    <col min="12801" max="12801" width="100.7109375" style="2437" customWidth="1"/>
    <col min="12802" max="13056" width="9.140625" style="2437"/>
    <col min="13057" max="13057" width="100.7109375" style="2437" customWidth="1"/>
    <col min="13058" max="13312" width="9.140625" style="2437"/>
    <col min="13313" max="13313" width="100.7109375" style="2437" customWidth="1"/>
    <col min="13314" max="13568" width="9.140625" style="2437"/>
    <col min="13569" max="13569" width="100.7109375" style="2437" customWidth="1"/>
    <col min="13570" max="13824" width="9.140625" style="2437"/>
    <col min="13825" max="13825" width="100.7109375" style="2437" customWidth="1"/>
    <col min="13826" max="14080" width="9.140625" style="2437"/>
    <col min="14081" max="14081" width="100.7109375" style="2437" customWidth="1"/>
    <col min="14082" max="14336" width="9.140625" style="2437"/>
    <col min="14337" max="14337" width="100.7109375" style="2437" customWidth="1"/>
    <col min="14338" max="14592" width="9.140625" style="2437"/>
    <col min="14593" max="14593" width="100.7109375" style="2437" customWidth="1"/>
    <col min="14594" max="14848" width="9.140625" style="2437"/>
    <col min="14849" max="14849" width="100.7109375" style="2437" customWidth="1"/>
    <col min="14850" max="15104" width="9.140625" style="2437"/>
    <col min="15105" max="15105" width="100.7109375" style="2437" customWidth="1"/>
    <col min="15106" max="15360" width="9.140625" style="2437"/>
    <col min="15361" max="15361" width="100.7109375" style="2437" customWidth="1"/>
    <col min="15362" max="15616" width="9.140625" style="2437"/>
    <col min="15617" max="15617" width="100.7109375" style="2437" customWidth="1"/>
    <col min="15618" max="15872" width="9.140625" style="2437"/>
    <col min="15873" max="15873" width="100.7109375" style="2437" customWidth="1"/>
    <col min="15874" max="16128" width="9.140625" style="2437"/>
    <col min="16129" max="16129" width="100.7109375" style="2437" customWidth="1"/>
    <col min="16130" max="16384" width="9.140625" style="2437"/>
  </cols>
  <sheetData>
    <row r="1" spans="1:8" ht="30" customHeight="1">
      <c r="A1" s="2435"/>
      <c r="B1" s="2436"/>
      <c r="C1" s="2436"/>
      <c r="D1" s="2436"/>
      <c r="E1" s="2436"/>
      <c r="F1" s="2436"/>
      <c r="G1" s="2436"/>
      <c r="H1" s="2436"/>
    </row>
    <row r="2" spans="1:8" ht="14.25">
      <c r="A2" s="2438" t="s">
        <v>661</v>
      </c>
      <c r="B2" s="2436"/>
      <c r="C2" s="2436"/>
      <c r="D2" s="2436"/>
      <c r="E2" s="2436"/>
      <c r="F2" s="2436"/>
      <c r="G2" s="2436"/>
      <c r="H2" s="2436"/>
    </row>
    <row r="3" spans="1:8" ht="14.25">
      <c r="A3" s="2438" t="s">
        <v>662</v>
      </c>
      <c r="B3" s="2436"/>
      <c r="C3" s="2436"/>
      <c r="D3" s="2436"/>
      <c r="E3" s="2436"/>
      <c r="F3" s="2436"/>
      <c r="G3" s="2436"/>
      <c r="H3" s="2436"/>
    </row>
    <row r="4" spans="1:8" ht="14.25">
      <c r="A4" s="2438" t="s">
        <v>663</v>
      </c>
      <c r="B4" s="2436"/>
      <c r="C4" s="2436"/>
      <c r="D4" s="2436"/>
      <c r="E4" s="2436"/>
      <c r="F4" s="2436"/>
      <c r="G4" s="2436"/>
      <c r="H4" s="2436"/>
    </row>
    <row r="5" spans="1:8" ht="14.25">
      <c r="A5" s="2438" t="s">
        <v>664</v>
      </c>
      <c r="B5" s="2436"/>
      <c r="C5" s="2436"/>
      <c r="D5" s="2436"/>
      <c r="E5" s="2436"/>
      <c r="F5" s="2436"/>
      <c r="G5" s="2436"/>
      <c r="H5" s="2436"/>
    </row>
    <row r="6" spans="1:8" ht="14.25">
      <c r="A6" s="2438"/>
      <c r="B6" s="2436"/>
      <c r="C6" s="2436"/>
      <c r="D6" s="2436"/>
      <c r="E6" s="2436"/>
      <c r="F6" s="2436"/>
      <c r="G6" s="2436"/>
      <c r="H6" s="2436"/>
    </row>
    <row r="7" spans="1:8">
      <c r="A7" s="2435" t="s">
        <v>665</v>
      </c>
      <c r="B7" s="2436"/>
      <c r="C7" s="2436"/>
      <c r="D7" s="2436"/>
      <c r="E7" s="2436"/>
      <c r="F7" s="2436"/>
      <c r="G7" s="2436"/>
      <c r="H7" s="2436"/>
    </row>
    <row r="8" spans="1:8">
      <c r="A8" s="2435" t="s">
        <v>666</v>
      </c>
      <c r="B8" s="2436"/>
      <c r="C8" s="2436"/>
      <c r="D8" s="2436"/>
      <c r="E8" s="2436"/>
      <c r="F8" s="2436"/>
      <c r="G8" s="2436"/>
      <c r="H8" s="2436"/>
    </row>
    <row r="9" spans="1:8">
      <c r="A9" s="2435"/>
      <c r="B9" s="2436"/>
      <c r="C9" s="2436"/>
      <c r="D9" s="2436"/>
      <c r="E9" s="2436"/>
      <c r="F9" s="2436"/>
      <c r="G9" s="2436"/>
      <c r="H9" s="2436"/>
    </row>
    <row r="10" spans="1:8">
      <c r="A10" s="2439" t="s">
        <v>667</v>
      </c>
      <c r="B10" s="2436"/>
      <c r="C10" s="2436"/>
      <c r="D10" s="2436"/>
      <c r="E10" s="2436"/>
      <c r="F10" s="2436"/>
      <c r="G10" s="2436"/>
      <c r="H10" s="2436"/>
    </row>
    <row r="11" spans="1:8">
      <c r="A11" s="2439" t="s">
        <v>668</v>
      </c>
      <c r="B11" s="2436"/>
      <c r="C11" s="2436"/>
      <c r="D11" s="2436"/>
      <c r="E11" s="2436"/>
      <c r="F11" s="2436"/>
      <c r="G11" s="2436"/>
      <c r="H11" s="2436"/>
    </row>
    <row r="12" spans="1:8">
      <c r="A12" s="2439" t="s">
        <v>669</v>
      </c>
      <c r="B12" s="2436"/>
      <c r="C12" s="2436"/>
      <c r="D12" s="2436"/>
      <c r="E12" s="2436"/>
      <c r="F12" s="2436"/>
      <c r="G12" s="2436"/>
      <c r="H12" s="2436"/>
    </row>
    <row r="13" spans="1:8">
      <c r="A13" s="2439" t="s">
        <v>670</v>
      </c>
      <c r="B13" s="2436"/>
      <c r="C13" s="2436"/>
      <c r="D13" s="2436"/>
      <c r="E13" s="2436"/>
      <c r="F13" s="2436"/>
      <c r="G13" s="2436"/>
      <c r="H13" s="2436"/>
    </row>
    <row r="14" spans="1:8">
      <c r="A14" s="2439" t="s">
        <v>671</v>
      </c>
      <c r="B14" s="2436"/>
      <c r="C14" s="2436"/>
      <c r="D14" s="2436"/>
      <c r="E14" s="2436"/>
      <c r="F14" s="2436"/>
      <c r="G14" s="2436"/>
      <c r="H14" s="2436"/>
    </row>
    <row r="15" spans="1:8">
      <c r="A15" s="2439" t="s">
        <v>672</v>
      </c>
      <c r="B15" s="2436"/>
      <c r="C15" s="2436"/>
      <c r="D15" s="2436"/>
      <c r="E15" s="2436"/>
      <c r="F15" s="2436"/>
      <c r="G15" s="2436"/>
      <c r="H15" s="2436"/>
    </row>
    <row r="16" spans="1:8">
      <c r="A16" s="2439"/>
      <c r="B16" s="2436"/>
      <c r="C16" s="2436"/>
      <c r="D16" s="2436"/>
      <c r="E16" s="2436"/>
      <c r="F16" s="2436"/>
      <c r="G16" s="2436"/>
      <c r="H16" s="2436"/>
    </row>
    <row r="17" spans="1:8">
      <c r="A17" s="2439" t="s">
        <v>658</v>
      </c>
      <c r="B17" s="2436"/>
      <c r="C17" s="2436"/>
      <c r="D17" s="2436"/>
      <c r="E17" s="2436"/>
      <c r="F17" s="2436"/>
      <c r="G17" s="2436"/>
      <c r="H17" s="2436"/>
    </row>
    <row r="18" spans="1:8">
      <c r="A18" s="2439"/>
      <c r="B18" s="2436"/>
      <c r="C18" s="2436"/>
      <c r="D18" s="2436"/>
      <c r="E18" s="2436"/>
      <c r="F18" s="2436"/>
      <c r="G18" s="2436"/>
      <c r="H18" s="2436"/>
    </row>
    <row r="19" spans="1:8">
      <c r="A19" s="2439" t="s">
        <v>659</v>
      </c>
      <c r="B19" s="2436"/>
      <c r="C19" s="2436"/>
      <c r="D19" s="2436"/>
      <c r="E19" s="2436"/>
      <c r="F19" s="2436"/>
      <c r="G19" s="2436"/>
      <c r="H19" s="2436"/>
    </row>
    <row r="20" spans="1:8">
      <c r="A20" s="2435"/>
      <c r="B20" s="2436"/>
      <c r="C20" s="2436"/>
      <c r="D20" s="2436"/>
      <c r="E20" s="2436"/>
      <c r="F20" s="2436"/>
      <c r="G20" s="2436"/>
      <c r="H20" s="2436"/>
    </row>
    <row r="21" spans="1:8">
      <c r="A21" s="2440" t="s">
        <v>660</v>
      </c>
      <c r="B21" s="2436"/>
      <c r="C21" s="2436"/>
      <c r="D21" s="2436"/>
      <c r="E21" s="2436"/>
      <c r="F21" s="2436"/>
      <c r="G21" s="2436"/>
      <c r="H21" s="2436"/>
    </row>
    <row r="22" spans="1:8">
      <c r="A22" s="2441"/>
      <c r="B22" s="2441"/>
      <c r="C22" s="2441"/>
      <c r="D22" s="2441"/>
      <c r="E22" s="2441"/>
      <c r="F22" s="2441"/>
      <c r="G22" s="2441"/>
      <c r="H22" s="2441"/>
    </row>
    <row r="23" spans="1:8">
      <c r="A23" s="2442" t="s">
        <v>954</v>
      </c>
      <c r="B23" s="2441"/>
      <c r="C23" s="2441"/>
      <c r="D23" s="2441"/>
      <c r="E23" s="2441"/>
      <c r="F23" s="2441"/>
      <c r="G23" s="2441"/>
      <c r="H23" s="2441"/>
    </row>
    <row r="24" spans="1:8">
      <c r="A24" s="2442" t="s">
        <v>955</v>
      </c>
      <c r="B24" s="2441"/>
      <c r="C24" s="2441"/>
      <c r="D24" s="2441"/>
      <c r="E24" s="2441"/>
      <c r="F24" s="2441"/>
      <c r="G24" s="2441"/>
      <c r="H24" s="2441"/>
    </row>
    <row r="25" spans="1:8">
      <c r="A25" s="2442" t="s">
        <v>956</v>
      </c>
      <c r="B25" s="2441"/>
      <c r="C25" s="2441"/>
      <c r="D25" s="2441"/>
      <c r="E25" s="2441"/>
      <c r="F25" s="2441"/>
      <c r="G25" s="2441"/>
      <c r="H25" s="2441"/>
    </row>
    <row r="26" spans="1:8">
      <c r="A26" s="2442" t="s">
        <v>957</v>
      </c>
      <c r="B26" s="2441"/>
      <c r="C26" s="2441"/>
      <c r="D26" s="2441"/>
      <c r="E26" s="2441"/>
      <c r="F26" s="2441"/>
      <c r="G26" s="2441"/>
      <c r="H26" s="2441"/>
    </row>
    <row r="27" spans="1:8">
      <c r="A27" s="2441"/>
      <c r="B27" s="2441"/>
      <c r="C27" s="2441"/>
      <c r="D27" s="2441"/>
      <c r="E27" s="2441"/>
      <c r="F27" s="2441"/>
      <c r="G27" s="2441"/>
      <c r="H27" s="2441"/>
    </row>
    <row r="28" spans="1:8">
      <c r="A28" s="2441"/>
      <c r="B28" s="2441"/>
      <c r="C28" s="2441"/>
      <c r="D28" s="2441"/>
      <c r="E28" s="2441"/>
      <c r="F28" s="2441"/>
      <c r="G28" s="2441"/>
      <c r="H28" s="2441"/>
    </row>
    <row r="29" spans="1:8">
      <c r="A29" s="2442" t="s">
        <v>949</v>
      </c>
      <c r="B29" s="2441"/>
      <c r="C29" s="2441"/>
      <c r="D29" s="2441"/>
      <c r="E29" s="2441"/>
      <c r="F29" s="2441"/>
      <c r="G29" s="2441"/>
      <c r="H29" s="2441"/>
    </row>
    <row r="30" spans="1:8">
      <c r="A30" s="2442" t="s">
        <v>950</v>
      </c>
      <c r="B30" s="2441"/>
      <c r="C30" s="2441"/>
      <c r="D30" s="2441"/>
      <c r="E30" s="2441"/>
      <c r="F30" s="2441"/>
      <c r="G30" s="2441"/>
      <c r="H30" s="2441"/>
    </row>
    <row r="31" spans="1:8">
      <c r="A31" s="2442" t="s">
        <v>951</v>
      </c>
      <c r="B31" s="2441"/>
      <c r="C31" s="2441"/>
      <c r="D31" s="2441"/>
      <c r="E31" s="2441"/>
      <c r="F31" s="2441"/>
      <c r="G31" s="2441"/>
      <c r="H31" s="2441"/>
    </row>
    <row r="32" spans="1:8">
      <c r="A32" s="2442" t="s">
        <v>952</v>
      </c>
      <c r="B32" s="2441"/>
      <c r="C32" s="2441"/>
      <c r="D32" s="2441"/>
      <c r="E32" s="2441"/>
      <c r="F32" s="2441"/>
      <c r="G32" s="2441"/>
      <c r="H32" s="2441"/>
    </row>
    <row r="33" spans="1:8">
      <c r="A33" s="2442" t="s">
        <v>953</v>
      </c>
      <c r="B33" s="2441"/>
      <c r="C33" s="2441"/>
      <c r="D33" s="2441"/>
      <c r="E33" s="2441"/>
      <c r="F33" s="2441"/>
      <c r="G33" s="2441"/>
      <c r="H33" s="2441"/>
    </row>
    <row r="34" spans="1:8">
      <c r="A34" s="2441"/>
      <c r="B34" s="2441"/>
      <c r="C34" s="2441"/>
      <c r="D34" s="2441"/>
      <c r="E34" s="2441"/>
      <c r="F34" s="2441"/>
      <c r="G34" s="2441"/>
      <c r="H34" s="2441"/>
    </row>
    <row r="35" spans="1:8">
      <c r="A35" s="2442" t="s">
        <v>945</v>
      </c>
      <c r="B35" s="2441"/>
      <c r="C35" s="2441"/>
      <c r="D35" s="2441"/>
      <c r="E35" s="2441"/>
      <c r="F35" s="2441"/>
      <c r="G35" s="2441"/>
      <c r="H35" s="2441"/>
    </row>
    <row r="36" spans="1:8">
      <c r="A36" s="2442" t="s">
        <v>946</v>
      </c>
      <c r="B36" s="2441"/>
      <c r="C36" s="2441"/>
      <c r="D36" s="2441"/>
      <c r="E36" s="2441"/>
      <c r="F36" s="2441"/>
      <c r="G36" s="2441"/>
      <c r="H36" s="2441"/>
    </row>
    <row r="37" spans="1:8">
      <c r="A37" s="2442" t="s">
        <v>947</v>
      </c>
      <c r="B37" s="2441"/>
      <c r="C37" s="2441"/>
      <c r="D37" s="2441"/>
      <c r="E37" s="2441"/>
      <c r="F37" s="2441"/>
      <c r="G37" s="2441"/>
      <c r="H37" s="2441"/>
    </row>
    <row r="38" spans="1:8">
      <c r="A38" s="2442" t="s">
        <v>948</v>
      </c>
      <c r="B38" s="2441"/>
      <c r="C38" s="2441"/>
      <c r="D38" s="2441"/>
      <c r="E38" s="2441"/>
      <c r="F38" s="2441"/>
      <c r="G38" s="2441"/>
      <c r="H38" s="2441"/>
    </row>
    <row r="39" spans="1:8">
      <c r="A39" s="2441"/>
      <c r="B39" s="2441"/>
      <c r="C39" s="2441"/>
      <c r="D39" s="2441"/>
      <c r="E39" s="2441"/>
      <c r="F39" s="2441"/>
      <c r="G39" s="2441"/>
      <c r="H39" s="2441"/>
    </row>
    <row r="40" spans="1:8">
      <c r="A40" s="2442" t="s">
        <v>939</v>
      </c>
      <c r="B40" s="2441"/>
      <c r="C40" s="2441"/>
      <c r="D40" s="2441"/>
      <c r="E40" s="2441"/>
      <c r="F40" s="2441"/>
      <c r="G40" s="2441"/>
      <c r="H40" s="2441"/>
    </row>
    <row r="41" spans="1:8">
      <c r="A41" s="2442" t="s">
        <v>940</v>
      </c>
      <c r="B41" s="2441"/>
      <c r="C41" s="2441"/>
      <c r="D41" s="2441"/>
      <c r="E41" s="2441"/>
      <c r="F41" s="2441"/>
      <c r="G41" s="2441"/>
      <c r="H41" s="2441"/>
    </row>
    <row r="42" spans="1:8">
      <c r="A42" s="2442" t="s">
        <v>941</v>
      </c>
      <c r="B42" s="2441"/>
      <c r="C42" s="2441"/>
      <c r="D42" s="2441"/>
      <c r="E42" s="2441"/>
      <c r="F42" s="2441"/>
      <c r="G42" s="2441"/>
      <c r="H42" s="2441"/>
    </row>
    <row r="43" spans="1:8">
      <c r="A43" s="2442" t="s">
        <v>942</v>
      </c>
      <c r="B43" s="2441"/>
      <c r="C43" s="2441"/>
      <c r="D43" s="2441"/>
      <c r="E43" s="2441"/>
      <c r="F43" s="2441"/>
      <c r="G43" s="2441"/>
      <c r="H43" s="2441"/>
    </row>
    <row r="44" spans="1:8">
      <c r="A44" s="2442" t="s">
        <v>943</v>
      </c>
      <c r="B44" s="2441"/>
      <c r="C44" s="2441"/>
      <c r="D44" s="2441"/>
      <c r="E44" s="2441"/>
      <c r="F44" s="2441"/>
      <c r="G44" s="2441"/>
      <c r="H44" s="2441"/>
    </row>
    <row r="45" spans="1:8">
      <c r="A45" s="2442" t="s">
        <v>944</v>
      </c>
      <c r="B45" s="2441"/>
      <c r="C45" s="2441"/>
      <c r="D45" s="2441"/>
      <c r="E45" s="2441"/>
      <c r="F45" s="2441"/>
      <c r="G45" s="2441"/>
      <c r="H45" s="2441"/>
    </row>
    <row r="46" spans="1:8">
      <c r="A46" s="2441"/>
      <c r="B46" s="2441"/>
      <c r="C46" s="2441"/>
      <c r="D46" s="2441"/>
      <c r="E46" s="2441"/>
      <c r="F46" s="2441"/>
      <c r="G46" s="2441"/>
      <c r="H46" s="2441"/>
    </row>
    <row r="47" spans="1:8" ht="15.75">
      <c r="A47" s="2443" t="s">
        <v>673</v>
      </c>
      <c r="B47" s="2441"/>
      <c r="C47" s="2441"/>
      <c r="D47" s="2441"/>
      <c r="E47" s="2441"/>
      <c r="F47" s="2441"/>
      <c r="G47" s="2441"/>
      <c r="H47" s="2441"/>
    </row>
    <row r="48" spans="1:8">
      <c r="A48" s="2441"/>
      <c r="B48" s="2441"/>
      <c r="C48" s="2441"/>
      <c r="D48" s="2441"/>
      <c r="E48" s="2441"/>
      <c r="F48" s="2441"/>
      <c r="G48" s="2441"/>
      <c r="H48" s="2441"/>
    </row>
    <row r="49" spans="1:8">
      <c r="A49" s="2442" t="s">
        <v>935</v>
      </c>
      <c r="B49" s="2441"/>
      <c r="C49" s="2441"/>
      <c r="D49" s="2441"/>
      <c r="E49" s="2441"/>
      <c r="F49" s="2441"/>
      <c r="G49" s="2441"/>
      <c r="H49" s="2441"/>
    </row>
    <row r="50" spans="1:8">
      <c r="A50" s="2442" t="s">
        <v>936</v>
      </c>
      <c r="B50" s="2441"/>
      <c r="C50" s="2441"/>
      <c r="D50" s="2441"/>
      <c r="E50" s="2441"/>
      <c r="F50" s="2441"/>
      <c r="G50" s="2441"/>
      <c r="H50" s="2441"/>
    </row>
    <row r="51" spans="1:8">
      <c r="A51" s="2442" t="s">
        <v>937</v>
      </c>
      <c r="B51" s="2441"/>
      <c r="C51" s="2441"/>
      <c r="D51" s="2441"/>
      <c r="E51" s="2441"/>
      <c r="F51" s="2441"/>
      <c r="G51" s="2441"/>
      <c r="H51" s="2441"/>
    </row>
    <row r="52" spans="1:8">
      <c r="A52" s="2442" t="s">
        <v>938</v>
      </c>
      <c r="B52" s="2441"/>
      <c r="C52" s="2441"/>
      <c r="D52" s="2441"/>
      <c r="E52" s="2441"/>
      <c r="F52" s="2441"/>
      <c r="G52" s="2441"/>
      <c r="H52" s="2441"/>
    </row>
    <row r="53" spans="1:8">
      <c r="A53" s="2441"/>
      <c r="B53" s="2441"/>
      <c r="C53" s="2441"/>
      <c r="D53" s="2441"/>
      <c r="E53" s="2441"/>
      <c r="F53" s="2441"/>
      <c r="G53" s="2441"/>
      <c r="H53" s="2441"/>
    </row>
    <row r="54" spans="1:8">
      <c r="A54" s="2442" t="s">
        <v>674</v>
      </c>
      <c r="B54" s="2441"/>
      <c r="C54" s="2441"/>
      <c r="D54" s="2441"/>
      <c r="E54" s="2441"/>
      <c r="F54" s="2441"/>
      <c r="G54" s="2441"/>
      <c r="H54" s="2441"/>
    </row>
    <row r="55" spans="1:8">
      <c r="A55" s="2441"/>
      <c r="B55" s="2441"/>
      <c r="C55" s="2441"/>
      <c r="D55" s="2441"/>
      <c r="E55" s="2441"/>
      <c r="F55" s="2441"/>
      <c r="G55" s="2441"/>
      <c r="H55" s="2441"/>
    </row>
    <row r="56" spans="1:8" ht="15.75">
      <c r="A56" s="2443" t="s">
        <v>675</v>
      </c>
      <c r="B56" s="2441"/>
      <c r="C56" s="2441"/>
      <c r="D56" s="2441"/>
      <c r="E56" s="2441"/>
      <c r="F56" s="2441"/>
      <c r="G56" s="2441"/>
      <c r="H56" s="2441"/>
    </row>
    <row r="57" spans="1:8">
      <c r="A57" s="2441"/>
      <c r="B57" s="2441"/>
      <c r="C57" s="2441"/>
      <c r="D57" s="2441"/>
      <c r="E57" s="2441"/>
      <c r="F57" s="2441"/>
      <c r="G57" s="2441"/>
      <c r="H57" s="2441"/>
    </row>
    <row r="58" spans="1:8">
      <c r="A58" s="2442" t="s">
        <v>933</v>
      </c>
      <c r="B58" s="2441"/>
      <c r="C58" s="2441"/>
      <c r="D58" s="2441"/>
      <c r="E58" s="2441"/>
      <c r="F58" s="2441"/>
      <c r="G58" s="2441"/>
      <c r="H58" s="2441"/>
    </row>
    <row r="59" spans="1:8">
      <c r="A59" s="2442" t="s">
        <v>934</v>
      </c>
      <c r="B59" s="2441"/>
      <c r="C59" s="2441"/>
      <c r="D59" s="2441"/>
      <c r="E59" s="2441"/>
      <c r="F59" s="2441"/>
      <c r="G59" s="2441"/>
      <c r="H59" s="2441"/>
    </row>
    <row r="60" spans="1:8">
      <c r="A60" s="2441"/>
      <c r="B60" s="2441"/>
      <c r="C60" s="2441"/>
      <c r="D60" s="2441"/>
      <c r="E60" s="2441"/>
      <c r="F60" s="2441"/>
      <c r="G60" s="2441"/>
      <c r="H60" s="2441"/>
    </row>
    <row r="61" spans="1:8" ht="15.75">
      <c r="A61" s="2443" t="s">
        <v>676</v>
      </c>
      <c r="B61" s="2441"/>
      <c r="C61" s="2441"/>
      <c r="D61" s="2441"/>
      <c r="E61" s="2441"/>
      <c r="F61" s="2441"/>
      <c r="G61" s="2441"/>
      <c r="H61" s="2441"/>
    </row>
    <row r="62" spans="1:8">
      <c r="A62" s="2441"/>
      <c r="B62" s="2441"/>
      <c r="C62" s="2441"/>
      <c r="D62" s="2441"/>
      <c r="E62" s="2441"/>
      <c r="F62" s="2441"/>
      <c r="G62" s="2441"/>
      <c r="H62" s="2441"/>
    </row>
    <row r="63" spans="1:8">
      <c r="A63" s="2442" t="s">
        <v>931</v>
      </c>
      <c r="B63" s="2441"/>
      <c r="C63" s="2441"/>
      <c r="D63" s="2441"/>
      <c r="E63" s="2441"/>
      <c r="F63" s="2441"/>
      <c r="G63" s="2441"/>
      <c r="H63" s="2441"/>
    </row>
    <row r="64" spans="1:8">
      <c r="A64" s="2442" t="s">
        <v>932</v>
      </c>
      <c r="B64" s="2441"/>
      <c r="C64" s="2441"/>
      <c r="D64" s="2441"/>
      <c r="E64" s="2441"/>
      <c r="F64" s="2441"/>
      <c r="G64" s="2441"/>
      <c r="H64" s="2441"/>
    </row>
    <row r="65" spans="1:8">
      <c r="A65" s="2441"/>
      <c r="B65" s="2441"/>
      <c r="C65" s="2441"/>
      <c r="D65" s="2441"/>
      <c r="E65" s="2441"/>
      <c r="F65" s="2441"/>
      <c r="G65" s="2441"/>
      <c r="H65" s="2441"/>
    </row>
    <row r="66" spans="1:8">
      <c r="A66" s="2442" t="s">
        <v>929</v>
      </c>
      <c r="B66" s="2441"/>
      <c r="C66" s="2441"/>
      <c r="D66" s="2441"/>
      <c r="E66" s="2441"/>
      <c r="F66" s="2441"/>
      <c r="G66" s="2441"/>
      <c r="H66" s="2441"/>
    </row>
    <row r="67" spans="1:8">
      <c r="A67" s="2442" t="s">
        <v>930</v>
      </c>
      <c r="B67" s="2441"/>
      <c r="C67" s="2441"/>
      <c r="D67" s="2441"/>
      <c r="E67" s="2441"/>
      <c r="F67" s="2441"/>
      <c r="G67" s="2441"/>
      <c r="H67" s="2441"/>
    </row>
    <row r="68" spans="1:8">
      <c r="A68" s="2441"/>
      <c r="B68" s="2441"/>
      <c r="C68" s="2441"/>
      <c r="D68" s="2441"/>
      <c r="E68" s="2441"/>
      <c r="F68" s="2441"/>
      <c r="G68" s="2441"/>
      <c r="H68" s="2441"/>
    </row>
    <row r="69" spans="1:8">
      <c r="A69" s="2442" t="s">
        <v>927</v>
      </c>
      <c r="B69" s="2441"/>
      <c r="C69" s="2441"/>
      <c r="D69" s="2441"/>
      <c r="E69" s="2441"/>
      <c r="F69" s="2441"/>
      <c r="G69" s="2441"/>
      <c r="H69" s="2441"/>
    </row>
    <row r="70" spans="1:8">
      <c r="A70" s="2442" t="s">
        <v>928</v>
      </c>
      <c r="B70" s="2441"/>
      <c r="C70" s="2441"/>
      <c r="D70" s="2441"/>
      <c r="E70" s="2441"/>
      <c r="F70" s="2441"/>
      <c r="G70" s="2441"/>
      <c r="H70" s="2441"/>
    </row>
    <row r="71" spans="1:8">
      <c r="A71" s="2441"/>
      <c r="B71" s="2441"/>
      <c r="C71" s="2441"/>
      <c r="D71" s="2441"/>
      <c r="E71" s="2441"/>
      <c r="F71" s="2441"/>
      <c r="G71" s="2441"/>
      <c r="H71" s="2441"/>
    </row>
    <row r="72" spans="1:8">
      <c r="A72" s="2442" t="s">
        <v>925</v>
      </c>
      <c r="B72" s="2441"/>
      <c r="C72" s="2441"/>
      <c r="D72" s="2441"/>
      <c r="E72" s="2441"/>
      <c r="F72" s="2441"/>
      <c r="G72" s="2441"/>
      <c r="H72" s="2441"/>
    </row>
    <row r="73" spans="1:8">
      <c r="A73" s="2442" t="s">
        <v>926</v>
      </c>
      <c r="B73" s="2441"/>
      <c r="C73" s="2441"/>
      <c r="D73" s="2441"/>
      <c r="E73" s="2441"/>
      <c r="F73" s="2441"/>
      <c r="G73" s="2441"/>
      <c r="H73" s="2441"/>
    </row>
    <row r="74" spans="1:8">
      <c r="A74" s="2441"/>
      <c r="B74" s="2441"/>
      <c r="C74" s="2441"/>
      <c r="D74" s="2441"/>
      <c r="E74" s="2441"/>
      <c r="F74" s="2441"/>
      <c r="G74" s="2441"/>
      <c r="H74" s="2441"/>
    </row>
    <row r="75" spans="1:8">
      <c r="A75" s="2442" t="s">
        <v>923</v>
      </c>
      <c r="B75" s="2441"/>
      <c r="C75" s="2441"/>
      <c r="D75" s="2441"/>
      <c r="E75" s="2441"/>
      <c r="F75" s="2441"/>
      <c r="G75" s="2441"/>
      <c r="H75" s="2441"/>
    </row>
    <row r="76" spans="1:8">
      <c r="A76" s="2442" t="s">
        <v>924</v>
      </c>
      <c r="B76" s="2441"/>
      <c r="C76" s="2441"/>
      <c r="D76" s="2441"/>
      <c r="E76" s="2441"/>
      <c r="F76" s="2441"/>
      <c r="G76" s="2441"/>
      <c r="H76" s="2441"/>
    </row>
    <row r="77" spans="1:8">
      <c r="A77" s="2441"/>
      <c r="B77" s="2441"/>
      <c r="C77" s="2441"/>
      <c r="D77" s="2441"/>
      <c r="E77" s="2441"/>
      <c r="F77" s="2441"/>
      <c r="G77" s="2441"/>
      <c r="H77" s="2441"/>
    </row>
    <row r="78" spans="1:8">
      <c r="A78" s="2442" t="s">
        <v>920</v>
      </c>
      <c r="B78" s="2441"/>
      <c r="C78" s="2441"/>
      <c r="D78" s="2441"/>
      <c r="E78" s="2441"/>
      <c r="F78" s="2441"/>
      <c r="G78" s="2441"/>
      <c r="H78" s="2441"/>
    </row>
    <row r="79" spans="1:8">
      <c r="A79" s="2442" t="s">
        <v>921</v>
      </c>
      <c r="B79" s="2441"/>
      <c r="C79" s="2441"/>
      <c r="D79" s="2441"/>
      <c r="E79" s="2441"/>
      <c r="F79" s="2441"/>
      <c r="G79" s="2441"/>
      <c r="H79" s="2441"/>
    </row>
    <row r="80" spans="1:8">
      <c r="A80" s="2442" t="s">
        <v>922</v>
      </c>
      <c r="B80" s="2441"/>
      <c r="C80" s="2441"/>
      <c r="D80" s="2441"/>
      <c r="E80" s="2441"/>
      <c r="F80" s="2441"/>
      <c r="G80" s="2441"/>
      <c r="H80" s="2441"/>
    </row>
    <row r="81" spans="1:8">
      <c r="A81" s="2441"/>
      <c r="B81" s="2441"/>
      <c r="C81" s="2441"/>
      <c r="D81" s="2441"/>
      <c r="E81" s="2441"/>
      <c r="F81" s="2441"/>
      <c r="G81" s="2441"/>
      <c r="H81" s="2441"/>
    </row>
    <row r="82" spans="1:8">
      <c r="A82" s="2442" t="s">
        <v>677</v>
      </c>
      <c r="B82" s="2441"/>
      <c r="C82" s="2441"/>
      <c r="D82" s="2441"/>
      <c r="E82" s="2441"/>
      <c r="F82" s="2441"/>
      <c r="G82" s="2441"/>
      <c r="H82" s="2441"/>
    </row>
    <row r="83" spans="1:8">
      <c r="A83" s="2441"/>
      <c r="B83" s="2441"/>
      <c r="C83" s="2441"/>
      <c r="D83" s="2441"/>
      <c r="E83" s="2441"/>
      <c r="F83" s="2441"/>
      <c r="G83" s="2441"/>
      <c r="H83" s="2441"/>
    </row>
    <row r="84" spans="1:8">
      <c r="A84" s="2442" t="s">
        <v>915</v>
      </c>
      <c r="B84" s="2441"/>
      <c r="C84" s="2441"/>
      <c r="D84" s="2441"/>
      <c r="E84" s="2441"/>
      <c r="F84" s="2441"/>
      <c r="G84" s="2441"/>
      <c r="H84" s="2441"/>
    </row>
    <row r="85" spans="1:8">
      <c r="A85" s="2442" t="s">
        <v>916</v>
      </c>
      <c r="B85" s="2441"/>
      <c r="C85" s="2441"/>
      <c r="D85" s="2441"/>
      <c r="E85" s="2441"/>
      <c r="F85" s="2441"/>
      <c r="G85" s="2441"/>
      <c r="H85" s="2441"/>
    </row>
    <row r="86" spans="1:8">
      <c r="A86" s="2442" t="s">
        <v>917</v>
      </c>
      <c r="B86" s="2441"/>
      <c r="C86" s="2441"/>
      <c r="D86" s="2441"/>
      <c r="E86" s="2441"/>
      <c r="F86" s="2441"/>
      <c r="G86" s="2441"/>
      <c r="H86" s="2441"/>
    </row>
    <row r="87" spans="1:8">
      <c r="A87" s="2442" t="s">
        <v>918</v>
      </c>
      <c r="B87" s="2441"/>
      <c r="C87" s="2441"/>
      <c r="D87" s="2441"/>
      <c r="E87" s="2441"/>
      <c r="F87" s="2441"/>
      <c r="G87" s="2441"/>
      <c r="H87" s="2441"/>
    </row>
    <row r="88" spans="1:8">
      <c r="A88" s="2442" t="s">
        <v>919</v>
      </c>
      <c r="B88" s="2441"/>
      <c r="C88" s="2441"/>
      <c r="D88" s="2441"/>
      <c r="E88" s="2441"/>
      <c r="F88" s="2441"/>
      <c r="G88" s="2441"/>
      <c r="H88" s="2441"/>
    </row>
    <row r="89" spans="1:8">
      <c r="A89" s="2442" t="s">
        <v>802</v>
      </c>
      <c r="B89" s="2441"/>
      <c r="C89" s="2441"/>
      <c r="D89" s="2441"/>
      <c r="E89" s="2441"/>
      <c r="F89" s="2441"/>
      <c r="G89" s="2441"/>
      <c r="H89" s="2441"/>
    </row>
    <row r="90" spans="1:8">
      <c r="A90" s="2441"/>
      <c r="B90" s="2441"/>
      <c r="C90" s="2441"/>
      <c r="D90" s="2441"/>
      <c r="E90" s="2441"/>
      <c r="F90" s="2441"/>
      <c r="G90" s="2441"/>
      <c r="H90" s="2441"/>
    </row>
    <row r="91" spans="1:8">
      <c r="A91" s="2442" t="s">
        <v>908</v>
      </c>
      <c r="B91" s="2441"/>
      <c r="C91" s="2441"/>
      <c r="D91" s="2441"/>
      <c r="E91" s="2441"/>
      <c r="F91" s="2441"/>
      <c r="G91" s="2441"/>
      <c r="H91" s="2441"/>
    </row>
    <row r="92" spans="1:8">
      <c r="A92" s="2442" t="s">
        <v>909</v>
      </c>
      <c r="B92" s="2441"/>
      <c r="C92" s="2441"/>
      <c r="D92" s="2441"/>
      <c r="E92" s="2441"/>
      <c r="F92" s="2441"/>
      <c r="G92" s="2441"/>
      <c r="H92" s="2441"/>
    </row>
    <row r="93" spans="1:8">
      <c r="A93" s="2442" t="s">
        <v>910</v>
      </c>
      <c r="B93" s="2441"/>
      <c r="C93" s="2441"/>
      <c r="D93" s="2441"/>
      <c r="E93" s="2441"/>
      <c r="F93" s="2441"/>
      <c r="G93" s="2441"/>
      <c r="H93" s="2441"/>
    </row>
    <row r="94" spans="1:8">
      <c r="A94" s="2442" t="s">
        <v>911</v>
      </c>
      <c r="B94" s="2441"/>
      <c r="C94" s="2441"/>
      <c r="D94" s="2441"/>
      <c r="E94" s="2441"/>
      <c r="F94" s="2441"/>
      <c r="G94" s="2441"/>
      <c r="H94" s="2441"/>
    </row>
    <row r="95" spans="1:8">
      <c r="A95" s="2442" t="s">
        <v>912</v>
      </c>
      <c r="B95" s="2441"/>
      <c r="C95" s="2441"/>
      <c r="D95" s="2441"/>
      <c r="E95" s="2441"/>
      <c r="F95" s="2441"/>
      <c r="G95" s="2441"/>
      <c r="H95" s="2441"/>
    </row>
    <row r="96" spans="1:8">
      <c r="A96" s="2442" t="s">
        <v>913</v>
      </c>
      <c r="B96" s="2441"/>
      <c r="C96" s="2441"/>
      <c r="D96" s="2441"/>
      <c r="E96" s="2441"/>
      <c r="F96" s="2441"/>
      <c r="G96" s="2441"/>
      <c r="H96" s="2441"/>
    </row>
    <row r="97" spans="1:8">
      <c r="A97" s="2442" t="s">
        <v>914</v>
      </c>
      <c r="B97" s="2441"/>
      <c r="C97" s="2441"/>
      <c r="D97" s="2441"/>
      <c r="E97" s="2441"/>
      <c r="F97" s="2441"/>
      <c r="G97" s="2441"/>
      <c r="H97" s="2441"/>
    </row>
    <row r="98" spans="1:8">
      <c r="A98" s="2441"/>
      <c r="B98" s="2441"/>
      <c r="C98" s="2441"/>
      <c r="D98" s="2441"/>
      <c r="E98" s="2441"/>
      <c r="F98" s="2441"/>
      <c r="G98" s="2441"/>
      <c r="H98" s="2441"/>
    </row>
    <row r="99" spans="1:8">
      <c r="A99" s="2442" t="s">
        <v>906</v>
      </c>
      <c r="B99" s="2441"/>
      <c r="C99" s="2441"/>
      <c r="D99" s="2441"/>
      <c r="E99" s="2441"/>
      <c r="F99" s="2441"/>
      <c r="G99" s="2441"/>
      <c r="H99" s="2441"/>
    </row>
    <row r="100" spans="1:8">
      <c r="A100" s="2442" t="s">
        <v>907</v>
      </c>
      <c r="B100" s="2441"/>
      <c r="C100" s="2441"/>
      <c r="D100" s="2441"/>
      <c r="E100" s="2441"/>
      <c r="F100" s="2441"/>
      <c r="G100" s="2441"/>
      <c r="H100" s="2441"/>
    </row>
    <row r="101" spans="1:8">
      <c r="A101" s="2441"/>
      <c r="B101" s="2441"/>
      <c r="C101" s="2441"/>
      <c r="D101" s="2441"/>
      <c r="E101" s="2441"/>
      <c r="F101" s="2441"/>
      <c r="G101" s="2441"/>
      <c r="H101" s="2441"/>
    </row>
    <row r="102" spans="1:8" ht="15.75">
      <c r="A102" s="2443" t="s">
        <v>678</v>
      </c>
      <c r="B102" s="2441"/>
      <c r="C102" s="2441"/>
      <c r="D102" s="2441"/>
      <c r="E102" s="2441"/>
      <c r="F102" s="2441"/>
      <c r="G102" s="2441"/>
      <c r="H102" s="2441"/>
    </row>
    <row r="103" spans="1:8">
      <c r="A103" s="2441"/>
      <c r="B103" s="2441"/>
      <c r="C103" s="2441"/>
      <c r="D103" s="2441"/>
      <c r="E103" s="2441"/>
      <c r="F103" s="2441"/>
      <c r="G103" s="2441"/>
      <c r="H103" s="2441"/>
    </row>
    <row r="104" spans="1:8">
      <c r="A104" s="2442" t="s">
        <v>897</v>
      </c>
      <c r="B104" s="2441"/>
      <c r="C104" s="2441"/>
      <c r="D104" s="2441"/>
      <c r="E104" s="2441"/>
      <c r="F104" s="2441"/>
      <c r="G104" s="2441"/>
      <c r="H104" s="2441"/>
    </row>
    <row r="105" spans="1:8">
      <c r="A105" s="2442" t="s">
        <v>898</v>
      </c>
      <c r="B105" s="2441"/>
      <c r="C105" s="2441"/>
      <c r="D105" s="2441"/>
      <c r="E105" s="2441"/>
      <c r="F105" s="2441"/>
      <c r="G105" s="2441"/>
      <c r="H105" s="2441"/>
    </row>
    <row r="106" spans="1:8">
      <c r="A106" s="2442" t="s">
        <v>899</v>
      </c>
      <c r="B106" s="2441"/>
      <c r="C106" s="2441"/>
      <c r="D106" s="2441"/>
      <c r="E106" s="2441"/>
      <c r="F106" s="2441"/>
      <c r="G106" s="2441"/>
      <c r="H106" s="2441"/>
    </row>
    <row r="107" spans="1:8">
      <c r="A107" s="2442" t="s">
        <v>900</v>
      </c>
      <c r="B107" s="2441"/>
      <c r="C107" s="2441"/>
      <c r="D107" s="2441"/>
      <c r="E107" s="2441"/>
      <c r="F107" s="2441"/>
      <c r="G107" s="2441"/>
      <c r="H107" s="2441"/>
    </row>
    <row r="108" spans="1:8">
      <c r="A108" s="2442" t="s">
        <v>901</v>
      </c>
      <c r="B108" s="2441"/>
      <c r="C108" s="2441"/>
      <c r="D108" s="2441"/>
      <c r="E108" s="2441"/>
      <c r="F108" s="2441"/>
      <c r="G108" s="2441"/>
      <c r="H108" s="2441"/>
    </row>
    <row r="109" spans="1:8">
      <c r="A109" s="2442" t="s">
        <v>902</v>
      </c>
      <c r="B109" s="2441"/>
      <c r="C109" s="2441"/>
      <c r="D109" s="2441"/>
      <c r="E109" s="2441"/>
      <c r="F109" s="2441"/>
      <c r="G109" s="2441"/>
      <c r="H109" s="2441"/>
    </row>
    <row r="110" spans="1:8">
      <c r="A110" s="2442" t="s">
        <v>903</v>
      </c>
      <c r="B110" s="2441"/>
      <c r="C110" s="2441"/>
      <c r="D110" s="2441"/>
      <c r="E110" s="2441"/>
      <c r="F110" s="2441"/>
      <c r="G110" s="2441"/>
      <c r="H110" s="2441"/>
    </row>
    <row r="111" spans="1:8">
      <c r="A111" s="2442" t="s">
        <v>904</v>
      </c>
      <c r="B111" s="2441"/>
      <c r="C111" s="2441"/>
      <c r="D111" s="2441"/>
      <c r="E111" s="2441"/>
      <c r="F111" s="2441"/>
      <c r="G111" s="2441"/>
      <c r="H111" s="2441"/>
    </row>
    <row r="112" spans="1:8">
      <c r="A112" s="2442" t="s">
        <v>905</v>
      </c>
      <c r="B112" s="2441"/>
      <c r="C112" s="2441"/>
      <c r="D112" s="2441"/>
      <c r="E112" s="2441"/>
      <c r="F112" s="2441"/>
      <c r="G112" s="2441"/>
      <c r="H112" s="2441"/>
    </row>
    <row r="113" spans="1:8">
      <c r="A113" s="2441"/>
      <c r="B113" s="2441"/>
      <c r="C113" s="2441"/>
      <c r="D113" s="2441"/>
      <c r="E113" s="2441"/>
      <c r="F113" s="2441"/>
      <c r="G113" s="2441"/>
      <c r="H113" s="2441"/>
    </row>
    <row r="114" spans="1:8" ht="15.75">
      <c r="A114" s="2444" t="s">
        <v>679</v>
      </c>
      <c r="B114" s="2444"/>
      <c r="C114" s="2444"/>
      <c r="D114" s="2444"/>
      <c r="E114" s="2444"/>
      <c r="F114" s="2444"/>
      <c r="G114" s="2444"/>
      <c r="H114" s="2444"/>
    </row>
    <row r="115" spans="1:8">
      <c r="A115" s="2445" t="s">
        <v>680</v>
      </c>
      <c r="B115" s="2445"/>
      <c r="C115" s="2445"/>
      <c r="D115" s="2445"/>
      <c r="E115" s="2445"/>
      <c r="F115" s="2445"/>
      <c r="G115" s="2445"/>
      <c r="H115" s="2445"/>
    </row>
    <row r="116" spans="1:8">
      <c r="A116" s="2446"/>
      <c r="B116" s="2446"/>
      <c r="C116" s="2446"/>
      <c r="D116" s="2446"/>
      <c r="E116" s="2446"/>
      <c r="F116" s="2446"/>
      <c r="G116" s="2446"/>
      <c r="H116" s="2446"/>
    </row>
    <row r="117" spans="1:8">
      <c r="A117" s="2445" t="s">
        <v>895</v>
      </c>
      <c r="B117" s="2445"/>
      <c r="C117" s="2445"/>
      <c r="D117" s="2445"/>
      <c r="E117" s="2445"/>
      <c r="F117" s="2445"/>
      <c r="G117" s="2445"/>
      <c r="H117" s="2445"/>
    </row>
    <row r="118" spans="1:8">
      <c r="A118" s="2442" t="s">
        <v>896</v>
      </c>
      <c r="B118" s="2442"/>
      <c r="C118" s="2442"/>
      <c r="D118" s="2442"/>
      <c r="E118" s="2442"/>
      <c r="F118" s="2442"/>
      <c r="G118" s="2442"/>
      <c r="H118" s="2442"/>
    </row>
    <row r="119" spans="1:8">
      <c r="A119" s="2446"/>
      <c r="B119" s="2446"/>
      <c r="C119" s="2446"/>
      <c r="D119" s="2446"/>
      <c r="E119" s="2446"/>
      <c r="F119" s="2446"/>
      <c r="G119" s="2446"/>
      <c r="H119" s="2446"/>
    </row>
    <row r="120" spans="1:8">
      <c r="A120" s="2445" t="s">
        <v>888</v>
      </c>
      <c r="B120" s="2445"/>
      <c r="C120" s="2445"/>
      <c r="D120" s="2445"/>
      <c r="E120" s="2445"/>
      <c r="F120" s="2445"/>
      <c r="G120" s="2445"/>
      <c r="H120" s="2445"/>
    </row>
    <row r="121" spans="1:8">
      <c r="A121" s="2442" t="s">
        <v>889</v>
      </c>
      <c r="B121" s="2442"/>
      <c r="C121" s="2442"/>
      <c r="D121" s="2442"/>
      <c r="E121" s="2442"/>
      <c r="F121" s="2442"/>
      <c r="G121" s="2442"/>
      <c r="H121" s="2442"/>
    </row>
    <row r="122" spans="1:8">
      <c r="A122" s="2442" t="s">
        <v>890</v>
      </c>
      <c r="B122" s="2442"/>
      <c r="C122" s="2442"/>
      <c r="D122" s="2442"/>
      <c r="E122" s="2442"/>
      <c r="F122" s="2442"/>
      <c r="G122" s="2442"/>
      <c r="H122" s="2442"/>
    </row>
    <row r="123" spans="1:8">
      <c r="A123" s="2442" t="s">
        <v>891</v>
      </c>
      <c r="B123" s="2442"/>
      <c r="C123" s="2442"/>
      <c r="D123" s="2442"/>
      <c r="E123" s="2442"/>
      <c r="F123" s="2442"/>
      <c r="G123" s="2442"/>
      <c r="H123" s="2442"/>
    </row>
    <row r="124" spans="1:8">
      <c r="A124" s="2442" t="s">
        <v>892</v>
      </c>
      <c r="B124" s="2442"/>
      <c r="C124" s="2442"/>
      <c r="D124" s="2442"/>
      <c r="E124" s="2442"/>
      <c r="F124" s="2442"/>
      <c r="G124" s="2442"/>
      <c r="H124" s="2442"/>
    </row>
    <row r="125" spans="1:8">
      <c r="A125" s="2442" t="s">
        <v>893</v>
      </c>
      <c r="B125" s="2442"/>
      <c r="C125" s="2442"/>
      <c r="D125" s="2442"/>
      <c r="E125" s="2442"/>
      <c r="F125" s="2442"/>
      <c r="G125" s="2442"/>
      <c r="H125" s="2442"/>
    </row>
    <row r="126" spans="1:8">
      <c r="A126" s="2442" t="s">
        <v>894</v>
      </c>
      <c r="B126" s="2442"/>
      <c r="C126" s="2442"/>
      <c r="D126" s="2442"/>
      <c r="E126" s="2442"/>
      <c r="F126" s="2442"/>
      <c r="G126" s="2442"/>
      <c r="H126" s="2442"/>
    </row>
    <row r="127" spans="1:8">
      <c r="A127" s="2447"/>
      <c r="B127" s="2447"/>
      <c r="C127" s="2447"/>
      <c r="D127" s="2447"/>
      <c r="E127" s="2447"/>
      <c r="F127" s="2447"/>
      <c r="G127" s="2447"/>
      <c r="H127" s="2447"/>
    </row>
    <row r="128" spans="1:8">
      <c r="A128" s="2448"/>
      <c r="B128" s="2449" t="s">
        <v>681</v>
      </c>
      <c r="C128" s="2450"/>
      <c r="D128" s="2449" t="s">
        <v>682</v>
      </c>
      <c r="E128" s="2451"/>
      <c r="F128" s="2450"/>
      <c r="G128" s="2449" t="s">
        <v>683</v>
      </c>
      <c r="H128" s="2450"/>
    </row>
    <row r="129" spans="1:8">
      <c r="A129" s="2448" t="s">
        <v>684</v>
      </c>
      <c r="B129" s="2448" t="s">
        <v>77</v>
      </c>
      <c r="C129" s="2448" t="s">
        <v>181</v>
      </c>
      <c r="D129" s="2448" t="s">
        <v>77</v>
      </c>
      <c r="E129" s="2448" t="s">
        <v>685</v>
      </c>
      <c r="F129" s="2448" t="s">
        <v>686</v>
      </c>
      <c r="G129" s="2448" t="s">
        <v>77</v>
      </c>
      <c r="H129" s="2448" t="s">
        <v>687</v>
      </c>
    </row>
    <row r="130" spans="1:8">
      <c r="A130" s="2448" t="s">
        <v>688</v>
      </c>
      <c r="B130" s="2448">
        <v>1189</v>
      </c>
      <c r="C130" s="2452">
        <v>0.38</v>
      </c>
      <c r="D130" s="2448">
        <v>315</v>
      </c>
      <c r="E130" s="2452">
        <v>0.41</v>
      </c>
      <c r="F130" s="2452">
        <v>0.26</v>
      </c>
      <c r="G130" s="2448">
        <v>555</v>
      </c>
      <c r="H130" s="2452">
        <v>0.39</v>
      </c>
    </row>
    <row r="131" spans="1:8">
      <c r="A131" s="2448" t="s">
        <v>689</v>
      </c>
      <c r="B131" s="2448">
        <v>1355</v>
      </c>
      <c r="C131" s="2452">
        <v>0.43</v>
      </c>
      <c r="D131" s="2448">
        <v>364</v>
      </c>
      <c r="E131" s="2452">
        <v>0.47</v>
      </c>
      <c r="F131" s="2452">
        <v>0.27</v>
      </c>
      <c r="G131" s="2448">
        <v>644</v>
      </c>
      <c r="H131" s="2452">
        <v>0.45</v>
      </c>
    </row>
    <row r="132" spans="1:8">
      <c r="A132" s="2448" t="s">
        <v>690</v>
      </c>
      <c r="B132" s="2448">
        <v>53</v>
      </c>
      <c r="C132" s="2452">
        <v>0.02</v>
      </c>
      <c r="D132" s="2448">
        <v>4</v>
      </c>
      <c r="E132" s="2452">
        <v>0.01</v>
      </c>
      <c r="F132" s="2452">
        <v>0.08</v>
      </c>
      <c r="G132" s="2448">
        <v>7</v>
      </c>
      <c r="H132" s="2452">
        <v>0</v>
      </c>
    </row>
    <row r="133" spans="1:8">
      <c r="A133" s="2448" t="s">
        <v>691</v>
      </c>
      <c r="B133" s="2448">
        <v>545</v>
      </c>
      <c r="C133" s="2452">
        <v>0.17</v>
      </c>
      <c r="D133" s="2448">
        <v>84</v>
      </c>
      <c r="E133" s="2452">
        <v>0.11</v>
      </c>
      <c r="F133" s="2452">
        <v>0.15</v>
      </c>
      <c r="G133" s="2448">
        <v>214</v>
      </c>
      <c r="H133" s="2452">
        <v>0.15</v>
      </c>
    </row>
    <row r="134" spans="1:8">
      <c r="A134" s="2448" t="s">
        <v>157</v>
      </c>
      <c r="B134" s="2453">
        <v>3142</v>
      </c>
      <c r="C134" s="2448"/>
      <c r="D134" s="2448">
        <v>767</v>
      </c>
      <c r="E134" s="2448"/>
      <c r="F134" s="2448"/>
      <c r="G134" s="2448">
        <v>1420</v>
      </c>
      <c r="H134" s="2448"/>
    </row>
    <row r="135" spans="1:8">
      <c r="A135" s="2454"/>
      <c r="B135" s="2454"/>
      <c r="C135" s="2454"/>
      <c r="D135" s="2454"/>
      <c r="E135" s="2454"/>
      <c r="F135" s="2454"/>
      <c r="G135" s="2454"/>
      <c r="H135" s="2454"/>
    </row>
    <row r="136" spans="1:8">
      <c r="A136" s="2445" t="s">
        <v>884</v>
      </c>
      <c r="B136" s="2445"/>
      <c r="C136" s="2445"/>
      <c r="D136" s="2445"/>
      <c r="E136" s="2445"/>
      <c r="F136" s="2445"/>
      <c r="G136" s="2445"/>
      <c r="H136" s="2445"/>
    </row>
    <row r="137" spans="1:8">
      <c r="A137" s="2442" t="s">
        <v>885</v>
      </c>
      <c r="B137" s="2442"/>
      <c r="C137" s="2442"/>
      <c r="D137" s="2442"/>
      <c r="E137" s="2442"/>
      <c r="F137" s="2442"/>
      <c r="G137" s="2442"/>
      <c r="H137" s="2442"/>
    </row>
    <row r="138" spans="1:8">
      <c r="A138" s="2442" t="s">
        <v>886</v>
      </c>
      <c r="B138" s="2442"/>
      <c r="C138" s="2442"/>
      <c r="D138" s="2442"/>
      <c r="E138" s="2442"/>
      <c r="F138" s="2442"/>
      <c r="G138" s="2442"/>
      <c r="H138" s="2442"/>
    </row>
    <row r="139" spans="1:8">
      <c r="A139" s="2442" t="s">
        <v>887</v>
      </c>
      <c r="B139" s="2442"/>
      <c r="C139" s="2442"/>
      <c r="D139" s="2442"/>
      <c r="E139" s="2442"/>
      <c r="F139" s="2442"/>
      <c r="G139" s="2442"/>
      <c r="H139" s="2442"/>
    </row>
    <row r="140" spans="1:8">
      <c r="A140" s="2441"/>
      <c r="B140" s="2441"/>
      <c r="C140" s="2441"/>
      <c r="D140" s="2441"/>
      <c r="E140" s="2441"/>
      <c r="F140" s="2441"/>
      <c r="G140" s="2441"/>
      <c r="H140" s="2441"/>
    </row>
    <row r="141" spans="1:8" ht="15.75">
      <c r="A141" s="2443" t="s">
        <v>692</v>
      </c>
      <c r="B141" s="2441"/>
      <c r="C141" s="2441"/>
      <c r="D141" s="2441"/>
      <c r="E141" s="2441"/>
      <c r="F141" s="2441"/>
      <c r="G141" s="2441"/>
      <c r="H141" s="2441"/>
    </row>
    <row r="142" spans="1:8">
      <c r="A142" s="2441"/>
      <c r="B142" s="2441"/>
      <c r="C142" s="2441"/>
      <c r="D142" s="2441"/>
      <c r="E142" s="2441"/>
      <c r="F142" s="2441"/>
      <c r="G142" s="2441"/>
      <c r="H142" s="2441"/>
    </row>
    <row r="143" spans="1:8">
      <c r="A143" s="2442" t="s">
        <v>882</v>
      </c>
      <c r="B143" s="2441"/>
      <c r="C143" s="2441"/>
      <c r="D143" s="2441"/>
      <c r="E143" s="2441"/>
      <c r="F143" s="2441"/>
      <c r="G143" s="2441"/>
      <c r="H143" s="2441"/>
    </row>
    <row r="144" spans="1:8">
      <c r="A144" s="2442" t="s">
        <v>883</v>
      </c>
      <c r="B144" s="2441"/>
      <c r="C144" s="2441"/>
      <c r="D144" s="2441"/>
      <c r="E144" s="2441"/>
      <c r="F144" s="2441"/>
      <c r="G144" s="2441"/>
      <c r="H144" s="2441"/>
    </row>
    <row r="145" spans="1:8">
      <c r="A145" s="2441"/>
      <c r="B145" s="2441"/>
      <c r="C145" s="2441"/>
      <c r="D145" s="2441"/>
      <c r="E145" s="2441"/>
      <c r="F145" s="2441"/>
      <c r="G145" s="2441"/>
      <c r="H145" s="2441"/>
    </row>
    <row r="146" spans="1:8">
      <c r="A146" s="2442" t="s">
        <v>879</v>
      </c>
      <c r="B146" s="2441"/>
      <c r="C146" s="2441"/>
      <c r="D146" s="2441"/>
      <c r="E146" s="2441"/>
      <c r="F146" s="2441"/>
      <c r="G146" s="2441"/>
      <c r="H146" s="2441"/>
    </row>
    <row r="147" spans="1:8">
      <c r="A147" s="2442" t="s">
        <v>880</v>
      </c>
      <c r="B147" s="2441"/>
      <c r="C147" s="2441"/>
      <c r="D147" s="2441"/>
      <c r="E147" s="2441"/>
      <c r="F147" s="2441"/>
      <c r="G147" s="2441"/>
      <c r="H147" s="2441"/>
    </row>
    <row r="148" spans="1:8">
      <c r="A148" s="2442" t="s">
        <v>881</v>
      </c>
      <c r="B148" s="2441"/>
      <c r="C148" s="2441"/>
      <c r="D148" s="2441"/>
      <c r="E148" s="2441"/>
      <c r="F148" s="2441"/>
      <c r="G148" s="2441"/>
      <c r="H148" s="2441"/>
    </row>
    <row r="149" spans="1:8">
      <c r="A149" s="2441"/>
      <c r="B149" s="2441"/>
      <c r="C149" s="2441"/>
      <c r="D149" s="2441"/>
      <c r="E149" s="2441"/>
      <c r="F149" s="2441"/>
      <c r="G149" s="2441"/>
      <c r="H149" s="2441"/>
    </row>
    <row r="150" spans="1:8">
      <c r="A150" s="2442" t="s">
        <v>876</v>
      </c>
      <c r="B150" s="2441"/>
      <c r="C150" s="2441"/>
      <c r="D150" s="2441"/>
      <c r="E150" s="2441"/>
      <c r="F150" s="2441"/>
      <c r="G150" s="2441"/>
      <c r="H150" s="2441"/>
    </row>
    <row r="151" spans="1:8">
      <c r="A151" s="2442" t="s">
        <v>877</v>
      </c>
      <c r="B151" s="2441"/>
      <c r="C151" s="2441"/>
      <c r="D151" s="2441"/>
      <c r="E151" s="2441"/>
      <c r="F151" s="2441"/>
      <c r="G151" s="2441"/>
      <c r="H151" s="2441"/>
    </row>
    <row r="152" spans="1:8">
      <c r="A152" s="2442" t="s">
        <v>878</v>
      </c>
      <c r="B152" s="2441"/>
      <c r="C152" s="2441"/>
      <c r="D152" s="2441"/>
      <c r="E152" s="2441"/>
      <c r="F152" s="2441"/>
      <c r="G152" s="2441"/>
      <c r="H152" s="2441"/>
    </row>
    <row r="153" spans="1:8">
      <c r="A153" s="2441"/>
      <c r="B153" s="2441"/>
      <c r="C153" s="2441"/>
      <c r="D153" s="2441"/>
      <c r="E153" s="2441"/>
      <c r="F153" s="2441"/>
      <c r="G153" s="2441"/>
      <c r="H153" s="2441"/>
    </row>
    <row r="154" spans="1:8">
      <c r="A154" s="2442" t="s">
        <v>873</v>
      </c>
      <c r="B154" s="2441"/>
      <c r="C154" s="2441"/>
      <c r="D154" s="2441"/>
      <c r="E154" s="2441"/>
      <c r="F154" s="2441"/>
      <c r="G154" s="2441"/>
      <c r="H154" s="2441"/>
    </row>
    <row r="155" spans="1:8">
      <c r="A155" s="2442" t="s">
        <v>874</v>
      </c>
      <c r="B155" s="2441"/>
      <c r="C155" s="2441"/>
      <c r="D155" s="2441"/>
      <c r="E155" s="2441"/>
      <c r="F155" s="2441"/>
      <c r="G155" s="2441"/>
      <c r="H155" s="2441"/>
    </row>
    <row r="156" spans="1:8">
      <c r="A156" s="2442" t="s">
        <v>875</v>
      </c>
      <c r="B156" s="2441"/>
      <c r="C156" s="2441"/>
      <c r="D156" s="2441"/>
      <c r="E156" s="2441"/>
      <c r="F156" s="2441"/>
      <c r="G156" s="2441"/>
      <c r="H156" s="2441"/>
    </row>
    <row r="157" spans="1:8">
      <c r="A157" s="2441"/>
      <c r="B157" s="2441"/>
      <c r="C157" s="2441"/>
      <c r="D157" s="2441"/>
      <c r="E157" s="2441"/>
      <c r="F157" s="2441"/>
      <c r="G157" s="2441"/>
      <c r="H157" s="2441"/>
    </row>
    <row r="158" spans="1:8">
      <c r="A158" s="2442" t="s">
        <v>871</v>
      </c>
      <c r="B158" s="2441"/>
      <c r="C158" s="2441"/>
      <c r="D158" s="2441"/>
      <c r="E158" s="2441"/>
      <c r="F158" s="2441"/>
      <c r="G158" s="2441"/>
      <c r="H158" s="2441"/>
    </row>
    <row r="159" spans="1:8">
      <c r="A159" s="2442" t="s">
        <v>872</v>
      </c>
      <c r="B159" s="2441"/>
      <c r="C159" s="2441"/>
      <c r="D159" s="2441"/>
      <c r="E159" s="2441"/>
      <c r="F159" s="2441"/>
      <c r="G159" s="2441"/>
      <c r="H159" s="2441"/>
    </row>
    <row r="160" spans="1:8">
      <c r="A160" s="2441"/>
      <c r="B160" s="2441"/>
      <c r="C160" s="2441"/>
      <c r="D160" s="2441"/>
      <c r="E160" s="2441"/>
      <c r="F160" s="2441"/>
      <c r="G160" s="2441"/>
      <c r="H160" s="2441"/>
    </row>
    <row r="161" spans="1:8" ht="15.75">
      <c r="A161" s="2443" t="s">
        <v>693</v>
      </c>
      <c r="B161" s="2441"/>
      <c r="C161" s="2441"/>
      <c r="D161" s="2441"/>
      <c r="E161" s="2441"/>
      <c r="F161" s="2441"/>
      <c r="G161" s="2441"/>
      <c r="H161" s="2441"/>
    </row>
    <row r="162" spans="1:8">
      <c r="A162" s="2441"/>
      <c r="B162" s="2441"/>
      <c r="C162" s="2441"/>
      <c r="D162" s="2441"/>
      <c r="E162" s="2441"/>
      <c r="F162" s="2441"/>
      <c r="G162" s="2441"/>
      <c r="H162" s="2441"/>
    </row>
    <row r="163" spans="1:8">
      <c r="A163" s="2442" t="s">
        <v>869</v>
      </c>
      <c r="B163" s="2441"/>
      <c r="C163" s="2441"/>
      <c r="D163" s="2441"/>
      <c r="E163" s="2441"/>
      <c r="F163" s="2441"/>
      <c r="G163" s="2441"/>
      <c r="H163" s="2441"/>
    </row>
    <row r="164" spans="1:8">
      <c r="A164" s="2442" t="s">
        <v>870</v>
      </c>
      <c r="B164" s="2441"/>
      <c r="C164" s="2441"/>
      <c r="D164" s="2441"/>
      <c r="E164" s="2441"/>
      <c r="F164" s="2441"/>
      <c r="G164" s="2441"/>
      <c r="H164" s="2441"/>
    </row>
    <row r="165" spans="1:8">
      <c r="A165" s="2441"/>
      <c r="B165" s="2441"/>
      <c r="C165" s="2441"/>
      <c r="D165" s="2441"/>
      <c r="E165" s="2441"/>
      <c r="F165" s="2441"/>
      <c r="G165" s="2441"/>
      <c r="H165" s="2441"/>
    </row>
    <row r="166" spans="1:8">
      <c r="A166" s="2442" t="s">
        <v>867</v>
      </c>
      <c r="B166" s="2441"/>
      <c r="C166" s="2441"/>
      <c r="D166" s="2441"/>
      <c r="E166" s="2441"/>
      <c r="F166" s="2441"/>
      <c r="G166" s="2441"/>
      <c r="H166" s="2441"/>
    </row>
    <row r="167" spans="1:8">
      <c r="A167" s="2442" t="s">
        <v>868</v>
      </c>
      <c r="B167" s="2441"/>
      <c r="C167" s="2441"/>
      <c r="D167" s="2441"/>
      <c r="E167" s="2441"/>
      <c r="F167" s="2441"/>
      <c r="G167" s="2441"/>
      <c r="H167" s="2441"/>
    </row>
    <row r="168" spans="1:8">
      <c r="A168" s="2441"/>
      <c r="B168" s="2441"/>
      <c r="C168" s="2441"/>
      <c r="D168" s="2441"/>
      <c r="E168" s="2441"/>
      <c r="F168" s="2441"/>
      <c r="G168" s="2441"/>
      <c r="H168" s="2441"/>
    </row>
    <row r="169" spans="1:8">
      <c r="A169" s="2442" t="s">
        <v>865</v>
      </c>
      <c r="B169" s="2441"/>
      <c r="C169" s="2441"/>
      <c r="D169" s="2441"/>
      <c r="E169" s="2441"/>
      <c r="F169" s="2441"/>
      <c r="G169" s="2441"/>
      <c r="H169" s="2441"/>
    </row>
    <row r="170" spans="1:8">
      <c r="A170" s="2442" t="s">
        <v>866</v>
      </c>
      <c r="B170" s="2441"/>
      <c r="C170" s="2441"/>
      <c r="D170" s="2441"/>
      <c r="E170" s="2441"/>
      <c r="F170" s="2441"/>
      <c r="G170" s="2441"/>
      <c r="H170" s="2441"/>
    </row>
    <row r="171" spans="1:8">
      <c r="A171" s="2441"/>
      <c r="B171" s="2441"/>
      <c r="C171" s="2441"/>
      <c r="D171" s="2441"/>
      <c r="E171" s="2441"/>
      <c r="F171" s="2441"/>
      <c r="G171" s="2441"/>
      <c r="H171" s="2441"/>
    </row>
    <row r="172" spans="1:8">
      <c r="A172" s="2442" t="s">
        <v>862</v>
      </c>
      <c r="B172" s="2441"/>
      <c r="C172" s="2441"/>
      <c r="D172" s="2441"/>
      <c r="E172" s="2441"/>
      <c r="F172" s="2441"/>
      <c r="G172" s="2441"/>
      <c r="H172" s="2441"/>
    </row>
    <row r="173" spans="1:8">
      <c r="A173" s="2442" t="s">
        <v>863</v>
      </c>
      <c r="B173" s="2441"/>
      <c r="C173" s="2441"/>
      <c r="D173" s="2441"/>
      <c r="E173" s="2441"/>
      <c r="F173" s="2441"/>
      <c r="G173" s="2441"/>
      <c r="H173" s="2441"/>
    </row>
    <row r="174" spans="1:8">
      <c r="A174" s="2442" t="s">
        <v>864</v>
      </c>
      <c r="B174" s="2441"/>
      <c r="C174" s="2441"/>
      <c r="D174" s="2441"/>
      <c r="E174" s="2441"/>
      <c r="F174" s="2441"/>
      <c r="G174" s="2441"/>
      <c r="H174" s="2441"/>
    </row>
    <row r="175" spans="1:8">
      <c r="A175" s="2441"/>
      <c r="B175" s="2441"/>
      <c r="C175" s="2441"/>
      <c r="D175" s="2441"/>
      <c r="E175" s="2441"/>
      <c r="F175" s="2441"/>
      <c r="G175" s="2441"/>
      <c r="H175" s="2441"/>
    </row>
    <row r="176" spans="1:8">
      <c r="A176" s="2441"/>
      <c r="B176" s="2441"/>
      <c r="C176" s="2441"/>
      <c r="D176" s="2441"/>
      <c r="E176" s="2441"/>
      <c r="F176" s="2441"/>
      <c r="G176" s="2441"/>
      <c r="H176" s="2441"/>
    </row>
    <row r="177" spans="1:8">
      <c r="A177" s="2442" t="s">
        <v>694</v>
      </c>
      <c r="B177" s="2441"/>
      <c r="C177" s="2441"/>
      <c r="D177" s="2441"/>
      <c r="E177" s="2441"/>
      <c r="F177" s="2441"/>
      <c r="G177" s="2441"/>
      <c r="H177" s="2441"/>
    </row>
    <row r="178" spans="1:8">
      <c r="A178" s="2441"/>
      <c r="B178" s="2441"/>
      <c r="C178" s="2441"/>
      <c r="D178" s="2441"/>
      <c r="E178" s="2441"/>
      <c r="F178" s="2441"/>
      <c r="G178" s="2441"/>
      <c r="H178" s="2441"/>
    </row>
    <row r="179" spans="1:8" ht="15.75">
      <c r="A179" s="2443" t="s">
        <v>695</v>
      </c>
      <c r="B179" s="2441"/>
      <c r="C179" s="2441"/>
      <c r="D179" s="2441"/>
      <c r="E179" s="2441"/>
      <c r="F179" s="2441"/>
      <c r="G179" s="2441"/>
      <c r="H179" s="2441"/>
    </row>
    <row r="180" spans="1:8">
      <c r="A180" s="2441"/>
      <c r="B180" s="2441"/>
      <c r="C180" s="2441"/>
      <c r="D180" s="2441"/>
      <c r="E180" s="2441"/>
      <c r="F180" s="2441"/>
      <c r="G180" s="2441"/>
      <c r="H180" s="2441"/>
    </row>
    <row r="181" spans="1:8">
      <c r="A181" s="2441"/>
      <c r="B181" s="2441"/>
      <c r="C181" s="2441"/>
      <c r="D181" s="2441"/>
      <c r="E181" s="2441"/>
      <c r="F181" s="2441"/>
      <c r="G181" s="2441"/>
      <c r="H181" s="2441"/>
    </row>
    <row r="182" spans="1:8">
      <c r="A182" s="2441"/>
      <c r="B182" s="2441"/>
      <c r="C182" s="2441"/>
      <c r="D182" s="2441"/>
      <c r="E182" s="2441"/>
      <c r="F182" s="2441"/>
      <c r="G182" s="2441"/>
      <c r="H182" s="2441"/>
    </row>
    <row r="183" spans="1:8">
      <c r="A183" s="2441"/>
      <c r="B183" s="2441"/>
      <c r="C183" s="2441"/>
      <c r="D183" s="2441"/>
      <c r="E183" s="2441"/>
      <c r="F183" s="2441"/>
      <c r="G183" s="2441"/>
      <c r="H183" s="2441"/>
    </row>
    <row r="184" spans="1:8">
      <c r="A184" s="2441"/>
      <c r="B184" s="2441"/>
      <c r="C184" s="2441"/>
      <c r="D184" s="2441"/>
      <c r="E184" s="2441"/>
      <c r="F184" s="2441"/>
      <c r="G184" s="2441"/>
      <c r="H184" s="2441"/>
    </row>
    <row r="185" spans="1:8">
      <c r="A185" s="2441"/>
      <c r="B185" s="2441"/>
      <c r="C185" s="2441"/>
      <c r="D185" s="2441"/>
      <c r="E185" s="2441"/>
      <c r="F185" s="2441"/>
      <c r="G185" s="2441"/>
      <c r="H185" s="2441"/>
    </row>
    <row r="186" spans="1:8">
      <c r="A186" s="2441"/>
      <c r="B186" s="2441"/>
      <c r="C186" s="2441"/>
      <c r="D186" s="2441"/>
      <c r="E186" s="2441"/>
      <c r="F186" s="2441"/>
      <c r="G186" s="2441"/>
      <c r="H186" s="2441"/>
    </row>
    <row r="187" spans="1:8">
      <c r="A187" s="2441"/>
      <c r="B187" s="2441"/>
      <c r="C187" s="2441"/>
      <c r="D187" s="2441"/>
      <c r="E187" s="2441"/>
      <c r="F187" s="2441"/>
      <c r="G187" s="2441"/>
      <c r="H187" s="2441"/>
    </row>
    <row r="188" spans="1:8">
      <c r="A188" s="2441"/>
      <c r="B188" s="2441"/>
      <c r="C188" s="2441"/>
      <c r="D188" s="2441"/>
      <c r="E188" s="2441"/>
      <c r="F188" s="2441"/>
      <c r="G188" s="2441"/>
      <c r="H188" s="2441"/>
    </row>
    <row r="189" spans="1:8">
      <c r="A189" s="2441"/>
      <c r="B189" s="2441"/>
      <c r="C189" s="2441"/>
      <c r="D189" s="2441"/>
      <c r="E189" s="2441"/>
      <c r="F189" s="2441"/>
      <c r="G189" s="2441"/>
      <c r="H189" s="2441"/>
    </row>
    <row r="190" spans="1:8">
      <c r="A190" s="2441"/>
      <c r="B190" s="2441"/>
      <c r="C190" s="2441"/>
      <c r="D190" s="2441"/>
      <c r="E190" s="2441"/>
      <c r="F190" s="2441"/>
      <c r="G190" s="2441"/>
      <c r="H190" s="2441"/>
    </row>
    <row r="191" spans="1:8">
      <c r="A191" s="2441"/>
      <c r="B191" s="2441"/>
      <c r="C191" s="2441"/>
      <c r="D191" s="2441"/>
      <c r="E191" s="2441"/>
      <c r="F191" s="2441"/>
      <c r="G191" s="2441"/>
      <c r="H191" s="2441"/>
    </row>
    <row r="192" spans="1:8">
      <c r="A192" s="2441"/>
      <c r="B192" s="2441"/>
      <c r="C192" s="2441"/>
      <c r="D192" s="2441"/>
      <c r="E192" s="2441"/>
      <c r="F192" s="2441"/>
      <c r="G192" s="2441"/>
      <c r="H192" s="2441"/>
    </row>
    <row r="193" spans="1:8">
      <c r="A193" s="2441"/>
      <c r="B193" s="2441"/>
      <c r="C193" s="2441"/>
      <c r="D193" s="2441"/>
      <c r="E193" s="2441"/>
      <c r="F193" s="2441"/>
      <c r="G193" s="2441"/>
      <c r="H193" s="2441"/>
    </row>
    <row r="194" spans="1:8">
      <c r="A194" s="2441"/>
      <c r="B194" s="2441"/>
      <c r="C194" s="2441"/>
      <c r="D194" s="2441"/>
      <c r="E194" s="2441"/>
      <c r="F194" s="2441"/>
      <c r="G194" s="2441"/>
      <c r="H194" s="2441"/>
    </row>
    <row r="195" spans="1:8">
      <c r="A195" s="2441"/>
      <c r="B195" s="2441"/>
      <c r="C195" s="2441"/>
      <c r="D195" s="2441"/>
      <c r="E195" s="2441"/>
      <c r="F195" s="2441"/>
      <c r="G195" s="2441"/>
      <c r="H195" s="2441"/>
    </row>
    <row r="196" spans="1:8">
      <c r="A196" s="2441"/>
      <c r="B196" s="2441"/>
      <c r="C196" s="2441"/>
      <c r="D196" s="2441"/>
      <c r="E196" s="2441"/>
      <c r="F196" s="2441"/>
      <c r="G196" s="2441"/>
      <c r="H196" s="2441"/>
    </row>
    <row r="197" spans="1:8">
      <c r="A197" s="2441"/>
      <c r="B197" s="2441"/>
      <c r="C197" s="2441"/>
      <c r="D197" s="2441"/>
      <c r="E197" s="2441"/>
      <c r="F197" s="2441"/>
      <c r="G197" s="2441"/>
      <c r="H197" s="2441"/>
    </row>
    <row r="198" spans="1:8">
      <c r="A198" s="2441"/>
      <c r="B198" s="2441"/>
      <c r="C198" s="2441"/>
      <c r="D198" s="2441"/>
      <c r="E198" s="2441"/>
      <c r="F198" s="2441"/>
      <c r="G198" s="2441"/>
      <c r="H198" s="2441"/>
    </row>
    <row r="199" spans="1:8">
      <c r="A199" s="2441"/>
      <c r="B199" s="2441"/>
      <c r="C199" s="2441"/>
      <c r="D199" s="2441"/>
      <c r="E199" s="2441"/>
      <c r="F199" s="2441"/>
      <c r="G199" s="2441"/>
      <c r="H199" s="2441"/>
    </row>
    <row r="200" spans="1:8">
      <c r="A200" s="2441"/>
      <c r="B200" s="2441"/>
      <c r="C200" s="2441"/>
      <c r="D200" s="2441"/>
      <c r="E200" s="2441"/>
      <c r="F200" s="2441"/>
      <c r="G200" s="2441"/>
      <c r="H200" s="2441"/>
    </row>
    <row r="201" spans="1:8">
      <c r="A201" s="2441"/>
      <c r="B201" s="2441"/>
      <c r="C201" s="2441"/>
      <c r="D201" s="2441"/>
      <c r="E201" s="2441"/>
      <c r="F201" s="2441"/>
      <c r="G201" s="2441"/>
      <c r="H201" s="2441"/>
    </row>
    <row r="202" spans="1:8">
      <c r="A202" s="2441"/>
      <c r="B202" s="2441"/>
      <c r="C202" s="2441"/>
      <c r="D202" s="2441"/>
      <c r="E202" s="2441"/>
      <c r="F202" s="2441"/>
      <c r="G202" s="2441"/>
      <c r="H202" s="2441"/>
    </row>
    <row r="203" spans="1:8">
      <c r="A203" s="2441"/>
      <c r="B203" s="2441"/>
      <c r="C203" s="2441"/>
      <c r="D203" s="2441"/>
      <c r="E203" s="2441"/>
      <c r="F203" s="2441"/>
      <c r="G203" s="2441"/>
      <c r="H203" s="2441"/>
    </row>
    <row r="204" spans="1:8">
      <c r="A204" s="2441"/>
      <c r="B204" s="2441"/>
      <c r="C204" s="2441"/>
      <c r="D204" s="2441"/>
      <c r="E204" s="2441"/>
      <c r="F204" s="2441"/>
      <c r="G204" s="2441"/>
      <c r="H204" s="2441"/>
    </row>
    <row r="205" spans="1:8">
      <c r="A205" s="2441"/>
      <c r="B205" s="2441"/>
      <c r="C205" s="2441"/>
      <c r="D205" s="2441"/>
      <c r="E205" s="2441"/>
      <c r="F205" s="2441"/>
      <c r="G205" s="2441"/>
      <c r="H205" s="2441"/>
    </row>
    <row r="206" spans="1:8" ht="15.75">
      <c r="A206" s="2443" t="s">
        <v>696</v>
      </c>
      <c r="B206" s="2441"/>
      <c r="C206" s="2441"/>
      <c r="D206" s="2441"/>
      <c r="E206" s="2441"/>
      <c r="F206" s="2441"/>
      <c r="G206" s="2441"/>
      <c r="H206" s="2441"/>
    </row>
    <row r="207" spans="1:8">
      <c r="A207" s="2441"/>
      <c r="B207" s="2441"/>
      <c r="C207" s="2441"/>
      <c r="D207" s="2441"/>
      <c r="E207" s="2441"/>
      <c r="F207" s="2441"/>
      <c r="G207" s="2441"/>
      <c r="H207" s="2441"/>
    </row>
    <row r="208" spans="1:8">
      <c r="A208" s="2442" t="s">
        <v>857</v>
      </c>
      <c r="B208" s="2441"/>
      <c r="C208" s="2441"/>
      <c r="D208" s="2441"/>
      <c r="E208" s="2441"/>
      <c r="F208" s="2441"/>
      <c r="G208" s="2441"/>
      <c r="H208" s="2441"/>
    </row>
    <row r="209" spans="1:8">
      <c r="A209" s="2442" t="s">
        <v>858</v>
      </c>
      <c r="B209" s="2441"/>
      <c r="C209" s="2441"/>
      <c r="D209" s="2441"/>
      <c r="E209" s="2441"/>
      <c r="F209" s="2441"/>
      <c r="G209" s="2441"/>
      <c r="H209" s="2441"/>
    </row>
    <row r="210" spans="1:8">
      <c r="A210" s="2442" t="s">
        <v>859</v>
      </c>
      <c r="B210" s="2441"/>
      <c r="C210" s="2441"/>
      <c r="D210" s="2441"/>
      <c r="E210" s="2441"/>
      <c r="F210" s="2441"/>
      <c r="G210" s="2441"/>
      <c r="H210" s="2441"/>
    </row>
    <row r="211" spans="1:8">
      <c r="A211" s="2442" t="s">
        <v>860</v>
      </c>
      <c r="B211" s="2441"/>
      <c r="C211" s="2441"/>
      <c r="D211" s="2441"/>
      <c r="E211" s="2441"/>
      <c r="F211" s="2441"/>
      <c r="G211" s="2441"/>
      <c r="H211" s="2441"/>
    </row>
    <row r="212" spans="1:8">
      <c r="A212" s="2442" t="s">
        <v>861</v>
      </c>
      <c r="B212" s="2441"/>
      <c r="C212" s="2441"/>
      <c r="D212" s="2441"/>
      <c r="E212" s="2441"/>
      <c r="F212" s="2441"/>
      <c r="G212" s="2441"/>
      <c r="H212" s="2441"/>
    </row>
    <row r="213" spans="1:8">
      <c r="A213" s="2441"/>
      <c r="B213" s="2441"/>
      <c r="C213" s="2441"/>
      <c r="D213" s="2441"/>
      <c r="E213" s="2441"/>
      <c r="F213" s="2441"/>
      <c r="G213" s="2441"/>
      <c r="H213" s="2441"/>
    </row>
    <row r="214" spans="1:8">
      <c r="A214" s="2442" t="s">
        <v>854</v>
      </c>
      <c r="B214" s="2441"/>
      <c r="C214" s="2441"/>
      <c r="D214" s="2441"/>
      <c r="E214" s="2441"/>
      <c r="F214" s="2441"/>
      <c r="G214" s="2441"/>
      <c r="H214" s="2441"/>
    </row>
    <row r="215" spans="1:8">
      <c r="A215" s="2442" t="s">
        <v>855</v>
      </c>
      <c r="B215" s="2441"/>
      <c r="C215" s="2441"/>
      <c r="D215" s="2441"/>
      <c r="E215" s="2441"/>
      <c r="F215" s="2441"/>
      <c r="G215" s="2441"/>
      <c r="H215" s="2441"/>
    </row>
    <row r="216" spans="1:8">
      <c r="A216" s="2442" t="s">
        <v>856</v>
      </c>
      <c r="B216" s="2441"/>
      <c r="C216" s="2441"/>
      <c r="D216" s="2441"/>
      <c r="E216" s="2441"/>
      <c r="F216" s="2441"/>
      <c r="G216" s="2441"/>
      <c r="H216" s="2441"/>
    </row>
    <row r="217" spans="1:8" ht="15.75">
      <c r="A217" s="2443" t="s">
        <v>697</v>
      </c>
      <c r="B217" s="2441"/>
      <c r="C217" s="2441"/>
      <c r="D217" s="2441"/>
      <c r="E217" s="2441"/>
      <c r="F217" s="2441"/>
      <c r="G217" s="2441"/>
      <c r="H217" s="2441"/>
    </row>
    <row r="218" spans="1:8">
      <c r="A218" s="2441"/>
      <c r="B218" s="2441"/>
      <c r="C218" s="2441"/>
      <c r="D218" s="2441"/>
      <c r="E218" s="2441"/>
      <c r="F218" s="2441"/>
      <c r="G218" s="2441"/>
      <c r="H218" s="2441"/>
    </row>
    <row r="219" spans="1:8">
      <c r="A219" s="2442" t="s">
        <v>852</v>
      </c>
      <c r="B219" s="2441"/>
      <c r="C219" s="2441"/>
      <c r="D219" s="2441"/>
      <c r="E219" s="2441"/>
      <c r="F219" s="2441"/>
      <c r="G219" s="2441"/>
      <c r="H219" s="2441"/>
    </row>
    <row r="220" spans="1:8">
      <c r="A220" s="2442" t="s">
        <v>853</v>
      </c>
      <c r="B220" s="2441"/>
      <c r="C220" s="2441"/>
      <c r="D220" s="2441"/>
      <c r="E220" s="2441"/>
      <c r="F220" s="2441"/>
      <c r="G220" s="2441"/>
      <c r="H220" s="2441"/>
    </row>
    <row r="221" spans="1:8">
      <c r="A221" s="2441"/>
      <c r="B221" s="2441"/>
      <c r="C221" s="2441"/>
      <c r="D221" s="2441"/>
      <c r="E221" s="2441"/>
      <c r="F221" s="2441"/>
      <c r="G221" s="2441"/>
      <c r="H221" s="2441"/>
    </row>
    <row r="222" spans="1:8">
      <c r="A222" s="2442" t="s">
        <v>845</v>
      </c>
      <c r="B222" s="2441"/>
      <c r="C222" s="2441"/>
      <c r="D222" s="2441"/>
      <c r="E222" s="2441"/>
      <c r="F222" s="2441"/>
      <c r="G222" s="2441"/>
      <c r="H222" s="2441"/>
    </row>
    <row r="223" spans="1:8">
      <c r="A223" s="2442" t="s">
        <v>846</v>
      </c>
      <c r="B223" s="2441"/>
      <c r="C223" s="2441"/>
      <c r="D223" s="2441"/>
      <c r="E223" s="2441"/>
      <c r="F223" s="2441"/>
      <c r="G223" s="2441"/>
      <c r="H223" s="2441"/>
    </row>
    <row r="224" spans="1:8">
      <c r="A224" s="2442" t="s">
        <v>847</v>
      </c>
      <c r="B224" s="2441"/>
      <c r="C224" s="2441"/>
      <c r="D224" s="2441"/>
      <c r="E224" s="2441"/>
      <c r="F224" s="2441"/>
      <c r="G224" s="2441"/>
      <c r="H224" s="2441"/>
    </row>
    <row r="225" spans="1:8">
      <c r="A225" s="2442" t="s">
        <v>848</v>
      </c>
      <c r="B225" s="2441"/>
      <c r="C225" s="2441"/>
      <c r="D225" s="2441"/>
      <c r="E225" s="2441"/>
      <c r="F225" s="2441"/>
      <c r="G225" s="2441"/>
      <c r="H225" s="2441"/>
    </row>
    <row r="226" spans="1:8">
      <c r="A226" s="2442" t="s">
        <v>849</v>
      </c>
      <c r="B226" s="2441"/>
      <c r="C226" s="2441"/>
      <c r="D226" s="2441"/>
      <c r="E226" s="2441"/>
      <c r="F226" s="2441"/>
      <c r="G226" s="2441"/>
      <c r="H226" s="2441"/>
    </row>
    <row r="227" spans="1:8">
      <c r="A227" s="2442" t="s">
        <v>850</v>
      </c>
      <c r="B227" s="2441"/>
      <c r="C227" s="2441"/>
      <c r="D227" s="2441"/>
      <c r="E227" s="2441"/>
      <c r="F227" s="2441"/>
      <c r="G227" s="2441"/>
      <c r="H227" s="2441"/>
    </row>
    <row r="228" spans="1:8">
      <c r="A228" s="2442" t="s">
        <v>851</v>
      </c>
      <c r="B228" s="2441"/>
      <c r="C228" s="2441"/>
      <c r="D228" s="2441"/>
      <c r="E228" s="2441"/>
      <c r="F228" s="2441"/>
      <c r="G228" s="2441"/>
      <c r="H228" s="2441"/>
    </row>
    <row r="229" spans="1:8">
      <c r="A229" s="2441"/>
      <c r="B229" s="2441"/>
      <c r="C229" s="2441"/>
      <c r="D229" s="2441"/>
      <c r="E229" s="2441"/>
      <c r="F229" s="2441"/>
      <c r="G229" s="2441"/>
      <c r="H229" s="2441"/>
    </row>
    <row r="230" spans="1:8">
      <c r="A230" s="2442" t="s">
        <v>842</v>
      </c>
      <c r="B230" s="2441"/>
      <c r="C230" s="2441"/>
      <c r="D230" s="2441"/>
      <c r="E230" s="2441"/>
      <c r="F230" s="2441"/>
      <c r="G230" s="2441"/>
      <c r="H230" s="2441"/>
    </row>
    <row r="231" spans="1:8">
      <c r="A231" s="2442" t="s">
        <v>843</v>
      </c>
      <c r="B231" s="2441"/>
      <c r="C231" s="2441"/>
      <c r="D231" s="2441"/>
      <c r="E231" s="2441"/>
      <c r="F231" s="2441"/>
      <c r="G231" s="2441"/>
      <c r="H231" s="2441"/>
    </row>
    <row r="232" spans="1:8">
      <c r="A232" s="2442" t="s">
        <v>844</v>
      </c>
      <c r="B232" s="2441"/>
      <c r="C232" s="2441"/>
      <c r="D232" s="2441"/>
      <c r="E232" s="2441"/>
      <c r="F232" s="2441"/>
      <c r="G232" s="2441"/>
      <c r="H232" s="2441"/>
    </row>
    <row r="233" spans="1:8">
      <c r="A233" s="2441"/>
      <c r="B233" s="2441"/>
      <c r="C233" s="2441"/>
      <c r="D233" s="2441"/>
      <c r="E233" s="2441"/>
      <c r="F233" s="2441"/>
      <c r="G233" s="2441"/>
      <c r="H233" s="2441"/>
    </row>
    <row r="234" spans="1:8">
      <c r="A234" s="2442" t="s">
        <v>837</v>
      </c>
      <c r="B234" s="2441"/>
      <c r="C234" s="2441"/>
      <c r="D234" s="2441"/>
      <c r="E234" s="2441"/>
      <c r="F234" s="2441"/>
      <c r="G234" s="2441"/>
      <c r="H234" s="2441"/>
    </row>
    <row r="235" spans="1:8">
      <c r="A235" s="2442" t="s">
        <v>838</v>
      </c>
      <c r="B235" s="2441"/>
      <c r="C235" s="2441"/>
      <c r="D235" s="2441"/>
      <c r="E235" s="2441"/>
      <c r="F235" s="2441"/>
      <c r="G235" s="2441"/>
      <c r="H235" s="2441"/>
    </row>
    <row r="236" spans="1:8">
      <c r="A236" s="2442" t="s">
        <v>839</v>
      </c>
      <c r="B236" s="2441"/>
      <c r="C236" s="2441"/>
      <c r="D236" s="2441"/>
      <c r="E236" s="2441"/>
      <c r="F236" s="2441"/>
      <c r="G236" s="2441"/>
      <c r="H236" s="2441"/>
    </row>
    <row r="237" spans="1:8">
      <c r="A237" s="2442" t="s">
        <v>840</v>
      </c>
      <c r="B237" s="2441"/>
      <c r="C237" s="2441"/>
      <c r="D237" s="2441"/>
      <c r="E237" s="2441"/>
      <c r="F237" s="2441"/>
      <c r="G237" s="2441"/>
      <c r="H237" s="2441"/>
    </row>
    <row r="238" spans="1:8">
      <c r="A238" s="2442" t="s">
        <v>841</v>
      </c>
      <c r="B238" s="2441"/>
      <c r="C238" s="2441"/>
      <c r="D238" s="2441"/>
      <c r="E238" s="2441"/>
      <c r="F238" s="2441"/>
      <c r="G238" s="2441"/>
      <c r="H238" s="2441"/>
    </row>
    <row r="239" spans="1:8">
      <c r="A239" s="2441"/>
      <c r="B239" s="2441"/>
      <c r="C239" s="2441"/>
      <c r="D239" s="2441"/>
      <c r="E239" s="2441"/>
      <c r="F239" s="2441"/>
      <c r="G239" s="2441"/>
      <c r="H239" s="2441"/>
    </row>
    <row r="240" spans="1:8">
      <c r="A240" s="2442" t="s">
        <v>831</v>
      </c>
      <c r="B240" s="2441"/>
      <c r="C240" s="2441"/>
      <c r="D240" s="2441"/>
      <c r="E240" s="2441"/>
      <c r="F240" s="2441"/>
      <c r="G240" s="2441"/>
      <c r="H240" s="2441"/>
    </row>
    <row r="241" spans="1:8">
      <c r="A241" s="2442" t="s">
        <v>832</v>
      </c>
      <c r="B241" s="2441"/>
      <c r="C241" s="2441"/>
      <c r="D241" s="2441"/>
      <c r="E241" s="2441"/>
      <c r="F241" s="2441"/>
      <c r="G241" s="2441"/>
      <c r="H241" s="2441"/>
    </row>
    <row r="242" spans="1:8">
      <c r="A242" s="2442" t="s">
        <v>833</v>
      </c>
      <c r="B242" s="2441"/>
      <c r="C242" s="2441"/>
      <c r="D242" s="2441"/>
      <c r="E242" s="2441"/>
      <c r="F242" s="2441"/>
      <c r="G242" s="2441"/>
      <c r="H242" s="2441"/>
    </row>
    <row r="243" spans="1:8">
      <c r="A243" s="2442" t="s">
        <v>834</v>
      </c>
      <c r="B243" s="2441"/>
      <c r="C243" s="2441"/>
      <c r="D243" s="2441"/>
      <c r="E243" s="2441"/>
      <c r="F243" s="2441"/>
      <c r="G243" s="2441"/>
      <c r="H243" s="2441"/>
    </row>
    <row r="244" spans="1:8">
      <c r="A244" s="2442" t="s">
        <v>835</v>
      </c>
      <c r="B244" s="2441"/>
      <c r="C244" s="2441"/>
      <c r="D244" s="2441"/>
      <c r="E244" s="2441"/>
      <c r="F244" s="2441"/>
      <c r="G244" s="2441"/>
      <c r="H244" s="2441"/>
    </row>
    <row r="245" spans="1:8">
      <c r="A245" s="2442" t="s">
        <v>836</v>
      </c>
      <c r="B245" s="2441"/>
      <c r="C245" s="2441"/>
      <c r="D245" s="2441"/>
      <c r="E245" s="2441"/>
      <c r="F245" s="2441"/>
      <c r="G245" s="2441"/>
      <c r="H245" s="2441"/>
    </row>
    <row r="246" spans="1:8">
      <c r="A246" s="2441"/>
      <c r="B246" s="2441"/>
      <c r="C246" s="2441"/>
      <c r="D246" s="2441"/>
      <c r="E246" s="2441"/>
      <c r="F246" s="2441"/>
      <c r="G246" s="2441"/>
      <c r="H246" s="2441"/>
    </row>
    <row r="247" spans="1:8">
      <c r="A247" s="2442" t="s">
        <v>821</v>
      </c>
      <c r="B247" s="2441"/>
      <c r="C247" s="2441"/>
      <c r="D247" s="2441"/>
      <c r="E247" s="2441"/>
      <c r="F247" s="2441"/>
      <c r="G247" s="2441"/>
      <c r="H247" s="2441"/>
    </row>
    <row r="248" spans="1:8">
      <c r="A248" s="2442" t="s">
        <v>822</v>
      </c>
      <c r="B248" s="2441"/>
      <c r="C248" s="2441"/>
      <c r="D248" s="2441"/>
      <c r="E248" s="2441"/>
      <c r="F248" s="2441"/>
      <c r="G248" s="2441"/>
      <c r="H248" s="2441"/>
    </row>
    <row r="249" spans="1:8">
      <c r="A249" s="2442" t="s">
        <v>823</v>
      </c>
      <c r="B249" s="2441"/>
      <c r="C249" s="2441"/>
      <c r="D249" s="2441"/>
      <c r="E249" s="2441"/>
      <c r="F249" s="2441"/>
      <c r="G249" s="2441"/>
      <c r="H249" s="2441"/>
    </row>
    <row r="250" spans="1:8">
      <c r="A250" s="2442" t="s">
        <v>824</v>
      </c>
      <c r="B250" s="2441"/>
      <c r="C250" s="2441"/>
      <c r="D250" s="2441"/>
      <c r="E250" s="2441"/>
      <c r="F250" s="2441"/>
      <c r="G250" s="2441"/>
      <c r="H250" s="2441"/>
    </row>
    <row r="251" spans="1:8">
      <c r="A251" s="2442" t="s">
        <v>825</v>
      </c>
      <c r="B251" s="2441"/>
      <c r="C251" s="2441"/>
      <c r="D251" s="2441"/>
      <c r="E251" s="2441"/>
      <c r="F251" s="2441"/>
      <c r="G251" s="2441"/>
      <c r="H251" s="2441"/>
    </row>
    <row r="252" spans="1:8">
      <c r="A252" s="2442" t="s">
        <v>826</v>
      </c>
      <c r="B252" s="2441"/>
      <c r="C252" s="2441"/>
      <c r="D252" s="2441"/>
      <c r="E252" s="2441"/>
      <c r="F252" s="2441"/>
      <c r="G252" s="2441"/>
      <c r="H252" s="2441"/>
    </row>
    <row r="253" spans="1:8">
      <c r="A253" s="2442" t="s">
        <v>827</v>
      </c>
      <c r="B253" s="2441"/>
      <c r="C253" s="2441"/>
      <c r="D253" s="2441"/>
      <c r="E253" s="2441"/>
      <c r="F253" s="2441"/>
      <c r="G253" s="2441"/>
      <c r="H253" s="2441"/>
    </row>
    <row r="254" spans="1:8">
      <c r="A254" s="2442" t="s">
        <v>828</v>
      </c>
      <c r="B254" s="2441"/>
      <c r="C254" s="2441"/>
      <c r="D254" s="2441"/>
      <c r="E254" s="2441"/>
      <c r="F254" s="2441"/>
      <c r="G254" s="2441"/>
      <c r="H254" s="2441"/>
    </row>
    <row r="255" spans="1:8">
      <c r="A255" s="2442" t="s">
        <v>829</v>
      </c>
      <c r="B255" s="2441"/>
      <c r="C255" s="2441"/>
      <c r="D255" s="2441"/>
      <c r="E255" s="2441"/>
      <c r="F255" s="2441"/>
      <c r="G255" s="2441"/>
      <c r="H255" s="2441"/>
    </row>
    <row r="256" spans="1:8">
      <c r="A256" s="2442" t="s">
        <v>830</v>
      </c>
      <c r="B256" s="2441"/>
      <c r="C256" s="2441"/>
      <c r="D256" s="2441"/>
      <c r="E256" s="2441"/>
      <c r="F256" s="2441"/>
      <c r="G256" s="2441"/>
      <c r="H256" s="2441"/>
    </row>
    <row r="257" spans="1:8">
      <c r="A257" s="2441"/>
      <c r="B257" s="2441"/>
      <c r="C257" s="2441"/>
      <c r="D257" s="2441"/>
      <c r="E257" s="2441"/>
      <c r="F257" s="2441"/>
      <c r="G257" s="2441"/>
      <c r="H257" s="2441"/>
    </row>
    <row r="258" spans="1:8">
      <c r="A258" s="2442" t="s">
        <v>819</v>
      </c>
      <c r="B258" s="2441"/>
      <c r="C258" s="2441"/>
      <c r="D258" s="2441"/>
      <c r="E258" s="2441"/>
      <c r="F258" s="2441"/>
      <c r="G258" s="2441"/>
      <c r="H258" s="2441"/>
    </row>
    <row r="259" spans="1:8">
      <c r="A259" s="2442" t="s">
        <v>820</v>
      </c>
      <c r="B259" s="2441"/>
      <c r="C259" s="2441"/>
      <c r="D259" s="2441"/>
      <c r="E259" s="2441"/>
      <c r="F259" s="2441"/>
      <c r="G259" s="2441"/>
      <c r="H259" s="2441"/>
    </row>
    <row r="260" spans="1:8">
      <c r="A260" s="2441"/>
      <c r="B260" s="2441"/>
      <c r="C260" s="2441"/>
      <c r="D260" s="2441"/>
      <c r="E260" s="2441"/>
      <c r="F260" s="2441"/>
      <c r="G260" s="2441"/>
      <c r="H260" s="2441"/>
    </row>
    <row r="261" spans="1:8">
      <c r="A261" s="2442" t="s">
        <v>803</v>
      </c>
      <c r="B261" s="2441"/>
      <c r="C261" s="2441"/>
      <c r="D261" s="2441"/>
      <c r="E261" s="2441"/>
      <c r="F261" s="2441"/>
      <c r="G261" s="2441"/>
      <c r="H261" s="2441"/>
    </row>
    <row r="262" spans="1:8">
      <c r="A262" s="2442" t="s">
        <v>804</v>
      </c>
      <c r="B262" s="2441"/>
      <c r="C262" s="2441"/>
      <c r="D262" s="2441"/>
      <c r="E262" s="2441"/>
      <c r="F262" s="2441"/>
      <c r="G262" s="2441"/>
      <c r="H262" s="2441"/>
    </row>
    <row r="263" spans="1:8">
      <c r="A263" s="2442" t="s">
        <v>805</v>
      </c>
      <c r="B263" s="2441"/>
      <c r="C263" s="2441"/>
      <c r="D263" s="2441"/>
      <c r="E263" s="2441"/>
      <c r="F263" s="2441"/>
      <c r="G263" s="2441"/>
      <c r="H263" s="2441"/>
    </row>
    <row r="264" spans="1:8">
      <c r="A264" s="2442" t="s">
        <v>806</v>
      </c>
      <c r="B264" s="2441"/>
      <c r="C264" s="2441"/>
      <c r="D264" s="2441"/>
      <c r="E264" s="2441"/>
      <c r="F264" s="2441"/>
      <c r="G264" s="2441"/>
      <c r="H264" s="2441"/>
    </row>
    <row r="265" spans="1:8">
      <c r="A265" s="2442" t="s">
        <v>807</v>
      </c>
      <c r="B265" s="2441"/>
      <c r="C265" s="2441"/>
      <c r="D265" s="2441"/>
      <c r="E265" s="2441"/>
      <c r="F265" s="2441"/>
      <c r="G265" s="2441"/>
      <c r="H265" s="2441"/>
    </row>
    <row r="266" spans="1:8">
      <c r="A266" s="2442" t="s">
        <v>808</v>
      </c>
      <c r="B266" s="2441"/>
      <c r="C266" s="2441"/>
      <c r="D266" s="2441"/>
      <c r="E266" s="2441"/>
      <c r="F266" s="2441"/>
      <c r="G266" s="2441"/>
      <c r="H266" s="2441"/>
    </row>
    <row r="267" spans="1:8">
      <c r="A267" s="2442" t="s">
        <v>809</v>
      </c>
      <c r="B267" s="2441"/>
      <c r="C267" s="2441"/>
      <c r="D267" s="2441"/>
      <c r="E267" s="2441"/>
      <c r="F267" s="2441"/>
      <c r="G267" s="2441"/>
      <c r="H267" s="2441"/>
    </row>
    <row r="268" spans="1:8">
      <c r="A268" s="2442" t="s">
        <v>810</v>
      </c>
      <c r="B268" s="2441"/>
      <c r="C268" s="2441"/>
      <c r="D268" s="2441"/>
      <c r="E268" s="2441"/>
      <c r="F268" s="2441"/>
      <c r="G268" s="2441"/>
      <c r="H268" s="2441"/>
    </row>
    <row r="269" spans="1:8">
      <c r="A269" s="2442" t="s">
        <v>811</v>
      </c>
      <c r="B269" s="2441"/>
      <c r="C269" s="2441"/>
      <c r="D269" s="2441"/>
      <c r="E269" s="2441"/>
      <c r="F269" s="2441"/>
      <c r="G269" s="2441"/>
      <c r="H269" s="2441"/>
    </row>
    <row r="270" spans="1:8">
      <c r="A270" s="2442" t="s">
        <v>812</v>
      </c>
      <c r="B270" s="2441"/>
      <c r="C270" s="2441"/>
      <c r="D270" s="2441"/>
      <c r="E270" s="2441"/>
      <c r="F270" s="2441"/>
      <c r="G270" s="2441"/>
      <c r="H270" s="2441"/>
    </row>
    <row r="271" spans="1:8">
      <c r="A271" s="2442" t="s">
        <v>813</v>
      </c>
      <c r="B271" s="2441"/>
      <c r="C271" s="2441"/>
      <c r="D271" s="2441"/>
      <c r="E271" s="2441"/>
      <c r="F271" s="2441"/>
      <c r="G271" s="2441"/>
      <c r="H271" s="2441"/>
    </row>
    <row r="272" spans="1:8">
      <c r="A272" s="2442" t="s">
        <v>814</v>
      </c>
      <c r="B272" s="2441"/>
      <c r="C272" s="2441"/>
      <c r="D272" s="2441"/>
      <c r="E272" s="2441"/>
      <c r="F272" s="2441"/>
      <c r="G272" s="2441"/>
      <c r="H272" s="2441"/>
    </row>
    <row r="273" spans="1:8">
      <c r="A273" s="2442" t="s">
        <v>815</v>
      </c>
      <c r="B273" s="2441"/>
      <c r="C273" s="2441"/>
      <c r="D273" s="2441"/>
      <c r="E273" s="2441"/>
      <c r="F273" s="2441"/>
      <c r="G273" s="2441"/>
      <c r="H273" s="2441"/>
    </row>
    <row r="274" spans="1:8">
      <c r="A274" s="2442" t="s">
        <v>816</v>
      </c>
      <c r="B274" s="2441"/>
      <c r="C274" s="2441"/>
      <c r="D274" s="2441"/>
      <c r="E274" s="2441"/>
      <c r="F274" s="2441"/>
      <c r="G274" s="2441"/>
      <c r="H274" s="2441"/>
    </row>
    <row r="275" spans="1:8">
      <c r="A275" s="2442" t="s">
        <v>817</v>
      </c>
      <c r="B275" s="2441"/>
      <c r="C275" s="2441"/>
      <c r="D275" s="2441"/>
      <c r="E275" s="2441"/>
      <c r="F275" s="2441"/>
      <c r="G275" s="2441"/>
      <c r="H275" s="2441"/>
    </row>
    <row r="276" spans="1:8">
      <c r="A276" s="2442" t="s">
        <v>818</v>
      </c>
      <c r="B276" s="2441"/>
      <c r="C276" s="2441"/>
      <c r="D276" s="2441"/>
      <c r="E276" s="2441"/>
      <c r="F276" s="2441"/>
      <c r="G276" s="2441"/>
      <c r="H276" s="2441"/>
    </row>
    <row r="277" spans="1:8">
      <c r="A277" s="2441"/>
      <c r="B277" s="2441"/>
      <c r="C277" s="2441"/>
      <c r="D277" s="2441"/>
      <c r="E277" s="2441"/>
      <c r="F277" s="2441"/>
      <c r="G277" s="2441"/>
      <c r="H277" s="2441"/>
    </row>
    <row r="278" spans="1:8">
      <c r="A278" s="2442" t="s">
        <v>796</v>
      </c>
      <c r="B278" s="2441"/>
      <c r="C278" s="2441"/>
      <c r="D278" s="2441"/>
      <c r="E278" s="2441"/>
      <c r="F278" s="2441"/>
      <c r="G278" s="2441"/>
      <c r="H278" s="2441"/>
    </row>
    <row r="279" spans="1:8">
      <c r="A279" s="2442" t="s">
        <v>797</v>
      </c>
      <c r="B279" s="2441"/>
      <c r="C279" s="2441"/>
      <c r="D279" s="2441"/>
      <c r="E279" s="2441"/>
      <c r="F279" s="2441"/>
      <c r="G279" s="2441"/>
      <c r="H279" s="2441"/>
    </row>
    <row r="280" spans="1:8">
      <c r="A280" s="2442" t="s">
        <v>798</v>
      </c>
      <c r="B280" s="2441"/>
      <c r="C280" s="2441"/>
      <c r="D280" s="2441"/>
      <c r="E280" s="2441"/>
      <c r="F280" s="2441"/>
      <c r="G280" s="2441"/>
      <c r="H280" s="2441"/>
    </row>
    <row r="281" spans="1:8">
      <c r="A281" s="2442" t="s">
        <v>799</v>
      </c>
      <c r="B281" s="2441"/>
      <c r="C281" s="2441"/>
      <c r="D281" s="2441"/>
      <c r="E281" s="2441"/>
      <c r="F281" s="2441"/>
      <c r="G281" s="2441"/>
      <c r="H281" s="2441"/>
    </row>
    <row r="282" spans="1:8">
      <c r="A282" s="2442" t="s">
        <v>800</v>
      </c>
      <c r="B282" s="2441"/>
      <c r="C282" s="2441"/>
      <c r="D282" s="2441"/>
      <c r="E282" s="2441"/>
      <c r="F282" s="2441"/>
      <c r="G282" s="2441"/>
      <c r="H282" s="2441"/>
    </row>
    <row r="283" spans="1:8">
      <c r="A283" s="2442" t="s">
        <v>801</v>
      </c>
      <c r="B283" s="2441"/>
      <c r="C283" s="2441"/>
      <c r="D283" s="2441"/>
      <c r="E283" s="2441"/>
      <c r="F283" s="2441"/>
      <c r="G283" s="2441"/>
      <c r="H283" s="2441"/>
    </row>
    <row r="284" spans="1:8">
      <c r="A284" s="2442" t="s">
        <v>802</v>
      </c>
      <c r="B284" s="2441"/>
      <c r="C284" s="2441"/>
      <c r="D284" s="2441"/>
      <c r="E284" s="2441"/>
      <c r="F284" s="2441"/>
      <c r="G284" s="2441"/>
      <c r="H284" s="2441"/>
    </row>
    <row r="285" spans="1:8">
      <c r="A285" s="2441"/>
      <c r="B285" s="2441"/>
      <c r="C285" s="2441"/>
      <c r="D285" s="2441"/>
      <c r="E285" s="2441"/>
      <c r="F285" s="2441"/>
      <c r="G285" s="2441"/>
      <c r="H285" s="2441"/>
    </row>
    <row r="286" spans="1:8">
      <c r="A286" s="2442" t="s">
        <v>787</v>
      </c>
      <c r="B286" s="2441"/>
      <c r="C286" s="2441"/>
      <c r="D286" s="2441"/>
      <c r="E286" s="2441"/>
      <c r="F286" s="2441"/>
      <c r="G286" s="2441"/>
      <c r="H286" s="2441"/>
    </row>
    <row r="287" spans="1:8">
      <c r="A287" s="2442" t="s">
        <v>788</v>
      </c>
      <c r="B287" s="2441"/>
      <c r="C287" s="2441"/>
      <c r="D287" s="2441"/>
      <c r="E287" s="2441"/>
      <c r="F287" s="2441"/>
      <c r="G287" s="2441"/>
      <c r="H287" s="2441"/>
    </row>
    <row r="288" spans="1:8">
      <c r="A288" s="2442" t="s">
        <v>789</v>
      </c>
      <c r="B288" s="2441"/>
      <c r="C288" s="2441"/>
      <c r="D288" s="2441"/>
      <c r="E288" s="2441"/>
      <c r="F288" s="2441"/>
      <c r="G288" s="2441"/>
      <c r="H288" s="2441"/>
    </row>
    <row r="289" spans="1:8">
      <c r="A289" s="2442" t="s">
        <v>790</v>
      </c>
      <c r="B289" s="2441"/>
      <c r="C289" s="2441"/>
      <c r="D289" s="2441"/>
      <c r="E289" s="2441"/>
      <c r="F289" s="2441"/>
      <c r="G289" s="2441"/>
      <c r="H289" s="2441"/>
    </row>
    <row r="290" spans="1:8">
      <c r="A290" s="2442" t="s">
        <v>791</v>
      </c>
      <c r="B290" s="2441"/>
      <c r="C290" s="2441"/>
      <c r="D290" s="2441"/>
      <c r="E290" s="2441"/>
      <c r="F290" s="2441"/>
      <c r="G290" s="2441"/>
      <c r="H290" s="2441"/>
    </row>
    <row r="291" spans="1:8">
      <c r="A291" s="2442" t="s">
        <v>792</v>
      </c>
      <c r="B291" s="2441"/>
      <c r="C291" s="2441"/>
      <c r="D291" s="2441"/>
      <c r="E291" s="2441"/>
      <c r="F291" s="2441"/>
      <c r="G291" s="2441"/>
      <c r="H291" s="2441"/>
    </row>
    <row r="292" spans="1:8">
      <c r="A292" s="2442" t="s">
        <v>793</v>
      </c>
      <c r="B292" s="2441"/>
      <c r="C292" s="2441"/>
      <c r="D292" s="2441"/>
      <c r="E292" s="2441"/>
      <c r="F292" s="2441"/>
      <c r="G292" s="2441"/>
      <c r="H292" s="2441"/>
    </row>
    <row r="293" spans="1:8">
      <c r="A293" s="2442" t="s">
        <v>794</v>
      </c>
      <c r="B293" s="2441"/>
      <c r="C293" s="2441"/>
      <c r="D293" s="2441"/>
      <c r="E293" s="2441"/>
      <c r="F293" s="2441"/>
      <c r="G293" s="2441"/>
      <c r="H293" s="2441"/>
    </row>
    <row r="294" spans="1:8">
      <c r="A294" s="2442" t="s">
        <v>795</v>
      </c>
      <c r="B294" s="2441"/>
      <c r="C294" s="2441"/>
      <c r="D294" s="2441"/>
      <c r="E294" s="2441"/>
      <c r="F294" s="2441"/>
      <c r="G294" s="2441"/>
      <c r="H294" s="2441"/>
    </row>
    <row r="295" spans="1:8">
      <c r="A295" s="2441"/>
      <c r="B295" s="2441"/>
      <c r="C295" s="2441"/>
      <c r="D295" s="2441"/>
      <c r="E295" s="2441"/>
      <c r="F295" s="2441"/>
      <c r="G295" s="2441"/>
      <c r="H295" s="2441"/>
    </row>
    <row r="296" spans="1:8">
      <c r="A296" s="2442" t="s">
        <v>780</v>
      </c>
      <c r="B296" s="2441"/>
      <c r="C296" s="2441"/>
      <c r="D296" s="2441"/>
      <c r="E296" s="2441"/>
      <c r="F296" s="2441"/>
      <c r="G296" s="2441"/>
      <c r="H296" s="2441"/>
    </row>
    <row r="297" spans="1:8">
      <c r="A297" s="2442" t="s">
        <v>781</v>
      </c>
      <c r="B297" s="2441"/>
      <c r="C297" s="2441"/>
      <c r="D297" s="2441"/>
      <c r="E297" s="2441"/>
      <c r="F297" s="2441"/>
      <c r="G297" s="2441"/>
      <c r="H297" s="2441"/>
    </row>
    <row r="298" spans="1:8">
      <c r="A298" s="2442" t="s">
        <v>782</v>
      </c>
      <c r="B298" s="2441"/>
      <c r="C298" s="2441"/>
      <c r="D298" s="2441"/>
      <c r="E298" s="2441"/>
      <c r="F298" s="2441"/>
      <c r="G298" s="2441"/>
      <c r="H298" s="2441"/>
    </row>
    <row r="299" spans="1:8">
      <c r="A299" s="2442" t="s">
        <v>783</v>
      </c>
      <c r="B299" s="2441"/>
      <c r="C299" s="2441"/>
      <c r="D299" s="2441"/>
      <c r="E299" s="2441"/>
      <c r="F299" s="2441"/>
      <c r="G299" s="2441"/>
      <c r="H299" s="2441"/>
    </row>
    <row r="300" spans="1:8">
      <c r="A300" s="2442" t="s">
        <v>784</v>
      </c>
      <c r="B300" s="2441"/>
      <c r="C300" s="2441"/>
      <c r="D300" s="2441"/>
      <c r="E300" s="2441"/>
      <c r="F300" s="2441"/>
      <c r="G300" s="2441"/>
      <c r="H300" s="2441"/>
    </row>
    <row r="301" spans="1:8">
      <c r="A301" s="2442" t="s">
        <v>785</v>
      </c>
      <c r="B301" s="2441"/>
      <c r="C301" s="2441"/>
      <c r="D301" s="2441"/>
      <c r="E301" s="2441"/>
      <c r="F301" s="2441"/>
      <c r="G301" s="2441"/>
      <c r="H301" s="2441"/>
    </row>
    <row r="302" spans="1:8">
      <c r="A302" s="2442" t="s">
        <v>786</v>
      </c>
      <c r="B302" s="2441"/>
      <c r="C302" s="2441"/>
      <c r="D302" s="2441"/>
      <c r="E302" s="2441"/>
      <c r="F302" s="2441"/>
      <c r="G302" s="2441"/>
      <c r="H302" s="2441"/>
    </row>
    <row r="303" spans="1:8">
      <c r="A303" s="2441"/>
      <c r="B303" s="2441"/>
      <c r="C303" s="2441"/>
      <c r="D303" s="2441"/>
      <c r="E303" s="2441"/>
      <c r="F303" s="2441"/>
      <c r="G303" s="2441"/>
      <c r="H303" s="2441"/>
    </row>
    <row r="304" spans="1:8">
      <c r="A304" s="2442" t="s">
        <v>777</v>
      </c>
      <c r="B304" s="2441"/>
      <c r="C304" s="2441"/>
      <c r="D304" s="2441"/>
      <c r="E304" s="2441"/>
      <c r="F304" s="2441"/>
      <c r="G304" s="2441"/>
      <c r="H304" s="2441"/>
    </row>
    <row r="305" spans="1:8">
      <c r="A305" s="2442" t="s">
        <v>778</v>
      </c>
      <c r="B305" s="2441"/>
      <c r="C305" s="2441"/>
      <c r="D305" s="2441"/>
      <c r="E305" s="2441"/>
      <c r="F305" s="2441"/>
      <c r="G305" s="2441"/>
      <c r="H305" s="2441"/>
    </row>
    <row r="306" spans="1:8">
      <c r="A306" s="2442" t="s">
        <v>779</v>
      </c>
      <c r="B306" s="2441"/>
      <c r="C306" s="2441"/>
      <c r="D306" s="2441"/>
      <c r="E306" s="2441"/>
      <c r="F306" s="2441"/>
      <c r="G306" s="2441"/>
      <c r="H306" s="2441"/>
    </row>
    <row r="307" spans="1:8">
      <c r="A307" s="2441"/>
      <c r="B307" s="2441"/>
      <c r="C307" s="2441"/>
      <c r="D307" s="2441"/>
      <c r="E307" s="2441"/>
      <c r="F307" s="2441"/>
      <c r="G307" s="2441"/>
      <c r="H307" s="2441"/>
    </row>
    <row r="308" spans="1:8">
      <c r="A308" s="2442" t="s">
        <v>775</v>
      </c>
      <c r="B308" s="2441"/>
      <c r="C308" s="2441"/>
      <c r="D308" s="2441"/>
      <c r="E308" s="2441"/>
      <c r="F308" s="2441"/>
      <c r="G308" s="2441"/>
      <c r="H308" s="2441"/>
    </row>
    <row r="309" spans="1:8">
      <c r="A309" s="2442" t="s">
        <v>776</v>
      </c>
      <c r="B309" s="2441"/>
      <c r="C309" s="2441"/>
      <c r="D309" s="2441"/>
      <c r="E309" s="2441"/>
      <c r="F309" s="2441"/>
      <c r="G309" s="2441"/>
      <c r="H309" s="2441"/>
    </row>
    <row r="310" spans="1:8">
      <c r="A310" s="2441"/>
      <c r="B310" s="2441"/>
      <c r="C310" s="2441"/>
      <c r="D310" s="2441"/>
      <c r="E310" s="2441"/>
      <c r="F310" s="2441"/>
      <c r="G310" s="2441"/>
      <c r="H310" s="2441"/>
    </row>
    <row r="311" spans="1:8">
      <c r="A311" s="2442" t="s">
        <v>762</v>
      </c>
      <c r="B311" s="2441"/>
      <c r="C311" s="2441"/>
      <c r="D311" s="2441"/>
      <c r="E311" s="2441"/>
      <c r="F311" s="2441"/>
      <c r="G311" s="2441"/>
      <c r="H311" s="2441"/>
    </row>
    <row r="312" spans="1:8">
      <c r="A312" s="2442" t="s">
        <v>763</v>
      </c>
      <c r="B312" s="2441"/>
      <c r="C312" s="2441"/>
      <c r="D312" s="2441"/>
      <c r="E312" s="2441"/>
      <c r="F312" s="2441"/>
      <c r="G312" s="2441"/>
      <c r="H312" s="2441"/>
    </row>
    <row r="313" spans="1:8">
      <c r="A313" s="2442" t="s">
        <v>764</v>
      </c>
      <c r="B313" s="2441"/>
      <c r="C313" s="2441"/>
      <c r="D313" s="2441"/>
      <c r="E313" s="2441"/>
      <c r="F313" s="2441"/>
      <c r="G313" s="2441"/>
      <c r="H313" s="2441"/>
    </row>
    <row r="314" spans="1:8">
      <c r="A314" s="2442" t="s">
        <v>765</v>
      </c>
      <c r="B314" s="2441"/>
      <c r="C314" s="2441"/>
      <c r="D314" s="2441"/>
      <c r="E314" s="2441"/>
      <c r="F314" s="2441"/>
      <c r="G314" s="2441"/>
      <c r="H314" s="2441"/>
    </row>
    <row r="315" spans="1:8">
      <c r="A315" s="2442" t="s">
        <v>766</v>
      </c>
      <c r="B315" s="2441"/>
      <c r="C315" s="2441"/>
      <c r="D315" s="2441"/>
      <c r="E315" s="2441"/>
      <c r="F315" s="2441"/>
      <c r="G315" s="2441"/>
      <c r="H315" s="2441"/>
    </row>
    <row r="316" spans="1:8">
      <c r="A316" s="2442" t="s">
        <v>767</v>
      </c>
      <c r="B316" s="2441"/>
      <c r="C316" s="2441"/>
      <c r="D316" s="2441"/>
      <c r="E316" s="2441"/>
      <c r="F316" s="2441"/>
      <c r="G316" s="2441"/>
      <c r="H316" s="2441"/>
    </row>
    <row r="317" spans="1:8">
      <c r="A317" s="2442" t="s">
        <v>768</v>
      </c>
      <c r="B317" s="2441"/>
      <c r="C317" s="2441"/>
      <c r="D317" s="2441"/>
      <c r="E317" s="2441"/>
      <c r="F317" s="2441"/>
      <c r="G317" s="2441"/>
      <c r="H317" s="2441"/>
    </row>
    <row r="318" spans="1:8">
      <c r="A318" s="2442" t="s">
        <v>769</v>
      </c>
      <c r="B318" s="2441"/>
      <c r="C318" s="2441"/>
      <c r="D318" s="2441"/>
      <c r="E318" s="2441"/>
      <c r="F318" s="2441"/>
      <c r="G318" s="2441"/>
      <c r="H318" s="2441"/>
    </row>
    <row r="319" spans="1:8">
      <c r="A319" s="2442" t="s">
        <v>770</v>
      </c>
      <c r="B319" s="2441"/>
      <c r="C319" s="2441"/>
      <c r="D319" s="2441"/>
      <c r="E319" s="2441"/>
      <c r="F319" s="2441"/>
      <c r="G319" s="2441"/>
      <c r="H319" s="2441"/>
    </row>
    <row r="320" spans="1:8">
      <c r="A320" s="2442" t="s">
        <v>771</v>
      </c>
      <c r="B320" s="2441"/>
      <c r="C320" s="2441"/>
      <c r="D320" s="2441"/>
      <c r="E320" s="2441"/>
      <c r="F320" s="2441"/>
      <c r="G320" s="2441"/>
      <c r="H320" s="2441"/>
    </row>
    <row r="321" spans="1:8">
      <c r="A321" s="2442" t="s">
        <v>772</v>
      </c>
      <c r="B321" s="2441"/>
      <c r="C321" s="2441"/>
      <c r="D321" s="2441"/>
      <c r="E321" s="2441"/>
      <c r="F321" s="2441"/>
      <c r="G321" s="2441"/>
      <c r="H321" s="2441"/>
    </row>
    <row r="322" spans="1:8">
      <c r="A322" s="2442" t="s">
        <v>773</v>
      </c>
      <c r="B322" s="2441"/>
      <c r="C322" s="2441"/>
      <c r="D322" s="2441"/>
      <c r="E322" s="2441"/>
      <c r="F322" s="2441"/>
      <c r="G322" s="2441"/>
      <c r="H322" s="2441"/>
    </row>
    <row r="323" spans="1:8">
      <c r="A323" s="2442" t="s">
        <v>774</v>
      </c>
      <c r="B323" s="2441"/>
      <c r="C323" s="2441"/>
      <c r="D323" s="2441"/>
      <c r="E323" s="2441"/>
      <c r="F323" s="2441"/>
      <c r="G323" s="2441"/>
      <c r="H323" s="2441"/>
    </row>
    <row r="324" spans="1:8">
      <c r="A324" s="2441"/>
      <c r="B324" s="2441"/>
      <c r="C324" s="2441"/>
      <c r="D324" s="2441"/>
      <c r="E324" s="2441"/>
      <c r="F324" s="2441"/>
      <c r="G324" s="2441"/>
      <c r="H324" s="2441"/>
    </row>
    <row r="325" spans="1:8">
      <c r="A325" s="2442" t="s">
        <v>754</v>
      </c>
      <c r="B325" s="2441"/>
      <c r="C325" s="2441"/>
      <c r="D325" s="2441"/>
      <c r="E325" s="2441"/>
      <c r="F325" s="2441"/>
      <c r="G325" s="2441"/>
      <c r="H325" s="2441"/>
    </row>
    <row r="326" spans="1:8">
      <c r="A326" s="2442" t="s">
        <v>755</v>
      </c>
      <c r="B326" s="2441"/>
      <c r="C326" s="2441"/>
      <c r="D326" s="2441"/>
      <c r="E326" s="2441"/>
      <c r="F326" s="2441"/>
      <c r="G326" s="2441"/>
      <c r="H326" s="2441"/>
    </row>
    <row r="327" spans="1:8">
      <c r="A327" s="2442" t="s">
        <v>756</v>
      </c>
      <c r="B327" s="2441"/>
      <c r="C327" s="2441"/>
      <c r="D327" s="2441"/>
      <c r="E327" s="2441"/>
      <c r="F327" s="2441"/>
      <c r="G327" s="2441"/>
      <c r="H327" s="2441"/>
    </row>
    <row r="328" spans="1:8">
      <c r="A328" s="2442" t="s">
        <v>757</v>
      </c>
      <c r="B328" s="2441"/>
      <c r="C328" s="2441"/>
      <c r="D328" s="2441"/>
      <c r="E328" s="2441"/>
      <c r="F328" s="2441"/>
      <c r="G328" s="2441"/>
      <c r="H328" s="2441"/>
    </row>
    <row r="329" spans="1:8">
      <c r="A329" s="2442" t="s">
        <v>758</v>
      </c>
      <c r="B329" s="2441"/>
      <c r="C329" s="2441"/>
      <c r="D329" s="2441"/>
      <c r="E329" s="2441"/>
      <c r="F329" s="2441"/>
      <c r="G329" s="2441"/>
      <c r="H329" s="2441"/>
    </row>
    <row r="330" spans="1:8">
      <c r="A330" s="2442" t="s">
        <v>759</v>
      </c>
      <c r="B330" s="2441"/>
      <c r="C330" s="2441"/>
      <c r="D330" s="2441"/>
      <c r="E330" s="2441"/>
      <c r="F330" s="2441"/>
      <c r="G330" s="2441"/>
      <c r="H330" s="2441"/>
    </row>
    <row r="331" spans="1:8">
      <c r="A331" s="2442" t="s">
        <v>760</v>
      </c>
      <c r="B331" s="2441"/>
      <c r="C331" s="2441"/>
      <c r="D331" s="2441"/>
      <c r="E331" s="2441"/>
      <c r="F331" s="2441"/>
      <c r="G331" s="2441"/>
      <c r="H331" s="2441"/>
    </row>
    <row r="332" spans="1:8">
      <c r="A332" s="2442" t="s">
        <v>761</v>
      </c>
      <c r="B332" s="2441"/>
      <c r="C332" s="2441"/>
      <c r="D332" s="2441"/>
      <c r="E332" s="2441"/>
      <c r="F332" s="2441"/>
      <c r="G332" s="2441"/>
      <c r="H332" s="2441"/>
    </row>
    <row r="333" spans="1:8">
      <c r="A333" s="2441"/>
      <c r="B333" s="2441"/>
      <c r="C333" s="2441"/>
      <c r="D333" s="2441"/>
      <c r="E333" s="2441"/>
      <c r="F333" s="2441"/>
      <c r="G333" s="2441"/>
      <c r="H333" s="2441"/>
    </row>
    <row r="334" spans="1:8">
      <c r="A334" s="2442" t="s">
        <v>719</v>
      </c>
      <c r="B334" s="2441"/>
      <c r="C334" s="2441"/>
      <c r="D334" s="2441"/>
      <c r="E334" s="2441"/>
      <c r="F334" s="2441"/>
      <c r="G334" s="2441"/>
      <c r="H334" s="2441"/>
    </row>
    <row r="335" spans="1:8">
      <c r="A335" s="2442" t="s">
        <v>720</v>
      </c>
      <c r="B335" s="2441"/>
      <c r="C335" s="2441"/>
      <c r="D335" s="2441"/>
      <c r="E335" s="2441"/>
      <c r="F335" s="2441"/>
      <c r="G335" s="2441"/>
      <c r="H335" s="2441"/>
    </row>
    <row r="336" spans="1:8">
      <c r="A336" s="2442" t="s">
        <v>721</v>
      </c>
      <c r="B336" s="2441"/>
      <c r="C336" s="2441"/>
      <c r="D336" s="2441"/>
      <c r="E336" s="2441"/>
      <c r="F336" s="2441"/>
      <c r="G336" s="2441"/>
      <c r="H336" s="2441"/>
    </row>
    <row r="337" spans="1:8">
      <c r="A337" s="2442" t="s">
        <v>722</v>
      </c>
      <c r="B337" s="2441"/>
      <c r="C337" s="2441"/>
      <c r="D337" s="2441"/>
      <c r="E337" s="2441"/>
      <c r="F337" s="2441"/>
      <c r="G337" s="2441"/>
      <c r="H337" s="2441"/>
    </row>
    <row r="338" spans="1:8">
      <c r="A338" s="2442" t="s">
        <v>723</v>
      </c>
      <c r="B338" s="2441"/>
      <c r="C338" s="2441"/>
      <c r="D338" s="2441"/>
      <c r="E338" s="2441"/>
      <c r="F338" s="2441"/>
      <c r="G338" s="2441"/>
      <c r="H338" s="2441"/>
    </row>
    <row r="339" spans="1:8">
      <c r="A339" s="2442" t="s">
        <v>724</v>
      </c>
      <c r="B339" s="2441"/>
      <c r="C339" s="2441"/>
      <c r="D339" s="2441"/>
      <c r="E339" s="2441"/>
      <c r="F339" s="2441"/>
      <c r="G339" s="2441"/>
      <c r="H339" s="2441"/>
    </row>
    <row r="340" spans="1:8">
      <c r="A340" s="2442" t="s">
        <v>725</v>
      </c>
      <c r="B340" s="2441"/>
      <c r="C340" s="2441"/>
      <c r="D340" s="2441"/>
      <c r="E340" s="2441"/>
      <c r="F340" s="2441"/>
      <c r="G340" s="2441"/>
      <c r="H340" s="2441"/>
    </row>
    <row r="341" spans="1:8">
      <c r="A341" s="2442" t="s">
        <v>726</v>
      </c>
      <c r="B341" s="2441"/>
      <c r="C341" s="2441"/>
      <c r="D341" s="2441"/>
      <c r="E341" s="2441"/>
      <c r="F341" s="2441"/>
      <c r="G341" s="2441"/>
      <c r="H341" s="2441"/>
    </row>
    <row r="342" spans="1:8">
      <c r="A342" s="2442" t="s">
        <v>727</v>
      </c>
      <c r="B342" s="2441"/>
      <c r="C342" s="2441"/>
      <c r="D342" s="2441"/>
      <c r="E342" s="2441"/>
      <c r="F342" s="2441"/>
      <c r="G342" s="2441"/>
      <c r="H342" s="2441"/>
    </row>
    <row r="343" spans="1:8">
      <c r="A343" s="2442" t="s">
        <v>728</v>
      </c>
      <c r="B343" s="2441"/>
      <c r="C343" s="2441"/>
      <c r="D343" s="2441"/>
      <c r="E343" s="2441"/>
      <c r="F343" s="2441"/>
      <c r="G343" s="2441"/>
      <c r="H343" s="2441"/>
    </row>
    <row r="344" spans="1:8">
      <c r="A344" s="2442" t="s">
        <v>729</v>
      </c>
      <c r="B344" s="2441"/>
      <c r="C344" s="2441"/>
      <c r="D344" s="2441"/>
      <c r="E344" s="2441"/>
      <c r="F344" s="2441"/>
      <c r="G344" s="2441"/>
      <c r="H344" s="2441"/>
    </row>
    <row r="345" spans="1:8">
      <c r="A345" s="2442" t="s">
        <v>730</v>
      </c>
      <c r="B345" s="2441"/>
      <c r="C345" s="2441"/>
      <c r="D345" s="2441"/>
      <c r="E345" s="2441"/>
      <c r="F345" s="2441"/>
      <c r="G345" s="2441"/>
      <c r="H345" s="2441"/>
    </row>
    <row r="346" spans="1:8">
      <c r="A346" s="2442" t="s">
        <v>731</v>
      </c>
      <c r="B346" s="2441"/>
      <c r="C346" s="2441"/>
      <c r="D346" s="2441"/>
      <c r="E346" s="2441"/>
      <c r="F346" s="2441"/>
      <c r="G346" s="2441"/>
      <c r="H346" s="2441"/>
    </row>
    <row r="347" spans="1:8">
      <c r="A347" s="2442" t="s">
        <v>732</v>
      </c>
      <c r="B347" s="2441"/>
      <c r="C347" s="2441"/>
      <c r="D347" s="2441"/>
      <c r="E347" s="2441"/>
      <c r="F347" s="2441"/>
      <c r="G347" s="2441"/>
      <c r="H347" s="2441"/>
    </row>
    <row r="348" spans="1:8">
      <c r="A348" s="2442" t="s">
        <v>733</v>
      </c>
      <c r="B348" s="2441"/>
      <c r="C348" s="2441"/>
      <c r="D348" s="2441"/>
      <c r="E348" s="2441"/>
      <c r="F348" s="2441"/>
      <c r="G348" s="2441"/>
      <c r="H348" s="2441"/>
    </row>
    <row r="349" spans="1:8">
      <c r="A349" s="2442" t="s">
        <v>734</v>
      </c>
      <c r="B349" s="2441"/>
      <c r="C349" s="2441"/>
      <c r="D349" s="2441"/>
      <c r="E349" s="2441"/>
      <c r="F349" s="2441"/>
      <c r="G349" s="2441"/>
      <c r="H349" s="2441"/>
    </row>
    <row r="350" spans="1:8">
      <c r="A350" s="2442" t="s">
        <v>735</v>
      </c>
      <c r="B350" s="2441"/>
      <c r="C350" s="2441"/>
      <c r="D350" s="2441"/>
      <c r="E350" s="2441"/>
      <c r="F350" s="2441"/>
      <c r="G350" s="2441"/>
      <c r="H350" s="2441"/>
    </row>
    <row r="351" spans="1:8">
      <c r="A351" s="2442" t="s">
        <v>736</v>
      </c>
      <c r="B351" s="2441"/>
      <c r="C351" s="2441"/>
      <c r="D351" s="2441"/>
      <c r="E351" s="2441"/>
      <c r="F351" s="2441"/>
      <c r="G351" s="2441"/>
      <c r="H351" s="2441"/>
    </row>
    <row r="352" spans="1:8">
      <c r="A352" s="2442" t="s">
        <v>737</v>
      </c>
      <c r="B352" s="2441"/>
      <c r="C352" s="2441"/>
      <c r="D352" s="2441"/>
      <c r="E352" s="2441"/>
      <c r="F352" s="2441"/>
      <c r="G352" s="2441"/>
      <c r="H352" s="2441"/>
    </row>
    <row r="353" spans="1:8">
      <c r="A353" s="2442" t="s">
        <v>738</v>
      </c>
      <c r="B353" s="2441"/>
      <c r="C353" s="2441"/>
      <c r="D353" s="2441"/>
      <c r="E353" s="2441"/>
      <c r="F353" s="2441"/>
      <c r="G353" s="2441"/>
      <c r="H353" s="2441"/>
    </row>
    <row r="354" spans="1:8">
      <c r="A354" s="2442" t="s">
        <v>739</v>
      </c>
      <c r="B354" s="2441"/>
      <c r="C354" s="2441"/>
      <c r="D354" s="2441"/>
      <c r="E354" s="2441"/>
      <c r="F354" s="2441"/>
      <c r="G354" s="2441"/>
      <c r="H354" s="2441"/>
    </row>
    <row r="355" spans="1:8">
      <c r="A355" s="2442" t="s">
        <v>740</v>
      </c>
      <c r="B355" s="2441"/>
      <c r="C355" s="2441"/>
      <c r="D355" s="2441"/>
      <c r="E355" s="2441"/>
      <c r="F355" s="2441"/>
      <c r="G355" s="2441"/>
      <c r="H355" s="2441"/>
    </row>
    <row r="356" spans="1:8">
      <c r="A356" s="2442" t="s">
        <v>741</v>
      </c>
      <c r="B356" s="2441"/>
      <c r="C356" s="2441"/>
      <c r="D356" s="2441"/>
      <c r="E356" s="2441"/>
      <c r="F356" s="2441"/>
      <c r="G356" s="2441"/>
      <c r="H356" s="2441"/>
    </row>
    <row r="357" spans="1:8">
      <c r="A357" s="2442" t="s">
        <v>742</v>
      </c>
      <c r="B357" s="2441"/>
      <c r="C357" s="2441"/>
      <c r="D357" s="2441"/>
      <c r="E357" s="2441"/>
      <c r="F357" s="2441"/>
      <c r="G357" s="2441"/>
      <c r="H357" s="2441"/>
    </row>
    <row r="358" spans="1:8">
      <c r="A358" s="2442" t="s">
        <v>743</v>
      </c>
      <c r="B358" s="2441"/>
      <c r="C358" s="2441"/>
      <c r="D358" s="2441"/>
      <c r="E358" s="2441"/>
      <c r="F358" s="2441"/>
      <c r="G358" s="2441"/>
      <c r="H358" s="2441"/>
    </row>
    <row r="359" spans="1:8">
      <c r="A359" s="2442" t="s">
        <v>744</v>
      </c>
      <c r="B359" s="2441"/>
      <c r="C359" s="2441"/>
      <c r="D359" s="2441"/>
      <c r="E359" s="2441"/>
      <c r="F359" s="2441"/>
      <c r="G359" s="2441"/>
      <c r="H359" s="2441"/>
    </row>
    <row r="360" spans="1:8">
      <c r="A360" s="2442" t="s">
        <v>745</v>
      </c>
      <c r="B360" s="2441"/>
      <c r="C360" s="2441"/>
      <c r="D360" s="2441"/>
      <c r="E360" s="2441"/>
      <c r="F360" s="2441"/>
      <c r="G360" s="2441"/>
      <c r="H360" s="2441"/>
    </row>
    <row r="361" spans="1:8">
      <c r="A361" s="2442" t="s">
        <v>746</v>
      </c>
      <c r="B361" s="2441"/>
      <c r="C361" s="2441"/>
      <c r="D361" s="2441"/>
      <c r="E361" s="2441"/>
      <c r="F361" s="2441"/>
      <c r="G361" s="2441"/>
      <c r="H361" s="2441"/>
    </row>
    <row r="362" spans="1:8">
      <c r="A362" s="2442" t="s">
        <v>747</v>
      </c>
      <c r="B362" s="2441"/>
      <c r="C362" s="2441"/>
      <c r="D362" s="2441"/>
      <c r="E362" s="2441"/>
      <c r="F362" s="2441"/>
      <c r="G362" s="2441"/>
      <c r="H362" s="2441"/>
    </row>
    <row r="363" spans="1:8">
      <c r="A363" s="2442" t="s">
        <v>748</v>
      </c>
      <c r="B363" s="2441"/>
      <c r="C363" s="2441"/>
      <c r="D363" s="2441"/>
      <c r="E363" s="2441"/>
      <c r="F363" s="2441"/>
      <c r="G363" s="2441"/>
      <c r="H363" s="2441"/>
    </row>
    <row r="364" spans="1:8">
      <c r="A364" s="2442" t="s">
        <v>749</v>
      </c>
      <c r="B364" s="2441"/>
      <c r="C364" s="2441"/>
      <c r="D364" s="2441"/>
      <c r="E364" s="2441"/>
      <c r="F364" s="2441"/>
      <c r="G364" s="2441"/>
      <c r="H364" s="2441"/>
    </row>
    <row r="365" spans="1:8">
      <c r="A365" s="2442" t="s">
        <v>750</v>
      </c>
      <c r="B365" s="2441"/>
      <c r="C365" s="2441"/>
      <c r="D365" s="2441"/>
      <c r="E365" s="2441"/>
      <c r="F365" s="2441"/>
      <c r="G365" s="2441"/>
      <c r="H365" s="2441"/>
    </row>
    <row r="366" spans="1:8">
      <c r="A366" s="2442" t="s">
        <v>751</v>
      </c>
      <c r="B366" s="2441"/>
      <c r="C366" s="2441"/>
      <c r="D366" s="2441"/>
      <c r="E366" s="2441"/>
      <c r="F366" s="2441"/>
      <c r="G366" s="2441"/>
      <c r="H366" s="2441"/>
    </row>
    <row r="367" spans="1:8">
      <c r="A367" s="2442" t="s">
        <v>752</v>
      </c>
      <c r="B367" s="2441"/>
      <c r="C367" s="2441"/>
      <c r="D367" s="2441"/>
      <c r="E367" s="2441"/>
      <c r="F367" s="2441"/>
      <c r="G367" s="2441"/>
      <c r="H367" s="2441"/>
    </row>
    <row r="368" spans="1:8">
      <c r="A368" s="2442" t="s">
        <v>753</v>
      </c>
      <c r="B368" s="2441"/>
      <c r="C368" s="2441"/>
      <c r="D368" s="2441"/>
      <c r="E368" s="2441"/>
      <c r="F368" s="2441"/>
      <c r="G368" s="2441"/>
      <c r="H368" s="2441"/>
    </row>
    <row r="369" spans="1:8">
      <c r="A369" s="2441"/>
      <c r="B369" s="2441"/>
      <c r="C369" s="2441"/>
      <c r="D369" s="2441"/>
      <c r="E369" s="2441"/>
      <c r="F369" s="2441"/>
      <c r="G369" s="2441"/>
      <c r="H369" s="2441"/>
    </row>
    <row r="370" spans="1:8">
      <c r="A370" s="2442" t="s">
        <v>711</v>
      </c>
      <c r="B370" s="2441"/>
      <c r="C370" s="2441"/>
      <c r="D370" s="2441"/>
      <c r="E370" s="2441"/>
      <c r="F370" s="2441"/>
      <c r="G370" s="2441"/>
      <c r="H370" s="2441"/>
    </row>
    <row r="371" spans="1:8">
      <c r="A371" s="2442" t="s">
        <v>715</v>
      </c>
      <c r="B371" s="2441"/>
      <c r="C371" s="2441"/>
      <c r="D371" s="2441"/>
      <c r="E371" s="2441"/>
      <c r="F371" s="2441"/>
      <c r="G371" s="2441"/>
      <c r="H371" s="2441"/>
    </row>
    <row r="372" spans="1:8">
      <c r="A372" s="2442" t="s">
        <v>716</v>
      </c>
      <c r="B372" s="2441"/>
      <c r="C372" s="2441"/>
      <c r="D372" s="2441"/>
      <c r="E372" s="2441"/>
      <c r="F372" s="2441"/>
      <c r="G372" s="2441"/>
      <c r="H372" s="2441"/>
    </row>
    <row r="373" spans="1:8">
      <c r="A373" s="2442" t="s">
        <v>717</v>
      </c>
      <c r="B373" s="2441"/>
      <c r="C373" s="2441"/>
      <c r="D373" s="2441"/>
      <c r="E373" s="2441"/>
      <c r="F373" s="2441"/>
      <c r="G373" s="2441"/>
      <c r="H373" s="2441"/>
    </row>
    <row r="374" spans="1:8">
      <c r="A374" s="2442" t="s">
        <v>718</v>
      </c>
      <c r="B374" s="2441"/>
      <c r="C374" s="2441"/>
      <c r="D374" s="2441"/>
      <c r="E374" s="2441"/>
      <c r="F374" s="2441"/>
      <c r="G374" s="2441"/>
      <c r="H374" s="2441"/>
    </row>
    <row r="375" spans="1:8">
      <c r="A375" s="2441"/>
      <c r="B375" s="2441"/>
      <c r="C375" s="2441"/>
      <c r="D375" s="2441"/>
      <c r="E375" s="2441"/>
      <c r="F375" s="2441"/>
      <c r="G375" s="2441"/>
      <c r="H375" s="2441"/>
    </row>
    <row r="376" spans="1:8">
      <c r="A376" s="2442" t="s">
        <v>711</v>
      </c>
      <c r="B376" s="2441"/>
      <c r="C376" s="2441"/>
      <c r="D376" s="2441"/>
      <c r="E376" s="2441"/>
      <c r="F376" s="2441"/>
      <c r="G376" s="2441"/>
      <c r="H376" s="2441"/>
    </row>
    <row r="377" spans="1:8">
      <c r="A377" s="2442" t="s">
        <v>712</v>
      </c>
      <c r="B377" s="2441"/>
      <c r="C377" s="2441"/>
      <c r="D377" s="2441"/>
      <c r="E377" s="2441"/>
      <c r="F377" s="2441"/>
      <c r="G377" s="2441"/>
      <c r="H377" s="2441"/>
    </row>
    <row r="378" spans="1:8">
      <c r="A378" s="2442" t="s">
        <v>713</v>
      </c>
      <c r="B378" s="2441"/>
      <c r="C378" s="2441"/>
      <c r="D378" s="2441"/>
      <c r="E378" s="2441"/>
      <c r="F378" s="2441"/>
      <c r="G378" s="2441"/>
      <c r="H378" s="2441"/>
    </row>
    <row r="379" spans="1:8">
      <c r="A379" s="2442" t="s">
        <v>714</v>
      </c>
      <c r="B379" s="2441"/>
      <c r="C379" s="2441"/>
      <c r="D379" s="2441"/>
      <c r="E379" s="2441"/>
      <c r="F379" s="2441"/>
      <c r="G379" s="2441"/>
      <c r="H379" s="2441"/>
    </row>
    <row r="380" spans="1:8">
      <c r="A380" s="2441"/>
      <c r="B380" s="2441"/>
      <c r="C380" s="2441"/>
      <c r="D380" s="2441"/>
      <c r="E380" s="2441"/>
      <c r="F380" s="2441"/>
      <c r="G380" s="2441"/>
      <c r="H380" s="2441"/>
    </row>
    <row r="381" spans="1:8">
      <c r="A381" s="2442" t="s">
        <v>705</v>
      </c>
      <c r="B381" s="2441"/>
      <c r="C381" s="2441"/>
      <c r="D381" s="2441"/>
      <c r="E381" s="2441"/>
      <c r="F381" s="2441"/>
      <c r="G381" s="2441"/>
      <c r="H381" s="2441"/>
    </row>
    <row r="382" spans="1:8">
      <c r="A382" s="2442" t="s">
        <v>706</v>
      </c>
      <c r="B382" s="2441"/>
      <c r="C382" s="2441"/>
      <c r="D382" s="2441"/>
      <c r="E382" s="2441"/>
      <c r="F382" s="2441"/>
      <c r="G382" s="2441"/>
      <c r="H382" s="2441"/>
    </row>
    <row r="383" spans="1:8">
      <c r="A383" s="2442" t="s">
        <v>707</v>
      </c>
      <c r="B383" s="2441"/>
      <c r="C383" s="2441"/>
      <c r="D383" s="2441"/>
      <c r="E383" s="2441"/>
      <c r="F383" s="2441"/>
      <c r="G383" s="2441"/>
      <c r="H383" s="2441"/>
    </row>
    <row r="384" spans="1:8">
      <c r="A384" s="2442" t="s">
        <v>708</v>
      </c>
      <c r="B384" s="2441"/>
      <c r="C384" s="2441"/>
      <c r="D384" s="2441"/>
      <c r="E384" s="2441"/>
      <c r="F384" s="2441"/>
      <c r="G384" s="2441"/>
      <c r="H384" s="2441"/>
    </row>
    <row r="385" spans="1:8">
      <c r="A385" s="2442" t="s">
        <v>709</v>
      </c>
      <c r="B385" s="2441"/>
      <c r="C385" s="2441"/>
      <c r="D385" s="2441"/>
      <c r="E385" s="2441"/>
      <c r="F385" s="2441"/>
      <c r="G385" s="2441"/>
      <c r="H385" s="2441"/>
    </row>
    <row r="386" spans="1:8">
      <c r="A386" s="2442" t="s">
        <v>710</v>
      </c>
      <c r="B386" s="2441"/>
      <c r="C386" s="2441"/>
      <c r="D386" s="2441"/>
      <c r="E386" s="2441"/>
      <c r="F386" s="2441"/>
      <c r="G386" s="2441"/>
      <c r="H386" s="2441"/>
    </row>
    <row r="387" spans="1:8">
      <c r="A387" s="2441"/>
      <c r="B387" s="2441"/>
      <c r="C387" s="2441"/>
      <c r="D387" s="2441"/>
      <c r="E387" s="2441"/>
      <c r="F387" s="2441"/>
      <c r="G387" s="2441"/>
      <c r="H387" s="2441"/>
    </row>
    <row r="388" spans="1:8">
      <c r="A388" s="2442" t="s">
        <v>700</v>
      </c>
      <c r="B388" s="2441"/>
      <c r="C388" s="2441"/>
      <c r="D388" s="2441"/>
      <c r="E388" s="2441"/>
      <c r="F388" s="2441"/>
      <c r="G388" s="2441"/>
      <c r="H388" s="2441"/>
    </row>
    <row r="389" spans="1:8">
      <c r="A389" s="2442" t="s">
        <v>701</v>
      </c>
      <c r="B389" s="2441"/>
      <c r="C389" s="2441"/>
      <c r="D389" s="2441"/>
      <c r="E389" s="2441"/>
      <c r="F389" s="2441"/>
      <c r="G389" s="2441"/>
      <c r="H389" s="2441"/>
    </row>
    <row r="390" spans="1:8">
      <c r="A390" s="2442" t="s">
        <v>702</v>
      </c>
      <c r="B390" s="2441"/>
      <c r="C390" s="2441"/>
      <c r="D390" s="2441"/>
      <c r="E390" s="2441"/>
      <c r="F390" s="2441"/>
      <c r="G390" s="2441"/>
      <c r="H390" s="2441"/>
    </row>
    <row r="391" spans="1:8">
      <c r="A391" s="2442" t="s">
        <v>703</v>
      </c>
      <c r="B391" s="2441"/>
      <c r="C391" s="2441"/>
      <c r="D391" s="2441"/>
      <c r="E391" s="2441"/>
      <c r="F391" s="2441"/>
      <c r="G391" s="2441"/>
      <c r="H391" s="2441"/>
    </row>
    <row r="392" spans="1:8">
      <c r="A392" s="2442" t="s">
        <v>704</v>
      </c>
      <c r="B392" s="2441"/>
      <c r="C392" s="2441"/>
      <c r="D392" s="2441"/>
      <c r="E392" s="2441"/>
      <c r="F392" s="2441"/>
      <c r="G392" s="2441"/>
      <c r="H392" s="2441"/>
    </row>
    <row r="393" spans="1:8">
      <c r="A393" s="2441"/>
      <c r="B393" s="2441"/>
      <c r="C393" s="2441"/>
      <c r="D393" s="2441"/>
      <c r="E393" s="2441"/>
      <c r="F393" s="2441"/>
      <c r="G393" s="2441"/>
      <c r="H393" s="2441"/>
    </row>
    <row r="394" spans="1:8">
      <c r="A394" s="2442" t="s">
        <v>698</v>
      </c>
      <c r="B394" s="2441"/>
      <c r="C394" s="2441"/>
      <c r="D394" s="2441"/>
      <c r="E394" s="2441"/>
      <c r="F394" s="2441"/>
      <c r="G394" s="2441"/>
      <c r="H394" s="2441"/>
    </row>
    <row r="395" spans="1:8">
      <c r="A395" s="2442" t="s">
        <v>699</v>
      </c>
      <c r="B395" s="2441"/>
      <c r="C395" s="2441"/>
      <c r="D395" s="2441"/>
      <c r="E395" s="2441"/>
      <c r="F395" s="2441"/>
      <c r="G395" s="2441"/>
      <c r="H395" s="2441"/>
    </row>
    <row r="397" spans="1:8">
      <c r="A397" s="2437" t="s">
        <v>958</v>
      </c>
    </row>
  </sheetData>
  <mergeCells count="12">
    <mergeCell ref="A135:H135"/>
    <mergeCell ref="A136:H136"/>
    <mergeCell ref="B128:C128"/>
    <mergeCell ref="D128:F128"/>
    <mergeCell ref="G128:H128"/>
    <mergeCell ref="A114:H114"/>
    <mergeCell ref="A115:H115"/>
    <mergeCell ref="A116:H116"/>
    <mergeCell ref="A117:H117"/>
    <mergeCell ref="A119:H119"/>
    <mergeCell ref="A120:H120"/>
    <mergeCell ref="A127:H127"/>
  </mergeCells>
  <pageMargins left="0.5" right="0.5" top="0.5" bottom="0.5" header="0.5" footer="0.5"/>
  <pageSetup orientation="portrait" horizontalDpi="300" verticalDpi="0" r:id="rId1"/>
  <headerFooter alignWithMargins="0"/>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XDQ318"/>
  <sheetViews>
    <sheetView showGridLines="0" zoomScaleNormal="100" workbookViewId="0">
      <pane xSplit="1" ySplit="4" topLeftCell="BJ5" activePane="bottomRight" state="frozen"/>
      <selection pane="topRight" activeCell="B1" sqref="B1"/>
      <selection pane="bottomLeft" activeCell="A5" sqref="A5"/>
      <selection pane="bottomRight" activeCell="BP19" sqref="BP19"/>
    </sheetView>
  </sheetViews>
  <sheetFormatPr defaultRowHeight="12.75" customHeight="1" outlineLevelRow="2" outlineLevelCol="2"/>
  <cols>
    <col min="1" max="1" width="44.42578125" style="104" customWidth="1"/>
    <col min="2" max="2" width="9.28515625" style="577" hidden="1" customWidth="1" outlineLevel="2"/>
    <col min="3" max="5" width="9.28515625" style="104" hidden="1" customWidth="1" outlineLevel="2"/>
    <col min="6" max="6" width="9.28515625" style="104" hidden="1" customWidth="1" outlineLevel="1"/>
    <col min="7" max="10" width="9.28515625" style="104" hidden="1" customWidth="1" outlineLevel="2"/>
    <col min="11" max="11" width="9.28515625" style="104" hidden="1" customWidth="1" outlineLevel="1"/>
    <col min="12" max="15" width="9.28515625" style="104" hidden="1" customWidth="1" outlineLevel="2"/>
    <col min="16" max="16" width="9.28515625" style="104" hidden="1" customWidth="1" outlineLevel="1"/>
    <col min="17" max="20" width="9.28515625" style="104" hidden="1" customWidth="1" outlineLevel="2"/>
    <col min="21" max="21" width="9.28515625" style="104" hidden="1" customWidth="1" outlineLevel="1"/>
    <col min="22" max="25" width="9.28515625" style="104" hidden="1" customWidth="1" outlineLevel="2"/>
    <col min="26" max="26" width="9.28515625" style="104" hidden="1" customWidth="1" outlineLevel="1"/>
    <col min="27" max="30" width="9.28515625" style="104" hidden="1" customWidth="1" outlineLevel="2"/>
    <col min="31" max="31" width="9.28515625" style="104" hidden="1" customWidth="1" outlineLevel="1"/>
    <col min="32" max="35" width="9.28515625" style="104" hidden="1" customWidth="1" outlineLevel="2"/>
    <col min="36" max="36" width="9.28515625" style="104" hidden="1" customWidth="1" outlineLevel="1"/>
    <col min="37" max="40" width="9.28515625" style="104" hidden="1" customWidth="1" outlineLevel="2"/>
    <col min="41" max="45" width="9.28515625" style="104" hidden="1" customWidth="1" outlineLevel="1"/>
    <col min="46" max="46" width="9.28515625" style="104" customWidth="1" collapsed="1"/>
    <col min="47" max="50" width="9.28515625" style="104" customWidth="1" outlineLevel="1"/>
    <col min="51" max="51" width="9.28515625" style="104" customWidth="1"/>
    <col min="52" max="52" width="7.7109375" style="577" customWidth="1" outlineLevel="1" collapsed="1"/>
    <col min="53" max="55" width="9.28515625" style="104" customWidth="1" outlineLevel="1"/>
    <col min="56" max="56" width="9.28515625" style="104" customWidth="1"/>
    <col min="57" max="60" width="9.28515625" style="104" customWidth="1" outlineLevel="1"/>
    <col min="61" max="61" width="9.28515625" style="104" customWidth="1"/>
    <col min="62" max="65" width="9.28515625" style="104" customWidth="1" outlineLevel="1"/>
    <col min="66" max="66" width="9.28515625" style="104" customWidth="1"/>
    <col min="67" max="70" width="9.28515625" style="104" customWidth="1" outlineLevel="1"/>
    <col min="71" max="71" width="9.28515625" style="104" customWidth="1"/>
    <col min="72" max="75" width="9.28515625" style="104" hidden="1" customWidth="1" outlineLevel="1"/>
    <col min="76" max="76" width="9.28515625" style="104" customWidth="1" collapsed="1"/>
    <col min="77" max="80" width="9.28515625" style="104" hidden="1" customWidth="1" outlineLevel="1"/>
    <col min="81" max="81" width="9.28515625" style="104" customWidth="1" collapsed="1"/>
    <col min="82" max="82" width="1.7109375" style="184" customWidth="1"/>
    <col min="83" max="83" width="1.42578125" style="104" customWidth="1"/>
    <col min="84" max="86" width="5.85546875" style="104" customWidth="1" outlineLevel="1"/>
    <col min="87" max="87" width="6.140625" style="104" customWidth="1" outlineLevel="1"/>
    <col min="88" max="88" width="1" style="104" customWidth="1" outlineLevel="1"/>
    <col min="89" max="89" width="0.5703125" style="104" customWidth="1"/>
    <col min="90" max="90" width="7.7109375" style="104" hidden="1" customWidth="1" outlineLevel="1"/>
    <col min="91" max="91" width="7.5703125" style="104" hidden="1" customWidth="1" outlineLevel="2"/>
    <col min="92" max="92" width="7.7109375" style="104" hidden="1" customWidth="1" outlineLevel="1" collapsed="1"/>
    <col min="93" max="94" width="7.140625" style="104" hidden="1" customWidth="1" outlineLevel="1"/>
    <col min="95" max="95" width="2.7109375" style="2" customWidth="1" collapsed="1"/>
    <col min="96" max="96" width="2.7109375" style="2" customWidth="1"/>
    <col min="97" max="97" width="10.7109375" style="104" customWidth="1"/>
    <col min="98" max="98" width="10.7109375" style="104" customWidth="1" outlineLevel="1"/>
    <col min="99" max="102" width="10.7109375" style="104" customWidth="1"/>
    <col min="103" max="103" width="1.7109375" style="104" customWidth="1"/>
    <col min="104" max="104" width="35.7109375" customWidth="1"/>
    <col min="105" max="105" width="8.7109375" customWidth="1"/>
    <col min="106" max="106" width="12" customWidth="1"/>
    <col min="107" max="109" width="8.7109375" customWidth="1"/>
    <col min="110" max="114" width="9.140625" style="104"/>
    <col min="115" max="16384" width="9.140625" style="184"/>
  </cols>
  <sheetData>
    <row r="1" spans="1:16345" s="174" customFormat="1" ht="12.75" customHeight="1">
      <c r="A1" s="213"/>
      <c r="B1" s="538">
        <v>2005</v>
      </c>
      <c r="C1" s="102"/>
      <c r="D1" s="102"/>
      <c r="E1" s="102"/>
      <c r="F1" s="59" t="s">
        <v>10</v>
      </c>
      <c r="G1" s="102">
        <v>2006</v>
      </c>
      <c r="H1" s="102"/>
      <c r="I1" s="102"/>
      <c r="J1" s="102"/>
      <c r="K1" s="59" t="s">
        <v>10</v>
      </c>
      <c r="L1" s="102">
        <v>2007</v>
      </c>
      <c r="M1" s="102"/>
      <c r="N1" s="102"/>
      <c r="O1" s="102"/>
      <c r="P1" s="59" t="s">
        <v>10</v>
      </c>
      <c r="Q1" s="102">
        <v>2008</v>
      </c>
      <c r="R1" s="102"/>
      <c r="S1" s="102"/>
      <c r="T1" s="102"/>
      <c r="U1" s="59" t="s">
        <v>10</v>
      </c>
      <c r="V1" s="102">
        <v>2009</v>
      </c>
      <c r="W1" s="102"/>
      <c r="X1" s="102"/>
      <c r="Y1" s="102"/>
      <c r="Z1" s="59" t="s">
        <v>10</v>
      </c>
      <c r="AA1" s="102">
        <v>2010</v>
      </c>
      <c r="AB1" s="102"/>
      <c r="AC1" s="102"/>
      <c r="AD1" s="102"/>
      <c r="AE1" s="59" t="s">
        <v>10</v>
      </c>
      <c r="AF1" s="102">
        <v>2011</v>
      </c>
      <c r="AG1" s="102"/>
      <c r="AH1" s="102"/>
      <c r="AI1" s="102"/>
      <c r="AJ1" s="59" t="s">
        <v>10</v>
      </c>
      <c r="AK1" s="102">
        <f>+AF1+1</f>
        <v>2012</v>
      </c>
      <c r="AL1" s="102"/>
      <c r="AM1" s="102"/>
      <c r="AN1" s="102"/>
      <c r="AO1" s="59" t="s">
        <v>10</v>
      </c>
      <c r="AP1" s="102">
        <f>+AK1+1</f>
        <v>2013</v>
      </c>
      <c r="AQ1" s="102"/>
      <c r="AR1" s="102"/>
      <c r="AS1" s="102"/>
      <c r="AT1" s="59" t="s">
        <v>10</v>
      </c>
      <c r="AU1" s="102">
        <f>+AP1+1</f>
        <v>2014</v>
      </c>
      <c r="AV1" s="102"/>
      <c r="AW1" s="102"/>
      <c r="AX1" s="102"/>
      <c r="AY1" s="578" t="s">
        <v>10</v>
      </c>
      <c r="AZ1" s="538">
        <f>+AU1+1</f>
        <v>2015</v>
      </c>
      <c r="BA1" s="102"/>
      <c r="BB1" s="102"/>
      <c r="BC1" s="102"/>
      <c r="BD1" s="1931" t="s">
        <v>10</v>
      </c>
      <c r="BE1" s="102">
        <f>+AZ1+1</f>
        <v>2016</v>
      </c>
      <c r="BF1" s="102"/>
      <c r="BG1" s="102"/>
      <c r="BH1" s="102"/>
      <c r="BI1" s="59" t="s">
        <v>10</v>
      </c>
      <c r="BJ1" s="102">
        <v>2017</v>
      </c>
      <c r="BK1" s="102"/>
      <c r="BL1" s="102"/>
      <c r="BM1" s="102"/>
      <c r="BN1" s="59" t="s">
        <v>10</v>
      </c>
      <c r="BO1" s="102">
        <v>2018</v>
      </c>
      <c r="BP1" s="102"/>
      <c r="BQ1" s="102"/>
      <c r="BR1" s="102"/>
      <c r="BS1" s="59" t="s">
        <v>10</v>
      </c>
      <c r="BT1" s="102"/>
      <c r="BU1" s="102"/>
      <c r="BV1" s="102"/>
      <c r="BW1" s="102"/>
      <c r="BX1" s="59" t="s">
        <v>10</v>
      </c>
      <c r="BY1" s="102"/>
      <c r="BZ1" s="102"/>
      <c r="CA1" s="102"/>
      <c r="CB1" s="102"/>
      <c r="CC1" s="59" t="s">
        <v>10</v>
      </c>
      <c r="CD1" s="53"/>
      <c r="CE1" s="53"/>
      <c r="CF1" s="171" t="s">
        <v>109</v>
      </c>
      <c r="CG1" s="171" t="s">
        <v>110</v>
      </c>
      <c r="CH1" s="171" t="s">
        <v>111</v>
      </c>
      <c r="CI1" s="237" t="s">
        <v>112</v>
      </c>
      <c r="CJ1" s="2202"/>
      <c r="CK1" s="2069"/>
      <c r="CL1" s="2134" t="s">
        <v>559</v>
      </c>
      <c r="CM1" s="2134"/>
      <c r="CN1" s="2134"/>
      <c r="CO1" s="2134"/>
      <c r="CP1" s="2134"/>
      <c r="CQ1" s="480" t="s">
        <v>114</v>
      </c>
      <c r="CR1" s="153"/>
      <c r="CS1" s="53"/>
      <c r="CT1" s="53"/>
      <c r="CU1" s="53"/>
      <c r="CV1" s="53"/>
      <c r="CW1" s="53"/>
      <c r="CX1" s="53"/>
      <c r="CY1" s="53"/>
      <c r="CZ1"/>
      <c r="DA1"/>
      <c r="DB1"/>
      <c r="DC1"/>
      <c r="DD1"/>
      <c r="DE1"/>
      <c r="DF1" s="7"/>
      <c r="DG1" s="7"/>
      <c r="DH1" s="7"/>
      <c r="DI1" s="7"/>
      <c r="DJ1" s="7"/>
    </row>
    <row r="2" spans="1:16345" s="174" customFormat="1" ht="12.75" customHeight="1">
      <c r="A2" s="150" t="s">
        <v>124</v>
      </c>
      <c r="B2" s="539" t="s">
        <v>11</v>
      </c>
      <c r="C2" s="151" t="s">
        <v>12</v>
      </c>
      <c r="D2" s="151" t="s">
        <v>13</v>
      </c>
      <c r="E2" s="151" t="s">
        <v>14</v>
      </c>
      <c r="F2" s="73" t="s">
        <v>32</v>
      </c>
      <c r="G2" s="151" t="s">
        <v>11</v>
      </c>
      <c r="H2" s="151" t="s">
        <v>12</v>
      </c>
      <c r="I2" s="151" t="s">
        <v>13</v>
      </c>
      <c r="J2" s="151" t="s">
        <v>14</v>
      </c>
      <c r="K2" s="73" t="s">
        <v>33</v>
      </c>
      <c r="L2" s="151" t="s">
        <v>11</v>
      </c>
      <c r="M2" s="151" t="s">
        <v>12</v>
      </c>
      <c r="N2" s="151" t="s">
        <v>13</v>
      </c>
      <c r="O2" s="151" t="s">
        <v>14</v>
      </c>
      <c r="P2" s="73" t="s">
        <v>34</v>
      </c>
      <c r="Q2" s="151" t="s">
        <v>11</v>
      </c>
      <c r="R2" s="151" t="s">
        <v>12</v>
      </c>
      <c r="S2" s="151" t="s">
        <v>13</v>
      </c>
      <c r="T2" s="151" t="s">
        <v>14</v>
      </c>
      <c r="U2" s="73" t="s">
        <v>38</v>
      </c>
      <c r="V2" s="151" t="s">
        <v>11</v>
      </c>
      <c r="W2" s="151" t="s">
        <v>12</v>
      </c>
      <c r="X2" s="151" t="s">
        <v>13</v>
      </c>
      <c r="Y2" s="151" t="s">
        <v>14</v>
      </c>
      <c r="Z2" s="73" t="s">
        <v>37</v>
      </c>
      <c r="AA2" s="151" t="s">
        <v>11</v>
      </c>
      <c r="AB2" s="151" t="s">
        <v>12</v>
      </c>
      <c r="AC2" s="151" t="s">
        <v>13</v>
      </c>
      <c r="AD2" s="151" t="s">
        <v>14</v>
      </c>
      <c r="AE2" s="73" t="s">
        <v>82</v>
      </c>
      <c r="AF2" s="151" t="s">
        <v>11</v>
      </c>
      <c r="AG2" s="151" t="s">
        <v>12</v>
      </c>
      <c r="AH2" s="151" t="s">
        <v>13</v>
      </c>
      <c r="AI2" s="151" t="s">
        <v>14</v>
      </c>
      <c r="AJ2" s="73" t="s">
        <v>108</v>
      </c>
      <c r="AK2" s="151" t="s">
        <v>11</v>
      </c>
      <c r="AL2" s="151" t="s">
        <v>12</v>
      </c>
      <c r="AM2" s="151" t="s">
        <v>13</v>
      </c>
      <c r="AN2" s="151" t="s">
        <v>14</v>
      </c>
      <c r="AO2" s="73" t="s">
        <v>172</v>
      </c>
      <c r="AP2" s="151" t="s">
        <v>11</v>
      </c>
      <c r="AQ2" s="151" t="s">
        <v>12</v>
      </c>
      <c r="AR2" s="151" t="s">
        <v>13</v>
      </c>
      <c r="AS2" s="151" t="s">
        <v>14</v>
      </c>
      <c r="AT2" s="73" t="s">
        <v>179</v>
      </c>
      <c r="AU2" s="151" t="s">
        <v>11</v>
      </c>
      <c r="AV2" s="151" t="s">
        <v>12</v>
      </c>
      <c r="AW2" s="151" t="s">
        <v>13</v>
      </c>
      <c r="AX2" s="151" t="s">
        <v>14</v>
      </c>
      <c r="AY2" s="539" t="s">
        <v>183</v>
      </c>
      <c r="AZ2" s="539" t="s">
        <v>11</v>
      </c>
      <c r="BA2" s="151" t="s">
        <v>12</v>
      </c>
      <c r="BB2" s="151" t="s">
        <v>13</v>
      </c>
      <c r="BC2" s="151" t="s">
        <v>14</v>
      </c>
      <c r="BD2" s="1932" t="s">
        <v>540</v>
      </c>
      <c r="BE2" s="1929" t="s">
        <v>11</v>
      </c>
      <c r="BF2" s="151" t="s">
        <v>12</v>
      </c>
      <c r="BG2" s="151" t="s">
        <v>13</v>
      </c>
      <c r="BH2" s="151" t="s">
        <v>14</v>
      </c>
      <c r="BI2" s="2412">
        <v>2016</v>
      </c>
      <c r="BJ2" s="151" t="s">
        <v>11</v>
      </c>
      <c r="BK2" s="151" t="s">
        <v>12</v>
      </c>
      <c r="BL2" s="151" t="s">
        <v>13</v>
      </c>
      <c r="BM2" s="151" t="s">
        <v>14</v>
      </c>
      <c r="BN2" s="2412">
        <f>+BI2+1</f>
        <v>2017</v>
      </c>
      <c r="BO2" s="151" t="s">
        <v>117</v>
      </c>
      <c r="BP2" s="151" t="s">
        <v>118</v>
      </c>
      <c r="BQ2" s="151" t="s">
        <v>35</v>
      </c>
      <c r="BR2" s="151" t="s">
        <v>15</v>
      </c>
      <c r="BS2" s="73" t="s">
        <v>209</v>
      </c>
      <c r="BT2" s="151"/>
      <c r="BU2" s="151"/>
      <c r="BV2" s="151"/>
      <c r="BW2" s="151"/>
      <c r="BX2" s="73" t="s">
        <v>210</v>
      </c>
      <c r="BY2" s="151"/>
      <c r="BZ2" s="151"/>
      <c r="CA2" s="151"/>
      <c r="CB2" s="151"/>
      <c r="CC2" s="73" t="s">
        <v>211</v>
      </c>
      <c r="CD2" s="53"/>
      <c r="CE2" s="53"/>
      <c r="CF2" s="172" t="s">
        <v>113</v>
      </c>
      <c r="CG2" s="172" t="s">
        <v>113</v>
      </c>
      <c r="CH2" s="172" t="s">
        <v>113</v>
      </c>
      <c r="CI2" s="238" t="s">
        <v>113</v>
      </c>
      <c r="CJ2" s="2202"/>
      <c r="CK2" s="2069"/>
      <c r="CL2" s="2068" t="s">
        <v>487</v>
      </c>
      <c r="CM2" s="2068" t="s">
        <v>208</v>
      </c>
      <c r="CN2" s="2068" t="s">
        <v>560</v>
      </c>
      <c r="CO2" s="2068" t="s">
        <v>174</v>
      </c>
      <c r="CP2" s="2068" t="s">
        <v>561</v>
      </c>
      <c r="CQ2" s="153"/>
      <c r="CR2" s="153"/>
      <c r="CS2" s="53"/>
      <c r="CT2" s="53"/>
      <c r="CU2" s="53"/>
      <c r="CV2" s="53"/>
      <c r="CW2" s="53"/>
      <c r="CX2" s="53"/>
      <c r="CY2" s="53"/>
      <c r="CZ2"/>
      <c r="DA2"/>
      <c r="DB2"/>
      <c r="DC2"/>
      <c r="DD2"/>
      <c r="DE2"/>
      <c r="DF2" s="7"/>
      <c r="DG2" s="7"/>
      <c r="DH2" s="7"/>
      <c r="DI2" s="7"/>
      <c r="DJ2" s="7"/>
    </row>
    <row r="3" spans="1:16345" s="218" customFormat="1" ht="12.75" customHeight="1">
      <c r="A3" s="214" t="s">
        <v>84</v>
      </c>
      <c r="B3" s="540"/>
      <c r="C3" s="215"/>
      <c r="D3" s="215"/>
      <c r="E3" s="215"/>
      <c r="F3" s="216"/>
      <c r="G3" s="215"/>
      <c r="H3" s="215"/>
      <c r="I3" s="215"/>
      <c r="J3" s="215"/>
      <c r="K3" s="216"/>
      <c r="L3" s="215"/>
      <c r="M3" s="215"/>
      <c r="N3" s="215"/>
      <c r="O3" s="215"/>
      <c r="P3" s="216"/>
      <c r="Q3" s="215"/>
      <c r="R3" s="215"/>
      <c r="S3" s="215"/>
      <c r="T3" s="215"/>
      <c r="U3" s="216"/>
      <c r="V3" s="215"/>
      <c r="W3" s="215"/>
      <c r="X3" s="215"/>
      <c r="Y3" s="215"/>
      <c r="Z3" s="216"/>
      <c r="AA3" s="215"/>
      <c r="AB3" s="215"/>
      <c r="AC3" s="215"/>
      <c r="AD3" s="215"/>
      <c r="AE3" s="216"/>
      <c r="AF3" s="215"/>
      <c r="AG3" s="215"/>
      <c r="AH3" s="215"/>
      <c r="AI3" s="215"/>
      <c r="AJ3" s="216"/>
      <c r="AK3" s="215"/>
      <c r="AL3" s="215"/>
      <c r="AM3" s="215"/>
      <c r="AN3" s="215"/>
      <c r="AO3" s="216"/>
      <c r="AP3" s="215"/>
      <c r="AQ3" s="215"/>
      <c r="AR3" s="215"/>
      <c r="AS3" s="215"/>
      <c r="AT3" s="216"/>
      <c r="AU3" s="215"/>
      <c r="AV3" s="215"/>
      <c r="AW3" s="215"/>
      <c r="AX3" s="215"/>
      <c r="AY3" s="540"/>
      <c r="AZ3" s="540"/>
      <c r="BA3" s="215"/>
      <c r="BB3" s="215"/>
      <c r="BC3" s="215"/>
      <c r="BD3" s="1933"/>
      <c r="BE3" s="215"/>
      <c r="BF3" s="215"/>
      <c r="BG3" s="215"/>
      <c r="BH3" s="215"/>
      <c r="BI3" s="2201"/>
      <c r="BJ3" s="215"/>
      <c r="BK3" s="215"/>
      <c r="BL3" s="215"/>
      <c r="BM3" s="215"/>
      <c r="BN3" s="2201"/>
      <c r="BO3" s="215"/>
      <c r="BP3" s="215"/>
      <c r="BQ3" s="215"/>
      <c r="BR3" s="215"/>
      <c r="BS3" s="216"/>
      <c r="BT3" s="215"/>
      <c r="BU3" s="215"/>
      <c r="BV3" s="215"/>
      <c r="BW3" s="215"/>
      <c r="BX3" s="216"/>
      <c r="BY3" s="215"/>
      <c r="BZ3" s="215"/>
      <c r="CA3" s="215"/>
      <c r="CB3" s="215"/>
      <c r="CC3" s="216"/>
      <c r="CD3" s="215"/>
      <c r="CE3" s="215"/>
      <c r="CF3" s="414"/>
      <c r="CG3" s="414"/>
      <c r="CH3" s="414"/>
      <c r="CI3" s="415"/>
      <c r="CJ3" s="110"/>
      <c r="CK3" s="2070"/>
      <c r="CL3" s="110"/>
      <c r="CM3" s="110"/>
      <c r="CN3" s="110"/>
      <c r="CO3" s="110"/>
      <c r="CP3" s="110"/>
      <c r="CQ3" s="139"/>
      <c r="CR3" s="139"/>
      <c r="CZ3"/>
      <c r="DA3"/>
      <c r="DB3"/>
      <c r="DC3"/>
      <c r="DD3"/>
      <c r="DE3"/>
    </row>
    <row r="4" spans="1:16345" s="176" customFormat="1" ht="12.75" customHeight="1">
      <c r="A4" s="54" t="s">
        <v>89</v>
      </c>
      <c r="B4" s="541"/>
      <c r="C4" s="252"/>
      <c r="D4" s="252"/>
      <c r="E4" s="252"/>
      <c r="F4" s="253"/>
      <c r="G4" s="252"/>
      <c r="H4" s="252"/>
      <c r="I4" s="252"/>
      <c r="J4" s="252"/>
      <c r="K4" s="253"/>
      <c r="L4" s="252"/>
      <c r="M4" s="252"/>
      <c r="N4" s="252"/>
      <c r="O4" s="252"/>
      <c r="P4" s="253"/>
      <c r="Q4" s="252"/>
      <c r="R4" s="252"/>
      <c r="S4" s="252"/>
      <c r="T4" s="252"/>
      <c r="U4" s="253"/>
      <c r="V4" s="252"/>
      <c r="W4" s="252"/>
      <c r="X4" s="252"/>
      <c r="Y4" s="252"/>
      <c r="Z4" s="253"/>
      <c r="AA4" s="252"/>
      <c r="AB4" s="252"/>
      <c r="AC4" s="252"/>
      <c r="AD4" s="252"/>
      <c r="AE4" s="253"/>
      <c r="AF4" s="252"/>
      <c r="AG4" s="252"/>
      <c r="AH4" s="252"/>
      <c r="AI4" s="252"/>
      <c r="AJ4" s="253"/>
      <c r="AK4" s="252"/>
      <c r="AL4" s="252"/>
      <c r="AM4" s="252"/>
      <c r="AN4" s="252"/>
      <c r="AO4" s="253"/>
      <c r="AP4" s="252"/>
      <c r="AQ4" s="252"/>
      <c r="AR4" s="252"/>
      <c r="AS4" s="252"/>
      <c r="AT4" s="253"/>
      <c r="AU4" s="252"/>
      <c r="AV4" s="252"/>
      <c r="AW4" s="252"/>
      <c r="AX4" s="252"/>
      <c r="AY4" s="579"/>
      <c r="AZ4" s="541"/>
      <c r="BA4" s="252"/>
      <c r="BB4" s="252"/>
      <c r="BC4" s="652"/>
      <c r="BD4" s="1934"/>
      <c r="BE4" s="252"/>
      <c r="BF4" s="252"/>
      <c r="BG4" s="252"/>
      <c r="BH4" s="252"/>
      <c r="BI4" s="1934"/>
      <c r="BJ4" s="252"/>
      <c r="BK4" s="252"/>
      <c r="BL4" s="252"/>
      <c r="BM4" s="252"/>
      <c r="BN4" s="1934"/>
      <c r="BO4" s="252"/>
      <c r="BP4" s="252"/>
      <c r="BQ4" s="252"/>
      <c r="BR4" s="252"/>
      <c r="BS4" s="1934"/>
      <c r="BT4" s="252"/>
      <c r="BU4" s="252"/>
      <c r="BV4" s="252"/>
      <c r="BW4" s="252"/>
      <c r="BX4" s="253"/>
      <c r="BY4" s="252"/>
      <c r="BZ4" s="252"/>
      <c r="CA4" s="252"/>
      <c r="CB4" s="252"/>
      <c r="CC4" s="253"/>
      <c r="CD4" s="223"/>
      <c r="CE4" s="224"/>
      <c r="CF4" s="225"/>
      <c r="CG4" s="225"/>
      <c r="CH4" s="225"/>
      <c r="CI4" s="240"/>
      <c r="CJ4" s="223"/>
      <c r="CK4" s="2071"/>
      <c r="CL4" s="252"/>
      <c r="CM4" s="252"/>
      <c r="CN4" s="252"/>
      <c r="CO4" s="252"/>
      <c r="CP4" s="252"/>
      <c r="CQ4" s="40"/>
      <c r="CR4" s="40"/>
      <c r="CS4" s="16"/>
      <c r="CT4" s="16"/>
      <c r="CU4" s="16"/>
      <c r="CV4" s="16"/>
      <c r="CW4" s="16"/>
      <c r="CX4" s="16"/>
      <c r="CY4" s="141"/>
      <c r="CZ4"/>
      <c r="DA4"/>
      <c r="DB4"/>
      <c r="DC4"/>
      <c r="DD4"/>
      <c r="DE4"/>
      <c r="DF4" s="8"/>
      <c r="DG4" s="8"/>
      <c r="DH4" s="8"/>
      <c r="DI4" s="8"/>
      <c r="DJ4" s="8"/>
    </row>
    <row r="5" spans="1:16345" s="262" customFormat="1" ht="12.75" customHeight="1" collapsed="1">
      <c r="A5" s="257" t="s">
        <v>187</v>
      </c>
      <c r="B5" s="542"/>
      <c r="C5" s="258"/>
      <c r="D5" s="258"/>
      <c r="E5" s="258"/>
      <c r="F5" s="259"/>
      <c r="G5" s="258">
        <f t="shared" ref="G5:AY5" si="0">+G12+G17+G14+G19+G31</f>
        <v>9.5549999999999997</v>
      </c>
      <c r="H5" s="258">
        <f t="shared" si="0"/>
        <v>11.120000000000001</v>
      </c>
      <c r="I5" s="258">
        <f t="shared" si="0"/>
        <v>10.850999999999999</v>
      </c>
      <c r="J5" s="258">
        <f t="shared" si="0"/>
        <v>10.664999999999996</v>
      </c>
      <c r="K5" s="259">
        <f t="shared" si="0"/>
        <v>42.190999999999995</v>
      </c>
      <c r="L5" s="258">
        <f t="shared" si="0"/>
        <v>11.493</v>
      </c>
      <c r="M5" s="258">
        <f t="shared" si="0"/>
        <v>13.841999999999999</v>
      </c>
      <c r="N5" s="258">
        <f t="shared" si="0"/>
        <v>13.359</v>
      </c>
      <c r="O5" s="258">
        <f t="shared" si="0"/>
        <v>12.811</v>
      </c>
      <c r="P5" s="259">
        <f t="shared" si="0"/>
        <v>51.505000000000003</v>
      </c>
      <c r="Q5" s="258">
        <f t="shared" si="0"/>
        <v>23.716000000000001</v>
      </c>
      <c r="R5" s="258">
        <f t="shared" si="0"/>
        <v>29.675000000000001</v>
      </c>
      <c r="S5" s="258">
        <f t="shared" si="0"/>
        <v>31.116999999999997</v>
      </c>
      <c r="T5" s="258">
        <f t="shared" si="0"/>
        <v>24.954000000000001</v>
      </c>
      <c r="U5" s="259">
        <f t="shared" si="0"/>
        <v>109.462</v>
      </c>
      <c r="V5" s="258">
        <f t="shared" si="0"/>
        <v>20.072000000000003</v>
      </c>
      <c r="W5" s="258">
        <f t="shared" si="0"/>
        <v>22.242999999999995</v>
      </c>
      <c r="X5" s="258">
        <f t="shared" si="0"/>
        <v>26.210999999999999</v>
      </c>
      <c r="Y5" s="258">
        <f t="shared" si="0"/>
        <v>31.61</v>
      </c>
      <c r="Z5" s="259">
        <f t="shared" si="0"/>
        <v>100.136</v>
      </c>
      <c r="AA5" s="258">
        <f t="shared" si="0"/>
        <v>31.641999999999996</v>
      </c>
      <c r="AB5" s="258">
        <f t="shared" si="0"/>
        <v>40.340000000000003</v>
      </c>
      <c r="AC5" s="258">
        <f t="shared" si="0"/>
        <v>44.447999999999993</v>
      </c>
      <c r="AD5" s="258">
        <f t="shared" si="0"/>
        <v>41.557000000000002</v>
      </c>
      <c r="AE5" s="259">
        <f t="shared" si="0"/>
        <v>157.98699999999999</v>
      </c>
      <c r="AF5" s="260">
        <f t="shared" si="0"/>
        <v>41.508000000000003</v>
      </c>
      <c r="AG5" s="260">
        <f t="shared" si="0"/>
        <v>44.093999999999994</v>
      </c>
      <c r="AH5" s="260">
        <f t="shared" si="0"/>
        <v>47.38900000000001</v>
      </c>
      <c r="AI5" s="260">
        <f t="shared" si="0"/>
        <v>44.084999999999994</v>
      </c>
      <c r="AJ5" s="259">
        <f t="shared" si="0"/>
        <v>177.07600000000002</v>
      </c>
      <c r="AK5" s="260">
        <f t="shared" si="0"/>
        <v>44.56</v>
      </c>
      <c r="AL5" s="260">
        <f t="shared" si="0"/>
        <v>54.54</v>
      </c>
      <c r="AM5" s="260">
        <f t="shared" si="0"/>
        <v>70.988</v>
      </c>
      <c r="AN5" s="260">
        <f t="shared" si="0"/>
        <v>108.50299999999999</v>
      </c>
      <c r="AO5" s="259">
        <f t="shared" si="0"/>
        <v>278.59100000000007</v>
      </c>
      <c r="AP5" s="260">
        <f t="shared" si="0"/>
        <v>113.999</v>
      </c>
      <c r="AQ5" s="260">
        <f t="shared" si="0"/>
        <v>137.09100000000001</v>
      </c>
      <c r="AR5" s="260">
        <f t="shared" si="0"/>
        <v>193.98200000000003</v>
      </c>
      <c r="AS5" s="260">
        <f t="shared" si="0"/>
        <v>257.23099999999999</v>
      </c>
      <c r="AT5" s="259">
        <f t="shared" si="0"/>
        <v>702.30300000000011</v>
      </c>
      <c r="AU5" s="260">
        <f t="shared" si="0"/>
        <v>282.40300000000002</v>
      </c>
      <c r="AV5" s="260">
        <f t="shared" si="0"/>
        <v>581.00900000000001</v>
      </c>
      <c r="AW5" s="260">
        <f t="shared" si="0"/>
        <v>612.35</v>
      </c>
      <c r="AX5" s="260">
        <f t="shared" si="0"/>
        <v>664.2</v>
      </c>
      <c r="AY5" s="544">
        <f t="shared" si="0"/>
        <v>2139.962</v>
      </c>
      <c r="AZ5" s="602">
        <f>AZ9+AZ17+AZ19+AZ31+AZ22+AZ27+AZ33</f>
        <v>562.19999999999993</v>
      </c>
      <c r="BA5" s="500">
        <f>BA9+BA17+BA19+BA31+BA22+BA27+BA33</f>
        <v>861.19999999999993</v>
      </c>
      <c r="BB5" s="500">
        <f>BB9+BB17+BB19+BB31+BB22+BB27+BB33</f>
        <v>1396.8000000000002</v>
      </c>
      <c r="BC5" s="500">
        <f>BC9+BC17+BC19+BC31+BC22+BC27+BC33</f>
        <v>2104</v>
      </c>
      <c r="BD5" s="2153">
        <f>+SUM(AZ5:BC5)</f>
        <v>4924.2</v>
      </c>
      <c r="BE5" s="500">
        <f>BE9+BE17+BE19+BE31+BE22+BE27+BE33</f>
        <v>2297.3999999999996</v>
      </c>
      <c r="BF5" s="500">
        <f>BF9+BF17+BF19+BF31+BF22+BF27+BF33</f>
        <v>2418.9</v>
      </c>
      <c r="BG5" s="500">
        <f>BG9+BG17+BG19+BG31+BG22+BG27+BG33</f>
        <v>2409.1</v>
      </c>
      <c r="BH5" s="500">
        <f>BH9+BH17+BH19+BH31+BH22+BH27+BH33</f>
        <v>2331.9</v>
      </c>
      <c r="BI5" s="2153">
        <f>+SUM(BE5:BH5)</f>
        <v>9457.2999999999993</v>
      </c>
      <c r="BJ5" s="500">
        <f>BJ9+BJ17+BJ19+BJ31+BJ22+BJ27+BJ33</f>
        <v>2277.1999999999998</v>
      </c>
      <c r="BK5" s="500">
        <f>BK9+BK17+BK19+BK31+BK22+BK27+BK33</f>
        <v>2405.1999999999998</v>
      </c>
      <c r="BL5" s="500">
        <f>BL9+BL17+BL19+BL31+BL22+BL27+BL33</f>
        <v>2469.8000000000002</v>
      </c>
      <c r="BM5" s="500">
        <f>BM9+BM17+BM19+BM31+BM22+BM27+BM33</f>
        <v>2668.2999999999997</v>
      </c>
      <c r="BN5" s="2153">
        <f>+SUM(BJ5:BM5)</f>
        <v>9820.5</v>
      </c>
      <c r="BO5" s="602">
        <f>BO9+BO17+BO19+BO31+BO22+BO29+BO33</f>
        <v>2682.4726166444561</v>
      </c>
      <c r="BP5" s="500">
        <f t="shared" ref="BP5:BR5" si="1">BP9+BP17+BP19+BP31+BP22+BP29+BP33</f>
        <v>2825.0383891783258</v>
      </c>
      <c r="BQ5" s="500">
        <f t="shared" si="1"/>
        <v>2821.5531189904759</v>
      </c>
      <c r="BR5" s="2232">
        <f t="shared" si="1"/>
        <v>2900.2854623787598</v>
      </c>
      <c r="BS5" s="2153">
        <f>+SUM(BO5:BR5)</f>
        <v>11229.349587192017</v>
      </c>
      <c r="BT5" s="500">
        <f t="shared" ref="BT5:BW5" si="2">BT9+BT17+BT19+BT31+BT22+BT27+BT33</f>
        <v>0</v>
      </c>
      <c r="BU5" s="500">
        <f t="shared" si="2"/>
        <v>0</v>
      </c>
      <c r="BV5" s="500">
        <f t="shared" si="2"/>
        <v>0</v>
      </c>
      <c r="BW5" s="500">
        <f t="shared" si="2"/>
        <v>0</v>
      </c>
      <c r="BX5" s="2233">
        <f t="shared" ref="BX5:CC5" si="3">BX9+BX17+BX19+BX31+BX22+BX29+BX33</f>
        <v>12034.563750400572</v>
      </c>
      <c r="BY5" s="500">
        <f t="shared" si="3"/>
        <v>0</v>
      </c>
      <c r="BZ5" s="500">
        <f t="shared" si="3"/>
        <v>0</v>
      </c>
      <c r="CA5" s="500">
        <f t="shared" si="3"/>
        <v>0</v>
      </c>
      <c r="CB5" s="500">
        <f t="shared" si="3"/>
        <v>0</v>
      </c>
      <c r="CC5" s="2233">
        <f t="shared" si="3"/>
        <v>12913.745226349996</v>
      </c>
      <c r="CE5" s="263"/>
      <c r="CF5" s="264"/>
      <c r="CG5" s="264"/>
      <c r="CH5" s="264"/>
      <c r="CI5" s="265"/>
      <c r="CK5" s="2072"/>
      <c r="CL5" s="260">
        <f t="shared" ref="CL5:CL11" si="4">BM5</f>
        <v>2668.2999999999997</v>
      </c>
      <c r="CM5" s="260">
        <f t="shared" ref="CM5:CM11" si="5">BH5</f>
        <v>2331.9</v>
      </c>
      <c r="CN5" s="500">
        <v>2511.6313030011265</v>
      </c>
      <c r="CO5" s="2085">
        <f>IFERROR(($CL5/CM5)-1,"")</f>
        <v>0.14426004545649462</v>
      </c>
      <c r="CP5" s="2085">
        <f>IFERROR(($CL5/CN5)-1,"")</f>
        <v>6.2377267241283008E-2</v>
      </c>
      <c r="CQ5" s="16"/>
      <c r="CR5" s="40"/>
      <c r="CS5" s="258"/>
      <c r="CT5" s="258"/>
      <c r="CU5" s="258"/>
      <c r="CV5" s="258"/>
      <c r="CW5" s="258"/>
      <c r="CX5" s="258"/>
      <c r="CY5" s="263"/>
      <c r="CZ5"/>
      <c r="DA5"/>
      <c r="DB5"/>
      <c r="DC5"/>
      <c r="DD5"/>
      <c r="DE5"/>
      <c r="DF5" s="266"/>
      <c r="DG5" s="266"/>
      <c r="DH5" s="266"/>
      <c r="DI5" s="266"/>
      <c r="DJ5" s="266"/>
    </row>
    <row r="6" spans="1:16345" s="1" customFormat="1" ht="12.75" customHeight="1">
      <c r="A6" s="76" t="s">
        <v>85</v>
      </c>
      <c r="B6" s="368"/>
      <c r="C6" s="18"/>
      <c r="D6" s="18"/>
      <c r="E6" s="18"/>
      <c r="F6" s="60" t="str">
        <f>IF(ISERROR((F5-#REF!)/#REF!),"",(F5-#REF!)/#REF!)</f>
        <v/>
      </c>
      <c r="G6" s="18" t="str">
        <f t="shared" ref="G6:U6" si="6">IF(ISERROR((G5-B5)/B5),"",(G5-B5)/B5)</f>
        <v/>
      </c>
      <c r="H6" s="18" t="str">
        <f t="shared" si="6"/>
        <v/>
      </c>
      <c r="I6" s="18" t="str">
        <f t="shared" si="6"/>
        <v/>
      </c>
      <c r="J6" s="18" t="str">
        <f t="shared" si="6"/>
        <v/>
      </c>
      <c r="K6" s="60" t="str">
        <f t="shared" si="6"/>
        <v/>
      </c>
      <c r="L6" s="18">
        <f t="shared" si="6"/>
        <v>0.20282574568288861</v>
      </c>
      <c r="M6" s="18">
        <f t="shared" si="6"/>
        <v>0.24478417266187028</v>
      </c>
      <c r="N6" s="18">
        <f t="shared" si="6"/>
        <v>0.23113077135747867</v>
      </c>
      <c r="O6" s="18">
        <f t="shared" si="6"/>
        <v>0.20121894045944727</v>
      </c>
      <c r="P6" s="60">
        <f t="shared" si="6"/>
        <v>0.22075798156004856</v>
      </c>
      <c r="Q6" s="18">
        <f t="shared" si="6"/>
        <v>1.0635169233446446</v>
      </c>
      <c r="R6" s="18">
        <f t="shared" si="6"/>
        <v>1.1438375957231617</v>
      </c>
      <c r="S6" s="18">
        <f t="shared" si="6"/>
        <v>1.3292911146043862</v>
      </c>
      <c r="T6" s="18">
        <f t="shared" si="6"/>
        <v>0.94785731012411212</v>
      </c>
      <c r="U6" s="60">
        <f t="shared" si="6"/>
        <v>1.1252693913212308</v>
      </c>
      <c r="V6" s="18">
        <f t="shared" ref="V6:BB6" si="7">(V5-Q5)/Q5</f>
        <v>-0.15365154326193278</v>
      </c>
      <c r="W6" s="18">
        <f t="shared" si="7"/>
        <v>-0.25044650379107009</v>
      </c>
      <c r="X6" s="18">
        <f t="shared" si="7"/>
        <v>-0.15766301378667608</v>
      </c>
      <c r="Y6" s="18">
        <f t="shared" si="7"/>
        <v>0.26673078464374445</v>
      </c>
      <c r="Z6" s="60">
        <f t="shared" si="7"/>
        <v>-8.519851638011372E-2</v>
      </c>
      <c r="AA6" s="18">
        <f t="shared" si="7"/>
        <v>0.57642487046632085</v>
      </c>
      <c r="AB6" s="18">
        <f t="shared" si="7"/>
        <v>0.81360427999820228</v>
      </c>
      <c r="AC6" s="18">
        <f t="shared" si="7"/>
        <v>0.69577658235092121</v>
      </c>
      <c r="AD6" s="18">
        <f t="shared" si="7"/>
        <v>0.31467889908256891</v>
      </c>
      <c r="AE6" s="60">
        <f t="shared" si="7"/>
        <v>0.57772429495885602</v>
      </c>
      <c r="AF6" s="18">
        <f t="shared" si="7"/>
        <v>0.3118007711269834</v>
      </c>
      <c r="AG6" s="18">
        <f t="shared" si="7"/>
        <v>9.3058998512642294E-2</v>
      </c>
      <c r="AH6" s="18">
        <f t="shared" si="7"/>
        <v>6.6167206623470504E-2</v>
      </c>
      <c r="AI6" s="18">
        <f t="shared" si="7"/>
        <v>6.0832110113819365E-2</v>
      </c>
      <c r="AJ6" s="60">
        <f t="shared" si="7"/>
        <v>0.12082639710862304</v>
      </c>
      <c r="AK6" s="18">
        <f t="shared" si="7"/>
        <v>7.3527994603449928E-2</v>
      </c>
      <c r="AL6" s="18">
        <f t="shared" si="7"/>
        <v>0.23690297999727869</v>
      </c>
      <c r="AM6" s="18">
        <f t="shared" si="7"/>
        <v>0.49798476439680062</v>
      </c>
      <c r="AN6" s="18">
        <f t="shared" si="7"/>
        <v>1.4612226380855167</v>
      </c>
      <c r="AO6" s="60">
        <f t="shared" si="7"/>
        <v>0.57328491721068942</v>
      </c>
      <c r="AP6" s="18">
        <f t="shared" si="7"/>
        <v>1.5583258527827646</v>
      </c>
      <c r="AQ6" s="18">
        <f t="shared" si="7"/>
        <v>1.513586358635864</v>
      </c>
      <c r="AR6" s="18">
        <f t="shared" si="7"/>
        <v>1.7326026934129717</v>
      </c>
      <c r="AS6" s="18">
        <f t="shared" si="7"/>
        <v>1.3707270766706914</v>
      </c>
      <c r="AT6" s="60">
        <f t="shared" si="7"/>
        <v>1.5209105821796107</v>
      </c>
      <c r="AU6" s="18">
        <f t="shared" si="7"/>
        <v>1.4772410284300743</v>
      </c>
      <c r="AV6" s="18">
        <f t="shared" si="7"/>
        <v>3.2381264999161141</v>
      </c>
      <c r="AW6" s="18">
        <f t="shared" si="7"/>
        <v>2.1567361920178159</v>
      </c>
      <c r="AX6" s="18">
        <f t="shared" si="7"/>
        <v>1.5821149083897355</v>
      </c>
      <c r="AY6" s="368">
        <f t="shared" si="7"/>
        <v>2.0470637317511096</v>
      </c>
      <c r="AZ6" s="368">
        <f t="shared" si="7"/>
        <v>0.99077205270482216</v>
      </c>
      <c r="BA6" s="18">
        <f t="shared" si="7"/>
        <v>0.48224898409491057</v>
      </c>
      <c r="BB6" s="18">
        <f t="shared" si="7"/>
        <v>1.28104842002123</v>
      </c>
      <c r="BC6" s="18">
        <f t="shared" ref="BC6" si="8">(BC5-AX5)/AX5</f>
        <v>2.1677205660945496</v>
      </c>
      <c r="BD6" s="1936">
        <f t="shared" ref="BD6" si="9">(BD5-AY5)/AY5</f>
        <v>1.3010688974850955</v>
      </c>
      <c r="BE6" s="18">
        <f t="shared" ref="BE6:BG6" si="10">(BE5-AZ5)/AZ5</f>
        <v>3.0864461045891143</v>
      </c>
      <c r="BF6" s="18">
        <f t="shared" si="10"/>
        <v>1.8087552252670696</v>
      </c>
      <c r="BG6" s="18">
        <f t="shared" si="10"/>
        <v>0.72472794959908338</v>
      </c>
      <c r="BH6" s="18">
        <f t="shared" ref="BH6" si="11">(BH5-BC5)/BC5</f>
        <v>0.10831749049429662</v>
      </c>
      <c r="BI6" s="1936">
        <f t="shared" ref="BI6" si="12">(BI5-BD5)/BD5</f>
        <v>0.92057593111571412</v>
      </c>
      <c r="BJ6" s="18">
        <f>(BJ5-BE5)/BE5</f>
        <v>-8.7925480978496649E-3</v>
      </c>
      <c r="BK6" s="18">
        <f t="shared" ref="BK6:BL6" si="13">(BK5-BF5)/BF5</f>
        <v>-5.6637314481790373E-3</v>
      </c>
      <c r="BL6" s="18">
        <f t="shared" si="13"/>
        <v>2.5196131335353564E-2</v>
      </c>
      <c r="BM6" s="18">
        <f t="shared" ref="BM6" si="14">(BM5-BH5)/BH5</f>
        <v>0.14426004545649454</v>
      </c>
      <c r="BN6" s="1936">
        <f t="shared" ref="BN6" si="15">(BN5-BI5)/BI5</f>
        <v>3.8404195700675749E-2</v>
      </c>
      <c r="BO6" s="368">
        <f t="shared" ref="BO6" si="16">(BO5-BJ5)/BJ5</f>
        <v>0.17796970694030229</v>
      </c>
      <c r="BP6" s="18">
        <f t="shared" ref="BP6" si="17">(BP5-BK5)/BK5</f>
        <v>0.17455446082584652</v>
      </c>
      <c r="BQ6" s="18">
        <f t="shared" ref="BQ6:BS6" si="18">(BQ5-BL5)/BL5</f>
        <v>0.14242170175337102</v>
      </c>
      <c r="BR6" s="2162">
        <f t="shared" si="18"/>
        <v>8.6941296847715815E-2</v>
      </c>
      <c r="BS6" s="1936">
        <f t="shared" si="18"/>
        <v>0.14346006692042326</v>
      </c>
      <c r="BT6" s="20"/>
      <c r="BU6" s="20"/>
      <c r="BV6" s="20"/>
      <c r="BW6" s="20"/>
      <c r="BX6" s="450">
        <f>(BX5-BS5)/BS5</f>
        <v>7.1706215658916425E-2</v>
      </c>
      <c r="BY6" s="20"/>
      <c r="BZ6" s="20"/>
      <c r="CA6" s="20"/>
      <c r="CB6" s="20"/>
      <c r="CC6" s="450">
        <f>(CC5-BX5)/BX5</f>
        <v>7.3054702620205983E-2</v>
      </c>
      <c r="CD6" s="191"/>
      <c r="CE6" s="111"/>
      <c r="CF6" s="173"/>
      <c r="CG6" s="173"/>
      <c r="CH6" s="173"/>
      <c r="CI6" s="239"/>
      <c r="CJ6" s="177"/>
      <c r="CK6" s="2070"/>
      <c r="CL6" s="18">
        <f t="shared" si="4"/>
        <v>0.14426004545649454</v>
      </c>
      <c r="CM6" s="18">
        <f t="shared" si="5"/>
        <v>0.10831749049429662</v>
      </c>
      <c r="CN6" s="18">
        <v>7.707504738673461E-2</v>
      </c>
      <c r="CO6" s="2107">
        <f>IFERROR(($CL6-CM6)*10000,"")</f>
        <v>359.4255496219792</v>
      </c>
      <c r="CP6" s="2107">
        <f>IFERROR(($CL6-CN6)*10000,"")</f>
        <v>671.84998069759934</v>
      </c>
      <c r="CQ6" s="44"/>
      <c r="CR6" s="40"/>
      <c r="CS6" s="476"/>
      <c r="CT6" s="484"/>
      <c r="CU6" s="40"/>
      <c r="CV6" s="40"/>
      <c r="CW6" s="40"/>
      <c r="CX6" s="40"/>
      <c r="CY6" s="139"/>
      <c r="CZ6"/>
      <c r="DA6"/>
      <c r="DB6"/>
      <c r="DC6"/>
      <c r="DD6"/>
      <c r="DE6"/>
      <c r="DF6" s="3"/>
      <c r="DG6" s="3"/>
      <c r="DH6" s="3"/>
      <c r="DI6" s="3"/>
      <c r="DJ6" s="3"/>
    </row>
    <row r="7" spans="1:16345" s="657" customFormat="1" ht="12.75" customHeight="1" collapsed="1">
      <c r="A7" s="655" t="s">
        <v>589</v>
      </c>
      <c r="B7" s="656"/>
      <c r="F7" s="658">
        <f>+F9+F12</f>
        <v>79.695999999999998</v>
      </c>
      <c r="G7" s="657">
        <f t="shared" ref="G7:AY7" si="19">+G9+G12</f>
        <v>19.11</v>
      </c>
      <c r="H7" s="657">
        <f t="shared" si="19"/>
        <v>22.240000000000002</v>
      </c>
      <c r="I7" s="657">
        <f t="shared" si="19"/>
        <v>21.701999999999998</v>
      </c>
      <c r="J7" s="657">
        <f t="shared" si="19"/>
        <v>21.329999999999991</v>
      </c>
      <c r="K7" s="658">
        <f t="shared" si="19"/>
        <v>84.381999999999991</v>
      </c>
      <c r="L7" s="657">
        <f t="shared" si="19"/>
        <v>22.986000000000001</v>
      </c>
      <c r="M7" s="657">
        <f t="shared" si="19"/>
        <v>27.683999999999997</v>
      </c>
      <c r="N7" s="657">
        <f t="shared" si="19"/>
        <v>26.718</v>
      </c>
      <c r="O7" s="657">
        <f t="shared" si="19"/>
        <v>25.622</v>
      </c>
      <c r="P7" s="658">
        <f t="shared" si="19"/>
        <v>103.01</v>
      </c>
      <c r="Q7" s="657">
        <f t="shared" si="19"/>
        <v>26.518999999999998</v>
      </c>
      <c r="R7" s="657">
        <f t="shared" si="19"/>
        <v>30.262999999999998</v>
      </c>
      <c r="S7" s="657">
        <f t="shared" si="19"/>
        <v>31.387</v>
      </c>
      <c r="T7" s="657">
        <f t="shared" si="19"/>
        <v>24.12</v>
      </c>
      <c r="U7" s="658">
        <f t="shared" si="19"/>
        <v>112.28899999999999</v>
      </c>
      <c r="V7" s="657">
        <f t="shared" si="19"/>
        <v>19.555999999999997</v>
      </c>
      <c r="W7" s="657">
        <f t="shared" si="19"/>
        <v>22.411999999999999</v>
      </c>
      <c r="X7" s="657">
        <f t="shared" si="19"/>
        <v>32.484999999999999</v>
      </c>
      <c r="Y7" s="657">
        <f t="shared" si="19"/>
        <v>37.256</v>
      </c>
      <c r="Z7" s="658">
        <f t="shared" si="19"/>
        <v>111.709</v>
      </c>
      <c r="AA7" s="657">
        <f t="shared" si="19"/>
        <v>35.546999999999997</v>
      </c>
      <c r="AB7" s="657">
        <f t="shared" si="19"/>
        <v>45.789000000000001</v>
      </c>
      <c r="AC7" s="657">
        <f t="shared" si="19"/>
        <v>48.510000000000005</v>
      </c>
      <c r="AD7" s="657">
        <f t="shared" si="19"/>
        <v>43.436</v>
      </c>
      <c r="AE7" s="658">
        <f t="shared" si="19"/>
        <v>173.28200000000001</v>
      </c>
      <c r="AF7" s="659">
        <f t="shared" si="19"/>
        <v>47.466999999999999</v>
      </c>
      <c r="AG7" s="659">
        <f t="shared" si="19"/>
        <v>52.807000000000002</v>
      </c>
      <c r="AH7" s="659">
        <f t="shared" si="19"/>
        <v>55.084000000000003</v>
      </c>
      <c r="AI7" s="659">
        <f t="shared" si="19"/>
        <v>48.944000000000003</v>
      </c>
      <c r="AJ7" s="658">
        <f t="shared" si="19"/>
        <v>204.30200000000002</v>
      </c>
      <c r="AK7" s="659">
        <f t="shared" si="19"/>
        <v>52.768000000000001</v>
      </c>
      <c r="AL7" s="659">
        <f t="shared" si="19"/>
        <v>65.338999999999999</v>
      </c>
      <c r="AM7" s="659">
        <f t="shared" si="19"/>
        <v>79.678999999999988</v>
      </c>
      <c r="AN7" s="659">
        <f t="shared" si="19"/>
        <v>115.35000000000001</v>
      </c>
      <c r="AO7" s="658">
        <f t="shared" si="19"/>
        <v>313.13600000000002</v>
      </c>
      <c r="AP7" s="659">
        <f t="shared" si="19"/>
        <v>125.98</v>
      </c>
      <c r="AQ7" s="659">
        <f t="shared" si="19"/>
        <v>148.25</v>
      </c>
      <c r="AR7" s="659">
        <f t="shared" si="19"/>
        <v>156.28300000000002</v>
      </c>
      <c r="AS7" s="659">
        <f t="shared" si="19"/>
        <v>174.54299999999998</v>
      </c>
      <c r="AT7" s="658">
        <f t="shared" si="19"/>
        <v>605.05600000000004</v>
      </c>
      <c r="AU7" s="659">
        <f t="shared" si="19"/>
        <v>212.20499999999998</v>
      </c>
      <c r="AV7" s="659">
        <f t="shared" si="19"/>
        <v>459.95399999999995</v>
      </c>
      <c r="AW7" s="659">
        <f t="shared" si="19"/>
        <v>468.22399999999993</v>
      </c>
      <c r="AX7" s="659">
        <f t="shared" si="19"/>
        <v>510.9</v>
      </c>
      <c r="AY7" s="660">
        <f t="shared" si="19"/>
        <v>1651.2829999999999</v>
      </c>
      <c r="AZ7" s="660">
        <f t="shared" ref="AZ7:BJ7" si="20">+AZ9+AZ17+AZ19+AZ22+AZ27+AZ31</f>
        <v>562.19999999999993</v>
      </c>
      <c r="BA7" s="659">
        <f t="shared" si="20"/>
        <v>861.19999999999993</v>
      </c>
      <c r="BB7" s="659">
        <f t="shared" si="20"/>
        <v>1396.8</v>
      </c>
      <c r="BC7" s="659">
        <f t="shared" si="20"/>
        <v>1544.8000000000002</v>
      </c>
      <c r="BD7" s="1937">
        <f t="shared" si="20"/>
        <v>4368.7</v>
      </c>
      <c r="BE7" s="660">
        <f t="shared" si="20"/>
        <v>1466.9</v>
      </c>
      <c r="BF7" s="659">
        <f t="shared" si="20"/>
        <v>1541.4</v>
      </c>
      <c r="BG7" s="659">
        <f t="shared" si="20"/>
        <v>1525.6</v>
      </c>
      <c r="BH7" s="659">
        <f t="shared" si="20"/>
        <v>1478.1000000000004</v>
      </c>
      <c r="BI7" s="1937">
        <f t="shared" si="20"/>
        <v>6011.9999999999991</v>
      </c>
      <c r="BJ7" s="660">
        <f t="shared" si="20"/>
        <v>1398</v>
      </c>
      <c r="BK7" s="659">
        <f t="shared" ref="BK7:BN7" si="21">+BK9+BK17+BK19+BK22+BK27+BK31</f>
        <v>1459.1000000000001</v>
      </c>
      <c r="BL7" s="659">
        <f t="shared" si="21"/>
        <v>1541.3</v>
      </c>
      <c r="BM7" s="659">
        <f t="shared" si="21"/>
        <v>1780.8999999999999</v>
      </c>
      <c r="BN7" s="1937">
        <f t="shared" si="21"/>
        <v>6179.2999999999993</v>
      </c>
      <c r="BO7" s="2337">
        <f t="shared" ref="BO7:BP7" si="22">+BO9+BO17+BO19+BO22+BO27+BO31</f>
        <v>1638.07119579147</v>
      </c>
      <c r="BP7" s="661">
        <f t="shared" si="22"/>
        <v>1705.3264074830472</v>
      </c>
      <c r="BQ7" s="661">
        <f t="shared" ref="BQ7:BR7" si="23">+BQ9+BQ17+BQ19+BQ22+BQ27+BQ31</f>
        <v>1724.2302129824193</v>
      </c>
      <c r="BR7" s="2175">
        <f t="shared" si="23"/>
        <v>1813.753498926578</v>
      </c>
      <c r="BS7" s="1937">
        <f>SUM(BO7:BR7)</f>
        <v>6881.3813151835138</v>
      </c>
      <c r="BT7" s="659">
        <f t="shared" ref="BT7:CC7" si="24">+BT9+BT17+BT19+BT22+BT27+BT31</f>
        <v>0</v>
      </c>
      <c r="BU7" s="659">
        <f t="shared" si="24"/>
        <v>0</v>
      </c>
      <c r="BV7" s="659">
        <f t="shared" si="24"/>
        <v>0</v>
      </c>
      <c r="BW7" s="659">
        <f t="shared" si="24"/>
        <v>0</v>
      </c>
      <c r="BX7" s="664">
        <f t="shared" si="24"/>
        <v>7447.8961801946989</v>
      </c>
      <c r="BY7" s="659">
        <f t="shared" si="24"/>
        <v>0</v>
      </c>
      <c r="BZ7" s="659">
        <f t="shared" si="24"/>
        <v>0</v>
      </c>
      <c r="CA7" s="659">
        <f t="shared" si="24"/>
        <v>0</v>
      </c>
      <c r="CB7" s="659">
        <f t="shared" si="24"/>
        <v>0</v>
      </c>
      <c r="CC7" s="664">
        <f t="shared" si="24"/>
        <v>8080.2867457737266</v>
      </c>
      <c r="CD7" s="262"/>
      <c r="CE7" s="263"/>
      <c r="CF7" s="173"/>
      <c r="CG7" s="173"/>
      <c r="CH7" s="173"/>
      <c r="CI7" s="239"/>
      <c r="CJ7" s="177"/>
      <c r="CK7" s="2070"/>
      <c r="CL7" s="659">
        <f t="shared" si="4"/>
        <v>1780.8999999999999</v>
      </c>
      <c r="CM7" s="659">
        <f t="shared" si="5"/>
        <v>1478.1000000000004</v>
      </c>
      <c r="CN7" s="661">
        <v>1587.9082007429595</v>
      </c>
      <c r="CO7" s="2086"/>
      <c r="CP7" s="2086"/>
      <c r="CQ7" s="476"/>
      <c r="CR7" s="452"/>
      <c r="CS7" s="2297" t="s">
        <v>155</v>
      </c>
      <c r="CT7" s="2297"/>
      <c r="CU7" s="2297"/>
      <c r="CV7" s="40"/>
      <c r="CW7" s="40"/>
      <c r="CX7" s="40"/>
      <c r="CY7" s="139"/>
      <c r="CZ7"/>
      <c r="DA7"/>
      <c r="DB7"/>
      <c r="DC7"/>
      <c r="DD7"/>
      <c r="DE7"/>
      <c r="DF7" s="3"/>
      <c r="DG7" s="3"/>
      <c r="DH7" s="3"/>
      <c r="DI7" s="3"/>
      <c r="DJ7" s="3"/>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c r="IW7" s="1"/>
      <c r="IX7" s="1"/>
      <c r="IY7" s="1"/>
      <c r="IZ7" s="1"/>
      <c r="JA7" s="1"/>
      <c r="JB7" s="1"/>
      <c r="JC7" s="1"/>
      <c r="JD7" s="1"/>
      <c r="JE7" s="1"/>
      <c r="JF7" s="1"/>
      <c r="JG7" s="1"/>
      <c r="JH7" s="1"/>
      <c r="JI7" s="1"/>
      <c r="JJ7" s="1"/>
      <c r="JK7" s="1"/>
      <c r="JL7" s="1"/>
      <c r="JM7" s="1"/>
      <c r="JN7" s="1"/>
      <c r="JO7" s="1"/>
      <c r="JP7" s="1"/>
      <c r="JQ7" s="1"/>
      <c r="JR7" s="1"/>
      <c r="JS7" s="1"/>
      <c r="JT7" s="1"/>
      <c r="JU7" s="1"/>
      <c r="JV7" s="1"/>
      <c r="JW7" s="1"/>
      <c r="JX7" s="1"/>
      <c r="JY7" s="1"/>
      <c r="JZ7" s="1"/>
      <c r="KA7" s="1"/>
      <c r="KB7" s="1"/>
      <c r="KC7" s="1"/>
      <c r="KD7" s="1"/>
      <c r="KE7" s="1"/>
      <c r="KF7" s="1"/>
      <c r="KG7" s="1"/>
      <c r="KH7" s="1"/>
      <c r="KI7" s="1"/>
      <c r="KJ7" s="1"/>
      <c r="KK7" s="1"/>
      <c r="KL7" s="1"/>
      <c r="KM7" s="1"/>
      <c r="KN7" s="1"/>
      <c r="KO7" s="1"/>
      <c r="KP7" s="1"/>
      <c r="KQ7" s="1"/>
      <c r="KR7" s="1"/>
      <c r="KS7" s="1"/>
      <c r="KT7" s="1"/>
      <c r="KU7" s="1"/>
      <c r="KV7" s="1"/>
      <c r="KW7" s="1"/>
      <c r="KX7" s="1"/>
      <c r="KY7" s="1"/>
      <c r="KZ7" s="1"/>
      <c r="LA7" s="1"/>
      <c r="LB7" s="1"/>
      <c r="LC7" s="1"/>
      <c r="LD7" s="1"/>
      <c r="LE7" s="1"/>
      <c r="LF7" s="1"/>
      <c r="LG7" s="1"/>
      <c r="LH7" s="1"/>
      <c r="LI7" s="1"/>
      <c r="LJ7" s="1"/>
      <c r="LK7" s="1"/>
      <c r="LL7" s="1"/>
      <c r="LM7" s="1"/>
      <c r="LN7" s="1"/>
      <c r="LO7" s="1"/>
      <c r="LP7" s="1"/>
      <c r="LQ7" s="1"/>
      <c r="LR7" s="1"/>
      <c r="LS7" s="1"/>
      <c r="LT7" s="1"/>
      <c r="LU7" s="1"/>
      <c r="LV7" s="1"/>
      <c r="LW7" s="1"/>
      <c r="LX7" s="1"/>
      <c r="LY7" s="1"/>
      <c r="LZ7" s="1"/>
      <c r="MA7" s="1"/>
      <c r="MB7" s="1"/>
      <c r="MC7" s="1"/>
      <c r="MD7" s="1"/>
      <c r="ME7" s="1"/>
      <c r="MF7" s="1"/>
      <c r="MG7" s="1"/>
      <c r="MH7" s="1"/>
      <c r="MI7" s="1"/>
      <c r="MJ7" s="1"/>
      <c r="MK7" s="1"/>
      <c r="ML7" s="1"/>
      <c r="MM7" s="1"/>
      <c r="MN7" s="1"/>
      <c r="MO7" s="1"/>
      <c r="MP7" s="1"/>
      <c r="MQ7" s="1"/>
      <c r="MR7" s="1"/>
      <c r="MS7" s="1"/>
      <c r="MT7" s="1"/>
      <c r="MU7" s="1"/>
      <c r="MV7" s="1"/>
      <c r="MW7" s="1"/>
      <c r="MX7" s="1"/>
      <c r="MY7" s="1"/>
      <c r="MZ7" s="1"/>
      <c r="NA7" s="1"/>
      <c r="NB7" s="1"/>
      <c r="NC7" s="1"/>
      <c r="ND7" s="1"/>
      <c r="NE7" s="1"/>
      <c r="NF7" s="1"/>
      <c r="NG7" s="1"/>
      <c r="NH7" s="1"/>
      <c r="NI7" s="1"/>
      <c r="NJ7" s="1"/>
      <c r="NK7" s="1"/>
      <c r="NL7" s="1"/>
      <c r="NM7" s="1"/>
      <c r="NN7" s="1"/>
      <c r="NO7" s="1"/>
      <c r="NP7" s="1"/>
      <c r="NQ7" s="1"/>
      <c r="NR7" s="1"/>
      <c r="NS7" s="1"/>
      <c r="NT7" s="1"/>
      <c r="NU7" s="1"/>
      <c r="NV7" s="1"/>
      <c r="NW7" s="1"/>
      <c r="NX7" s="1"/>
      <c r="NY7" s="1"/>
      <c r="NZ7" s="1"/>
      <c r="OA7" s="1"/>
      <c r="OB7" s="1"/>
      <c r="OC7" s="1"/>
      <c r="OD7" s="1"/>
      <c r="OE7" s="1"/>
      <c r="OF7" s="1"/>
      <c r="OG7" s="1"/>
      <c r="OH7" s="1"/>
      <c r="OI7" s="1"/>
      <c r="OJ7" s="1"/>
      <c r="OK7" s="1"/>
      <c r="OL7" s="1"/>
      <c r="OM7" s="1"/>
      <c r="ON7" s="1"/>
      <c r="OO7" s="1"/>
      <c r="OP7" s="1"/>
      <c r="OQ7" s="1"/>
      <c r="OR7" s="1"/>
      <c r="OS7" s="1"/>
      <c r="OT7" s="1"/>
      <c r="OU7" s="1"/>
      <c r="OV7" s="1"/>
      <c r="OW7" s="1"/>
      <c r="OX7" s="1"/>
      <c r="OY7" s="1"/>
      <c r="OZ7" s="1"/>
      <c r="PA7" s="1"/>
      <c r="PB7" s="1"/>
      <c r="PC7" s="1"/>
      <c r="PD7" s="1"/>
      <c r="PE7" s="1"/>
      <c r="PF7" s="1"/>
      <c r="PG7" s="1"/>
      <c r="PH7" s="1"/>
      <c r="PI7" s="1"/>
      <c r="PJ7" s="1"/>
      <c r="PK7" s="1"/>
      <c r="PL7" s="1"/>
      <c r="PM7" s="1"/>
      <c r="PN7" s="1"/>
      <c r="PO7" s="1"/>
      <c r="PP7" s="1"/>
      <c r="PQ7" s="1"/>
      <c r="PR7" s="1"/>
      <c r="PS7" s="1"/>
      <c r="PT7" s="1"/>
      <c r="PU7" s="1"/>
      <c r="PV7" s="1"/>
      <c r="PW7" s="1"/>
      <c r="PX7" s="1"/>
      <c r="PY7" s="1"/>
      <c r="PZ7" s="1"/>
      <c r="QA7" s="1"/>
      <c r="QB7" s="1"/>
      <c r="QC7" s="1"/>
      <c r="QD7" s="1"/>
      <c r="QE7" s="1"/>
      <c r="QF7" s="1"/>
      <c r="QG7" s="1"/>
      <c r="QH7" s="1"/>
      <c r="QI7" s="1"/>
      <c r="QJ7" s="1"/>
      <c r="QK7" s="1"/>
      <c r="QL7" s="1"/>
      <c r="QM7" s="1"/>
      <c r="QN7" s="1"/>
      <c r="QO7" s="1"/>
      <c r="QP7" s="1"/>
      <c r="QQ7" s="1"/>
      <c r="QR7" s="1"/>
      <c r="QS7" s="1"/>
      <c r="QT7" s="1"/>
      <c r="QU7" s="1"/>
      <c r="QV7" s="1"/>
      <c r="QW7" s="1"/>
      <c r="QX7" s="1"/>
      <c r="QY7" s="1"/>
      <c r="QZ7" s="1"/>
      <c r="RA7" s="1"/>
      <c r="RB7" s="1"/>
      <c r="RC7" s="1"/>
      <c r="RD7" s="1"/>
      <c r="RE7" s="1"/>
      <c r="RF7" s="1"/>
      <c r="RG7" s="1"/>
      <c r="RH7" s="1"/>
      <c r="RI7" s="1"/>
      <c r="RJ7" s="1"/>
      <c r="RK7" s="1"/>
      <c r="RL7" s="1"/>
      <c r="RM7" s="1"/>
      <c r="RN7" s="1"/>
      <c r="RO7" s="1"/>
      <c r="RP7" s="1"/>
      <c r="RQ7" s="1"/>
      <c r="RR7" s="1"/>
      <c r="RS7" s="1"/>
      <c r="RT7" s="1"/>
      <c r="RU7" s="1"/>
      <c r="RV7" s="1"/>
      <c r="RW7" s="1"/>
      <c r="RX7" s="1"/>
      <c r="RY7" s="1"/>
      <c r="RZ7" s="1"/>
      <c r="SA7" s="1"/>
      <c r="SB7" s="1"/>
      <c r="SC7" s="1"/>
      <c r="SD7" s="1"/>
      <c r="SE7" s="1"/>
      <c r="SF7" s="1"/>
      <c r="SG7" s="1"/>
      <c r="SH7" s="1"/>
      <c r="SI7" s="1"/>
      <c r="SJ7" s="1"/>
      <c r="SK7" s="1"/>
      <c r="SL7" s="1"/>
      <c r="SM7" s="1"/>
      <c r="SN7" s="1"/>
      <c r="SO7" s="1"/>
      <c r="SP7" s="1"/>
      <c r="SQ7" s="1"/>
      <c r="SR7" s="1"/>
      <c r="SS7" s="1"/>
      <c r="ST7" s="1"/>
      <c r="SU7" s="1"/>
      <c r="SV7" s="1"/>
      <c r="SW7" s="1"/>
      <c r="SX7" s="1"/>
      <c r="SY7" s="1"/>
      <c r="SZ7" s="1"/>
      <c r="TA7" s="1"/>
      <c r="TB7" s="1"/>
      <c r="TC7" s="1"/>
      <c r="TD7" s="1"/>
      <c r="TE7" s="1"/>
      <c r="TF7" s="1"/>
      <c r="TG7" s="1"/>
      <c r="TH7" s="1"/>
      <c r="TI7" s="1"/>
      <c r="TJ7" s="1"/>
      <c r="TK7" s="1"/>
      <c r="TL7" s="1"/>
      <c r="TM7" s="1"/>
      <c r="TN7" s="1"/>
      <c r="TO7" s="1"/>
      <c r="TP7" s="1"/>
      <c r="TQ7" s="1"/>
      <c r="TR7" s="1"/>
      <c r="TS7" s="1"/>
      <c r="TT7" s="1"/>
      <c r="TU7" s="1"/>
      <c r="TV7" s="1"/>
      <c r="TW7" s="1"/>
      <c r="TX7" s="1"/>
      <c r="TY7" s="1"/>
      <c r="TZ7" s="1"/>
      <c r="UA7" s="1"/>
      <c r="UB7" s="1"/>
      <c r="UC7" s="1"/>
      <c r="UD7" s="1"/>
      <c r="UE7" s="1"/>
      <c r="UF7" s="1"/>
      <c r="UG7" s="1"/>
      <c r="UH7" s="1"/>
      <c r="UI7" s="1"/>
      <c r="UJ7" s="1"/>
      <c r="UK7" s="1"/>
      <c r="UL7" s="1"/>
      <c r="UM7" s="1"/>
      <c r="UN7" s="1"/>
      <c r="UO7" s="1"/>
      <c r="UP7" s="1"/>
      <c r="UQ7" s="1"/>
      <c r="UR7" s="1"/>
      <c r="US7" s="1"/>
      <c r="UT7" s="1"/>
      <c r="UU7" s="1"/>
      <c r="UV7" s="1"/>
      <c r="UW7" s="1"/>
      <c r="UX7" s="1"/>
      <c r="UY7" s="1"/>
      <c r="UZ7" s="1"/>
      <c r="VA7" s="1"/>
      <c r="VB7" s="1"/>
      <c r="VC7" s="1"/>
      <c r="VD7" s="1"/>
      <c r="VE7" s="1"/>
      <c r="VF7" s="1"/>
      <c r="VG7" s="1"/>
      <c r="VH7" s="1"/>
      <c r="VI7" s="1"/>
      <c r="VJ7" s="1"/>
      <c r="VK7" s="1"/>
      <c r="VL7" s="1"/>
      <c r="VM7" s="1"/>
      <c r="VN7" s="1"/>
      <c r="VO7" s="1"/>
      <c r="VP7" s="1"/>
      <c r="VQ7" s="1"/>
      <c r="VR7" s="1"/>
      <c r="VS7" s="1"/>
      <c r="VT7" s="1"/>
      <c r="VU7" s="1"/>
      <c r="VV7" s="1"/>
      <c r="VW7" s="1"/>
      <c r="VX7" s="1"/>
      <c r="VY7" s="1"/>
      <c r="VZ7" s="1"/>
      <c r="WA7" s="1"/>
      <c r="WB7" s="1"/>
      <c r="WC7" s="1"/>
      <c r="WD7" s="1"/>
      <c r="WE7" s="1"/>
      <c r="WF7" s="1"/>
      <c r="WG7" s="1"/>
      <c r="WH7" s="1"/>
      <c r="WI7" s="1"/>
      <c r="WJ7" s="1"/>
      <c r="WK7" s="1"/>
      <c r="WL7" s="1"/>
      <c r="WM7" s="1"/>
      <c r="WN7" s="1"/>
      <c r="WO7" s="1"/>
      <c r="WP7" s="1"/>
      <c r="WQ7" s="1"/>
      <c r="WR7" s="1"/>
      <c r="WS7" s="1"/>
      <c r="WT7" s="1"/>
      <c r="WU7" s="1"/>
      <c r="WV7" s="1"/>
      <c r="WW7" s="1"/>
      <c r="WX7" s="1"/>
      <c r="WY7" s="1"/>
      <c r="WZ7" s="1"/>
      <c r="XA7" s="1"/>
      <c r="XB7" s="1"/>
      <c r="XC7" s="1"/>
      <c r="XD7" s="1"/>
      <c r="XE7" s="1"/>
      <c r="XF7" s="1"/>
      <c r="XG7" s="1"/>
      <c r="XH7" s="1"/>
      <c r="XI7" s="1"/>
      <c r="XJ7" s="1"/>
      <c r="XK7" s="1"/>
      <c r="XL7" s="1"/>
      <c r="XM7" s="1"/>
      <c r="XN7" s="1"/>
      <c r="XO7" s="1"/>
      <c r="XP7" s="1"/>
      <c r="XQ7" s="1"/>
      <c r="XR7" s="1"/>
      <c r="XS7" s="1"/>
      <c r="XT7" s="1"/>
      <c r="XU7" s="1"/>
      <c r="XV7" s="1"/>
      <c r="XW7" s="1"/>
      <c r="XX7" s="1"/>
      <c r="XY7" s="1"/>
      <c r="XZ7" s="1"/>
      <c r="YA7" s="1"/>
      <c r="YB7" s="1"/>
      <c r="YC7" s="1"/>
      <c r="YD7" s="1"/>
      <c r="YE7" s="1"/>
      <c r="YF7" s="1"/>
      <c r="YG7" s="1"/>
      <c r="YH7" s="1"/>
      <c r="YI7" s="1"/>
      <c r="YJ7" s="1"/>
      <c r="YK7" s="1"/>
      <c r="YL7" s="1"/>
      <c r="YM7" s="1"/>
      <c r="YN7" s="1"/>
      <c r="YO7" s="1"/>
      <c r="YP7" s="1"/>
      <c r="YQ7" s="1"/>
      <c r="YR7" s="1"/>
      <c r="YS7" s="1"/>
      <c r="YT7" s="1"/>
      <c r="YU7" s="1"/>
      <c r="YV7" s="1"/>
      <c r="YW7" s="1"/>
      <c r="YX7" s="1"/>
      <c r="YY7" s="1"/>
      <c r="YZ7" s="1"/>
      <c r="ZA7" s="1"/>
      <c r="ZB7" s="1"/>
      <c r="ZC7" s="1"/>
      <c r="ZD7" s="1"/>
      <c r="ZE7" s="1"/>
      <c r="ZF7" s="1"/>
      <c r="ZG7" s="1"/>
      <c r="ZH7" s="1"/>
      <c r="ZI7" s="1"/>
      <c r="ZJ7" s="1"/>
      <c r="ZK7" s="1"/>
      <c r="ZL7" s="1"/>
      <c r="ZM7" s="1"/>
      <c r="ZN7" s="1"/>
      <c r="ZO7" s="1"/>
      <c r="ZP7" s="1"/>
      <c r="ZQ7" s="1"/>
      <c r="ZR7" s="1"/>
      <c r="ZS7" s="1"/>
      <c r="ZT7" s="1"/>
      <c r="ZU7" s="1"/>
      <c r="ZV7" s="1"/>
      <c r="ZW7" s="1"/>
      <c r="ZX7" s="1"/>
      <c r="ZY7" s="1"/>
      <c r="ZZ7" s="1"/>
      <c r="AAA7" s="1"/>
      <c r="AAB7" s="1"/>
      <c r="AAC7" s="1"/>
      <c r="AAD7" s="1"/>
      <c r="AAE7" s="1"/>
      <c r="AAF7" s="1"/>
      <c r="AAG7" s="1"/>
      <c r="AAH7" s="1"/>
      <c r="AAI7" s="1"/>
      <c r="AAJ7" s="1"/>
      <c r="AAK7" s="1"/>
      <c r="AAL7" s="1"/>
      <c r="AAM7" s="1"/>
      <c r="AAN7" s="1"/>
      <c r="AAO7" s="1"/>
      <c r="AAP7" s="1"/>
      <c r="AAQ7" s="1"/>
      <c r="AAR7" s="1"/>
      <c r="AAS7" s="1"/>
      <c r="AAT7" s="1"/>
      <c r="AAU7" s="1"/>
      <c r="AAV7" s="1"/>
      <c r="AAW7" s="1"/>
      <c r="AAX7" s="1"/>
      <c r="AAY7" s="1"/>
      <c r="AAZ7" s="1"/>
      <c r="ABA7" s="1"/>
      <c r="ABB7" s="1"/>
      <c r="ABC7" s="1"/>
      <c r="ABD7" s="1"/>
      <c r="ABE7" s="1"/>
      <c r="ABF7" s="1"/>
      <c r="ABG7" s="1"/>
      <c r="ABH7" s="1"/>
      <c r="ABI7" s="1"/>
      <c r="ABJ7" s="1"/>
      <c r="ABK7" s="1"/>
      <c r="ABL7" s="1"/>
      <c r="ABM7" s="1"/>
      <c r="ABN7" s="1"/>
      <c r="ABO7" s="1"/>
      <c r="ABP7" s="1"/>
      <c r="ABQ7" s="1"/>
      <c r="ABR7" s="1"/>
      <c r="ABS7" s="1"/>
      <c r="ABT7" s="1"/>
      <c r="ABU7" s="1"/>
      <c r="ABV7" s="1"/>
      <c r="ABW7" s="1"/>
      <c r="ABX7" s="1"/>
      <c r="ABY7" s="1"/>
      <c r="ABZ7" s="1"/>
      <c r="ACA7" s="1"/>
      <c r="ACB7" s="1"/>
      <c r="ACC7" s="1"/>
      <c r="ACD7" s="1"/>
      <c r="ACE7" s="1"/>
      <c r="ACF7" s="1"/>
      <c r="ACG7" s="1"/>
      <c r="ACH7" s="1"/>
      <c r="ACI7" s="1"/>
      <c r="ACJ7" s="1"/>
      <c r="ACK7" s="1"/>
      <c r="ACL7" s="1"/>
      <c r="ACM7" s="1"/>
      <c r="ACN7" s="1"/>
      <c r="ACO7" s="1"/>
      <c r="ACP7" s="1"/>
      <c r="ACQ7" s="1"/>
      <c r="ACR7" s="1"/>
      <c r="ACS7" s="1"/>
      <c r="ACT7" s="1"/>
      <c r="ACU7" s="1"/>
      <c r="ACV7" s="1"/>
      <c r="ACW7" s="1"/>
      <c r="ACX7" s="1"/>
      <c r="ACY7" s="1"/>
      <c r="ACZ7" s="1"/>
      <c r="ADA7" s="1"/>
      <c r="ADB7" s="1"/>
      <c r="ADC7" s="1"/>
      <c r="ADD7" s="1"/>
      <c r="ADE7" s="1"/>
      <c r="ADF7" s="1"/>
      <c r="ADG7" s="1"/>
      <c r="ADH7" s="1"/>
      <c r="ADI7" s="1"/>
      <c r="ADJ7" s="1"/>
      <c r="ADK7" s="1"/>
      <c r="ADL7" s="1"/>
      <c r="ADM7" s="1"/>
      <c r="ADN7" s="1"/>
      <c r="ADO7" s="1"/>
      <c r="ADP7" s="1"/>
      <c r="ADQ7" s="1"/>
      <c r="ADR7" s="1"/>
      <c r="ADS7" s="1"/>
      <c r="ADT7" s="1"/>
      <c r="ADU7" s="1"/>
      <c r="ADV7" s="1"/>
      <c r="ADW7" s="1"/>
      <c r="ADX7" s="1"/>
      <c r="ADY7" s="1"/>
      <c r="ADZ7" s="1"/>
      <c r="AEA7" s="1"/>
      <c r="AEB7" s="1"/>
      <c r="AEC7" s="1"/>
      <c r="AED7" s="1"/>
      <c r="AEE7" s="1"/>
      <c r="AEF7" s="1"/>
      <c r="AEG7" s="1"/>
      <c r="AEH7" s="1"/>
      <c r="AEI7" s="1"/>
      <c r="AEJ7" s="1"/>
      <c r="AEK7" s="1"/>
      <c r="AEL7" s="1"/>
      <c r="AEM7" s="1"/>
      <c r="AEN7" s="1"/>
      <c r="AEO7" s="1"/>
      <c r="AEP7" s="1"/>
      <c r="AEQ7" s="1"/>
      <c r="AER7" s="1"/>
      <c r="AES7" s="1"/>
      <c r="AET7" s="1"/>
      <c r="AEU7" s="1"/>
      <c r="AEV7" s="1"/>
      <c r="AEW7" s="1"/>
      <c r="AEX7" s="1"/>
      <c r="AEY7" s="1"/>
      <c r="AEZ7" s="1"/>
      <c r="AFA7" s="1"/>
      <c r="AFB7" s="1"/>
      <c r="AFC7" s="1"/>
      <c r="AFD7" s="1"/>
      <c r="AFE7" s="1"/>
      <c r="AFF7" s="1"/>
      <c r="AFG7" s="1"/>
      <c r="AFH7" s="1"/>
      <c r="AFI7" s="1"/>
      <c r="AFJ7" s="1"/>
      <c r="AFK7" s="1"/>
      <c r="AFL7" s="1"/>
      <c r="AFM7" s="1"/>
      <c r="AFN7" s="1"/>
      <c r="AFO7" s="1"/>
      <c r="AFP7" s="1"/>
      <c r="AFQ7" s="1"/>
      <c r="AFR7" s="1"/>
      <c r="AFS7" s="1"/>
      <c r="AFT7" s="1"/>
      <c r="AFU7" s="1"/>
      <c r="AFV7" s="1"/>
      <c r="AFW7" s="1"/>
      <c r="AFX7" s="1"/>
      <c r="AFY7" s="1"/>
      <c r="AFZ7" s="1"/>
      <c r="AGA7" s="1"/>
      <c r="AGB7" s="1"/>
      <c r="AGC7" s="1"/>
      <c r="AGD7" s="1"/>
      <c r="AGE7" s="1"/>
      <c r="AGF7" s="1"/>
      <c r="AGG7" s="1"/>
      <c r="AGH7" s="1"/>
      <c r="AGI7" s="1"/>
      <c r="AGJ7" s="1"/>
      <c r="AGK7" s="1"/>
      <c r="AGL7" s="1"/>
      <c r="AGM7" s="1"/>
      <c r="AGN7" s="1"/>
      <c r="AGO7" s="1"/>
      <c r="AGP7" s="1"/>
      <c r="AGQ7" s="1"/>
      <c r="AGR7" s="1"/>
      <c r="AGS7" s="1"/>
      <c r="AGT7" s="1"/>
      <c r="AGU7" s="1"/>
      <c r="AGV7" s="1"/>
      <c r="AGW7" s="1"/>
      <c r="AGX7" s="1"/>
      <c r="AGY7" s="1"/>
      <c r="AGZ7" s="1"/>
      <c r="AHA7" s="1"/>
      <c r="AHB7" s="1"/>
      <c r="AHC7" s="1"/>
      <c r="AHD7" s="1"/>
      <c r="AHE7" s="1"/>
      <c r="AHF7" s="1"/>
      <c r="AHG7" s="1"/>
      <c r="AHH7" s="1"/>
      <c r="AHI7" s="1"/>
      <c r="AHJ7" s="1"/>
      <c r="AHK7" s="1"/>
      <c r="AHL7" s="1"/>
      <c r="AHM7" s="1"/>
      <c r="AHN7" s="1"/>
      <c r="AHO7" s="1"/>
      <c r="AHP7" s="1"/>
      <c r="AHQ7" s="1"/>
      <c r="AHR7" s="1"/>
      <c r="AHS7" s="1"/>
      <c r="AHT7" s="1"/>
      <c r="AHU7" s="1"/>
      <c r="AHV7" s="1"/>
      <c r="AHW7" s="1"/>
      <c r="AHX7" s="1"/>
      <c r="AHY7" s="1"/>
      <c r="AHZ7" s="1"/>
      <c r="AIA7" s="1"/>
      <c r="AIB7" s="1"/>
      <c r="AIC7" s="1"/>
      <c r="AID7" s="1"/>
      <c r="AIE7" s="1"/>
      <c r="AIF7" s="1"/>
      <c r="AIG7" s="1"/>
      <c r="AIH7" s="1"/>
      <c r="AII7" s="1"/>
      <c r="AIJ7" s="1"/>
      <c r="AIK7" s="1"/>
      <c r="AIL7" s="1"/>
      <c r="AIM7" s="1"/>
      <c r="AIN7" s="1"/>
      <c r="AIO7" s="1"/>
      <c r="AIP7" s="1"/>
      <c r="AIQ7" s="1"/>
      <c r="AIR7" s="1"/>
      <c r="AIS7" s="1"/>
      <c r="AIT7" s="1"/>
      <c r="AIU7" s="1"/>
      <c r="AIV7" s="1"/>
      <c r="AIW7" s="1"/>
      <c r="AIX7" s="1"/>
      <c r="AIY7" s="1"/>
      <c r="AIZ7" s="1"/>
      <c r="AJA7" s="1"/>
      <c r="AJB7" s="1"/>
      <c r="AJC7" s="1"/>
      <c r="AJD7" s="1"/>
      <c r="AJE7" s="1"/>
      <c r="AJF7" s="1"/>
      <c r="AJG7" s="1"/>
      <c r="AJH7" s="1"/>
      <c r="AJI7" s="1"/>
      <c r="AJJ7" s="1"/>
      <c r="AJK7" s="1"/>
      <c r="AJL7" s="1"/>
      <c r="AJM7" s="1"/>
      <c r="AJN7" s="1"/>
      <c r="AJO7" s="1"/>
      <c r="AJP7" s="1"/>
      <c r="AJQ7" s="1"/>
      <c r="AJR7" s="1"/>
      <c r="AJS7" s="1"/>
      <c r="AJT7" s="1"/>
      <c r="AJU7" s="1"/>
      <c r="AJV7" s="1"/>
      <c r="AJW7" s="1"/>
      <c r="AJX7" s="1"/>
      <c r="AJY7" s="1"/>
      <c r="AJZ7" s="1"/>
      <c r="AKA7" s="1"/>
      <c r="AKB7" s="1"/>
      <c r="AKC7" s="1"/>
      <c r="AKD7" s="1"/>
      <c r="AKE7" s="1"/>
      <c r="AKF7" s="1"/>
      <c r="AKG7" s="1"/>
      <c r="AKH7" s="1"/>
      <c r="AKI7" s="1"/>
      <c r="AKJ7" s="1"/>
      <c r="AKK7" s="1"/>
      <c r="AKL7" s="1"/>
      <c r="AKM7" s="1"/>
      <c r="AKN7" s="1"/>
      <c r="AKO7" s="1"/>
      <c r="AKP7" s="1"/>
      <c r="AKQ7" s="1"/>
      <c r="AKR7" s="1"/>
      <c r="AKS7" s="1"/>
      <c r="AKT7" s="1"/>
      <c r="AKU7" s="1"/>
      <c r="AKV7" s="1"/>
      <c r="AKW7" s="1"/>
      <c r="AKX7" s="1"/>
      <c r="AKY7" s="1"/>
      <c r="AKZ7" s="1"/>
      <c r="ALA7" s="1"/>
      <c r="ALB7" s="1"/>
      <c r="ALC7" s="1"/>
      <c r="ALD7" s="1"/>
      <c r="ALE7" s="1"/>
      <c r="ALF7" s="1"/>
      <c r="ALG7" s="1"/>
      <c r="ALH7" s="1"/>
      <c r="ALI7" s="1"/>
      <c r="ALJ7" s="1"/>
      <c r="ALK7" s="1"/>
      <c r="ALL7" s="1"/>
      <c r="ALM7" s="1"/>
      <c r="ALN7" s="1"/>
      <c r="ALO7" s="1"/>
      <c r="ALP7" s="1"/>
      <c r="ALQ7" s="1"/>
      <c r="ALR7" s="1"/>
      <c r="ALS7" s="1"/>
      <c r="ALT7" s="1"/>
      <c r="ALU7" s="1"/>
      <c r="ALV7" s="1"/>
      <c r="ALW7" s="1"/>
      <c r="ALX7" s="1"/>
      <c r="ALY7" s="1"/>
      <c r="ALZ7" s="1"/>
      <c r="AMA7" s="1"/>
      <c r="AMB7" s="1"/>
      <c r="AMC7" s="1"/>
      <c r="AMD7" s="1"/>
      <c r="AME7" s="1"/>
      <c r="AMF7" s="1"/>
      <c r="AMG7" s="1"/>
      <c r="AMH7" s="1"/>
      <c r="AMI7" s="1"/>
      <c r="AMJ7" s="1"/>
      <c r="AMK7" s="1"/>
      <c r="AML7" s="1"/>
      <c r="AMM7" s="1"/>
      <c r="AMN7" s="1"/>
      <c r="AMO7" s="1"/>
      <c r="AMP7" s="1"/>
      <c r="AMQ7" s="1"/>
      <c r="AMR7" s="1"/>
      <c r="AMS7" s="1"/>
      <c r="AMT7" s="1"/>
      <c r="AMU7" s="1"/>
      <c r="AMV7" s="1"/>
      <c r="AMW7" s="1"/>
      <c r="AMX7" s="1"/>
      <c r="AMY7" s="1"/>
      <c r="AMZ7" s="1"/>
      <c r="ANA7" s="1"/>
      <c r="ANB7" s="1"/>
      <c r="ANC7" s="1"/>
      <c r="AND7" s="1"/>
      <c r="ANE7" s="1"/>
      <c r="ANF7" s="1"/>
      <c r="ANG7" s="1"/>
      <c r="ANH7" s="1"/>
      <c r="ANI7" s="1"/>
      <c r="ANJ7" s="1"/>
      <c r="ANK7" s="1"/>
      <c r="ANL7" s="1"/>
      <c r="ANM7" s="1"/>
      <c r="ANN7" s="1"/>
      <c r="ANO7" s="1"/>
      <c r="ANP7" s="1"/>
      <c r="ANQ7" s="1"/>
      <c r="ANR7" s="1"/>
      <c r="ANS7" s="1"/>
      <c r="ANT7" s="1"/>
      <c r="ANU7" s="1"/>
      <c r="ANV7" s="1"/>
      <c r="ANW7" s="1"/>
      <c r="ANX7" s="1"/>
      <c r="ANY7" s="1"/>
      <c r="ANZ7" s="1"/>
      <c r="AOA7" s="1"/>
      <c r="AOB7" s="1"/>
      <c r="AOC7" s="1"/>
      <c r="AOD7" s="1"/>
      <c r="AOE7" s="1"/>
      <c r="AOF7" s="1"/>
      <c r="AOG7" s="1"/>
      <c r="AOH7" s="1"/>
      <c r="AOI7" s="1"/>
      <c r="AOJ7" s="1"/>
      <c r="AOK7" s="1"/>
      <c r="AOL7" s="1"/>
      <c r="AOM7" s="1"/>
      <c r="AON7" s="1"/>
      <c r="AOO7" s="1"/>
      <c r="AOP7" s="1"/>
      <c r="AOQ7" s="1"/>
      <c r="AOR7" s="1"/>
      <c r="AOS7" s="1"/>
      <c r="AOT7" s="1"/>
      <c r="AOU7" s="1"/>
      <c r="AOV7" s="1"/>
      <c r="AOW7" s="1"/>
      <c r="AOX7" s="1"/>
      <c r="AOY7" s="1"/>
      <c r="AOZ7" s="1"/>
      <c r="APA7" s="1"/>
      <c r="APB7" s="1"/>
      <c r="APC7" s="1"/>
      <c r="APD7" s="1"/>
      <c r="APE7" s="1"/>
      <c r="APF7" s="1"/>
      <c r="APG7" s="1"/>
      <c r="APH7" s="1"/>
      <c r="API7" s="1"/>
      <c r="APJ7" s="1"/>
      <c r="APK7" s="1"/>
      <c r="APL7" s="1"/>
      <c r="APM7" s="1"/>
      <c r="APN7" s="1"/>
      <c r="APO7" s="1"/>
      <c r="APP7" s="1"/>
      <c r="APQ7" s="1"/>
      <c r="APR7" s="1"/>
      <c r="APS7" s="1"/>
      <c r="APT7" s="1"/>
      <c r="APU7" s="1"/>
      <c r="APV7" s="1"/>
      <c r="APW7" s="1"/>
      <c r="APX7" s="1"/>
      <c r="APY7" s="1"/>
      <c r="APZ7" s="1"/>
      <c r="AQA7" s="1"/>
      <c r="AQB7" s="1"/>
      <c r="AQC7" s="1"/>
      <c r="AQD7" s="1"/>
      <c r="AQE7" s="1"/>
      <c r="AQF7" s="1"/>
      <c r="AQG7" s="1"/>
      <c r="AQH7" s="1"/>
      <c r="AQI7" s="1"/>
      <c r="AQJ7" s="1"/>
      <c r="AQK7" s="1"/>
      <c r="AQL7" s="1"/>
      <c r="AQM7" s="1"/>
      <c r="AQN7" s="1"/>
      <c r="AQO7" s="1"/>
      <c r="AQP7" s="1"/>
      <c r="AQQ7" s="1"/>
      <c r="AQR7" s="1"/>
      <c r="AQS7" s="1"/>
      <c r="AQT7" s="1"/>
      <c r="AQU7" s="1"/>
      <c r="AQV7" s="1"/>
      <c r="AQW7" s="1"/>
      <c r="AQX7" s="1"/>
      <c r="AQY7" s="1"/>
      <c r="AQZ7" s="1"/>
      <c r="ARA7" s="1"/>
      <c r="ARB7" s="1"/>
      <c r="ARC7" s="1"/>
      <c r="ARD7" s="1"/>
      <c r="ARE7" s="1"/>
      <c r="ARF7" s="1"/>
      <c r="ARG7" s="1"/>
      <c r="ARH7" s="1"/>
      <c r="ARI7" s="1"/>
      <c r="ARJ7" s="1"/>
      <c r="ARK7" s="1"/>
      <c r="ARL7" s="1"/>
      <c r="ARM7" s="1"/>
      <c r="ARN7" s="1"/>
      <c r="ARO7" s="1"/>
      <c r="ARP7" s="1"/>
      <c r="ARQ7" s="1"/>
      <c r="ARR7" s="1"/>
      <c r="ARS7" s="1"/>
      <c r="ART7" s="1"/>
      <c r="ARU7" s="1"/>
      <c r="ARV7" s="1"/>
      <c r="ARW7" s="1"/>
      <c r="ARX7" s="1"/>
      <c r="ARY7" s="1"/>
      <c r="ARZ7" s="1"/>
      <c r="ASA7" s="1"/>
      <c r="ASB7" s="1"/>
      <c r="ASC7" s="1"/>
      <c r="ASD7" s="1"/>
      <c r="ASE7" s="1"/>
      <c r="ASF7" s="1"/>
      <c r="ASG7" s="1"/>
      <c r="ASH7" s="1"/>
      <c r="ASI7" s="1"/>
      <c r="ASJ7" s="1"/>
      <c r="ASK7" s="1"/>
      <c r="ASL7" s="1"/>
      <c r="ASM7" s="1"/>
      <c r="ASN7" s="1"/>
      <c r="ASO7" s="1"/>
      <c r="ASP7" s="1"/>
      <c r="ASQ7" s="1"/>
      <c r="ASR7" s="1"/>
      <c r="ASS7" s="1"/>
      <c r="AST7" s="1"/>
      <c r="ASU7" s="1"/>
      <c r="ASV7" s="1"/>
      <c r="ASW7" s="1"/>
      <c r="ASX7" s="1"/>
      <c r="ASY7" s="1"/>
      <c r="ASZ7" s="1"/>
      <c r="ATA7" s="1"/>
      <c r="ATB7" s="1"/>
      <c r="ATC7" s="1"/>
      <c r="ATD7" s="1"/>
      <c r="ATE7" s="1"/>
      <c r="ATF7" s="1"/>
      <c r="ATG7" s="1"/>
      <c r="ATH7" s="1"/>
      <c r="ATI7" s="1"/>
      <c r="ATJ7" s="1"/>
      <c r="ATK7" s="1"/>
      <c r="ATL7" s="1"/>
      <c r="ATM7" s="1"/>
      <c r="ATN7" s="1"/>
      <c r="ATO7" s="1"/>
      <c r="ATP7" s="1"/>
      <c r="ATQ7" s="1"/>
      <c r="ATR7" s="1"/>
      <c r="ATS7" s="1"/>
      <c r="ATT7" s="1"/>
      <c r="ATU7" s="1"/>
      <c r="ATV7" s="1"/>
      <c r="ATW7" s="1"/>
      <c r="ATX7" s="1"/>
      <c r="ATY7" s="1"/>
      <c r="ATZ7" s="1"/>
      <c r="AUA7" s="1"/>
      <c r="AUB7" s="1"/>
      <c r="AUC7" s="1"/>
      <c r="AUD7" s="1"/>
      <c r="AUE7" s="1"/>
      <c r="AUF7" s="1"/>
      <c r="AUG7" s="1"/>
      <c r="AUH7" s="1"/>
      <c r="AUI7" s="1"/>
      <c r="AUJ7" s="1"/>
      <c r="AUK7" s="1"/>
      <c r="AUL7" s="1"/>
      <c r="AUM7" s="1"/>
      <c r="AUN7" s="1"/>
      <c r="AUO7" s="1"/>
      <c r="AUP7" s="1"/>
      <c r="AUQ7" s="1"/>
      <c r="AUR7" s="1"/>
      <c r="AUS7" s="1"/>
      <c r="AUT7" s="1"/>
      <c r="AUU7" s="1"/>
      <c r="AUV7" s="1"/>
      <c r="AUW7" s="1"/>
      <c r="AUX7" s="1"/>
      <c r="AUY7" s="1"/>
      <c r="AUZ7" s="1"/>
      <c r="AVA7" s="1"/>
      <c r="AVB7" s="1"/>
      <c r="AVC7" s="1"/>
      <c r="AVD7" s="1"/>
      <c r="AVE7" s="1"/>
      <c r="AVF7" s="1"/>
      <c r="AVG7" s="1"/>
      <c r="AVH7" s="1"/>
      <c r="AVI7" s="1"/>
      <c r="AVJ7" s="1"/>
      <c r="AVK7" s="1"/>
      <c r="AVL7" s="1"/>
      <c r="AVM7" s="1"/>
      <c r="AVN7" s="1"/>
      <c r="AVO7" s="1"/>
      <c r="AVP7" s="1"/>
      <c r="AVQ7" s="1"/>
      <c r="AVR7" s="1"/>
      <c r="AVS7" s="1"/>
      <c r="AVT7" s="1"/>
      <c r="AVU7" s="1"/>
      <c r="AVV7" s="1"/>
      <c r="AVW7" s="1"/>
      <c r="AVX7" s="1"/>
      <c r="AVY7" s="1"/>
      <c r="AVZ7" s="1"/>
      <c r="AWA7" s="1"/>
      <c r="AWB7" s="1"/>
      <c r="AWC7" s="1"/>
      <c r="AWD7" s="1"/>
      <c r="AWE7" s="1"/>
      <c r="AWF7" s="1"/>
      <c r="AWG7" s="1"/>
      <c r="AWH7" s="1"/>
      <c r="AWI7" s="1"/>
      <c r="AWJ7" s="1"/>
      <c r="AWK7" s="1"/>
      <c r="AWL7" s="1"/>
      <c r="AWM7" s="1"/>
      <c r="AWN7" s="1"/>
      <c r="AWO7" s="1"/>
      <c r="AWP7" s="1"/>
      <c r="AWQ7" s="1"/>
      <c r="AWR7" s="1"/>
      <c r="AWS7" s="1"/>
      <c r="AWT7" s="1"/>
      <c r="AWU7" s="1"/>
      <c r="AWV7" s="1"/>
      <c r="AWW7" s="1"/>
      <c r="AWX7" s="1"/>
      <c r="AWY7" s="1"/>
      <c r="AWZ7" s="1"/>
      <c r="AXA7" s="1"/>
      <c r="AXB7" s="1"/>
      <c r="AXC7" s="1"/>
      <c r="AXD7" s="1"/>
      <c r="AXE7" s="1"/>
      <c r="AXF7" s="1"/>
      <c r="AXG7" s="1"/>
      <c r="AXH7" s="1"/>
      <c r="AXI7" s="1"/>
      <c r="AXJ7" s="1"/>
      <c r="AXK7" s="1"/>
      <c r="AXL7" s="1"/>
      <c r="AXM7" s="1"/>
      <c r="AXN7" s="1"/>
      <c r="AXO7" s="1"/>
      <c r="AXP7" s="1"/>
      <c r="AXQ7" s="1"/>
      <c r="AXR7" s="1"/>
      <c r="AXS7" s="1"/>
      <c r="AXT7" s="1"/>
      <c r="AXU7" s="1"/>
      <c r="AXV7" s="1"/>
      <c r="AXW7" s="1"/>
      <c r="AXX7" s="1"/>
      <c r="AXY7" s="1"/>
      <c r="AXZ7" s="1"/>
      <c r="AYA7" s="1"/>
      <c r="AYB7" s="1"/>
      <c r="AYC7" s="1"/>
      <c r="AYD7" s="1"/>
      <c r="AYE7" s="1"/>
      <c r="AYF7" s="1"/>
      <c r="AYG7" s="1"/>
      <c r="AYH7" s="1"/>
      <c r="AYI7" s="1"/>
      <c r="AYJ7" s="1"/>
      <c r="AYK7" s="1"/>
      <c r="AYL7" s="1"/>
      <c r="AYM7" s="1"/>
      <c r="AYN7" s="1"/>
      <c r="AYO7" s="1"/>
      <c r="AYP7" s="1"/>
      <c r="AYQ7" s="1"/>
      <c r="AYR7" s="1"/>
      <c r="AYS7" s="1"/>
      <c r="AYT7" s="1"/>
      <c r="AYU7" s="1"/>
      <c r="AYV7" s="1"/>
      <c r="AYW7" s="1"/>
      <c r="AYX7" s="1"/>
      <c r="AYY7" s="1"/>
      <c r="AYZ7" s="1"/>
      <c r="AZA7" s="1"/>
      <c r="AZB7" s="1"/>
      <c r="AZC7" s="1"/>
      <c r="AZD7" s="1"/>
      <c r="AZE7" s="1"/>
      <c r="AZF7" s="1"/>
      <c r="AZG7" s="1"/>
      <c r="AZH7" s="1"/>
      <c r="AZI7" s="1"/>
      <c r="AZJ7" s="1"/>
      <c r="AZK7" s="1"/>
      <c r="AZL7" s="1"/>
      <c r="AZM7" s="1"/>
      <c r="AZN7" s="1"/>
      <c r="AZO7" s="1"/>
      <c r="AZP7" s="1"/>
      <c r="AZQ7" s="1"/>
      <c r="AZR7" s="1"/>
      <c r="AZS7" s="1"/>
      <c r="AZT7" s="1"/>
      <c r="AZU7" s="1"/>
      <c r="AZV7" s="1"/>
      <c r="AZW7" s="1"/>
      <c r="AZX7" s="1"/>
      <c r="AZY7" s="1"/>
      <c r="AZZ7" s="1"/>
      <c r="BAA7" s="1"/>
      <c r="BAB7" s="1"/>
      <c r="BAC7" s="1"/>
      <c r="BAD7" s="1"/>
      <c r="BAE7" s="1"/>
      <c r="BAF7" s="1"/>
      <c r="BAG7" s="1"/>
      <c r="BAH7" s="1"/>
      <c r="BAI7" s="1"/>
      <c r="BAJ7" s="1"/>
      <c r="BAK7" s="1"/>
      <c r="BAL7" s="1"/>
      <c r="BAM7" s="1"/>
      <c r="BAN7" s="1"/>
      <c r="BAO7" s="1"/>
      <c r="BAP7" s="1"/>
      <c r="BAQ7" s="1"/>
      <c r="BAR7" s="1"/>
      <c r="BAS7" s="1"/>
      <c r="BAT7" s="1"/>
      <c r="BAU7" s="1"/>
      <c r="BAV7" s="1"/>
      <c r="BAW7" s="1"/>
      <c r="BAX7" s="1"/>
      <c r="BAY7" s="1"/>
      <c r="BAZ7" s="1"/>
      <c r="BBA7" s="1"/>
      <c r="BBB7" s="1"/>
      <c r="BBC7" s="1"/>
      <c r="BBD7" s="1"/>
      <c r="BBE7" s="1"/>
      <c r="BBF7" s="1"/>
      <c r="BBG7" s="1"/>
      <c r="BBH7" s="1"/>
      <c r="BBI7" s="1"/>
      <c r="BBJ7" s="1"/>
      <c r="BBK7" s="1"/>
      <c r="BBL7" s="1"/>
      <c r="BBM7" s="1"/>
      <c r="BBN7" s="1"/>
      <c r="BBO7" s="1"/>
      <c r="BBP7" s="1"/>
      <c r="BBQ7" s="1"/>
      <c r="BBR7" s="1"/>
      <c r="BBS7" s="1"/>
      <c r="BBT7" s="1"/>
      <c r="BBU7" s="1"/>
      <c r="BBV7" s="1"/>
      <c r="BBW7" s="1"/>
      <c r="BBX7" s="1"/>
      <c r="BBY7" s="1"/>
      <c r="BBZ7" s="1"/>
      <c r="BCA7" s="1"/>
      <c r="BCB7" s="1"/>
      <c r="BCC7" s="1"/>
      <c r="BCD7" s="1"/>
      <c r="BCE7" s="1"/>
      <c r="BCF7" s="1"/>
      <c r="BCG7" s="1"/>
      <c r="BCH7" s="1"/>
      <c r="BCI7" s="1"/>
      <c r="BCJ7" s="1"/>
      <c r="BCK7" s="1"/>
      <c r="BCL7" s="1"/>
      <c r="BCM7" s="1"/>
      <c r="BCN7" s="1"/>
      <c r="BCO7" s="1"/>
      <c r="BCP7" s="1"/>
      <c r="BCQ7" s="1"/>
      <c r="BCR7" s="1"/>
      <c r="BCS7" s="1"/>
      <c r="BCT7" s="1"/>
      <c r="BCU7" s="1"/>
      <c r="BCV7" s="1"/>
      <c r="BCW7" s="1"/>
      <c r="BCX7" s="1"/>
      <c r="BCY7" s="1"/>
      <c r="BCZ7" s="1"/>
      <c r="BDA7" s="1"/>
      <c r="BDB7" s="1"/>
      <c r="BDC7" s="1"/>
      <c r="BDD7" s="1"/>
      <c r="BDE7" s="1"/>
      <c r="BDF7" s="1"/>
      <c r="BDG7" s="1"/>
      <c r="BDH7" s="1"/>
      <c r="BDI7" s="1"/>
      <c r="BDJ7" s="1"/>
      <c r="BDK7" s="1"/>
      <c r="BDL7" s="1"/>
      <c r="BDM7" s="1"/>
      <c r="BDN7" s="1"/>
      <c r="BDO7" s="1"/>
      <c r="BDP7" s="1"/>
      <c r="BDQ7" s="1"/>
      <c r="BDR7" s="1"/>
      <c r="BDS7" s="1"/>
      <c r="BDT7" s="1"/>
      <c r="BDU7" s="1"/>
      <c r="BDV7" s="1"/>
      <c r="BDW7" s="1"/>
      <c r="BDX7" s="1"/>
      <c r="BDY7" s="1"/>
      <c r="BDZ7" s="1"/>
      <c r="BEA7" s="1"/>
      <c r="BEB7" s="1"/>
      <c r="BEC7" s="1"/>
      <c r="BED7" s="1"/>
      <c r="BEE7" s="1"/>
      <c r="BEF7" s="1"/>
      <c r="BEG7" s="1"/>
      <c r="BEH7" s="1"/>
      <c r="BEI7" s="1"/>
      <c r="BEJ7" s="1"/>
      <c r="BEK7" s="1"/>
      <c r="BEL7" s="1"/>
      <c r="BEM7" s="1"/>
      <c r="BEN7" s="1"/>
      <c r="BEO7" s="1"/>
      <c r="BEP7" s="1"/>
      <c r="BEQ7" s="1"/>
      <c r="BER7" s="1"/>
      <c r="BES7" s="1"/>
      <c r="BET7" s="1"/>
      <c r="BEU7" s="1"/>
      <c r="BEV7" s="1"/>
      <c r="BEW7" s="1"/>
      <c r="BEX7" s="1"/>
      <c r="BEY7" s="1"/>
      <c r="BEZ7" s="1"/>
      <c r="BFA7" s="1"/>
      <c r="BFB7" s="1"/>
      <c r="BFC7" s="1"/>
      <c r="BFD7" s="1"/>
      <c r="BFE7" s="1"/>
      <c r="BFF7" s="1"/>
      <c r="BFG7" s="1"/>
      <c r="BFH7" s="1"/>
      <c r="BFI7" s="1"/>
      <c r="BFJ7" s="1"/>
      <c r="BFK7" s="1"/>
      <c r="BFL7" s="1"/>
      <c r="BFM7" s="1"/>
      <c r="BFN7" s="1"/>
      <c r="BFO7" s="1"/>
      <c r="BFP7" s="1"/>
      <c r="BFQ7" s="1"/>
      <c r="BFR7" s="1"/>
      <c r="BFS7" s="1"/>
      <c r="BFT7" s="1"/>
      <c r="BFU7" s="1"/>
      <c r="BFV7" s="1"/>
      <c r="BFW7" s="1"/>
      <c r="BFX7" s="1"/>
      <c r="BFY7" s="1"/>
      <c r="BFZ7" s="1"/>
      <c r="BGA7" s="1"/>
      <c r="BGB7" s="1"/>
      <c r="BGC7" s="1"/>
      <c r="BGD7" s="1"/>
      <c r="BGE7" s="1"/>
      <c r="BGF7" s="1"/>
      <c r="BGG7" s="1"/>
      <c r="BGH7" s="1"/>
      <c r="BGI7" s="1"/>
      <c r="BGJ7" s="1"/>
      <c r="BGK7" s="1"/>
      <c r="BGL7" s="1"/>
      <c r="BGM7" s="1"/>
      <c r="BGN7" s="1"/>
      <c r="BGO7" s="1"/>
      <c r="BGP7" s="1"/>
      <c r="BGQ7" s="1"/>
      <c r="BGR7" s="1"/>
      <c r="BGS7" s="1"/>
      <c r="BGT7" s="1"/>
      <c r="BGU7" s="1"/>
      <c r="BGV7" s="1"/>
      <c r="BGW7" s="1"/>
      <c r="BGX7" s="1"/>
      <c r="BGY7" s="1"/>
      <c r="BGZ7" s="1"/>
      <c r="BHA7" s="1"/>
      <c r="BHB7" s="1"/>
      <c r="BHC7" s="1"/>
      <c r="BHD7" s="1"/>
      <c r="BHE7" s="1"/>
      <c r="BHF7" s="1"/>
      <c r="BHG7" s="1"/>
      <c r="BHH7" s="1"/>
      <c r="BHI7" s="1"/>
      <c r="BHJ7" s="1"/>
      <c r="BHK7" s="1"/>
      <c r="BHL7" s="1"/>
      <c r="BHM7" s="1"/>
      <c r="BHN7" s="1"/>
      <c r="BHO7" s="1"/>
      <c r="BHP7" s="1"/>
      <c r="BHQ7" s="1"/>
      <c r="BHR7" s="1"/>
      <c r="BHS7" s="1"/>
      <c r="BHT7" s="1"/>
      <c r="BHU7" s="1"/>
      <c r="BHV7" s="1"/>
      <c r="BHW7" s="1"/>
      <c r="BHX7" s="1"/>
      <c r="BHY7" s="1"/>
      <c r="BHZ7" s="1"/>
      <c r="BIA7" s="1"/>
      <c r="BIB7" s="1"/>
      <c r="BIC7" s="1"/>
      <c r="BID7" s="1"/>
      <c r="BIE7" s="1"/>
      <c r="BIF7" s="1"/>
      <c r="BIG7" s="1"/>
      <c r="BIH7" s="1"/>
      <c r="BII7" s="1"/>
      <c r="BIJ7" s="1"/>
      <c r="BIK7" s="1"/>
      <c r="BIL7" s="1"/>
      <c r="BIM7" s="1"/>
      <c r="BIN7" s="1"/>
      <c r="BIO7" s="1"/>
      <c r="BIP7" s="1"/>
      <c r="BIQ7" s="1"/>
      <c r="BIR7" s="1"/>
      <c r="BIS7" s="1"/>
      <c r="BIT7" s="1"/>
      <c r="BIU7" s="1"/>
      <c r="BIV7" s="1"/>
      <c r="BIW7" s="1"/>
      <c r="BIX7" s="1"/>
      <c r="BIY7" s="1"/>
      <c r="BIZ7" s="1"/>
      <c r="BJA7" s="1"/>
      <c r="BJB7" s="1"/>
      <c r="BJC7" s="1"/>
      <c r="BJD7" s="1"/>
      <c r="BJE7" s="1"/>
      <c r="BJF7" s="1"/>
      <c r="BJG7" s="1"/>
      <c r="BJH7" s="1"/>
      <c r="BJI7" s="1"/>
      <c r="BJJ7" s="1"/>
      <c r="BJK7" s="1"/>
      <c r="BJL7" s="1"/>
      <c r="BJM7" s="1"/>
      <c r="BJN7" s="1"/>
      <c r="BJO7" s="1"/>
      <c r="BJP7" s="1"/>
      <c r="BJQ7" s="1"/>
      <c r="BJR7" s="1"/>
      <c r="BJS7" s="1"/>
      <c r="BJT7" s="1"/>
      <c r="BJU7" s="1"/>
      <c r="BJV7" s="1"/>
      <c r="BJW7" s="1"/>
      <c r="BJX7" s="1"/>
      <c r="BJY7" s="1"/>
      <c r="BJZ7" s="1"/>
      <c r="BKA7" s="1"/>
      <c r="BKB7" s="1"/>
      <c r="BKC7" s="1"/>
      <c r="BKD7" s="1"/>
      <c r="BKE7" s="1"/>
      <c r="BKF7" s="1"/>
      <c r="BKG7" s="1"/>
      <c r="BKH7" s="1"/>
      <c r="BKI7" s="1"/>
      <c r="BKJ7" s="1"/>
      <c r="BKK7" s="1"/>
      <c r="BKL7" s="1"/>
      <c r="BKM7" s="1"/>
      <c r="BKN7" s="1"/>
      <c r="BKO7" s="1"/>
      <c r="BKP7" s="1"/>
      <c r="BKQ7" s="1"/>
      <c r="BKR7" s="1"/>
      <c r="BKS7" s="1"/>
      <c r="BKT7" s="1"/>
      <c r="BKU7" s="1"/>
      <c r="BKV7" s="1"/>
      <c r="BKW7" s="1"/>
      <c r="BKX7" s="1"/>
      <c r="BKY7" s="1"/>
      <c r="BKZ7" s="1"/>
      <c r="BLA7" s="1"/>
      <c r="BLB7" s="1"/>
      <c r="BLC7" s="1"/>
      <c r="BLD7" s="1"/>
      <c r="BLE7" s="1"/>
      <c r="BLF7" s="1"/>
      <c r="BLG7" s="1"/>
      <c r="BLH7" s="1"/>
      <c r="BLI7" s="1"/>
      <c r="BLJ7" s="1"/>
      <c r="BLK7" s="1"/>
      <c r="BLL7" s="1"/>
      <c r="BLM7" s="1"/>
      <c r="BLN7" s="1"/>
      <c r="BLO7" s="1"/>
      <c r="BLP7" s="1"/>
      <c r="BLQ7" s="1"/>
      <c r="BLR7" s="1"/>
      <c r="BLS7" s="1"/>
      <c r="BLT7" s="1"/>
      <c r="BLU7" s="1"/>
      <c r="BLV7" s="1"/>
      <c r="BLW7" s="1"/>
      <c r="BLX7" s="1"/>
      <c r="BLY7" s="1"/>
      <c r="BLZ7" s="1"/>
      <c r="BMA7" s="1"/>
      <c r="BMB7" s="1"/>
      <c r="BMC7" s="1"/>
      <c r="BMD7" s="1"/>
      <c r="BME7" s="1"/>
      <c r="BMF7" s="1"/>
      <c r="BMG7" s="1"/>
      <c r="BMH7" s="1"/>
      <c r="BMI7" s="1"/>
      <c r="BMJ7" s="1"/>
      <c r="BMK7" s="1"/>
      <c r="BML7" s="1"/>
      <c r="BMM7" s="1"/>
      <c r="BMN7" s="1"/>
      <c r="BMO7" s="1"/>
      <c r="BMP7" s="1"/>
      <c r="BMQ7" s="1"/>
      <c r="BMR7" s="1"/>
      <c r="BMS7" s="1"/>
      <c r="BMT7" s="1"/>
      <c r="BMU7" s="1"/>
      <c r="BMV7" s="1"/>
      <c r="BMW7" s="1"/>
      <c r="BMX7" s="1"/>
      <c r="BMY7" s="1"/>
      <c r="BMZ7" s="1"/>
      <c r="BNA7" s="1"/>
      <c r="BNB7" s="1"/>
      <c r="BNC7" s="1"/>
      <c r="BND7" s="1"/>
      <c r="BNE7" s="1"/>
      <c r="BNF7" s="1"/>
      <c r="BNG7" s="1"/>
      <c r="BNH7" s="1"/>
      <c r="BNI7" s="1"/>
      <c r="BNJ7" s="1"/>
      <c r="BNK7" s="1"/>
      <c r="BNL7" s="1"/>
      <c r="BNM7" s="1"/>
      <c r="BNN7" s="1"/>
      <c r="BNO7" s="1"/>
      <c r="BNP7" s="1"/>
      <c r="BNQ7" s="1"/>
      <c r="BNR7" s="1"/>
      <c r="BNS7" s="1"/>
      <c r="BNT7" s="1"/>
      <c r="BNU7" s="1"/>
      <c r="BNV7" s="1"/>
      <c r="BNW7" s="1"/>
      <c r="BNX7" s="1"/>
      <c r="BNY7" s="1"/>
      <c r="BNZ7" s="1"/>
      <c r="BOA7" s="1"/>
      <c r="BOB7" s="1"/>
      <c r="BOC7" s="1"/>
      <c r="BOD7" s="1"/>
      <c r="BOE7" s="1"/>
      <c r="BOF7" s="1"/>
      <c r="BOG7" s="1"/>
      <c r="BOH7" s="1"/>
      <c r="BOI7" s="1"/>
      <c r="BOJ7" s="1"/>
      <c r="BOK7" s="1"/>
      <c r="BOL7" s="1"/>
      <c r="BOM7" s="1"/>
      <c r="BON7" s="1"/>
      <c r="BOO7" s="1"/>
      <c r="BOP7" s="1"/>
      <c r="BOQ7" s="1"/>
      <c r="BOR7" s="1"/>
      <c r="BOS7" s="1"/>
      <c r="BOT7" s="1"/>
      <c r="BOU7" s="1"/>
      <c r="BOV7" s="1"/>
      <c r="BOW7" s="1"/>
      <c r="BOX7" s="1"/>
      <c r="BOY7" s="1"/>
      <c r="BOZ7" s="1"/>
      <c r="BPA7" s="1"/>
      <c r="BPB7" s="1"/>
      <c r="BPC7" s="1"/>
      <c r="BPD7" s="1"/>
      <c r="BPE7" s="1"/>
      <c r="BPF7" s="1"/>
      <c r="BPG7" s="1"/>
      <c r="BPH7" s="1"/>
      <c r="BPI7" s="1"/>
      <c r="BPJ7" s="1"/>
      <c r="BPK7" s="1"/>
      <c r="BPL7" s="1"/>
      <c r="BPM7" s="1"/>
      <c r="BPN7" s="1"/>
      <c r="BPO7" s="1"/>
      <c r="BPP7" s="1"/>
      <c r="BPQ7" s="1"/>
      <c r="BPR7" s="1"/>
      <c r="BPS7" s="1"/>
      <c r="BPT7" s="1"/>
      <c r="BPU7" s="1"/>
      <c r="BPV7" s="1"/>
      <c r="BPW7" s="1"/>
      <c r="BPX7" s="1"/>
      <c r="BPY7" s="1"/>
      <c r="BPZ7" s="1"/>
      <c r="BQA7" s="1"/>
      <c r="BQB7" s="1"/>
      <c r="BQC7" s="1"/>
      <c r="BQD7" s="1"/>
      <c r="BQE7" s="1"/>
      <c r="BQF7" s="1"/>
      <c r="BQG7" s="1"/>
      <c r="BQH7" s="1"/>
      <c r="BQI7" s="1"/>
      <c r="BQJ7" s="1"/>
      <c r="BQK7" s="1"/>
      <c r="BQL7" s="1"/>
      <c r="BQM7" s="1"/>
      <c r="BQN7" s="1"/>
      <c r="BQO7" s="1"/>
      <c r="BQP7" s="1"/>
      <c r="BQQ7" s="1"/>
      <c r="BQR7" s="1"/>
      <c r="BQS7" s="1"/>
      <c r="BQT7" s="1"/>
      <c r="BQU7" s="1"/>
      <c r="BQV7" s="1"/>
      <c r="BQW7" s="1"/>
      <c r="BQX7" s="1"/>
      <c r="BQY7" s="1"/>
      <c r="BQZ7" s="1"/>
      <c r="BRA7" s="1"/>
      <c r="BRB7" s="1"/>
      <c r="BRC7" s="1"/>
      <c r="BRD7" s="1"/>
      <c r="BRE7" s="1"/>
      <c r="BRF7" s="1"/>
      <c r="BRG7" s="1"/>
      <c r="BRH7" s="1"/>
      <c r="BRI7" s="1"/>
      <c r="BRJ7" s="1"/>
      <c r="BRK7" s="1"/>
      <c r="BRL7" s="1"/>
      <c r="BRM7" s="1"/>
      <c r="BRN7" s="1"/>
      <c r="BRO7" s="1"/>
      <c r="BRP7" s="1"/>
      <c r="BRQ7" s="1"/>
      <c r="BRR7" s="1"/>
      <c r="BRS7" s="1"/>
      <c r="BRT7" s="1"/>
      <c r="BRU7" s="1"/>
      <c r="BRV7" s="1"/>
      <c r="BRW7" s="1"/>
      <c r="BRX7" s="1"/>
      <c r="BRY7" s="1"/>
      <c r="BRZ7" s="1"/>
      <c r="BSA7" s="1"/>
      <c r="BSB7" s="1"/>
      <c r="BSC7" s="1"/>
      <c r="BSD7" s="1"/>
      <c r="BSE7" s="1"/>
      <c r="BSF7" s="1"/>
      <c r="BSG7" s="1"/>
      <c r="BSH7" s="1"/>
      <c r="BSI7" s="1"/>
      <c r="BSJ7" s="1"/>
      <c r="BSK7" s="1"/>
      <c r="BSL7" s="1"/>
      <c r="BSM7" s="1"/>
      <c r="BSN7" s="1"/>
      <c r="BSO7" s="1"/>
      <c r="BSP7" s="1"/>
      <c r="BSQ7" s="1"/>
      <c r="BSR7" s="1"/>
      <c r="BSS7" s="1"/>
      <c r="BST7" s="1"/>
      <c r="BSU7" s="1"/>
      <c r="BSV7" s="1"/>
      <c r="BSW7" s="1"/>
      <c r="BSX7" s="1"/>
      <c r="BSY7" s="1"/>
      <c r="BSZ7" s="1"/>
      <c r="BTA7" s="1"/>
      <c r="BTB7" s="1"/>
      <c r="BTC7" s="1"/>
      <c r="BTD7" s="1"/>
      <c r="BTE7" s="1"/>
      <c r="BTF7" s="1"/>
      <c r="BTG7" s="1"/>
      <c r="BTH7" s="1"/>
      <c r="BTI7" s="1"/>
      <c r="BTJ7" s="1"/>
      <c r="BTK7" s="1"/>
      <c r="BTL7" s="1"/>
      <c r="BTM7" s="1"/>
      <c r="BTN7" s="1"/>
      <c r="BTO7" s="1"/>
      <c r="BTP7" s="1"/>
      <c r="BTQ7" s="1"/>
      <c r="BTR7" s="1"/>
      <c r="BTS7" s="1"/>
      <c r="BTT7" s="1"/>
      <c r="BTU7" s="1"/>
      <c r="BTV7" s="1"/>
      <c r="BTW7" s="1"/>
      <c r="BTX7" s="1"/>
      <c r="BTY7" s="1"/>
      <c r="BTZ7" s="1"/>
      <c r="BUA7" s="1"/>
      <c r="BUB7" s="1"/>
      <c r="BUC7" s="1"/>
      <c r="BUD7" s="1"/>
      <c r="BUE7" s="1"/>
      <c r="BUF7" s="1"/>
      <c r="BUG7" s="1"/>
      <c r="BUH7" s="1"/>
      <c r="BUI7" s="1"/>
      <c r="BUJ7" s="1"/>
      <c r="BUK7" s="1"/>
      <c r="BUL7" s="1"/>
      <c r="BUM7" s="1"/>
      <c r="BUN7" s="1"/>
      <c r="BUO7" s="1"/>
      <c r="BUP7" s="1"/>
      <c r="BUQ7" s="1"/>
      <c r="BUR7" s="1"/>
      <c r="BUS7" s="1"/>
      <c r="BUT7" s="1"/>
      <c r="BUU7" s="1"/>
      <c r="BUV7" s="1"/>
      <c r="BUW7" s="1"/>
      <c r="BUX7" s="1"/>
      <c r="BUY7" s="1"/>
      <c r="BUZ7" s="1"/>
      <c r="BVA7" s="1"/>
      <c r="BVB7" s="1"/>
      <c r="BVC7" s="1"/>
      <c r="BVD7" s="1"/>
      <c r="BVE7" s="1"/>
      <c r="BVF7" s="1"/>
      <c r="BVG7" s="1"/>
      <c r="BVH7" s="1"/>
      <c r="BVI7" s="1"/>
      <c r="BVJ7" s="1"/>
      <c r="BVK7" s="1"/>
      <c r="BVL7" s="1"/>
      <c r="BVM7" s="1"/>
      <c r="BVN7" s="1"/>
      <c r="BVO7" s="1"/>
      <c r="BVP7" s="1"/>
      <c r="BVQ7" s="1"/>
      <c r="BVR7" s="1"/>
      <c r="BVS7" s="1"/>
      <c r="BVT7" s="1"/>
      <c r="BVU7" s="1"/>
      <c r="BVV7" s="1"/>
      <c r="BVW7" s="1"/>
      <c r="BVX7" s="1"/>
      <c r="BVY7" s="1"/>
      <c r="BVZ7" s="1"/>
      <c r="BWA7" s="1"/>
      <c r="BWB7" s="1"/>
      <c r="BWC7" s="1"/>
      <c r="BWD7" s="1"/>
      <c r="BWE7" s="1"/>
      <c r="BWF7" s="1"/>
      <c r="BWG7" s="1"/>
      <c r="BWH7" s="1"/>
      <c r="BWI7" s="1"/>
      <c r="BWJ7" s="1"/>
      <c r="BWK7" s="1"/>
      <c r="BWL7" s="1"/>
      <c r="BWM7" s="1"/>
      <c r="BWN7" s="1"/>
      <c r="BWO7" s="1"/>
      <c r="BWP7" s="1"/>
      <c r="BWQ7" s="1"/>
      <c r="BWR7" s="1"/>
      <c r="BWS7" s="1"/>
      <c r="BWT7" s="1"/>
      <c r="BWU7" s="1"/>
      <c r="BWV7" s="1"/>
      <c r="BWW7" s="1"/>
      <c r="BWX7" s="1"/>
      <c r="BWY7" s="1"/>
      <c r="BWZ7" s="1"/>
      <c r="BXA7" s="1"/>
      <c r="BXB7" s="1"/>
      <c r="BXC7" s="1"/>
      <c r="BXD7" s="1"/>
      <c r="BXE7" s="1"/>
      <c r="BXF7" s="1"/>
      <c r="BXG7" s="1"/>
      <c r="BXH7" s="1"/>
      <c r="BXI7" s="1"/>
      <c r="BXJ7" s="1"/>
      <c r="BXK7" s="1"/>
      <c r="BXL7" s="1"/>
      <c r="BXM7" s="1"/>
      <c r="BXN7" s="1"/>
      <c r="BXO7" s="1"/>
      <c r="BXP7" s="1"/>
      <c r="BXQ7" s="1"/>
      <c r="BXR7" s="1"/>
      <c r="BXS7" s="1"/>
      <c r="BXT7" s="1"/>
      <c r="BXU7" s="1"/>
      <c r="BXV7" s="1"/>
      <c r="BXW7" s="1"/>
      <c r="BXX7" s="1"/>
      <c r="BXY7" s="1"/>
      <c r="BXZ7" s="1"/>
      <c r="BYA7" s="1"/>
      <c r="BYB7" s="1"/>
      <c r="BYC7" s="1"/>
      <c r="BYD7" s="1"/>
      <c r="BYE7" s="1"/>
      <c r="BYF7" s="1"/>
      <c r="BYG7" s="1"/>
      <c r="BYH7" s="1"/>
      <c r="BYI7" s="1"/>
      <c r="BYJ7" s="1"/>
      <c r="BYK7" s="1"/>
      <c r="BYL7" s="1"/>
      <c r="BYM7" s="1"/>
      <c r="BYN7" s="1"/>
      <c r="BYO7" s="1"/>
      <c r="BYP7" s="1"/>
      <c r="BYQ7" s="1"/>
      <c r="BYR7" s="1"/>
      <c r="BYS7" s="1"/>
      <c r="BYT7" s="1"/>
      <c r="BYU7" s="1"/>
      <c r="BYV7" s="1"/>
      <c r="BYW7" s="1"/>
      <c r="BYX7" s="1"/>
      <c r="BYY7" s="1"/>
      <c r="BYZ7" s="1"/>
      <c r="BZA7" s="1"/>
      <c r="BZB7" s="1"/>
      <c r="BZC7" s="1"/>
      <c r="BZD7" s="1"/>
      <c r="BZE7" s="1"/>
      <c r="BZF7" s="1"/>
      <c r="BZG7" s="1"/>
      <c r="BZH7" s="1"/>
      <c r="BZI7" s="1"/>
      <c r="BZJ7" s="1"/>
      <c r="BZK7" s="1"/>
      <c r="BZL7" s="1"/>
      <c r="BZM7" s="1"/>
      <c r="BZN7" s="1"/>
      <c r="BZO7" s="1"/>
      <c r="BZP7" s="1"/>
      <c r="BZQ7" s="1"/>
      <c r="BZR7" s="1"/>
      <c r="BZS7" s="1"/>
      <c r="BZT7" s="1"/>
      <c r="BZU7" s="1"/>
      <c r="BZV7" s="1"/>
      <c r="BZW7" s="1"/>
      <c r="BZX7" s="1"/>
      <c r="BZY7" s="1"/>
      <c r="BZZ7" s="1"/>
      <c r="CAA7" s="1"/>
      <c r="CAB7" s="1"/>
      <c r="CAC7" s="1"/>
      <c r="CAD7" s="1"/>
      <c r="CAE7" s="1"/>
      <c r="CAF7" s="1"/>
      <c r="CAG7" s="1"/>
      <c r="CAH7" s="1"/>
      <c r="CAI7" s="1"/>
      <c r="CAJ7" s="1"/>
      <c r="CAK7" s="1"/>
      <c r="CAL7" s="1"/>
      <c r="CAM7" s="1"/>
      <c r="CAN7" s="1"/>
      <c r="CAO7" s="1"/>
      <c r="CAP7" s="1"/>
      <c r="CAQ7" s="1"/>
      <c r="CAR7" s="1"/>
      <c r="CAS7" s="1"/>
      <c r="CAT7" s="1"/>
      <c r="CAU7" s="1"/>
      <c r="CAV7" s="1"/>
      <c r="CAW7" s="1"/>
      <c r="CAX7" s="1"/>
      <c r="CAY7" s="1"/>
      <c r="CAZ7" s="1"/>
      <c r="CBA7" s="1"/>
      <c r="CBB7" s="1"/>
      <c r="CBC7" s="1"/>
      <c r="CBD7" s="1"/>
      <c r="CBE7" s="1"/>
      <c r="CBF7" s="1"/>
      <c r="CBG7" s="1"/>
      <c r="CBH7" s="1"/>
      <c r="CBI7" s="1"/>
      <c r="CBJ7" s="1"/>
      <c r="CBK7" s="1"/>
      <c r="CBL7" s="1"/>
      <c r="CBM7" s="1"/>
      <c r="CBN7" s="1"/>
      <c r="CBO7" s="1"/>
      <c r="CBP7" s="1"/>
      <c r="CBQ7" s="1"/>
      <c r="CBR7" s="1"/>
      <c r="CBS7" s="1"/>
      <c r="CBT7" s="1"/>
      <c r="CBU7" s="1"/>
      <c r="CBV7" s="1"/>
      <c r="CBW7" s="1"/>
      <c r="CBX7" s="1"/>
      <c r="CBY7" s="1"/>
      <c r="CBZ7" s="1"/>
      <c r="CCA7" s="1"/>
      <c r="CCB7" s="1"/>
      <c r="CCC7" s="1"/>
      <c r="CCD7" s="1"/>
      <c r="CCE7" s="1"/>
      <c r="CCF7" s="1"/>
      <c r="CCG7" s="1"/>
      <c r="CCH7" s="1"/>
      <c r="CCI7" s="1"/>
      <c r="CCJ7" s="1"/>
      <c r="CCK7" s="1"/>
      <c r="CCL7" s="1"/>
      <c r="CCM7" s="1"/>
      <c r="CCN7" s="1"/>
      <c r="CCO7" s="1"/>
      <c r="CCP7" s="1"/>
      <c r="CCQ7" s="1"/>
      <c r="CCR7" s="1"/>
      <c r="CCS7" s="1"/>
      <c r="CCT7" s="1"/>
      <c r="CCU7" s="1"/>
      <c r="CCV7" s="1"/>
      <c r="CCW7" s="1"/>
      <c r="CCX7" s="1"/>
      <c r="CCY7" s="1"/>
      <c r="CCZ7" s="1"/>
      <c r="CDA7" s="1"/>
      <c r="CDB7" s="1"/>
      <c r="CDC7" s="1"/>
      <c r="CDD7" s="1"/>
      <c r="CDE7" s="1"/>
      <c r="CDF7" s="1"/>
      <c r="CDG7" s="1"/>
      <c r="CDH7" s="1"/>
      <c r="CDI7" s="1"/>
      <c r="CDJ7" s="1"/>
      <c r="CDK7" s="1"/>
      <c r="CDL7" s="1"/>
      <c r="CDM7" s="1"/>
      <c r="CDN7" s="1"/>
      <c r="CDO7" s="1"/>
      <c r="CDP7" s="1"/>
      <c r="CDQ7" s="1"/>
      <c r="CDR7" s="1"/>
      <c r="CDS7" s="1"/>
      <c r="CDT7" s="1"/>
      <c r="CDU7" s="1"/>
      <c r="CDV7" s="1"/>
      <c r="CDW7" s="1"/>
      <c r="CDX7" s="1"/>
      <c r="CDY7" s="1"/>
      <c r="CDZ7" s="1"/>
      <c r="CEA7" s="1"/>
      <c r="CEB7" s="1"/>
      <c r="CEC7" s="1"/>
      <c r="CED7" s="1"/>
      <c r="CEE7" s="1"/>
      <c r="CEF7" s="1"/>
      <c r="CEG7" s="1"/>
      <c r="CEH7" s="1"/>
      <c r="CEI7" s="1"/>
      <c r="CEJ7" s="1"/>
      <c r="CEK7" s="1"/>
      <c r="CEL7" s="1"/>
      <c r="CEM7" s="1"/>
      <c r="CEN7" s="1"/>
      <c r="CEO7" s="1"/>
      <c r="CEP7" s="1"/>
      <c r="CEQ7" s="1"/>
      <c r="CER7" s="1"/>
      <c r="CES7" s="1"/>
      <c r="CET7" s="1"/>
      <c r="CEU7" s="1"/>
      <c r="CEV7" s="1"/>
      <c r="CEW7" s="1"/>
      <c r="CEX7" s="1"/>
      <c r="CEY7" s="1"/>
      <c r="CEZ7" s="1"/>
      <c r="CFA7" s="1"/>
      <c r="CFB7" s="1"/>
      <c r="CFC7" s="1"/>
      <c r="CFD7" s="1"/>
      <c r="CFE7" s="1"/>
      <c r="CFF7" s="1"/>
      <c r="CFG7" s="1"/>
      <c r="CFH7" s="1"/>
      <c r="CFI7" s="1"/>
      <c r="CFJ7" s="1"/>
      <c r="CFK7" s="1"/>
      <c r="CFL7" s="1"/>
      <c r="CFM7" s="1"/>
      <c r="CFN7" s="1"/>
      <c r="CFO7" s="1"/>
      <c r="CFP7" s="1"/>
      <c r="CFQ7" s="1"/>
      <c r="CFR7" s="1"/>
      <c r="CFS7" s="1"/>
      <c r="CFT7" s="1"/>
      <c r="CFU7" s="1"/>
      <c r="CFV7" s="1"/>
      <c r="CFW7" s="1"/>
      <c r="CFX7" s="1"/>
      <c r="CFY7" s="1"/>
      <c r="CFZ7" s="1"/>
      <c r="CGA7" s="1"/>
      <c r="CGB7" s="1"/>
      <c r="CGC7" s="1"/>
      <c r="CGD7" s="1"/>
      <c r="CGE7" s="1"/>
      <c r="CGF7" s="1"/>
      <c r="CGG7" s="1"/>
      <c r="CGH7" s="1"/>
      <c r="CGI7" s="1"/>
      <c r="CGJ7" s="1"/>
      <c r="CGK7" s="1"/>
      <c r="CGL7" s="1"/>
      <c r="CGM7" s="1"/>
      <c r="CGN7" s="1"/>
      <c r="CGO7" s="1"/>
      <c r="CGP7" s="1"/>
      <c r="CGQ7" s="1"/>
      <c r="CGR7" s="1"/>
      <c r="CGS7" s="1"/>
      <c r="CGT7" s="1"/>
      <c r="CGU7" s="1"/>
      <c r="CGV7" s="1"/>
      <c r="CGW7" s="1"/>
      <c r="CGX7" s="1"/>
      <c r="CGY7" s="1"/>
      <c r="CGZ7" s="1"/>
      <c r="CHA7" s="1"/>
      <c r="CHB7" s="1"/>
      <c r="CHC7" s="1"/>
      <c r="CHD7" s="1"/>
      <c r="CHE7" s="1"/>
      <c r="CHF7" s="1"/>
      <c r="CHG7" s="1"/>
      <c r="CHH7" s="1"/>
      <c r="CHI7" s="1"/>
      <c r="CHJ7" s="1"/>
      <c r="CHK7" s="1"/>
      <c r="CHL7" s="1"/>
      <c r="CHM7" s="1"/>
      <c r="CHN7" s="1"/>
      <c r="CHO7" s="1"/>
      <c r="CHP7" s="1"/>
      <c r="CHQ7" s="1"/>
      <c r="CHR7" s="1"/>
      <c r="CHS7" s="1"/>
      <c r="CHT7" s="1"/>
      <c r="CHU7" s="1"/>
      <c r="CHV7" s="1"/>
      <c r="CHW7" s="1"/>
      <c r="CHX7" s="1"/>
      <c r="CHY7" s="1"/>
      <c r="CHZ7" s="1"/>
      <c r="CIA7" s="1"/>
      <c r="CIB7" s="1"/>
      <c r="CIC7" s="1"/>
      <c r="CID7" s="1"/>
      <c r="CIE7" s="1"/>
      <c r="CIF7" s="1"/>
      <c r="CIG7" s="1"/>
      <c r="CIH7" s="1"/>
      <c r="CII7" s="1"/>
      <c r="CIJ7" s="1"/>
      <c r="CIK7" s="1"/>
      <c r="CIL7" s="1"/>
      <c r="CIM7" s="1"/>
      <c r="CIN7" s="1"/>
      <c r="CIO7" s="1"/>
      <c r="CIP7" s="1"/>
      <c r="CIQ7" s="1"/>
      <c r="CIR7" s="1"/>
      <c r="CIS7" s="1"/>
      <c r="CIT7" s="1"/>
      <c r="CIU7" s="1"/>
      <c r="CIV7" s="1"/>
      <c r="CIW7" s="1"/>
      <c r="CIX7" s="1"/>
      <c r="CIY7" s="1"/>
      <c r="CIZ7" s="1"/>
      <c r="CJA7" s="1"/>
      <c r="CJB7" s="1"/>
      <c r="CJC7" s="1"/>
      <c r="CJD7" s="1"/>
      <c r="CJE7" s="1"/>
      <c r="CJF7" s="1"/>
      <c r="CJG7" s="1"/>
      <c r="CJH7" s="1"/>
      <c r="CJI7" s="1"/>
      <c r="CJJ7" s="1"/>
      <c r="CJK7" s="1"/>
      <c r="CJL7" s="1"/>
      <c r="CJM7" s="1"/>
      <c r="CJN7" s="1"/>
      <c r="CJO7" s="1"/>
      <c r="CJP7" s="1"/>
      <c r="CJQ7" s="1"/>
      <c r="CJR7" s="1"/>
      <c r="CJS7" s="1"/>
      <c r="CJT7" s="1"/>
      <c r="CJU7" s="1"/>
      <c r="CJV7" s="1"/>
      <c r="CJW7" s="1"/>
      <c r="CJX7" s="1"/>
      <c r="CJY7" s="1"/>
      <c r="CJZ7" s="1"/>
      <c r="CKA7" s="1"/>
      <c r="CKB7" s="1"/>
      <c r="CKC7" s="1"/>
      <c r="CKD7" s="1"/>
      <c r="CKE7" s="1"/>
      <c r="CKF7" s="1"/>
      <c r="CKG7" s="1"/>
      <c r="CKH7" s="1"/>
      <c r="CKI7" s="1"/>
      <c r="CKJ7" s="1"/>
      <c r="CKK7" s="1"/>
      <c r="CKL7" s="1"/>
      <c r="CKM7" s="1"/>
      <c r="CKN7" s="1"/>
      <c r="CKO7" s="1"/>
      <c r="CKP7" s="1"/>
      <c r="CKQ7" s="1"/>
      <c r="CKR7" s="1"/>
      <c r="CKS7" s="1"/>
      <c r="CKT7" s="1"/>
      <c r="CKU7" s="1"/>
      <c r="CKV7" s="1"/>
      <c r="CKW7" s="1"/>
      <c r="CKX7" s="1"/>
      <c r="CKY7" s="1"/>
      <c r="CKZ7" s="1"/>
      <c r="CLA7" s="1"/>
      <c r="CLB7" s="1"/>
      <c r="CLC7" s="1"/>
      <c r="CLD7" s="1"/>
      <c r="CLE7" s="1"/>
      <c r="CLF7" s="1"/>
      <c r="CLG7" s="1"/>
      <c r="CLH7" s="1"/>
      <c r="CLI7" s="1"/>
      <c r="CLJ7" s="1"/>
      <c r="CLK7" s="1"/>
      <c r="CLL7" s="1"/>
      <c r="CLM7" s="1"/>
      <c r="CLN7" s="1"/>
      <c r="CLO7" s="1"/>
      <c r="CLP7" s="1"/>
      <c r="CLQ7" s="1"/>
      <c r="CLR7" s="1"/>
      <c r="CLS7" s="1"/>
      <c r="CLT7" s="1"/>
      <c r="CLU7" s="1"/>
      <c r="CLV7" s="1"/>
      <c r="CLW7" s="1"/>
      <c r="CLX7" s="1"/>
      <c r="CLY7" s="1"/>
      <c r="CLZ7" s="1"/>
      <c r="CMA7" s="1"/>
      <c r="CMB7" s="1"/>
      <c r="CMC7" s="1"/>
      <c r="CMD7" s="1"/>
      <c r="CME7" s="1"/>
      <c r="CMF7" s="1"/>
      <c r="CMG7" s="1"/>
      <c r="CMH7" s="1"/>
      <c r="CMI7" s="1"/>
      <c r="CMJ7" s="1"/>
      <c r="CMK7" s="1"/>
      <c r="CML7" s="1"/>
      <c r="CMM7" s="1"/>
      <c r="CMN7" s="1"/>
      <c r="CMO7" s="1"/>
      <c r="CMP7" s="1"/>
      <c r="CMQ7" s="1"/>
      <c r="CMR7" s="1"/>
      <c r="CMS7" s="1"/>
      <c r="CMT7" s="1"/>
      <c r="CMU7" s="1"/>
      <c r="CMV7" s="1"/>
      <c r="CMW7" s="1"/>
      <c r="CMX7" s="1"/>
      <c r="CMY7" s="1"/>
      <c r="CMZ7" s="1"/>
      <c r="CNA7" s="1"/>
      <c r="CNB7" s="1"/>
      <c r="CNC7" s="1"/>
      <c r="CND7" s="1"/>
      <c r="CNE7" s="1"/>
      <c r="CNF7" s="1"/>
      <c r="CNG7" s="1"/>
      <c r="CNH7" s="1"/>
      <c r="CNI7" s="1"/>
      <c r="CNJ7" s="1"/>
      <c r="CNK7" s="1"/>
      <c r="CNL7" s="1"/>
      <c r="CNM7" s="1"/>
      <c r="CNN7" s="1"/>
      <c r="CNO7" s="1"/>
      <c r="CNP7" s="1"/>
      <c r="CNQ7" s="1"/>
      <c r="CNR7" s="1"/>
      <c r="CNS7" s="1"/>
      <c r="CNT7" s="1"/>
      <c r="CNU7" s="1"/>
      <c r="CNV7" s="1"/>
      <c r="CNW7" s="1"/>
      <c r="CNX7" s="1"/>
      <c r="CNY7" s="1"/>
      <c r="CNZ7" s="1"/>
      <c r="COA7" s="1"/>
      <c r="COB7" s="1"/>
      <c r="COC7" s="1"/>
      <c r="COD7" s="1"/>
      <c r="COE7" s="1"/>
      <c r="COF7" s="1"/>
      <c r="COG7" s="1"/>
      <c r="COH7" s="1"/>
      <c r="COI7" s="1"/>
      <c r="COJ7" s="1"/>
      <c r="COK7" s="1"/>
      <c r="COL7" s="1"/>
      <c r="COM7" s="1"/>
      <c r="CON7" s="1"/>
      <c r="COO7" s="1"/>
      <c r="COP7" s="1"/>
      <c r="COQ7" s="1"/>
      <c r="COR7" s="1"/>
      <c r="COS7" s="1"/>
      <c r="COT7" s="1"/>
      <c r="COU7" s="1"/>
      <c r="COV7" s="1"/>
      <c r="COW7" s="1"/>
      <c r="COX7" s="1"/>
      <c r="COY7" s="1"/>
      <c r="COZ7" s="1"/>
      <c r="CPA7" s="1"/>
      <c r="CPB7" s="1"/>
      <c r="CPC7" s="1"/>
      <c r="CPD7" s="1"/>
      <c r="CPE7" s="1"/>
      <c r="CPF7" s="1"/>
      <c r="CPG7" s="1"/>
      <c r="CPH7" s="1"/>
      <c r="CPI7" s="1"/>
      <c r="CPJ7" s="1"/>
      <c r="CPK7" s="1"/>
      <c r="CPL7" s="1"/>
      <c r="CPM7" s="1"/>
      <c r="CPN7" s="1"/>
      <c r="CPO7" s="1"/>
      <c r="CPP7" s="1"/>
      <c r="CPQ7" s="1"/>
      <c r="CPR7" s="1"/>
      <c r="CPS7" s="1"/>
      <c r="CPT7" s="1"/>
      <c r="CPU7" s="1"/>
      <c r="CPV7" s="1"/>
      <c r="CPW7" s="1"/>
      <c r="CPX7" s="1"/>
      <c r="CPY7" s="1"/>
      <c r="CPZ7" s="1"/>
      <c r="CQA7" s="1"/>
      <c r="CQB7" s="1"/>
      <c r="CQC7" s="1"/>
      <c r="CQD7" s="1"/>
      <c r="CQE7" s="1"/>
      <c r="CQF7" s="1"/>
      <c r="CQG7" s="1"/>
      <c r="CQH7" s="1"/>
      <c r="CQI7" s="1"/>
      <c r="CQJ7" s="1"/>
      <c r="CQK7" s="1"/>
      <c r="CQL7" s="1"/>
      <c r="CQM7" s="1"/>
      <c r="CQN7" s="1"/>
      <c r="CQO7" s="1"/>
      <c r="CQP7" s="1"/>
      <c r="CQQ7" s="1"/>
      <c r="CQR7" s="1"/>
      <c r="CQS7" s="1"/>
      <c r="CQT7" s="1"/>
      <c r="CQU7" s="1"/>
      <c r="CQV7" s="1"/>
      <c r="CQW7" s="1"/>
      <c r="CQX7" s="1"/>
      <c r="CQY7" s="1"/>
      <c r="CQZ7" s="1"/>
      <c r="CRA7" s="1"/>
      <c r="CRB7" s="1"/>
      <c r="CRC7" s="1"/>
      <c r="CRD7" s="1"/>
      <c r="CRE7" s="1"/>
      <c r="CRF7" s="1"/>
      <c r="CRG7" s="1"/>
      <c r="CRH7" s="1"/>
      <c r="CRI7" s="1"/>
      <c r="CRJ7" s="1"/>
      <c r="CRK7" s="1"/>
      <c r="CRL7" s="1"/>
      <c r="CRM7" s="1"/>
      <c r="CRN7" s="1"/>
      <c r="CRO7" s="1"/>
      <c r="CRP7" s="1"/>
      <c r="CRQ7" s="1"/>
      <c r="CRR7" s="1"/>
      <c r="CRS7" s="1"/>
      <c r="CRT7" s="1"/>
      <c r="CRU7" s="1"/>
      <c r="CRV7" s="1"/>
      <c r="CRW7" s="1"/>
      <c r="CRX7" s="1"/>
      <c r="CRY7" s="1"/>
      <c r="CRZ7" s="1"/>
      <c r="CSA7" s="1"/>
      <c r="CSB7" s="1"/>
      <c r="CSC7" s="1"/>
      <c r="CSD7" s="1"/>
      <c r="CSE7" s="1"/>
      <c r="CSF7" s="1"/>
      <c r="CSG7" s="1"/>
      <c r="CSH7" s="1"/>
      <c r="CSI7" s="1"/>
      <c r="CSJ7" s="1"/>
      <c r="CSK7" s="1"/>
      <c r="CSL7" s="1"/>
      <c r="CSM7" s="1"/>
      <c r="CSN7" s="1"/>
      <c r="CSO7" s="1"/>
      <c r="CSP7" s="1"/>
      <c r="CSQ7" s="1"/>
      <c r="CSR7" s="1"/>
      <c r="CSS7" s="1"/>
      <c r="CST7" s="1"/>
      <c r="CSU7" s="1"/>
      <c r="CSV7" s="1"/>
      <c r="CSW7" s="1"/>
      <c r="CSX7" s="1"/>
      <c r="CSY7" s="1"/>
      <c r="CSZ7" s="1"/>
      <c r="CTA7" s="1"/>
      <c r="CTB7" s="1"/>
      <c r="CTC7" s="1"/>
      <c r="CTD7" s="1"/>
      <c r="CTE7" s="1"/>
      <c r="CTF7" s="1"/>
      <c r="CTG7" s="1"/>
      <c r="CTH7" s="1"/>
      <c r="CTI7" s="1"/>
      <c r="CTJ7" s="1"/>
      <c r="CTK7" s="1"/>
      <c r="CTL7" s="1"/>
      <c r="CTM7" s="1"/>
      <c r="CTN7" s="1"/>
      <c r="CTO7" s="1"/>
      <c r="CTP7" s="1"/>
      <c r="CTQ7" s="1"/>
      <c r="CTR7" s="1"/>
      <c r="CTS7" s="1"/>
      <c r="CTT7" s="1"/>
      <c r="CTU7" s="1"/>
      <c r="CTV7" s="1"/>
      <c r="CTW7" s="1"/>
      <c r="CTX7" s="1"/>
      <c r="CTY7" s="1"/>
      <c r="CTZ7" s="1"/>
      <c r="CUA7" s="1"/>
      <c r="CUB7" s="1"/>
      <c r="CUC7" s="1"/>
      <c r="CUD7" s="1"/>
      <c r="CUE7" s="1"/>
      <c r="CUF7" s="1"/>
      <c r="CUG7" s="1"/>
      <c r="CUH7" s="1"/>
      <c r="CUI7" s="1"/>
      <c r="CUJ7" s="1"/>
      <c r="CUK7" s="1"/>
      <c r="CUL7" s="1"/>
      <c r="CUM7" s="1"/>
      <c r="CUN7" s="1"/>
      <c r="CUO7" s="1"/>
      <c r="CUP7" s="1"/>
      <c r="CUQ7" s="1"/>
      <c r="CUR7" s="1"/>
      <c r="CUS7" s="1"/>
      <c r="CUT7" s="1"/>
      <c r="CUU7" s="1"/>
      <c r="CUV7" s="1"/>
      <c r="CUW7" s="1"/>
      <c r="CUX7" s="1"/>
      <c r="CUY7" s="1"/>
      <c r="CUZ7" s="1"/>
      <c r="CVA7" s="1"/>
      <c r="CVB7" s="1"/>
      <c r="CVC7" s="1"/>
      <c r="CVD7" s="1"/>
      <c r="CVE7" s="1"/>
      <c r="CVF7" s="1"/>
      <c r="CVG7" s="1"/>
      <c r="CVH7" s="1"/>
      <c r="CVI7" s="1"/>
      <c r="CVJ7" s="1"/>
      <c r="CVK7" s="1"/>
      <c r="CVL7" s="1"/>
      <c r="CVM7" s="1"/>
      <c r="CVN7" s="1"/>
      <c r="CVO7" s="1"/>
      <c r="CVP7" s="1"/>
      <c r="CVQ7" s="1"/>
      <c r="CVR7" s="1"/>
      <c r="CVS7" s="1"/>
      <c r="CVT7" s="1"/>
      <c r="CVU7" s="1"/>
      <c r="CVV7" s="1"/>
      <c r="CVW7" s="1"/>
      <c r="CVX7" s="1"/>
      <c r="CVY7" s="1"/>
      <c r="CVZ7" s="1"/>
      <c r="CWA7" s="1"/>
      <c r="CWB7" s="1"/>
      <c r="CWC7" s="1"/>
      <c r="CWD7" s="1"/>
      <c r="CWE7" s="1"/>
      <c r="CWF7" s="1"/>
      <c r="CWG7" s="1"/>
      <c r="CWH7" s="1"/>
      <c r="CWI7" s="1"/>
      <c r="CWJ7" s="1"/>
      <c r="CWK7" s="1"/>
      <c r="CWL7" s="1"/>
      <c r="CWM7" s="1"/>
      <c r="CWN7" s="1"/>
      <c r="CWO7" s="1"/>
      <c r="CWP7" s="1"/>
      <c r="CWQ7" s="1"/>
      <c r="CWR7" s="1"/>
      <c r="CWS7" s="1"/>
      <c r="CWT7" s="1"/>
      <c r="CWU7" s="1"/>
      <c r="CWV7" s="1"/>
      <c r="CWW7" s="1"/>
      <c r="CWX7" s="1"/>
      <c r="CWY7" s="1"/>
      <c r="CWZ7" s="1"/>
      <c r="CXA7" s="1"/>
      <c r="CXB7" s="1"/>
      <c r="CXC7" s="1"/>
      <c r="CXD7" s="1"/>
      <c r="CXE7" s="1"/>
      <c r="CXF7" s="1"/>
      <c r="CXG7" s="1"/>
      <c r="CXH7" s="1"/>
      <c r="CXI7" s="1"/>
      <c r="CXJ7" s="1"/>
      <c r="CXK7" s="1"/>
      <c r="CXL7" s="1"/>
      <c r="CXM7" s="1"/>
      <c r="CXN7" s="1"/>
      <c r="CXO7" s="1"/>
      <c r="CXP7" s="1"/>
      <c r="CXQ7" s="1"/>
      <c r="CXR7" s="1"/>
      <c r="CXS7" s="1"/>
      <c r="CXT7" s="1"/>
      <c r="CXU7" s="1"/>
      <c r="CXV7" s="1"/>
      <c r="CXW7" s="1"/>
      <c r="CXX7" s="1"/>
      <c r="CXY7" s="1"/>
      <c r="CXZ7" s="1"/>
      <c r="CYA7" s="1"/>
      <c r="CYB7" s="1"/>
      <c r="CYC7" s="1"/>
      <c r="CYD7" s="1"/>
      <c r="CYE7" s="1"/>
      <c r="CYF7" s="1"/>
      <c r="CYG7" s="1"/>
      <c r="CYH7" s="1"/>
      <c r="CYI7" s="1"/>
      <c r="CYJ7" s="1"/>
      <c r="CYK7" s="1"/>
      <c r="CYL7" s="1"/>
      <c r="CYM7" s="1"/>
      <c r="CYN7" s="1"/>
      <c r="CYO7" s="1"/>
      <c r="CYP7" s="1"/>
      <c r="CYQ7" s="1"/>
      <c r="CYR7" s="1"/>
      <c r="CYS7" s="1"/>
      <c r="CYT7" s="1"/>
      <c r="CYU7" s="1"/>
      <c r="CYV7" s="1"/>
      <c r="CYW7" s="1"/>
      <c r="CYX7" s="1"/>
      <c r="CYY7" s="1"/>
      <c r="CYZ7" s="1"/>
      <c r="CZA7" s="1"/>
      <c r="CZB7" s="1"/>
      <c r="CZC7" s="1"/>
      <c r="CZD7" s="1"/>
      <c r="CZE7" s="1"/>
      <c r="CZF7" s="1"/>
      <c r="CZG7" s="1"/>
      <c r="CZH7" s="1"/>
      <c r="CZI7" s="1"/>
      <c r="CZJ7" s="1"/>
      <c r="CZK7" s="1"/>
      <c r="CZL7" s="1"/>
      <c r="CZM7" s="1"/>
      <c r="CZN7" s="1"/>
      <c r="CZO7" s="1"/>
      <c r="CZP7" s="1"/>
      <c r="CZQ7" s="1"/>
      <c r="CZR7" s="1"/>
      <c r="CZS7" s="1"/>
      <c r="CZT7" s="1"/>
      <c r="CZU7" s="1"/>
      <c r="CZV7" s="1"/>
      <c r="CZW7" s="1"/>
      <c r="CZX7" s="1"/>
      <c r="CZY7" s="1"/>
      <c r="CZZ7" s="1"/>
      <c r="DAA7" s="1"/>
      <c r="DAB7" s="1"/>
      <c r="DAC7" s="1"/>
      <c r="DAD7" s="1"/>
      <c r="DAE7" s="1"/>
      <c r="DAF7" s="1"/>
      <c r="DAG7" s="1"/>
      <c r="DAH7" s="1"/>
      <c r="DAI7" s="1"/>
      <c r="DAJ7" s="1"/>
      <c r="DAK7" s="1"/>
      <c r="DAL7" s="1"/>
      <c r="DAM7" s="1"/>
      <c r="DAN7" s="1"/>
      <c r="DAO7" s="1"/>
      <c r="DAP7" s="1"/>
      <c r="DAQ7" s="1"/>
      <c r="DAR7" s="1"/>
      <c r="DAS7" s="1"/>
      <c r="DAT7" s="1"/>
      <c r="DAU7" s="1"/>
      <c r="DAV7" s="1"/>
      <c r="DAW7" s="1"/>
      <c r="DAX7" s="1"/>
      <c r="DAY7" s="1"/>
      <c r="DAZ7" s="1"/>
      <c r="DBA7" s="1"/>
      <c r="DBB7" s="1"/>
      <c r="DBC7" s="1"/>
      <c r="DBD7" s="1"/>
      <c r="DBE7" s="1"/>
      <c r="DBF7" s="1"/>
      <c r="DBG7" s="1"/>
      <c r="DBH7" s="1"/>
      <c r="DBI7" s="1"/>
      <c r="DBJ7" s="1"/>
      <c r="DBK7" s="1"/>
      <c r="DBL7" s="1"/>
      <c r="DBM7" s="1"/>
      <c r="DBN7" s="1"/>
      <c r="DBO7" s="1"/>
      <c r="DBP7" s="1"/>
      <c r="DBQ7" s="1"/>
      <c r="DBR7" s="1"/>
      <c r="DBS7" s="1"/>
      <c r="DBT7" s="1"/>
      <c r="DBU7" s="1"/>
      <c r="DBV7" s="1"/>
      <c r="DBW7" s="1"/>
      <c r="DBX7" s="1"/>
      <c r="DBY7" s="1"/>
      <c r="DBZ7" s="1"/>
      <c r="DCA7" s="1"/>
      <c r="DCB7" s="1"/>
      <c r="DCC7" s="1"/>
      <c r="DCD7" s="1"/>
      <c r="DCE7" s="1"/>
      <c r="DCF7" s="1"/>
      <c r="DCG7" s="1"/>
      <c r="DCH7" s="1"/>
      <c r="DCI7" s="1"/>
      <c r="DCJ7" s="1"/>
      <c r="DCK7" s="1"/>
      <c r="DCL7" s="1"/>
      <c r="DCM7" s="1"/>
      <c r="DCN7" s="1"/>
      <c r="DCO7" s="1"/>
      <c r="DCP7" s="1"/>
      <c r="DCQ7" s="1"/>
      <c r="DCR7" s="1"/>
      <c r="DCS7" s="1"/>
      <c r="DCT7" s="1"/>
      <c r="DCU7" s="1"/>
      <c r="DCV7" s="1"/>
      <c r="DCW7" s="1"/>
      <c r="DCX7" s="1"/>
      <c r="DCY7" s="1"/>
      <c r="DCZ7" s="1"/>
      <c r="DDA7" s="1"/>
      <c r="DDB7" s="1"/>
      <c r="DDC7" s="1"/>
      <c r="DDD7" s="1"/>
      <c r="DDE7" s="1"/>
      <c r="DDF7" s="1"/>
      <c r="DDG7" s="1"/>
      <c r="DDH7" s="1"/>
      <c r="DDI7" s="1"/>
      <c r="DDJ7" s="1"/>
      <c r="DDK7" s="1"/>
      <c r="DDL7" s="1"/>
      <c r="DDM7" s="1"/>
      <c r="DDN7" s="1"/>
      <c r="DDO7" s="1"/>
      <c r="DDP7" s="1"/>
      <c r="DDQ7" s="1"/>
      <c r="DDR7" s="1"/>
      <c r="DDS7" s="1"/>
      <c r="DDT7" s="1"/>
      <c r="DDU7" s="1"/>
      <c r="DDV7" s="1"/>
      <c r="DDW7" s="1"/>
      <c r="DDX7" s="1"/>
      <c r="DDY7" s="1"/>
      <c r="DDZ7" s="1"/>
      <c r="DEA7" s="1"/>
      <c r="DEB7" s="1"/>
      <c r="DEC7" s="1"/>
      <c r="DED7" s="1"/>
      <c r="DEE7" s="1"/>
      <c r="DEF7" s="1"/>
      <c r="DEG7" s="1"/>
      <c r="DEH7" s="1"/>
      <c r="DEI7" s="1"/>
      <c r="DEJ7" s="1"/>
      <c r="DEK7" s="1"/>
      <c r="DEL7" s="1"/>
      <c r="DEM7" s="1"/>
      <c r="DEN7" s="1"/>
      <c r="DEO7" s="1"/>
      <c r="DEP7" s="1"/>
      <c r="DEQ7" s="1"/>
      <c r="DER7" s="1"/>
      <c r="DES7" s="1"/>
      <c r="DET7" s="1"/>
      <c r="DEU7" s="1"/>
      <c r="DEV7" s="1"/>
      <c r="DEW7" s="1"/>
      <c r="DEX7" s="1"/>
      <c r="DEY7" s="1"/>
      <c r="DEZ7" s="1"/>
      <c r="DFA7" s="1"/>
      <c r="DFB7" s="1"/>
      <c r="DFC7" s="1"/>
      <c r="DFD7" s="1"/>
      <c r="DFE7" s="1"/>
      <c r="DFF7" s="1"/>
      <c r="DFG7" s="1"/>
      <c r="DFH7" s="1"/>
      <c r="DFI7" s="1"/>
      <c r="DFJ7" s="1"/>
      <c r="DFK7" s="1"/>
      <c r="DFL7" s="1"/>
      <c r="DFM7" s="1"/>
      <c r="DFN7" s="1"/>
      <c r="DFO7" s="1"/>
      <c r="DFP7" s="1"/>
      <c r="DFQ7" s="1"/>
      <c r="DFR7" s="1"/>
      <c r="DFS7" s="1"/>
      <c r="DFT7" s="1"/>
      <c r="DFU7" s="1"/>
      <c r="DFV7" s="1"/>
      <c r="DFW7" s="1"/>
      <c r="DFX7" s="1"/>
      <c r="DFY7" s="1"/>
      <c r="DFZ7" s="1"/>
      <c r="DGA7" s="1"/>
      <c r="DGB7" s="1"/>
      <c r="DGC7" s="1"/>
      <c r="DGD7" s="1"/>
      <c r="DGE7" s="1"/>
      <c r="DGF7" s="1"/>
      <c r="DGG7" s="1"/>
      <c r="DGH7" s="1"/>
      <c r="DGI7" s="1"/>
      <c r="DGJ7" s="1"/>
      <c r="DGK7" s="1"/>
      <c r="DGL7" s="1"/>
      <c r="DGM7" s="1"/>
      <c r="DGN7" s="1"/>
      <c r="DGO7" s="1"/>
      <c r="DGP7" s="1"/>
      <c r="DGQ7" s="1"/>
      <c r="DGR7" s="1"/>
      <c r="DGS7" s="1"/>
      <c r="DGT7" s="1"/>
      <c r="DGU7" s="1"/>
      <c r="DGV7" s="1"/>
      <c r="DGW7" s="1"/>
      <c r="DGX7" s="1"/>
      <c r="DGY7" s="1"/>
      <c r="DGZ7" s="1"/>
      <c r="DHA7" s="1"/>
      <c r="DHB7" s="1"/>
      <c r="DHC7" s="1"/>
      <c r="DHD7" s="1"/>
      <c r="DHE7" s="1"/>
      <c r="DHF7" s="1"/>
      <c r="DHG7" s="1"/>
      <c r="DHH7" s="1"/>
      <c r="DHI7" s="1"/>
      <c r="DHJ7" s="1"/>
      <c r="DHK7" s="1"/>
      <c r="DHL7" s="1"/>
      <c r="DHM7" s="1"/>
      <c r="DHN7" s="1"/>
      <c r="DHO7" s="1"/>
      <c r="DHP7" s="1"/>
      <c r="DHQ7" s="1"/>
      <c r="DHR7" s="1"/>
      <c r="DHS7" s="1"/>
      <c r="DHT7" s="1"/>
      <c r="DHU7" s="1"/>
      <c r="DHV7" s="1"/>
      <c r="DHW7" s="1"/>
      <c r="DHX7" s="1"/>
      <c r="DHY7" s="1"/>
      <c r="DHZ7" s="1"/>
      <c r="DIA7" s="1"/>
      <c r="DIB7" s="1"/>
      <c r="DIC7" s="1"/>
      <c r="DID7" s="1"/>
      <c r="DIE7" s="1"/>
      <c r="DIF7" s="1"/>
      <c r="DIG7" s="1"/>
      <c r="DIH7" s="1"/>
      <c r="DII7" s="1"/>
      <c r="DIJ7" s="1"/>
      <c r="DIK7" s="1"/>
      <c r="DIL7" s="1"/>
      <c r="DIM7" s="1"/>
      <c r="DIN7" s="1"/>
      <c r="DIO7" s="1"/>
      <c r="DIP7" s="1"/>
      <c r="DIQ7" s="1"/>
      <c r="DIR7" s="1"/>
      <c r="DIS7" s="1"/>
      <c r="DIT7" s="1"/>
      <c r="DIU7" s="1"/>
      <c r="DIV7" s="1"/>
      <c r="DIW7" s="1"/>
      <c r="DIX7" s="1"/>
      <c r="DIY7" s="1"/>
      <c r="DIZ7" s="1"/>
      <c r="DJA7" s="1"/>
      <c r="DJB7" s="1"/>
      <c r="DJC7" s="1"/>
      <c r="DJD7" s="1"/>
      <c r="DJE7" s="1"/>
      <c r="DJF7" s="1"/>
      <c r="DJG7" s="1"/>
      <c r="DJH7" s="1"/>
      <c r="DJI7" s="1"/>
      <c r="DJJ7" s="1"/>
      <c r="DJK7" s="1"/>
      <c r="DJL7" s="1"/>
      <c r="DJM7" s="1"/>
      <c r="DJN7" s="1"/>
      <c r="DJO7" s="1"/>
      <c r="DJP7" s="1"/>
      <c r="DJQ7" s="1"/>
      <c r="DJR7" s="1"/>
      <c r="DJS7" s="1"/>
      <c r="DJT7" s="1"/>
      <c r="DJU7" s="1"/>
      <c r="DJV7" s="1"/>
      <c r="DJW7" s="1"/>
      <c r="DJX7" s="1"/>
      <c r="DJY7" s="1"/>
      <c r="DJZ7" s="1"/>
      <c r="DKA7" s="1"/>
      <c r="DKB7" s="1"/>
      <c r="DKC7" s="1"/>
      <c r="DKD7" s="1"/>
      <c r="DKE7" s="1"/>
      <c r="DKF7" s="1"/>
      <c r="DKG7" s="1"/>
      <c r="DKH7" s="1"/>
      <c r="DKI7" s="1"/>
      <c r="DKJ7" s="1"/>
      <c r="DKK7" s="1"/>
      <c r="DKL7" s="1"/>
      <c r="DKM7" s="1"/>
      <c r="DKN7" s="1"/>
      <c r="DKO7" s="1"/>
      <c r="DKP7" s="1"/>
      <c r="DKQ7" s="1"/>
      <c r="DKR7" s="1"/>
      <c r="DKS7" s="1"/>
      <c r="DKT7" s="1"/>
      <c r="DKU7" s="1"/>
      <c r="DKV7" s="1"/>
      <c r="DKW7" s="1"/>
      <c r="DKX7" s="1"/>
      <c r="DKY7" s="1"/>
      <c r="DKZ7" s="1"/>
      <c r="DLA7" s="1"/>
      <c r="DLB7" s="1"/>
      <c r="DLC7" s="1"/>
      <c r="DLD7" s="1"/>
      <c r="DLE7" s="1"/>
      <c r="DLF7" s="1"/>
      <c r="DLG7" s="1"/>
      <c r="DLH7" s="1"/>
      <c r="DLI7" s="1"/>
      <c r="DLJ7" s="1"/>
      <c r="DLK7" s="1"/>
      <c r="DLL7" s="1"/>
      <c r="DLM7" s="1"/>
      <c r="DLN7" s="1"/>
      <c r="DLO7" s="1"/>
      <c r="DLP7" s="1"/>
      <c r="DLQ7" s="1"/>
      <c r="DLR7" s="1"/>
      <c r="DLS7" s="1"/>
      <c r="DLT7" s="1"/>
      <c r="DLU7" s="1"/>
      <c r="DLV7" s="1"/>
      <c r="DLW7" s="1"/>
      <c r="DLX7" s="1"/>
      <c r="DLY7" s="1"/>
      <c r="DLZ7" s="1"/>
      <c r="DMA7" s="1"/>
      <c r="DMB7" s="1"/>
      <c r="DMC7" s="1"/>
      <c r="DMD7" s="1"/>
      <c r="DME7" s="1"/>
      <c r="DMF7" s="1"/>
      <c r="DMG7" s="1"/>
      <c r="DMH7" s="1"/>
      <c r="DMI7" s="1"/>
      <c r="DMJ7" s="1"/>
      <c r="DMK7" s="1"/>
      <c r="DML7" s="1"/>
      <c r="DMM7" s="1"/>
      <c r="DMN7" s="1"/>
      <c r="DMO7" s="1"/>
      <c r="DMP7" s="1"/>
      <c r="DMQ7" s="1"/>
      <c r="DMR7" s="1"/>
      <c r="DMS7" s="1"/>
      <c r="DMT7" s="1"/>
      <c r="DMU7" s="1"/>
      <c r="DMV7" s="1"/>
      <c r="DMW7" s="1"/>
      <c r="DMX7" s="1"/>
      <c r="DMY7" s="1"/>
      <c r="DMZ7" s="1"/>
      <c r="DNA7" s="1"/>
      <c r="DNB7" s="1"/>
      <c r="DNC7" s="1"/>
      <c r="DND7" s="1"/>
      <c r="DNE7" s="1"/>
      <c r="DNF7" s="1"/>
      <c r="DNG7" s="1"/>
      <c r="DNH7" s="1"/>
      <c r="DNI7" s="1"/>
      <c r="DNJ7" s="1"/>
      <c r="DNK7" s="1"/>
      <c r="DNL7" s="1"/>
      <c r="DNM7" s="1"/>
      <c r="DNN7" s="1"/>
      <c r="DNO7" s="1"/>
      <c r="DNP7" s="1"/>
      <c r="DNQ7" s="1"/>
      <c r="DNR7" s="1"/>
      <c r="DNS7" s="1"/>
      <c r="DNT7" s="1"/>
      <c r="DNU7" s="1"/>
      <c r="DNV7" s="1"/>
      <c r="DNW7" s="1"/>
      <c r="DNX7" s="1"/>
      <c r="DNY7" s="1"/>
      <c r="DNZ7" s="1"/>
      <c r="DOA7" s="1"/>
      <c r="DOB7" s="1"/>
      <c r="DOC7" s="1"/>
      <c r="DOD7" s="1"/>
      <c r="DOE7" s="1"/>
      <c r="DOF7" s="1"/>
      <c r="DOG7" s="1"/>
      <c r="DOH7" s="1"/>
      <c r="DOI7" s="1"/>
      <c r="DOJ7" s="1"/>
      <c r="DOK7" s="1"/>
      <c r="DOL7" s="1"/>
      <c r="DOM7" s="1"/>
      <c r="DON7" s="1"/>
      <c r="DOO7" s="1"/>
      <c r="DOP7" s="1"/>
      <c r="DOQ7" s="1"/>
      <c r="DOR7" s="1"/>
      <c r="DOS7" s="1"/>
      <c r="DOT7" s="1"/>
      <c r="DOU7" s="1"/>
      <c r="DOV7" s="1"/>
      <c r="DOW7" s="1"/>
      <c r="DOX7" s="1"/>
      <c r="DOY7" s="1"/>
      <c r="DOZ7" s="1"/>
      <c r="DPA7" s="1"/>
      <c r="DPB7" s="1"/>
      <c r="DPC7" s="1"/>
      <c r="DPD7" s="1"/>
      <c r="DPE7" s="1"/>
      <c r="DPF7" s="1"/>
      <c r="DPG7" s="1"/>
      <c r="DPH7" s="1"/>
      <c r="DPI7" s="1"/>
      <c r="DPJ7" s="1"/>
      <c r="DPK7" s="1"/>
      <c r="DPL7" s="1"/>
      <c r="DPM7" s="1"/>
      <c r="DPN7" s="1"/>
      <c r="DPO7" s="1"/>
      <c r="DPP7" s="1"/>
      <c r="DPQ7" s="1"/>
      <c r="DPR7" s="1"/>
      <c r="DPS7" s="1"/>
      <c r="DPT7" s="1"/>
      <c r="DPU7" s="1"/>
      <c r="DPV7" s="1"/>
      <c r="DPW7" s="1"/>
      <c r="DPX7" s="1"/>
      <c r="DPY7" s="1"/>
      <c r="DPZ7" s="1"/>
      <c r="DQA7" s="1"/>
      <c r="DQB7" s="1"/>
      <c r="DQC7" s="1"/>
      <c r="DQD7" s="1"/>
      <c r="DQE7" s="1"/>
      <c r="DQF7" s="1"/>
      <c r="DQG7" s="1"/>
      <c r="DQH7" s="1"/>
      <c r="DQI7" s="1"/>
      <c r="DQJ7" s="1"/>
      <c r="DQK7" s="1"/>
      <c r="DQL7" s="1"/>
      <c r="DQM7" s="1"/>
      <c r="DQN7" s="1"/>
      <c r="DQO7" s="1"/>
      <c r="DQP7" s="1"/>
      <c r="DQQ7" s="1"/>
      <c r="DQR7" s="1"/>
      <c r="DQS7" s="1"/>
      <c r="DQT7" s="1"/>
      <c r="DQU7" s="1"/>
      <c r="DQV7" s="1"/>
      <c r="DQW7" s="1"/>
      <c r="DQX7" s="1"/>
      <c r="DQY7" s="1"/>
      <c r="DQZ7" s="1"/>
      <c r="DRA7" s="1"/>
      <c r="DRB7" s="1"/>
      <c r="DRC7" s="1"/>
      <c r="DRD7" s="1"/>
      <c r="DRE7" s="1"/>
      <c r="DRF7" s="1"/>
      <c r="DRG7" s="1"/>
      <c r="DRH7" s="1"/>
      <c r="DRI7" s="1"/>
      <c r="DRJ7" s="1"/>
      <c r="DRK7" s="1"/>
      <c r="DRL7" s="1"/>
      <c r="DRM7" s="1"/>
      <c r="DRN7" s="1"/>
      <c r="DRO7" s="1"/>
      <c r="DRP7" s="1"/>
      <c r="DRQ7" s="1"/>
      <c r="DRR7" s="1"/>
      <c r="DRS7" s="1"/>
      <c r="DRT7" s="1"/>
      <c r="DRU7" s="1"/>
      <c r="DRV7" s="1"/>
      <c r="DRW7" s="1"/>
      <c r="DRX7" s="1"/>
      <c r="DRY7" s="1"/>
      <c r="DRZ7" s="1"/>
      <c r="DSA7" s="1"/>
      <c r="DSB7" s="1"/>
      <c r="DSC7" s="1"/>
      <c r="DSD7" s="1"/>
      <c r="DSE7" s="1"/>
      <c r="DSF7" s="1"/>
      <c r="DSG7" s="1"/>
      <c r="DSH7" s="1"/>
      <c r="DSI7" s="1"/>
      <c r="DSJ7" s="1"/>
      <c r="DSK7" s="1"/>
      <c r="DSL7" s="1"/>
      <c r="DSM7" s="1"/>
      <c r="DSN7" s="1"/>
      <c r="DSO7" s="1"/>
      <c r="DSP7" s="1"/>
      <c r="DSQ7" s="1"/>
      <c r="DSR7" s="1"/>
      <c r="DSS7" s="1"/>
      <c r="DST7" s="1"/>
      <c r="DSU7" s="1"/>
      <c r="DSV7" s="1"/>
      <c r="DSW7" s="1"/>
      <c r="DSX7" s="1"/>
      <c r="DSY7" s="1"/>
      <c r="DSZ7" s="1"/>
      <c r="DTA7" s="1"/>
      <c r="DTB7" s="1"/>
      <c r="DTC7" s="1"/>
      <c r="DTD7" s="1"/>
      <c r="DTE7" s="1"/>
      <c r="DTF7" s="1"/>
      <c r="DTG7" s="1"/>
      <c r="DTH7" s="1"/>
      <c r="DTI7" s="1"/>
      <c r="DTJ7" s="1"/>
      <c r="DTK7" s="1"/>
      <c r="DTL7" s="1"/>
      <c r="DTM7" s="1"/>
      <c r="DTN7" s="1"/>
      <c r="DTO7" s="1"/>
      <c r="DTP7" s="1"/>
      <c r="DTQ7" s="1"/>
      <c r="DTR7" s="1"/>
      <c r="DTS7" s="1"/>
      <c r="DTT7" s="1"/>
      <c r="DTU7" s="1"/>
      <c r="DTV7" s="1"/>
      <c r="DTW7" s="1"/>
      <c r="DTX7" s="1"/>
      <c r="DTY7" s="1"/>
      <c r="DTZ7" s="1"/>
      <c r="DUA7" s="1"/>
      <c r="DUB7" s="1"/>
      <c r="DUC7" s="1"/>
      <c r="DUD7" s="1"/>
      <c r="DUE7" s="1"/>
      <c r="DUF7" s="1"/>
      <c r="DUG7" s="1"/>
      <c r="DUH7" s="1"/>
      <c r="DUI7" s="1"/>
      <c r="DUJ7" s="1"/>
      <c r="DUK7" s="1"/>
      <c r="DUL7" s="1"/>
      <c r="DUM7" s="1"/>
      <c r="DUN7" s="1"/>
      <c r="DUO7" s="1"/>
      <c r="DUP7" s="1"/>
      <c r="DUQ7" s="1"/>
      <c r="DUR7" s="1"/>
      <c r="DUS7" s="1"/>
      <c r="DUT7" s="1"/>
      <c r="DUU7" s="1"/>
      <c r="DUV7" s="1"/>
      <c r="DUW7" s="1"/>
      <c r="DUX7" s="1"/>
      <c r="DUY7" s="1"/>
      <c r="DUZ7" s="1"/>
      <c r="DVA7" s="1"/>
      <c r="DVB7" s="1"/>
      <c r="DVC7" s="1"/>
      <c r="DVD7" s="1"/>
      <c r="DVE7" s="1"/>
      <c r="DVF7" s="1"/>
      <c r="DVG7" s="1"/>
      <c r="DVH7" s="1"/>
      <c r="DVI7" s="1"/>
      <c r="DVJ7" s="1"/>
      <c r="DVK7" s="1"/>
      <c r="DVL7" s="1"/>
      <c r="DVM7" s="1"/>
      <c r="DVN7" s="1"/>
      <c r="DVO7" s="1"/>
      <c r="DVP7" s="1"/>
      <c r="DVQ7" s="1"/>
      <c r="DVR7" s="1"/>
      <c r="DVS7" s="1"/>
      <c r="DVT7" s="1"/>
      <c r="DVU7" s="1"/>
      <c r="DVV7" s="1"/>
      <c r="DVW7" s="1"/>
      <c r="DVX7" s="1"/>
      <c r="DVY7" s="1"/>
      <c r="DVZ7" s="1"/>
      <c r="DWA7" s="1"/>
      <c r="DWB7" s="1"/>
      <c r="DWC7" s="1"/>
      <c r="DWD7" s="1"/>
      <c r="DWE7" s="1"/>
      <c r="DWF7" s="1"/>
      <c r="DWG7" s="1"/>
      <c r="DWH7" s="1"/>
      <c r="DWI7" s="1"/>
      <c r="DWJ7" s="1"/>
      <c r="DWK7" s="1"/>
      <c r="DWL7" s="1"/>
      <c r="DWM7" s="1"/>
      <c r="DWN7" s="1"/>
      <c r="DWO7" s="1"/>
      <c r="DWP7" s="1"/>
      <c r="DWQ7" s="1"/>
      <c r="DWR7" s="1"/>
      <c r="DWS7" s="1"/>
      <c r="DWT7" s="1"/>
      <c r="DWU7" s="1"/>
      <c r="DWV7" s="1"/>
      <c r="DWW7" s="1"/>
      <c r="DWX7" s="1"/>
      <c r="DWY7" s="1"/>
      <c r="DWZ7" s="1"/>
      <c r="DXA7" s="1"/>
      <c r="DXB7" s="1"/>
      <c r="DXC7" s="1"/>
      <c r="DXD7" s="1"/>
      <c r="DXE7" s="1"/>
      <c r="DXF7" s="1"/>
      <c r="DXG7" s="1"/>
      <c r="DXH7" s="1"/>
      <c r="DXI7" s="1"/>
      <c r="DXJ7" s="1"/>
      <c r="DXK7" s="1"/>
      <c r="DXL7" s="1"/>
      <c r="DXM7" s="1"/>
      <c r="DXN7" s="1"/>
      <c r="DXO7" s="1"/>
      <c r="DXP7" s="1"/>
      <c r="DXQ7" s="1"/>
      <c r="DXR7" s="1"/>
      <c r="DXS7" s="1"/>
      <c r="DXT7" s="1"/>
      <c r="DXU7" s="1"/>
      <c r="DXV7" s="1"/>
      <c r="DXW7" s="1"/>
      <c r="DXX7" s="1"/>
      <c r="DXY7" s="1"/>
      <c r="DXZ7" s="1"/>
      <c r="DYA7" s="1"/>
      <c r="DYB7" s="1"/>
      <c r="DYC7" s="1"/>
      <c r="DYD7" s="1"/>
      <c r="DYE7" s="1"/>
      <c r="DYF7" s="1"/>
      <c r="DYG7" s="1"/>
      <c r="DYH7" s="1"/>
      <c r="DYI7" s="1"/>
      <c r="DYJ7" s="1"/>
      <c r="DYK7" s="1"/>
      <c r="DYL7" s="1"/>
      <c r="DYM7" s="1"/>
      <c r="DYN7" s="1"/>
      <c r="DYO7" s="1"/>
      <c r="DYP7" s="1"/>
      <c r="DYQ7" s="1"/>
      <c r="DYR7" s="1"/>
      <c r="DYS7" s="1"/>
      <c r="DYT7" s="1"/>
      <c r="DYU7" s="1"/>
      <c r="DYV7" s="1"/>
      <c r="DYW7" s="1"/>
      <c r="DYX7" s="1"/>
      <c r="DYY7" s="1"/>
      <c r="DYZ7" s="1"/>
      <c r="DZA7" s="1"/>
      <c r="DZB7" s="1"/>
      <c r="DZC7" s="1"/>
      <c r="DZD7" s="1"/>
      <c r="DZE7" s="1"/>
      <c r="DZF7" s="1"/>
      <c r="DZG7" s="1"/>
      <c r="DZH7" s="1"/>
      <c r="DZI7" s="1"/>
      <c r="DZJ7" s="1"/>
      <c r="DZK7" s="1"/>
      <c r="DZL7" s="1"/>
      <c r="DZM7" s="1"/>
      <c r="DZN7" s="1"/>
      <c r="DZO7" s="1"/>
      <c r="DZP7" s="1"/>
      <c r="DZQ7" s="1"/>
      <c r="DZR7" s="1"/>
      <c r="DZS7" s="1"/>
      <c r="DZT7" s="1"/>
      <c r="DZU7" s="1"/>
      <c r="DZV7" s="1"/>
      <c r="DZW7" s="1"/>
      <c r="DZX7" s="1"/>
      <c r="DZY7" s="1"/>
      <c r="DZZ7" s="1"/>
      <c r="EAA7" s="1"/>
      <c r="EAB7" s="1"/>
      <c r="EAC7" s="1"/>
      <c r="EAD7" s="1"/>
      <c r="EAE7" s="1"/>
      <c r="EAF7" s="1"/>
      <c r="EAG7" s="1"/>
      <c r="EAH7" s="1"/>
      <c r="EAI7" s="1"/>
      <c r="EAJ7" s="1"/>
      <c r="EAK7" s="1"/>
      <c r="EAL7" s="1"/>
      <c r="EAM7" s="1"/>
      <c r="EAN7" s="1"/>
      <c r="EAO7" s="1"/>
      <c r="EAP7" s="1"/>
      <c r="EAQ7" s="1"/>
      <c r="EAR7" s="1"/>
      <c r="EAS7" s="1"/>
      <c r="EAT7" s="1"/>
      <c r="EAU7" s="1"/>
      <c r="EAV7" s="1"/>
      <c r="EAW7" s="1"/>
      <c r="EAX7" s="1"/>
      <c r="EAY7" s="1"/>
      <c r="EAZ7" s="1"/>
      <c r="EBA7" s="1"/>
      <c r="EBB7" s="1"/>
      <c r="EBC7" s="1"/>
      <c r="EBD7" s="1"/>
      <c r="EBE7" s="1"/>
      <c r="EBF7" s="1"/>
      <c r="EBG7" s="1"/>
      <c r="EBH7" s="1"/>
      <c r="EBI7" s="1"/>
      <c r="EBJ7" s="1"/>
      <c r="EBK7" s="1"/>
      <c r="EBL7" s="1"/>
      <c r="EBM7" s="1"/>
      <c r="EBN7" s="1"/>
      <c r="EBO7" s="1"/>
      <c r="EBP7" s="1"/>
      <c r="EBQ7" s="1"/>
      <c r="EBR7" s="1"/>
      <c r="EBS7" s="1"/>
      <c r="EBT7" s="1"/>
      <c r="EBU7" s="1"/>
      <c r="EBV7" s="1"/>
      <c r="EBW7" s="1"/>
      <c r="EBX7" s="1"/>
      <c r="EBY7" s="1"/>
      <c r="EBZ7" s="1"/>
      <c r="ECA7" s="1"/>
      <c r="ECB7" s="1"/>
      <c r="ECC7" s="1"/>
      <c r="ECD7" s="1"/>
      <c r="ECE7" s="1"/>
      <c r="ECF7" s="1"/>
      <c r="ECG7" s="1"/>
      <c r="ECH7" s="1"/>
      <c r="ECI7" s="1"/>
      <c r="ECJ7" s="1"/>
      <c r="ECK7" s="1"/>
      <c r="ECL7" s="1"/>
      <c r="ECM7" s="1"/>
      <c r="ECN7" s="1"/>
      <c r="ECO7" s="1"/>
      <c r="ECP7" s="1"/>
      <c r="ECQ7" s="1"/>
      <c r="ECR7" s="1"/>
      <c r="ECS7" s="1"/>
      <c r="ECT7" s="1"/>
      <c r="ECU7" s="1"/>
      <c r="ECV7" s="1"/>
      <c r="ECW7" s="1"/>
      <c r="ECX7" s="1"/>
      <c r="ECY7" s="1"/>
      <c r="ECZ7" s="1"/>
      <c r="EDA7" s="1"/>
      <c r="EDB7" s="1"/>
      <c r="EDC7" s="1"/>
      <c r="EDD7" s="1"/>
      <c r="EDE7" s="1"/>
      <c r="EDF7" s="1"/>
      <c r="EDG7" s="1"/>
      <c r="EDH7" s="1"/>
      <c r="EDI7" s="1"/>
      <c r="EDJ7" s="1"/>
      <c r="EDK7" s="1"/>
      <c r="EDL7" s="1"/>
      <c r="EDM7" s="1"/>
      <c r="EDN7" s="1"/>
      <c r="EDO7" s="1"/>
      <c r="EDP7" s="1"/>
      <c r="EDQ7" s="1"/>
      <c r="EDR7" s="1"/>
      <c r="EDS7" s="1"/>
      <c r="EDT7" s="1"/>
      <c r="EDU7" s="1"/>
      <c r="EDV7" s="1"/>
      <c r="EDW7" s="1"/>
      <c r="EDX7" s="1"/>
      <c r="EDY7" s="1"/>
      <c r="EDZ7" s="1"/>
      <c r="EEA7" s="1"/>
      <c r="EEB7" s="1"/>
      <c r="EEC7" s="1"/>
      <c r="EED7" s="1"/>
      <c r="EEE7" s="1"/>
      <c r="EEF7" s="1"/>
      <c r="EEG7" s="1"/>
      <c r="EEH7" s="1"/>
      <c r="EEI7" s="1"/>
      <c r="EEJ7" s="1"/>
      <c r="EEK7" s="1"/>
      <c r="EEL7" s="1"/>
      <c r="EEM7" s="1"/>
      <c r="EEN7" s="1"/>
      <c r="EEO7" s="1"/>
      <c r="EEP7" s="1"/>
      <c r="EEQ7" s="1"/>
      <c r="EER7" s="1"/>
      <c r="EES7" s="1"/>
      <c r="EET7" s="1"/>
      <c r="EEU7" s="1"/>
      <c r="EEV7" s="1"/>
      <c r="EEW7" s="1"/>
      <c r="EEX7" s="1"/>
      <c r="EEY7" s="1"/>
      <c r="EEZ7" s="1"/>
      <c r="EFA7" s="1"/>
      <c r="EFB7" s="1"/>
      <c r="EFC7" s="1"/>
      <c r="EFD7" s="1"/>
      <c r="EFE7" s="1"/>
      <c r="EFF7" s="1"/>
      <c r="EFG7" s="1"/>
      <c r="EFH7" s="1"/>
      <c r="EFI7" s="1"/>
      <c r="EFJ7" s="1"/>
      <c r="EFK7" s="1"/>
      <c r="EFL7" s="1"/>
      <c r="EFM7" s="1"/>
      <c r="EFN7" s="1"/>
      <c r="EFO7" s="1"/>
      <c r="EFP7" s="1"/>
      <c r="EFQ7" s="1"/>
      <c r="EFR7" s="1"/>
      <c r="EFS7" s="1"/>
      <c r="EFT7" s="1"/>
      <c r="EFU7" s="1"/>
      <c r="EFV7" s="1"/>
      <c r="EFW7" s="1"/>
      <c r="EFX7" s="1"/>
      <c r="EFY7" s="1"/>
      <c r="EFZ7" s="1"/>
      <c r="EGA7" s="1"/>
      <c r="EGB7" s="1"/>
      <c r="EGC7" s="1"/>
      <c r="EGD7" s="1"/>
      <c r="EGE7" s="1"/>
      <c r="EGF7" s="1"/>
      <c r="EGG7" s="1"/>
      <c r="EGH7" s="1"/>
      <c r="EGI7" s="1"/>
      <c r="EGJ7" s="1"/>
      <c r="EGK7" s="1"/>
      <c r="EGL7" s="1"/>
      <c r="EGM7" s="1"/>
      <c r="EGN7" s="1"/>
      <c r="EGO7" s="1"/>
      <c r="EGP7" s="1"/>
      <c r="EGQ7" s="1"/>
      <c r="EGR7" s="1"/>
      <c r="EGS7" s="1"/>
      <c r="EGT7" s="1"/>
      <c r="EGU7" s="1"/>
      <c r="EGV7" s="1"/>
      <c r="EGW7" s="1"/>
      <c r="EGX7" s="1"/>
      <c r="EGY7" s="1"/>
      <c r="EGZ7" s="1"/>
      <c r="EHA7" s="1"/>
      <c r="EHB7" s="1"/>
      <c r="EHC7" s="1"/>
      <c r="EHD7" s="1"/>
      <c r="EHE7" s="1"/>
      <c r="EHF7" s="1"/>
      <c r="EHG7" s="1"/>
      <c r="EHH7" s="1"/>
      <c r="EHI7" s="1"/>
      <c r="EHJ7" s="1"/>
      <c r="EHK7" s="1"/>
      <c r="EHL7" s="1"/>
      <c r="EHM7" s="1"/>
      <c r="EHN7" s="1"/>
      <c r="EHO7" s="1"/>
      <c r="EHP7" s="1"/>
      <c r="EHQ7" s="1"/>
      <c r="EHR7" s="1"/>
      <c r="EHS7" s="1"/>
      <c r="EHT7" s="1"/>
      <c r="EHU7" s="1"/>
      <c r="EHV7" s="1"/>
      <c r="EHW7" s="1"/>
      <c r="EHX7" s="1"/>
      <c r="EHY7" s="1"/>
      <c r="EHZ7" s="1"/>
      <c r="EIA7" s="1"/>
      <c r="EIB7" s="1"/>
      <c r="EIC7" s="1"/>
      <c r="EID7" s="1"/>
      <c r="EIE7" s="1"/>
      <c r="EIF7" s="1"/>
      <c r="EIG7" s="1"/>
      <c r="EIH7" s="1"/>
      <c r="EII7" s="1"/>
      <c r="EIJ7" s="1"/>
      <c r="EIK7" s="1"/>
      <c r="EIL7" s="1"/>
      <c r="EIM7" s="1"/>
      <c r="EIN7" s="1"/>
      <c r="EIO7" s="1"/>
      <c r="EIP7" s="1"/>
      <c r="EIQ7" s="1"/>
      <c r="EIR7" s="1"/>
      <c r="EIS7" s="1"/>
      <c r="EIT7" s="1"/>
      <c r="EIU7" s="1"/>
      <c r="EIV7" s="1"/>
      <c r="EIW7" s="1"/>
      <c r="EIX7" s="1"/>
      <c r="EIY7" s="1"/>
      <c r="EIZ7" s="1"/>
      <c r="EJA7" s="1"/>
      <c r="EJB7" s="1"/>
      <c r="EJC7" s="1"/>
      <c r="EJD7" s="1"/>
      <c r="EJE7" s="1"/>
      <c r="EJF7" s="1"/>
      <c r="EJG7" s="1"/>
      <c r="EJH7" s="1"/>
      <c r="EJI7" s="1"/>
      <c r="EJJ7" s="1"/>
      <c r="EJK7" s="1"/>
      <c r="EJL7" s="1"/>
      <c r="EJM7" s="1"/>
      <c r="EJN7" s="1"/>
      <c r="EJO7" s="1"/>
      <c r="EJP7" s="1"/>
      <c r="EJQ7" s="1"/>
      <c r="EJR7" s="1"/>
      <c r="EJS7" s="1"/>
      <c r="EJT7" s="1"/>
      <c r="EJU7" s="1"/>
      <c r="EJV7" s="1"/>
      <c r="EJW7" s="1"/>
      <c r="EJX7" s="1"/>
      <c r="EJY7" s="1"/>
      <c r="EJZ7" s="1"/>
      <c r="EKA7" s="1"/>
      <c r="EKB7" s="1"/>
      <c r="EKC7" s="1"/>
      <c r="EKD7" s="1"/>
      <c r="EKE7" s="1"/>
      <c r="EKF7" s="1"/>
      <c r="EKG7" s="1"/>
      <c r="EKH7" s="1"/>
      <c r="EKI7" s="1"/>
      <c r="EKJ7" s="1"/>
      <c r="EKK7" s="1"/>
      <c r="EKL7" s="1"/>
      <c r="EKM7" s="1"/>
      <c r="EKN7" s="1"/>
      <c r="EKO7" s="1"/>
      <c r="EKP7" s="1"/>
      <c r="EKQ7" s="1"/>
      <c r="EKR7" s="1"/>
      <c r="EKS7" s="1"/>
      <c r="EKT7" s="1"/>
      <c r="EKU7" s="1"/>
      <c r="EKV7" s="1"/>
      <c r="EKW7" s="1"/>
      <c r="EKX7" s="1"/>
      <c r="EKY7" s="1"/>
      <c r="EKZ7" s="1"/>
      <c r="ELA7" s="1"/>
      <c r="ELB7" s="1"/>
      <c r="ELC7" s="1"/>
      <c r="ELD7" s="1"/>
      <c r="ELE7" s="1"/>
      <c r="ELF7" s="1"/>
      <c r="ELG7" s="1"/>
      <c r="ELH7" s="1"/>
      <c r="ELI7" s="1"/>
      <c r="ELJ7" s="1"/>
      <c r="ELK7" s="1"/>
      <c r="ELL7" s="1"/>
      <c r="ELM7" s="1"/>
      <c r="ELN7" s="1"/>
      <c r="ELO7" s="1"/>
      <c r="ELP7" s="1"/>
      <c r="ELQ7" s="1"/>
      <c r="ELR7" s="1"/>
      <c r="ELS7" s="1"/>
      <c r="ELT7" s="1"/>
      <c r="ELU7" s="1"/>
      <c r="ELV7" s="1"/>
      <c r="ELW7" s="1"/>
      <c r="ELX7" s="1"/>
      <c r="ELY7" s="1"/>
      <c r="ELZ7" s="1"/>
      <c r="EMA7" s="1"/>
      <c r="EMB7" s="1"/>
      <c r="EMC7" s="1"/>
      <c r="EMD7" s="1"/>
      <c r="EME7" s="1"/>
      <c r="EMF7" s="1"/>
      <c r="EMG7" s="1"/>
      <c r="EMH7" s="1"/>
      <c r="EMI7" s="1"/>
      <c r="EMJ7" s="1"/>
      <c r="EMK7" s="1"/>
      <c r="EML7" s="1"/>
      <c r="EMM7" s="1"/>
      <c r="EMN7" s="1"/>
      <c r="EMO7" s="1"/>
      <c r="EMP7" s="1"/>
      <c r="EMQ7" s="1"/>
      <c r="EMR7" s="1"/>
      <c r="EMS7" s="1"/>
      <c r="EMT7" s="1"/>
      <c r="EMU7" s="1"/>
      <c r="EMV7" s="1"/>
      <c r="EMW7" s="1"/>
      <c r="EMX7" s="1"/>
      <c r="EMY7" s="1"/>
      <c r="EMZ7" s="1"/>
      <c r="ENA7" s="1"/>
      <c r="ENB7" s="1"/>
      <c r="ENC7" s="1"/>
      <c r="END7" s="1"/>
      <c r="ENE7" s="1"/>
      <c r="ENF7" s="1"/>
      <c r="ENG7" s="1"/>
      <c r="ENH7" s="1"/>
      <c r="ENI7" s="1"/>
      <c r="ENJ7" s="1"/>
      <c r="ENK7" s="1"/>
      <c r="ENL7" s="1"/>
      <c r="ENM7" s="1"/>
      <c r="ENN7" s="1"/>
      <c r="ENO7" s="1"/>
      <c r="ENP7" s="1"/>
      <c r="ENQ7" s="1"/>
      <c r="ENR7" s="1"/>
      <c r="ENS7" s="1"/>
      <c r="ENT7" s="1"/>
      <c r="ENU7" s="1"/>
      <c r="ENV7" s="1"/>
      <c r="ENW7" s="1"/>
      <c r="ENX7" s="1"/>
      <c r="ENY7" s="1"/>
      <c r="ENZ7" s="1"/>
      <c r="EOA7" s="1"/>
      <c r="EOB7" s="1"/>
      <c r="EOC7" s="1"/>
      <c r="EOD7" s="1"/>
      <c r="EOE7" s="1"/>
      <c r="EOF7" s="1"/>
      <c r="EOG7" s="1"/>
      <c r="EOH7" s="1"/>
      <c r="EOI7" s="1"/>
      <c r="EOJ7" s="1"/>
      <c r="EOK7" s="1"/>
      <c r="EOL7" s="1"/>
      <c r="EOM7" s="1"/>
      <c r="EON7" s="1"/>
      <c r="EOO7" s="1"/>
      <c r="EOP7" s="1"/>
      <c r="EOQ7" s="1"/>
      <c r="EOR7" s="1"/>
      <c r="EOS7" s="1"/>
      <c r="EOT7" s="1"/>
      <c r="EOU7" s="1"/>
      <c r="EOV7" s="1"/>
      <c r="EOW7" s="1"/>
      <c r="EOX7" s="1"/>
      <c r="EOY7" s="1"/>
      <c r="EOZ7" s="1"/>
      <c r="EPA7" s="1"/>
      <c r="EPB7" s="1"/>
      <c r="EPC7" s="1"/>
      <c r="EPD7" s="1"/>
      <c r="EPE7" s="1"/>
      <c r="EPF7" s="1"/>
      <c r="EPG7" s="1"/>
      <c r="EPH7" s="1"/>
      <c r="EPI7" s="1"/>
      <c r="EPJ7" s="1"/>
      <c r="EPK7" s="1"/>
      <c r="EPL7" s="1"/>
      <c r="EPM7" s="1"/>
      <c r="EPN7" s="1"/>
      <c r="EPO7" s="1"/>
      <c r="EPP7" s="1"/>
      <c r="EPQ7" s="1"/>
      <c r="EPR7" s="1"/>
      <c r="EPS7" s="1"/>
      <c r="EPT7" s="1"/>
      <c r="EPU7" s="1"/>
      <c r="EPV7" s="1"/>
      <c r="EPW7" s="1"/>
      <c r="EPX7" s="1"/>
      <c r="EPY7" s="1"/>
      <c r="EPZ7" s="1"/>
      <c r="EQA7" s="1"/>
      <c r="EQB7" s="1"/>
      <c r="EQC7" s="1"/>
      <c r="EQD7" s="1"/>
      <c r="EQE7" s="1"/>
      <c r="EQF7" s="1"/>
      <c r="EQG7" s="1"/>
      <c r="EQH7" s="1"/>
      <c r="EQI7" s="1"/>
      <c r="EQJ7" s="1"/>
      <c r="EQK7" s="1"/>
      <c r="EQL7" s="1"/>
      <c r="EQM7" s="1"/>
      <c r="EQN7" s="1"/>
      <c r="EQO7" s="1"/>
      <c r="EQP7" s="1"/>
      <c r="EQQ7" s="1"/>
      <c r="EQR7" s="1"/>
      <c r="EQS7" s="1"/>
      <c r="EQT7" s="1"/>
      <c r="EQU7" s="1"/>
      <c r="EQV7" s="1"/>
      <c r="EQW7" s="1"/>
      <c r="EQX7" s="1"/>
      <c r="EQY7" s="1"/>
      <c r="EQZ7" s="1"/>
      <c r="ERA7" s="1"/>
      <c r="ERB7" s="1"/>
      <c r="ERC7" s="1"/>
      <c r="ERD7" s="1"/>
      <c r="ERE7" s="1"/>
      <c r="ERF7" s="1"/>
      <c r="ERG7" s="1"/>
      <c r="ERH7" s="1"/>
      <c r="ERI7" s="1"/>
      <c r="ERJ7" s="1"/>
      <c r="ERK7" s="1"/>
      <c r="ERL7" s="1"/>
      <c r="ERM7" s="1"/>
      <c r="ERN7" s="1"/>
      <c r="ERO7" s="1"/>
      <c r="ERP7" s="1"/>
      <c r="ERQ7" s="1"/>
      <c r="ERR7" s="1"/>
      <c r="ERS7" s="1"/>
      <c r="ERT7" s="1"/>
      <c r="ERU7" s="1"/>
      <c r="ERV7" s="1"/>
      <c r="ERW7" s="1"/>
      <c r="ERX7" s="1"/>
      <c r="ERY7" s="1"/>
      <c r="ERZ7" s="1"/>
      <c r="ESA7" s="1"/>
      <c r="ESB7" s="1"/>
      <c r="ESC7" s="1"/>
      <c r="ESD7" s="1"/>
      <c r="ESE7" s="1"/>
      <c r="ESF7" s="1"/>
      <c r="ESG7" s="1"/>
      <c r="ESH7" s="1"/>
      <c r="ESI7" s="1"/>
      <c r="ESJ7" s="1"/>
      <c r="ESK7" s="1"/>
      <c r="ESL7" s="1"/>
      <c r="ESM7" s="1"/>
      <c r="ESN7" s="1"/>
      <c r="ESO7" s="1"/>
      <c r="ESP7" s="1"/>
      <c r="ESQ7" s="1"/>
      <c r="ESR7" s="1"/>
      <c r="ESS7" s="1"/>
      <c r="EST7" s="1"/>
      <c r="ESU7" s="1"/>
      <c r="ESV7" s="1"/>
      <c r="ESW7" s="1"/>
      <c r="ESX7" s="1"/>
      <c r="ESY7" s="1"/>
      <c r="ESZ7" s="1"/>
      <c r="ETA7" s="1"/>
      <c r="ETB7" s="1"/>
      <c r="ETC7" s="1"/>
      <c r="ETD7" s="1"/>
      <c r="ETE7" s="1"/>
      <c r="ETF7" s="1"/>
      <c r="ETG7" s="1"/>
      <c r="ETH7" s="1"/>
      <c r="ETI7" s="1"/>
      <c r="ETJ7" s="1"/>
      <c r="ETK7" s="1"/>
      <c r="ETL7" s="1"/>
      <c r="ETM7" s="1"/>
      <c r="ETN7" s="1"/>
      <c r="ETO7" s="1"/>
      <c r="ETP7" s="1"/>
      <c r="ETQ7" s="1"/>
      <c r="ETR7" s="1"/>
      <c r="ETS7" s="1"/>
      <c r="ETT7" s="1"/>
      <c r="ETU7" s="1"/>
      <c r="ETV7" s="1"/>
      <c r="ETW7" s="1"/>
      <c r="ETX7" s="1"/>
      <c r="ETY7" s="1"/>
      <c r="ETZ7" s="1"/>
      <c r="EUA7" s="1"/>
      <c r="EUB7" s="1"/>
      <c r="EUC7" s="1"/>
      <c r="EUD7" s="1"/>
      <c r="EUE7" s="1"/>
      <c r="EUF7" s="1"/>
      <c r="EUG7" s="1"/>
      <c r="EUH7" s="1"/>
      <c r="EUI7" s="1"/>
      <c r="EUJ7" s="1"/>
      <c r="EUK7" s="1"/>
      <c r="EUL7" s="1"/>
      <c r="EUM7" s="1"/>
      <c r="EUN7" s="1"/>
      <c r="EUO7" s="1"/>
      <c r="EUP7" s="1"/>
      <c r="EUQ7" s="1"/>
      <c r="EUR7" s="1"/>
      <c r="EUS7" s="1"/>
      <c r="EUT7" s="1"/>
      <c r="EUU7" s="1"/>
      <c r="EUV7" s="1"/>
      <c r="EUW7" s="1"/>
      <c r="EUX7" s="1"/>
      <c r="EUY7" s="1"/>
      <c r="EUZ7" s="1"/>
      <c r="EVA7" s="1"/>
      <c r="EVB7" s="1"/>
      <c r="EVC7" s="1"/>
      <c r="EVD7" s="1"/>
      <c r="EVE7" s="1"/>
      <c r="EVF7" s="1"/>
      <c r="EVG7" s="1"/>
      <c r="EVH7" s="1"/>
      <c r="EVI7" s="1"/>
      <c r="EVJ7" s="1"/>
      <c r="EVK7" s="1"/>
      <c r="EVL7" s="1"/>
      <c r="EVM7" s="1"/>
      <c r="EVN7" s="1"/>
      <c r="EVO7" s="1"/>
      <c r="EVP7" s="1"/>
      <c r="EVQ7" s="1"/>
      <c r="EVR7" s="1"/>
      <c r="EVS7" s="1"/>
      <c r="EVT7" s="1"/>
      <c r="EVU7" s="1"/>
      <c r="EVV7" s="1"/>
      <c r="EVW7" s="1"/>
      <c r="EVX7" s="1"/>
      <c r="EVY7" s="1"/>
      <c r="EVZ7" s="1"/>
      <c r="EWA7" s="1"/>
      <c r="EWB7" s="1"/>
      <c r="EWC7" s="1"/>
      <c r="EWD7" s="1"/>
      <c r="EWE7" s="1"/>
      <c r="EWF7" s="1"/>
      <c r="EWG7" s="1"/>
      <c r="EWH7" s="1"/>
      <c r="EWI7" s="1"/>
      <c r="EWJ7" s="1"/>
      <c r="EWK7" s="1"/>
      <c r="EWL7" s="1"/>
      <c r="EWM7" s="1"/>
      <c r="EWN7" s="1"/>
      <c r="EWO7" s="1"/>
      <c r="EWP7" s="1"/>
      <c r="EWQ7" s="1"/>
      <c r="EWR7" s="1"/>
      <c r="EWS7" s="1"/>
      <c r="EWT7" s="1"/>
      <c r="EWU7" s="1"/>
      <c r="EWV7" s="1"/>
      <c r="EWW7" s="1"/>
      <c r="EWX7" s="1"/>
      <c r="EWY7" s="1"/>
      <c r="EWZ7" s="1"/>
      <c r="EXA7" s="1"/>
      <c r="EXB7" s="1"/>
      <c r="EXC7" s="1"/>
      <c r="EXD7" s="1"/>
      <c r="EXE7" s="1"/>
      <c r="EXF7" s="1"/>
      <c r="EXG7" s="1"/>
      <c r="EXH7" s="1"/>
      <c r="EXI7" s="1"/>
      <c r="EXJ7" s="1"/>
      <c r="EXK7" s="1"/>
      <c r="EXL7" s="1"/>
      <c r="EXM7" s="1"/>
      <c r="EXN7" s="1"/>
      <c r="EXO7" s="1"/>
      <c r="EXP7" s="1"/>
      <c r="EXQ7" s="1"/>
      <c r="EXR7" s="1"/>
      <c r="EXS7" s="1"/>
      <c r="EXT7" s="1"/>
      <c r="EXU7" s="1"/>
      <c r="EXV7" s="1"/>
      <c r="EXW7" s="1"/>
      <c r="EXX7" s="1"/>
      <c r="EXY7" s="1"/>
      <c r="EXZ7" s="1"/>
      <c r="EYA7" s="1"/>
      <c r="EYB7" s="1"/>
      <c r="EYC7" s="1"/>
      <c r="EYD7" s="1"/>
      <c r="EYE7" s="1"/>
      <c r="EYF7" s="1"/>
      <c r="EYG7" s="1"/>
      <c r="EYH7" s="1"/>
      <c r="EYI7" s="1"/>
      <c r="EYJ7" s="1"/>
      <c r="EYK7" s="1"/>
      <c r="EYL7" s="1"/>
      <c r="EYM7" s="1"/>
      <c r="EYN7" s="1"/>
      <c r="EYO7" s="1"/>
      <c r="EYP7" s="1"/>
      <c r="EYQ7" s="1"/>
      <c r="EYR7" s="1"/>
      <c r="EYS7" s="1"/>
      <c r="EYT7" s="1"/>
      <c r="EYU7" s="1"/>
      <c r="EYV7" s="1"/>
      <c r="EYW7" s="1"/>
      <c r="EYX7" s="1"/>
      <c r="EYY7" s="1"/>
      <c r="EYZ7" s="1"/>
      <c r="EZA7" s="1"/>
      <c r="EZB7" s="1"/>
      <c r="EZC7" s="1"/>
      <c r="EZD7" s="1"/>
      <c r="EZE7" s="1"/>
      <c r="EZF7" s="1"/>
      <c r="EZG7" s="1"/>
      <c r="EZH7" s="1"/>
      <c r="EZI7" s="1"/>
      <c r="EZJ7" s="1"/>
      <c r="EZK7" s="1"/>
      <c r="EZL7" s="1"/>
      <c r="EZM7" s="1"/>
      <c r="EZN7" s="1"/>
      <c r="EZO7" s="1"/>
      <c r="EZP7" s="1"/>
      <c r="EZQ7" s="1"/>
      <c r="EZR7" s="1"/>
      <c r="EZS7" s="1"/>
      <c r="EZT7" s="1"/>
      <c r="EZU7" s="1"/>
      <c r="EZV7" s="1"/>
      <c r="EZW7" s="1"/>
      <c r="EZX7" s="1"/>
      <c r="EZY7" s="1"/>
      <c r="EZZ7" s="1"/>
      <c r="FAA7" s="1"/>
      <c r="FAB7" s="1"/>
      <c r="FAC7" s="1"/>
      <c r="FAD7" s="1"/>
      <c r="FAE7" s="1"/>
      <c r="FAF7" s="1"/>
      <c r="FAG7" s="1"/>
      <c r="FAH7" s="1"/>
      <c r="FAI7" s="1"/>
      <c r="FAJ7" s="1"/>
      <c r="FAK7" s="1"/>
      <c r="FAL7" s="1"/>
      <c r="FAM7" s="1"/>
      <c r="FAN7" s="1"/>
      <c r="FAO7" s="1"/>
      <c r="FAP7" s="1"/>
      <c r="FAQ7" s="1"/>
      <c r="FAR7" s="1"/>
      <c r="FAS7" s="1"/>
      <c r="FAT7" s="1"/>
      <c r="FAU7" s="1"/>
      <c r="FAV7" s="1"/>
      <c r="FAW7" s="1"/>
      <c r="FAX7" s="1"/>
      <c r="FAY7" s="1"/>
      <c r="FAZ7" s="1"/>
      <c r="FBA7" s="1"/>
      <c r="FBB7" s="1"/>
      <c r="FBC7" s="1"/>
      <c r="FBD7" s="1"/>
      <c r="FBE7" s="1"/>
      <c r="FBF7" s="1"/>
      <c r="FBG7" s="1"/>
      <c r="FBH7" s="1"/>
      <c r="FBI7" s="1"/>
      <c r="FBJ7" s="1"/>
      <c r="FBK7" s="1"/>
      <c r="FBL7" s="1"/>
      <c r="FBM7" s="1"/>
      <c r="FBN7" s="1"/>
      <c r="FBO7" s="1"/>
      <c r="FBP7" s="1"/>
      <c r="FBQ7" s="1"/>
      <c r="FBR7" s="1"/>
      <c r="FBS7" s="1"/>
      <c r="FBT7" s="1"/>
      <c r="FBU7" s="1"/>
      <c r="FBV7" s="1"/>
      <c r="FBW7" s="1"/>
      <c r="FBX7" s="1"/>
      <c r="FBY7" s="1"/>
      <c r="FBZ7" s="1"/>
      <c r="FCA7" s="1"/>
      <c r="FCB7" s="1"/>
      <c r="FCC7" s="1"/>
      <c r="FCD7" s="1"/>
      <c r="FCE7" s="1"/>
      <c r="FCF7" s="1"/>
      <c r="FCG7" s="1"/>
      <c r="FCH7" s="1"/>
      <c r="FCI7" s="1"/>
      <c r="FCJ7" s="1"/>
      <c r="FCK7" s="1"/>
      <c r="FCL7" s="1"/>
      <c r="FCM7" s="1"/>
      <c r="FCN7" s="1"/>
      <c r="FCO7" s="1"/>
      <c r="FCP7" s="1"/>
      <c r="FCQ7" s="1"/>
      <c r="FCR7" s="1"/>
      <c r="FCS7" s="1"/>
      <c r="FCT7" s="1"/>
      <c r="FCU7" s="1"/>
      <c r="FCV7" s="1"/>
      <c r="FCW7" s="1"/>
      <c r="FCX7" s="1"/>
      <c r="FCY7" s="1"/>
      <c r="FCZ7" s="1"/>
      <c r="FDA7" s="1"/>
      <c r="FDB7" s="1"/>
      <c r="FDC7" s="1"/>
      <c r="FDD7" s="1"/>
      <c r="FDE7" s="1"/>
      <c r="FDF7" s="1"/>
      <c r="FDG7" s="1"/>
      <c r="FDH7" s="1"/>
      <c r="FDI7" s="1"/>
      <c r="FDJ7" s="1"/>
      <c r="FDK7" s="1"/>
      <c r="FDL7" s="1"/>
      <c r="FDM7" s="1"/>
      <c r="FDN7" s="1"/>
      <c r="FDO7" s="1"/>
      <c r="FDP7" s="1"/>
      <c r="FDQ7" s="1"/>
      <c r="FDR7" s="1"/>
      <c r="FDS7" s="1"/>
      <c r="FDT7" s="1"/>
      <c r="FDU7" s="1"/>
      <c r="FDV7" s="1"/>
      <c r="FDW7" s="1"/>
      <c r="FDX7" s="1"/>
      <c r="FDY7" s="1"/>
      <c r="FDZ7" s="1"/>
      <c r="FEA7" s="1"/>
      <c r="FEB7" s="1"/>
      <c r="FEC7" s="1"/>
      <c r="FED7" s="1"/>
      <c r="FEE7" s="1"/>
      <c r="FEF7" s="1"/>
      <c r="FEG7" s="1"/>
      <c r="FEH7" s="1"/>
      <c r="FEI7" s="1"/>
      <c r="FEJ7" s="1"/>
      <c r="FEK7" s="1"/>
      <c r="FEL7" s="1"/>
      <c r="FEM7" s="1"/>
      <c r="FEN7" s="1"/>
      <c r="FEO7" s="1"/>
      <c r="FEP7" s="1"/>
      <c r="FEQ7" s="1"/>
      <c r="FER7" s="1"/>
      <c r="FES7" s="1"/>
      <c r="FET7" s="1"/>
      <c r="FEU7" s="1"/>
      <c r="FEV7" s="1"/>
      <c r="FEW7" s="1"/>
      <c r="FEX7" s="1"/>
      <c r="FEY7" s="1"/>
      <c r="FEZ7" s="1"/>
      <c r="FFA7" s="1"/>
      <c r="FFB7" s="1"/>
      <c r="FFC7" s="1"/>
      <c r="FFD7" s="1"/>
      <c r="FFE7" s="1"/>
      <c r="FFF7" s="1"/>
      <c r="FFG7" s="1"/>
      <c r="FFH7" s="1"/>
      <c r="FFI7" s="1"/>
      <c r="FFJ7" s="1"/>
      <c r="FFK7" s="1"/>
      <c r="FFL7" s="1"/>
      <c r="FFM7" s="1"/>
      <c r="FFN7" s="1"/>
      <c r="FFO7" s="1"/>
      <c r="FFP7" s="1"/>
      <c r="FFQ7" s="1"/>
      <c r="FFR7" s="1"/>
      <c r="FFS7" s="1"/>
      <c r="FFT7" s="1"/>
      <c r="FFU7" s="1"/>
      <c r="FFV7" s="1"/>
      <c r="FFW7" s="1"/>
      <c r="FFX7" s="1"/>
      <c r="FFY7" s="1"/>
      <c r="FFZ7" s="1"/>
      <c r="FGA7" s="1"/>
      <c r="FGB7" s="1"/>
      <c r="FGC7" s="1"/>
      <c r="FGD7" s="1"/>
      <c r="FGE7" s="1"/>
      <c r="FGF7" s="1"/>
      <c r="FGG7" s="1"/>
      <c r="FGH7" s="1"/>
      <c r="FGI7" s="1"/>
      <c r="FGJ7" s="1"/>
      <c r="FGK7" s="1"/>
      <c r="FGL7" s="1"/>
      <c r="FGM7" s="1"/>
      <c r="FGN7" s="1"/>
      <c r="FGO7" s="1"/>
      <c r="FGP7" s="1"/>
      <c r="FGQ7" s="1"/>
      <c r="FGR7" s="1"/>
      <c r="FGS7" s="1"/>
      <c r="FGT7" s="1"/>
      <c r="FGU7" s="1"/>
      <c r="FGV7" s="1"/>
      <c r="FGW7" s="1"/>
      <c r="FGX7" s="1"/>
      <c r="FGY7" s="1"/>
      <c r="FGZ7" s="1"/>
      <c r="FHA7" s="1"/>
      <c r="FHB7" s="1"/>
      <c r="FHC7" s="1"/>
      <c r="FHD7" s="1"/>
      <c r="FHE7" s="1"/>
      <c r="FHF7" s="1"/>
      <c r="FHG7" s="1"/>
      <c r="FHH7" s="1"/>
      <c r="FHI7" s="1"/>
      <c r="FHJ7" s="1"/>
      <c r="FHK7" s="1"/>
      <c r="FHL7" s="1"/>
      <c r="FHM7" s="1"/>
      <c r="FHN7" s="1"/>
      <c r="FHO7" s="1"/>
      <c r="FHP7" s="1"/>
      <c r="FHQ7" s="1"/>
      <c r="FHR7" s="1"/>
      <c r="FHS7" s="1"/>
      <c r="FHT7" s="1"/>
      <c r="FHU7" s="1"/>
      <c r="FHV7" s="1"/>
      <c r="FHW7" s="1"/>
      <c r="FHX7" s="1"/>
      <c r="FHY7" s="1"/>
      <c r="FHZ7" s="1"/>
      <c r="FIA7" s="1"/>
      <c r="FIB7" s="1"/>
      <c r="FIC7" s="1"/>
      <c r="FID7" s="1"/>
      <c r="FIE7" s="1"/>
      <c r="FIF7" s="1"/>
      <c r="FIG7" s="1"/>
      <c r="FIH7" s="1"/>
      <c r="FII7" s="1"/>
      <c r="FIJ7" s="1"/>
      <c r="FIK7" s="1"/>
      <c r="FIL7" s="1"/>
      <c r="FIM7" s="1"/>
      <c r="FIN7" s="1"/>
      <c r="FIO7" s="1"/>
      <c r="FIP7" s="1"/>
      <c r="FIQ7" s="1"/>
      <c r="FIR7" s="1"/>
      <c r="FIS7" s="1"/>
      <c r="FIT7" s="1"/>
      <c r="FIU7" s="1"/>
      <c r="FIV7" s="1"/>
      <c r="FIW7" s="1"/>
      <c r="FIX7" s="1"/>
      <c r="FIY7" s="1"/>
      <c r="FIZ7" s="1"/>
      <c r="FJA7" s="1"/>
      <c r="FJB7" s="1"/>
      <c r="FJC7" s="1"/>
      <c r="FJD7" s="1"/>
      <c r="FJE7" s="1"/>
      <c r="FJF7" s="1"/>
      <c r="FJG7" s="1"/>
      <c r="FJH7" s="1"/>
      <c r="FJI7" s="1"/>
      <c r="FJJ7" s="1"/>
      <c r="FJK7" s="1"/>
      <c r="FJL7" s="1"/>
      <c r="FJM7" s="1"/>
      <c r="FJN7" s="1"/>
      <c r="FJO7" s="1"/>
      <c r="FJP7" s="1"/>
      <c r="FJQ7" s="1"/>
      <c r="FJR7" s="1"/>
      <c r="FJS7" s="1"/>
      <c r="FJT7" s="1"/>
      <c r="FJU7" s="1"/>
      <c r="FJV7" s="1"/>
      <c r="FJW7" s="1"/>
      <c r="FJX7" s="1"/>
      <c r="FJY7" s="1"/>
      <c r="FJZ7" s="1"/>
      <c r="FKA7" s="1"/>
      <c r="FKB7" s="1"/>
      <c r="FKC7" s="1"/>
      <c r="FKD7" s="1"/>
      <c r="FKE7" s="1"/>
      <c r="FKF7" s="1"/>
      <c r="FKG7" s="1"/>
      <c r="FKH7" s="1"/>
      <c r="FKI7" s="1"/>
      <c r="FKJ7" s="1"/>
      <c r="FKK7" s="1"/>
      <c r="FKL7" s="1"/>
      <c r="FKM7" s="1"/>
      <c r="FKN7" s="1"/>
      <c r="FKO7" s="1"/>
      <c r="FKP7" s="1"/>
      <c r="FKQ7" s="1"/>
      <c r="FKR7" s="1"/>
      <c r="FKS7" s="1"/>
      <c r="FKT7" s="1"/>
      <c r="FKU7" s="1"/>
      <c r="FKV7" s="1"/>
      <c r="FKW7" s="1"/>
      <c r="FKX7" s="1"/>
      <c r="FKY7" s="1"/>
      <c r="FKZ7" s="1"/>
      <c r="FLA7" s="1"/>
      <c r="FLB7" s="1"/>
      <c r="FLC7" s="1"/>
      <c r="FLD7" s="1"/>
      <c r="FLE7" s="1"/>
      <c r="FLF7" s="1"/>
      <c r="FLG7" s="1"/>
      <c r="FLH7" s="1"/>
      <c r="FLI7" s="1"/>
      <c r="FLJ7" s="1"/>
      <c r="FLK7" s="1"/>
      <c r="FLL7" s="1"/>
      <c r="FLM7" s="1"/>
      <c r="FLN7" s="1"/>
      <c r="FLO7" s="1"/>
      <c r="FLP7" s="1"/>
      <c r="FLQ7" s="1"/>
      <c r="FLR7" s="1"/>
      <c r="FLS7" s="1"/>
      <c r="FLT7" s="1"/>
      <c r="FLU7" s="1"/>
      <c r="FLV7" s="1"/>
      <c r="FLW7" s="1"/>
      <c r="FLX7" s="1"/>
      <c r="FLY7" s="1"/>
      <c r="FLZ7" s="1"/>
      <c r="FMA7" s="1"/>
      <c r="FMB7" s="1"/>
      <c r="FMC7" s="1"/>
      <c r="FMD7" s="1"/>
      <c r="FME7" s="1"/>
      <c r="FMF7" s="1"/>
      <c r="FMG7" s="1"/>
      <c r="FMH7" s="1"/>
      <c r="FMI7" s="1"/>
      <c r="FMJ7" s="1"/>
      <c r="FMK7" s="1"/>
      <c r="FML7" s="1"/>
      <c r="FMM7" s="1"/>
      <c r="FMN7" s="1"/>
      <c r="FMO7" s="1"/>
      <c r="FMP7" s="1"/>
      <c r="FMQ7" s="1"/>
      <c r="FMR7" s="1"/>
      <c r="FMS7" s="1"/>
      <c r="FMT7" s="1"/>
      <c r="FMU7" s="1"/>
      <c r="FMV7" s="1"/>
      <c r="FMW7" s="1"/>
      <c r="FMX7" s="1"/>
      <c r="FMY7" s="1"/>
      <c r="FMZ7" s="1"/>
      <c r="FNA7" s="1"/>
      <c r="FNB7" s="1"/>
      <c r="FNC7" s="1"/>
      <c r="FND7" s="1"/>
      <c r="FNE7" s="1"/>
      <c r="FNF7" s="1"/>
      <c r="FNG7" s="1"/>
      <c r="FNH7" s="1"/>
      <c r="FNI7" s="1"/>
      <c r="FNJ7" s="1"/>
      <c r="FNK7" s="1"/>
      <c r="FNL7" s="1"/>
      <c r="FNM7" s="1"/>
      <c r="FNN7" s="1"/>
      <c r="FNO7" s="1"/>
      <c r="FNP7" s="1"/>
      <c r="FNQ7" s="1"/>
      <c r="FNR7" s="1"/>
      <c r="FNS7" s="1"/>
      <c r="FNT7" s="1"/>
      <c r="FNU7" s="1"/>
      <c r="FNV7" s="1"/>
      <c r="FNW7" s="1"/>
      <c r="FNX7" s="1"/>
      <c r="FNY7" s="1"/>
      <c r="FNZ7" s="1"/>
      <c r="FOA7" s="1"/>
      <c r="FOB7" s="1"/>
      <c r="FOC7" s="1"/>
      <c r="FOD7" s="1"/>
      <c r="FOE7" s="1"/>
      <c r="FOF7" s="1"/>
      <c r="FOG7" s="1"/>
      <c r="FOH7" s="1"/>
      <c r="FOI7" s="1"/>
      <c r="FOJ7" s="1"/>
      <c r="FOK7" s="1"/>
      <c r="FOL7" s="1"/>
      <c r="FOM7" s="1"/>
      <c r="FON7" s="1"/>
      <c r="FOO7" s="1"/>
      <c r="FOP7" s="1"/>
      <c r="FOQ7" s="1"/>
      <c r="FOR7" s="1"/>
      <c r="FOS7" s="1"/>
      <c r="FOT7" s="1"/>
      <c r="FOU7" s="1"/>
      <c r="FOV7" s="1"/>
      <c r="FOW7" s="1"/>
      <c r="FOX7" s="1"/>
      <c r="FOY7" s="1"/>
      <c r="FOZ7" s="1"/>
      <c r="FPA7" s="1"/>
      <c r="FPB7" s="1"/>
      <c r="FPC7" s="1"/>
      <c r="FPD7" s="1"/>
      <c r="FPE7" s="1"/>
      <c r="FPF7" s="1"/>
      <c r="FPG7" s="1"/>
      <c r="FPH7" s="1"/>
      <c r="FPI7" s="1"/>
      <c r="FPJ7" s="1"/>
      <c r="FPK7" s="1"/>
      <c r="FPL7" s="1"/>
      <c r="FPM7" s="1"/>
      <c r="FPN7" s="1"/>
      <c r="FPO7" s="1"/>
      <c r="FPP7" s="1"/>
      <c r="FPQ7" s="1"/>
      <c r="FPR7" s="1"/>
      <c r="FPS7" s="1"/>
      <c r="FPT7" s="1"/>
      <c r="FPU7" s="1"/>
      <c r="FPV7" s="1"/>
      <c r="FPW7" s="1"/>
      <c r="FPX7" s="1"/>
      <c r="FPY7" s="1"/>
      <c r="FPZ7" s="1"/>
      <c r="FQA7" s="1"/>
      <c r="FQB7" s="1"/>
      <c r="FQC7" s="1"/>
      <c r="FQD7" s="1"/>
      <c r="FQE7" s="1"/>
      <c r="FQF7" s="1"/>
      <c r="FQG7" s="1"/>
      <c r="FQH7" s="1"/>
      <c r="FQI7" s="1"/>
      <c r="FQJ7" s="1"/>
      <c r="FQK7" s="1"/>
      <c r="FQL7" s="1"/>
      <c r="FQM7" s="1"/>
      <c r="FQN7" s="1"/>
      <c r="FQO7" s="1"/>
      <c r="FQP7" s="1"/>
      <c r="FQQ7" s="1"/>
      <c r="FQR7" s="1"/>
      <c r="FQS7" s="1"/>
      <c r="FQT7" s="1"/>
      <c r="FQU7" s="1"/>
      <c r="FQV7" s="1"/>
      <c r="FQW7" s="1"/>
      <c r="FQX7" s="1"/>
      <c r="FQY7" s="1"/>
      <c r="FQZ7" s="1"/>
      <c r="FRA7" s="1"/>
      <c r="FRB7" s="1"/>
      <c r="FRC7" s="1"/>
      <c r="FRD7" s="1"/>
      <c r="FRE7" s="1"/>
      <c r="FRF7" s="1"/>
      <c r="FRG7" s="1"/>
      <c r="FRH7" s="1"/>
      <c r="FRI7" s="1"/>
      <c r="FRJ7" s="1"/>
      <c r="FRK7" s="1"/>
      <c r="FRL7" s="1"/>
      <c r="FRM7" s="1"/>
      <c r="FRN7" s="1"/>
      <c r="FRO7" s="1"/>
      <c r="FRP7" s="1"/>
      <c r="FRQ7" s="1"/>
      <c r="FRR7" s="1"/>
      <c r="FRS7" s="1"/>
      <c r="FRT7" s="1"/>
      <c r="FRU7" s="1"/>
      <c r="FRV7" s="1"/>
      <c r="FRW7" s="1"/>
      <c r="FRX7" s="1"/>
      <c r="FRY7" s="1"/>
      <c r="FRZ7" s="1"/>
      <c r="FSA7" s="1"/>
      <c r="FSB7" s="1"/>
      <c r="FSC7" s="1"/>
      <c r="FSD7" s="1"/>
      <c r="FSE7" s="1"/>
      <c r="FSF7" s="1"/>
      <c r="FSG7" s="1"/>
      <c r="FSH7" s="1"/>
      <c r="FSI7" s="1"/>
      <c r="FSJ7" s="1"/>
      <c r="FSK7" s="1"/>
      <c r="FSL7" s="1"/>
      <c r="FSM7" s="1"/>
      <c r="FSN7" s="1"/>
      <c r="FSO7" s="1"/>
      <c r="FSP7" s="1"/>
      <c r="FSQ7" s="1"/>
      <c r="FSR7" s="1"/>
      <c r="FSS7" s="1"/>
      <c r="FST7" s="1"/>
      <c r="FSU7" s="1"/>
      <c r="FSV7" s="1"/>
      <c r="FSW7" s="1"/>
      <c r="FSX7" s="1"/>
      <c r="FSY7" s="1"/>
      <c r="FSZ7" s="1"/>
      <c r="FTA7" s="1"/>
      <c r="FTB7" s="1"/>
      <c r="FTC7" s="1"/>
      <c r="FTD7" s="1"/>
      <c r="FTE7" s="1"/>
      <c r="FTF7" s="1"/>
      <c r="FTG7" s="1"/>
      <c r="FTH7" s="1"/>
      <c r="FTI7" s="1"/>
      <c r="FTJ7" s="1"/>
      <c r="FTK7" s="1"/>
      <c r="FTL7" s="1"/>
      <c r="FTM7" s="1"/>
      <c r="FTN7" s="1"/>
      <c r="FTO7" s="1"/>
      <c r="FTP7" s="1"/>
      <c r="FTQ7" s="1"/>
      <c r="FTR7" s="1"/>
      <c r="FTS7" s="1"/>
      <c r="FTT7" s="1"/>
      <c r="FTU7" s="1"/>
      <c r="FTV7" s="1"/>
      <c r="FTW7" s="1"/>
      <c r="FTX7" s="1"/>
      <c r="FTY7" s="1"/>
      <c r="FTZ7" s="1"/>
      <c r="FUA7" s="1"/>
      <c r="FUB7" s="1"/>
      <c r="FUC7" s="1"/>
      <c r="FUD7" s="1"/>
      <c r="FUE7" s="1"/>
      <c r="FUF7" s="1"/>
      <c r="FUG7" s="1"/>
      <c r="FUH7" s="1"/>
      <c r="FUI7" s="1"/>
      <c r="FUJ7" s="1"/>
      <c r="FUK7" s="1"/>
      <c r="FUL7" s="1"/>
      <c r="FUM7" s="1"/>
      <c r="FUN7" s="1"/>
      <c r="FUO7" s="1"/>
      <c r="FUP7" s="1"/>
      <c r="FUQ7" s="1"/>
      <c r="FUR7" s="1"/>
      <c r="FUS7" s="1"/>
      <c r="FUT7" s="1"/>
      <c r="FUU7" s="1"/>
      <c r="FUV7" s="1"/>
      <c r="FUW7" s="1"/>
      <c r="FUX7" s="1"/>
      <c r="FUY7" s="1"/>
      <c r="FUZ7" s="1"/>
      <c r="FVA7" s="1"/>
      <c r="FVB7" s="1"/>
      <c r="FVC7" s="1"/>
      <c r="FVD7" s="1"/>
      <c r="FVE7" s="1"/>
      <c r="FVF7" s="1"/>
      <c r="FVG7" s="1"/>
      <c r="FVH7" s="1"/>
      <c r="FVI7" s="1"/>
      <c r="FVJ7" s="1"/>
      <c r="FVK7" s="1"/>
      <c r="FVL7" s="1"/>
      <c r="FVM7" s="1"/>
      <c r="FVN7" s="1"/>
      <c r="FVO7" s="1"/>
      <c r="FVP7" s="1"/>
      <c r="FVQ7" s="1"/>
      <c r="FVR7" s="1"/>
      <c r="FVS7" s="1"/>
      <c r="FVT7" s="1"/>
      <c r="FVU7" s="1"/>
      <c r="FVV7" s="1"/>
      <c r="FVW7" s="1"/>
      <c r="FVX7" s="1"/>
      <c r="FVY7" s="1"/>
      <c r="FVZ7" s="1"/>
      <c r="FWA7" s="1"/>
      <c r="FWB7" s="1"/>
      <c r="FWC7" s="1"/>
      <c r="FWD7" s="1"/>
      <c r="FWE7" s="1"/>
      <c r="FWF7" s="1"/>
      <c r="FWG7" s="1"/>
      <c r="FWH7" s="1"/>
      <c r="FWI7" s="1"/>
      <c r="FWJ7" s="1"/>
      <c r="FWK7" s="1"/>
      <c r="FWL7" s="1"/>
      <c r="FWM7" s="1"/>
      <c r="FWN7" s="1"/>
      <c r="FWO7" s="1"/>
      <c r="FWP7" s="1"/>
      <c r="FWQ7" s="1"/>
      <c r="FWR7" s="1"/>
      <c r="FWS7" s="1"/>
      <c r="FWT7" s="1"/>
      <c r="FWU7" s="1"/>
      <c r="FWV7" s="1"/>
      <c r="FWW7" s="1"/>
      <c r="FWX7" s="1"/>
      <c r="FWY7" s="1"/>
      <c r="FWZ7" s="1"/>
      <c r="FXA7" s="1"/>
      <c r="FXB7" s="1"/>
      <c r="FXC7" s="1"/>
      <c r="FXD7" s="1"/>
      <c r="FXE7" s="1"/>
      <c r="FXF7" s="1"/>
      <c r="FXG7" s="1"/>
      <c r="FXH7" s="1"/>
      <c r="FXI7" s="1"/>
      <c r="FXJ7" s="1"/>
      <c r="FXK7" s="1"/>
      <c r="FXL7" s="1"/>
      <c r="FXM7" s="1"/>
      <c r="FXN7" s="1"/>
      <c r="FXO7" s="1"/>
      <c r="FXP7" s="1"/>
      <c r="FXQ7" s="1"/>
      <c r="FXR7" s="1"/>
      <c r="FXS7" s="1"/>
      <c r="FXT7" s="1"/>
      <c r="FXU7" s="1"/>
      <c r="FXV7" s="1"/>
      <c r="FXW7" s="1"/>
      <c r="FXX7" s="1"/>
      <c r="FXY7" s="1"/>
      <c r="FXZ7" s="1"/>
      <c r="FYA7" s="1"/>
      <c r="FYB7" s="1"/>
      <c r="FYC7" s="1"/>
      <c r="FYD7" s="1"/>
      <c r="FYE7" s="1"/>
      <c r="FYF7" s="1"/>
      <c r="FYG7" s="1"/>
      <c r="FYH7" s="1"/>
      <c r="FYI7" s="1"/>
      <c r="FYJ7" s="1"/>
      <c r="FYK7" s="1"/>
      <c r="FYL7" s="1"/>
      <c r="FYM7" s="1"/>
      <c r="FYN7" s="1"/>
      <c r="FYO7" s="1"/>
      <c r="FYP7" s="1"/>
      <c r="FYQ7" s="1"/>
      <c r="FYR7" s="1"/>
      <c r="FYS7" s="1"/>
      <c r="FYT7" s="1"/>
      <c r="FYU7" s="1"/>
      <c r="FYV7" s="1"/>
      <c r="FYW7" s="1"/>
      <c r="FYX7" s="1"/>
      <c r="FYY7" s="1"/>
      <c r="FYZ7" s="1"/>
      <c r="FZA7" s="1"/>
      <c r="FZB7" s="1"/>
      <c r="FZC7" s="1"/>
      <c r="FZD7" s="1"/>
      <c r="FZE7" s="1"/>
      <c r="FZF7" s="1"/>
      <c r="FZG7" s="1"/>
      <c r="FZH7" s="1"/>
      <c r="FZI7" s="1"/>
      <c r="FZJ7" s="1"/>
      <c r="FZK7" s="1"/>
      <c r="FZL7" s="1"/>
      <c r="FZM7" s="1"/>
      <c r="FZN7" s="1"/>
      <c r="FZO7" s="1"/>
      <c r="FZP7" s="1"/>
      <c r="FZQ7" s="1"/>
      <c r="FZR7" s="1"/>
      <c r="FZS7" s="1"/>
      <c r="FZT7" s="1"/>
      <c r="FZU7" s="1"/>
      <c r="FZV7" s="1"/>
      <c r="FZW7" s="1"/>
      <c r="FZX7" s="1"/>
      <c r="FZY7" s="1"/>
      <c r="FZZ7" s="1"/>
      <c r="GAA7" s="1"/>
      <c r="GAB7" s="1"/>
      <c r="GAC7" s="1"/>
      <c r="GAD7" s="1"/>
      <c r="GAE7" s="1"/>
      <c r="GAF7" s="1"/>
      <c r="GAG7" s="1"/>
      <c r="GAH7" s="1"/>
      <c r="GAI7" s="1"/>
      <c r="GAJ7" s="1"/>
      <c r="GAK7" s="1"/>
      <c r="GAL7" s="1"/>
      <c r="GAM7" s="1"/>
      <c r="GAN7" s="1"/>
      <c r="GAO7" s="1"/>
      <c r="GAP7" s="1"/>
      <c r="GAQ7" s="1"/>
      <c r="GAR7" s="1"/>
      <c r="GAS7" s="1"/>
      <c r="GAT7" s="1"/>
      <c r="GAU7" s="1"/>
      <c r="GAV7" s="1"/>
      <c r="GAW7" s="1"/>
      <c r="GAX7" s="1"/>
      <c r="GAY7" s="1"/>
      <c r="GAZ7" s="1"/>
      <c r="GBA7" s="1"/>
      <c r="GBB7" s="1"/>
      <c r="GBC7" s="1"/>
      <c r="GBD7" s="1"/>
      <c r="GBE7" s="1"/>
      <c r="GBF7" s="1"/>
      <c r="GBG7" s="1"/>
      <c r="GBH7" s="1"/>
      <c r="GBI7" s="1"/>
      <c r="GBJ7" s="1"/>
      <c r="GBK7" s="1"/>
      <c r="GBL7" s="1"/>
      <c r="GBM7" s="1"/>
      <c r="GBN7" s="1"/>
      <c r="GBO7" s="1"/>
      <c r="GBP7" s="1"/>
      <c r="GBQ7" s="1"/>
      <c r="GBR7" s="1"/>
      <c r="GBS7" s="1"/>
      <c r="GBT7" s="1"/>
      <c r="GBU7" s="1"/>
      <c r="GBV7" s="1"/>
      <c r="GBW7" s="1"/>
      <c r="GBX7" s="1"/>
      <c r="GBY7" s="1"/>
      <c r="GBZ7" s="1"/>
      <c r="GCA7" s="1"/>
      <c r="GCB7" s="1"/>
      <c r="GCC7" s="1"/>
      <c r="GCD7" s="1"/>
      <c r="GCE7" s="1"/>
      <c r="GCF7" s="1"/>
      <c r="GCG7" s="1"/>
      <c r="GCH7" s="1"/>
      <c r="GCI7" s="1"/>
      <c r="GCJ7" s="1"/>
      <c r="GCK7" s="1"/>
      <c r="GCL7" s="1"/>
      <c r="GCM7" s="1"/>
      <c r="GCN7" s="1"/>
      <c r="GCO7" s="1"/>
      <c r="GCP7" s="1"/>
      <c r="GCQ7" s="1"/>
      <c r="GCR7" s="1"/>
      <c r="GCS7" s="1"/>
      <c r="GCT7" s="1"/>
      <c r="GCU7" s="1"/>
      <c r="GCV7" s="1"/>
      <c r="GCW7" s="1"/>
      <c r="GCX7" s="1"/>
      <c r="GCY7" s="1"/>
      <c r="GCZ7" s="1"/>
      <c r="GDA7" s="1"/>
      <c r="GDB7" s="1"/>
      <c r="GDC7" s="1"/>
      <c r="GDD7" s="1"/>
      <c r="GDE7" s="1"/>
      <c r="GDF7" s="1"/>
      <c r="GDG7" s="1"/>
      <c r="GDH7" s="1"/>
      <c r="GDI7" s="1"/>
      <c r="GDJ7" s="1"/>
      <c r="GDK7" s="1"/>
      <c r="GDL7" s="1"/>
      <c r="GDM7" s="1"/>
      <c r="GDN7" s="1"/>
      <c r="GDO7" s="1"/>
      <c r="GDP7" s="1"/>
      <c r="GDQ7" s="1"/>
      <c r="GDR7" s="1"/>
      <c r="GDS7" s="1"/>
      <c r="GDT7" s="1"/>
      <c r="GDU7" s="1"/>
      <c r="GDV7" s="1"/>
      <c r="GDW7" s="1"/>
      <c r="GDX7" s="1"/>
      <c r="GDY7" s="1"/>
      <c r="GDZ7" s="1"/>
      <c r="GEA7" s="1"/>
      <c r="GEB7" s="1"/>
      <c r="GEC7" s="1"/>
      <c r="GED7" s="1"/>
      <c r="GEE7" s="1"/>
      <c r="GEF7" s="1"/>
      <c r="GEG7" s="1"/>
      <c r="GEH7" s="1"/>
      <c r="GEI7" s="1"/>
      <c r="GEJ7" s="1"/>
      <c r="GEK7" s="1"/>
      <c r="GEL7" s="1"/>
      <c r="GEM7" s="1"/>
      <c r="GEN7" s="1"/>
      <c r="GEO7" s="1"/>
      <c r="GEP7" s="1"/>
      <c r="GEQ7" s="1"/>
      <c r="GER7" s="1"/>
      <c r="GES7" s="1"/>
      <c r="GET7" s="1"/>
      <c r="GEU7" s="1"/>
      <c r="GEV7" s="1"/>
      <c r="GEW7" s="1"/>
      <c r="GEX7" s="1"/>
      <c r="GEY7" s="1"/>
      <c r="GEZ7" s="1"/>
      <c r="GFA7" s="1"/>
      <c r="GFB7" s="1"/>
      <c r="GFC7" s="1"/>
      <c r="GFD7" s="1"/>
      <c r="GFE7" s="1"/>
      <c r="GFF7" s="1"/>
      <c r="GFG7" s="1"/>
      <c r="GFH7" s="1"/>
      <c r="GFI7" s="1"/>
      <c r="GFJ7" s="1"/>
      <c r="GFK7" s="1"/>
      <c r="GFL7" s="1"/>
      <c r="GFM7" s="1"/>
      <c r="GFN7" s="1"/>
      <c r="GFO7" s="1"/>
      <c r="GFP7" s="1"/>
      <c r="GFQ7" s="1"/>
      <c r="GFR7" s="1"/>
      <c r="GFS7" s="1"/>
      <c r="GFT7" s="1"/>
      <c r="GFU7" s="1"/>
      <c r="GFV7" s="1"/>
      <c r="GFW7" s="1"/>
      <c r="GFX7" s="1"/>
      <c r="GFY7" s="1"/>
      <c r="GFZ7" s="1"/>
      <c r="GGA7" s="1"/>
      <c r="GGB7" s="1"/>
      <c r="GGC7" s="1"/>
      <c r="GGD7" s="1"/>
      <c r="GGE7" s="1"/>
      <c r="GGF7" s="1"/>
      <c r="GGG7" s="1"/>
      <c r="GGH7" s="1"/>
      <c r="GGI7" s="1"/>
      <c r="GGJ7" s="1"/>
      <c r="GGK7" s="1"/>
      <c r="GGL7" s="1"/>
      <c r="GGM7" s="1"/>
      <c r="GGN7" s="1"/>
      <c r="GGO7" s="1"/>
      <c r="GGP7" s="1"/>
      <c r="GGQ7" s="1"/>
      <c r="GGR7" s="1"/>
      <c r="GGS7" s="1"/>
      <c r="GGT7" s="1"/>
      <c r="GGU7" s="1"/>
      <c r="GGV7" s="1"/>
      <c r="GGW7" s="1"/>
      <c r="GGX7" s="1"/>
      <c r="GGY7" s="1"/>
      <c r="GGZ7" s="1"/>
      <c r="GHA7" s="1"/>
      <c r="GHB7" s="1"/>
      <c r="GHC7" s="1"/>
      <c r="GHD7" s="1"/>
      <c r="GHE7" s="1"/>
      <c r="GHF7" s="1"/>
      <c r="GHG7" s="1"/>
      <c r="GHH7" s="1"/>
      <c r="GHI7" s="1"/>
      <c r="GHJ7" s="1"/>
      <c r="GHK7" s="1"/>
      <c r="GHL7" s="1"/>
      <c r="GHM7" s="1"/>
      <c r="GHN7" s="1"/>
      <c r="GHO7" s="1"/>
      <c r="GHP7" s="1"/>
      <c r="GHQ7" s="1"/>
      <c r="GHR7" s="1"/>
      <c r="GHS7" s="1"/>
      <c r="GHT7" s="1"/>
      <c r="GHU7" s="1"/>
      <c r="GHV7" s="1"/>
      <c r="GHW7" s="1"/>
      <c r="GHX7" s="1"/>
      <c r="GHY7" s="1"/>
      <c r="GHZ7" s="1"/>
      <c r="GIA7" s="1"/>
      <c r="GIB7" s="1"/>
      <c r="GIC7" s="1"/>
      <c r="GID7" s="1"/>
      <c r="GIE7" s="1"/>
      <c r="GIF7" s="1"/>
      <c r="GIG7" s="1"/>
      <c r="GIH7" s="1"/>
      <c r="GII7" s="1"/>
      <c r="GIJ7" s="1"/>
      <c r="GIK7" s="1"/>
      <c r="GIL7" s="1"/>
      <c r="GIM7" s="1"/>
      <c r="GIN7" s="1"/>
      <c r="GIO7" s="1"/>
      <c r="GIP7" s="1"/>
      <c r="GIQ7" s="1"/>
      <c r="GIR7" s="1"/>
      <c r="GIS7" s="1"/>
      <c r="GIT7" s="1"/>
      <c r="GIU7" s="1"/>
      <c r="GIV7" s="1"/>
      <c r="GIW7" s="1"/>
      <c r="GIX7" s="1"/>
      <c r="GIY7" s="1"/>
      <c r="GIZ7" s="1"/>
      <c r="GJA7" s="1"/>
      <c r="GJB7" s="1"/>
      <c r="GJC7" s="1"/>
      <c r="GJD7" s="1"/>
      <c r="GJE7" s="1"/>
      <c r="GJF7" s="1"/>
      <c r="GJG7" s="1"/>
      <c r="GJH7" s="1"/>
      <c r="GJI7" s="1"/>
      <c r="GJJ7" s="1"/>
      <c r="GJK7" s="1"/>
      <c r="GJL7" s="1"/>
      <c r="GJM7" s="1"/>
      <c r="GJN7" s="1"/>
      <c r="GJO7" s="1"/>
      <c r="GJP7" s="1"/>
      <c r="GJQ7" s="1"/>
      <c r="GJR7" s="1"/>
      <c r="GJS7" s="1"/>
      <c r="GJT7" s="1"/>
      <c r="GJU7" s="1"/>
      <c r="GJV7" s="1"/>
      <c r="GJW7" s="1"/>
      <c r="GJX7" s="1"/>
      <c r="GJY7" s="1"/>
      <c r="GJZ7" s="1"/>
      <c r="GKA7" s="1"/>
      <c r="GKB7" s="1"/>
      <c r="GKC7" s="1"/>
      <c r="GKD7" s="1"/>
      <c r="GKE7" s="1"/>
      <c r="GKF7" s="1"/>
      <c r="GKG7" s="1"/>
      <c r="GKH7" s="1"/>
      <c r="GKI7" s="1"/>
      <c r="GKJ7" s="1"/>
      <c r="GKK7" s="1"/>
      <c r="GKL7" s="1"/>
      <c r="GKM7" s="1"/>
      <c r="GKN7" s="1"/>
      <c r="GKO7" s="1"/>
      <c r="GKP7" s="1"/>
      <c r="GKQ7" s="1"/>
      <c r="GKR7" s="1"/>
      <c r="GKS7" s="1"/>
      <c r="GKT7" s="1"/>
      <c r="GKU7" s="1"/>
      <c r="GKV7" s="1"/>
      <c r="GKW7" s="1"/>
      <c r="GKX7" s="1"/>
      <c r="GKY7" s="1"/>
      <c r="GKZ7" s="1"/>
      <c r="GLA7" s="1"/>
      <c r="GLB7" s="1"/>
      <c r="GLC7" s="1"/>
      <c r="GLD7" s="1"/>
      <c r="GLE7" s="1"/>
      <c r="GLF7" s="1"/>
      <c r="GLG7" s="1"/>
      <c r="GLH7" s="1"/>
      <c r="GLI7" s="1"/>
      <c r="GLJ7" s="1"/>
      <c r="GLK7" s="1"/>
      <c r="GLL7" s="1"/>
      <c r="GLM7" s="1"/>
      <c r="GLN7" s="1"/>
      <c r="GLO7" s="1"/>
      <c r="GLP7" s="1"/>
      <c r="GLQ7" s="1"/>
      <c r="GLR7" s="1"/>
      <c r="GLS7" s="1"/>
      <c r="GLT7" s="1"/>
      <c r="GLU7" s="1"/>
      <c r="GLV7" s="1"/>
      <c r="GLW7" s="1"/>
      <c r="GLX7" s="1"/>
      <c r="GLY7" s="1"/>
      <c r="GLZ7" s="1"/>
      <c r="GMA7" s="1"/>
      <c r="GMB7" s="1"/>
      <c r="GMC7" s="1"/>
      <c r="GMD7" s="1"/>
      <c r="GME7" s="1"/>
      <c r="GMF7" s="1"/>
      <c r="GMG7" s="1"/>
      <c r="GMH7" s="1"/>
      <c r="GMI7" s="1"/>
      <c r="GMJ7" s="1"/>
      <c r="GMK7" s="1"/>
      <c r="GML7" s="1"/>
      <c r="GMM7" s="1"/>
      <c r="GMN7" s="1"/>
      <c r="GMO7" s="1"/>
      <c r="GMP7" s="1"/>
      <c r="GMQ7" s="1"/>
      <c r="GMR7" s="1"/>
      <c r="GMS7" s="1"/>
      <c r="GMT7" s="1"/>
      <c r="GMU7" s="1"/>
      <c r="GMV7" s="1"/>
      <c r="GMW7" s="1"/>
      <c r="GMX7" s="1"/>
      <c r="GMY7" s="1"/>
      <c r="GMZ7" s="1"/>
      <c r="GNA7" s="1"/>
      <c r="GNB7" s="1"/>
      <c r="GNC7" s="1"/>
      <c r="GND7" s="1"/>
      <c r="GNE7" s="1"/>
      <c r="GNF7" s="1"/>
      <c r="GNG7" s="1"/>
      <c r="GNH7" s="1"/>
      <c r="GNI7" s="1"/>
      <c r="GNJ7" s="1"/>
      <c r="GNK7" s="1"/>
      <c r="GNL7" s="1"/>
      <c r="GNM7" s="1"/>
      <c r="GNN7" s="1"/>
      <c r="GNO7" s="1"/>
      <c r="GNP7" s="1"/>
      <c r="GNQ7" s="1"/>
      <c r="GNR7" s="1"/>
      <c r="GNS7" s="1"/>
      <c r="GNT7" s="1"/>
      <c r="GNU7" s="1"/>
      <c r="GNV7" s="1"/>
      <c r="GNW7" s="1"/>
      <c r="GNX7" s="1"/>
      <c r="GNY7" s="1"/>
      <c r="GNZ7" s="1"/>
      <c r="GOA7" s="1"/>
      <c r="GOB7" s="1"/>
      <c r="GOC7" s="1"/>
      <c r="GOD7" s="1"/>
      <c r="GOE7" s="1"/>
      <c r="GOF7" s="1"/>
      <c r="GOG7" s="1"/>
      <c r="GOH7" s="1"/>
      <c r="GOI7" s="1"/>
      <c r="GOJ7" s="1"/>
      <c r="GOK7" s="1"/>
      <c r="GOL7" s="1"/>
      <c r="GOM7" s="1"/>
      <c r="GON7" s="1"/>
      <c r="GOO7" s="1"/>
      <c r="GOP7" s="1"/>
      <c r="GOQ7" s="1"/>
      <c r="GOR7" s="1"/>
      <c r="GOS7" s="1"/>
      <c r="GOT7" s="1"/>
      <c r="GOU7" s="1"/>
      <c r="GOV7" s="1"/>
      <c r="GOW7" s="1"/>
      <c r="GOX7" s="1"/>
      <c r="GOY7" s="1"/>
      <c r="GOZ7" s="1"/>
      <c r="GPA7" s="1"/>
      <c r="GPB7" s="1"/>
      <c r="GPC7" s="1"/>
      <c r="GPD7" s="1"/>
      <c r="GPE7" s="1"/>
      <c r="GPF7" s="1"/>
      <c r="GPG7" s="1"/>
      <c r="GPH7" s="1"/>
      <c r="GPI7" s="1"/>
      <c r="GPJ7" s="1"/>
      <c r="GPK7" s="1"/>
      <c r="GPL7" s="1"/>
      <c r="GPM7" s="1"/>
      <c r="GPN7" s="1"/>
      <c r="GPO7" s="1"/>
      <c r="GPP7" s="1"/>
      <c r="GPQ7" s="1"/>
      <c r="GPR7" s="1"/>
      <c r="GPS7" s="1"/>
      <c r="GPT7" s="1"/>
      <c r="GPU7" s="1"/>
      <c r="GPV7" s="1"/>
      <c r="GPW7" s="1"/>
      <c r="GPX7" s="1"/>
      <c r="GPY7" s="1"/>
      <c r="GPZ7" s="1"/>
      <c r="GQA7" s="1"/>
      <c r="GQB7" s="1"/>
      <c r="GQC7" s="1"/>
      <c r="GQD7" s="1"/>
      <c r="GQE7" s="1"/>
      <c r="GQF7" s="1"/>
      <c r="GQG7" s="1"/>
      <c r="GQH7" s="1"/>
      <c r="GQI7" s="1"/>
      <c r="GQJ7" s="1"/>
      <c r="GQK7" s="1"/>
      <c r="GQL7" s="1"/>
      <c r="GQM7" s="1"/>
      <c r="GQN7" s="1"/>
      <c r="GQO7" s="1"/>
      <c r="GQP7" s="1"/>
      <c r="GQQ7" s="1"/>
      <c r="GQR7" s="1"/>
      <c r="GQS7" s="1"/>
      <c r="GQT7" s="1"/>
      <c r="GQU7" s="1"/>
      <c r="GQV7" s="1"/>
      <c r="GQW7" s="1"/>
      <c r="GQX7" s="1"/>
      <c r="GQY7" s="1"/>
      <c r="GQZ7" s="1"/>
      <c r="GRA7" s="1"/>
      <c r="GRB7" s="1"/>
      <c r="GRC7" s="1"/>
      <c r="GRD7" s="1"/>
      <c r="GRE7" s="1"/>
      <c r="GRF7" s="1"/>
      <c r="GRG7" s="1"/>
      <c r="GRH7" s="1"/>
      <c r="GRI7" s="1"/>
      <c r="GRJ7" s="1"/>
      <c r="GRK7" s="1"/>
      <c r="GRL7" s="1"/>
      <c r="GRM7" s="1"/>
      <c r="GRN7" s="1"/>
      <c r="GRO7" s="1"/>
      <c r="GRP7" s="1"/>
      <c r="GRQ7" s="1"/>
      <c r="GRR7" s="1"/>
      <c r="GRS7" s="1"/>
      <c r="GRT7" s="1"/>
      <c r="GRU7" s="1"/>
      <c r="GRV7" s="1"/>
      <c r="GRW7" s="1"/>
      <c r="GRX7" s="1"/>
      <c r="GRY7" s="1"/>
      <c r="GRZ7" s="1"/>
      <c r="GSA7" s="1"/>
      <c r="GSB7" s="1"/>
      <c r="GSC7" s="1"/>
      <c r="GSD7" s="1"/>
      <c r="GSE7" s="1"/>
      <c r="GSF7" s="1"/>
      <c r="GSG7" s="1"/>
      <c r="GSH7" s="1"/>
      <c r="GSI7" s="1"/>
      <c r="GSJ7" s="1"/>
      <c r="GSK7" s="1"/>
      <c r="GSL7" s="1"/>
      <c r="GSM7" s="1"/>
      <c r="GSN7" s="1"/>
      <c r="GSO7" s="1"/>
      <c r="GSP7" s="1"/>
      <c r="GSQ7" s="1"/>
      <c r="GSR7" s="1"/>
      <c r="GSS7" s="1"/>
      <c r="GST7" s="1"/>
      <c r="GSU7" s="1"/>
      <c r="GSV7" s="1"/>
      <c r="GSW7" s="1"/>
      <c r="GSX7" s="1"/>
      <c r="GSY7" s="1"/>
      <c r="GSZ7" s="1"/>
      <c r="GTA7" s="1"/>
      <c r="GTB7" s="1"/>
      <c r="GTC7" s="1"/>
      <c r="GTD7" s="1"/>
      <c r="GTE7" s="1"/>
      <c r="GTF7" s="1"/>
      <c r="GTG7" s="1"/>
      <c r="GTH7" s="1"/>
      <c r="GTI7" s="1"/>
      <c r="GTJ7" s="1"/>
      <c r="GTK7" s="1"/>
      <c r="GTL7" s="1"/>
      <c r="GTM7" s="1"/>
      <c r="GTN7" s="1"/>
      <c r="GTO7" s="1"/>
      <c r="GTP7" s="1"/>
      <c r="GTQ7" s="1"/>
      <c r="GTR7" s="1"/>
      <c r="GTS7" s="1"/>
      <c r="GTT7" s="1"/>
      <c r="GTU7" s="1"/>
      <c r="GTV7" s="1"/>
      <c r="GTW7" s="1"/>
      <c r="GTX7" s="1"/>
      <c r="GTY7" s="1"/>
      <c r="GTZ7" s="1"/>
      <c r="GUA7" s="1"/>
      <c r="GUB7" s="1"/>
      <c r="GUC7" s="1"/>
      <c r="GUD7" s="1"/>
      <c r="GUE7" s="1"/>
      <c r="GUF7" s="1"/>
      <c r="GUG7" s="1"/>
      <c r="GUH7" s="1"/>
      <c r="GUI7" s="1"/>
      <c r="GUJ7" s="1"/>
      <c r="GUK7" s="1"/>
      <c r="GUL7" s="1"/>
      <c r="GUM7" s="1"/>
      <c r="GUN7" s="1"/>
      <c r="GUO7" s="1"/>
      <c r="GUP7" s="1"/>
      <c r="GUQ7" s="1"/>
      <c r="GUR7" s="1"/>
      <c r="GUS7" s="1"/>
      <c r="GUT7" s="1"/>
      <c r="GUU7" s="1"/>
      <c r="GUV7" s="1"/>
      <c r="GUW7" s="1"/>
      <c r="GUX7" s="1"/>
      <c r="GUY7" s="1"/>
      <c r="GUZ7" s="1"/>
      <c r="GVA7" s="1"/>
      <c r="GVB7" s="1"/>
      <c r="GVC7" s="1"/>
      <c r="GVD7" s="1"/>
      <c r="GVE7" s="1"/>
      <c r="GVF7" s="1"/>
      <c r="GVG7" s="1"/>
      <c r="GVH7" s="1"/>
      <c r="GVI7" s="1"/>
      <c r="GVJ7" s="1"/>
      <c r="GVK7" s="1"/>
      <c r="GVL7" s="1"/>
      <c r="GVM7" s="1"/>
      <c r="GVN7" s="1"/>
      <c r="GVO7" s="1"/>
      <c r="GVP7" s="1"/>
      <c r="GVQ7" s="1"/>
      <c r="GVR7" s="1"/>
      <c r="GVS7" s="1"/>
      <c r="GVT7" s="1"/>
      <c r="GVU7" s="1"/>
      <c r="GVV7" s="1"/>
      <c r="GVW7" s="1"/>
      <c r="GVX7" s="1"/>
      <c r="GVY7" s="1"/>
      <c r="GVZ7" s="1"/>
      <c r="GWA7" s="1"/>
      <c r="GWB7" s="1"/>
      <c r="GWC7" s="1"/>
      <c r="GWD7" s="1"/>
      <c r="GWE7" s="1"/>
      <c r="GWF7" s="1"/>
      <c r="GWG7" s="1"/>
      <c r="GWH7" s="1"/>
      <c r="GWI7" s="1"/>
      <c r="GWJ7" s="1"/>
      <c r="GWK7" s="1"/>
      <c r="GWL7" s="1"/>
      <c r="GWM7" s="1"/>
      <c r="GWN7" s="1"/>
      <c r="GWO7" s="1"/>
      <c r="GWP7" s="1"/>
      <c r="GWQ7" s="1"/>
      <c r="GWR7" s="1"/>
      <c r="GWS7" s="1"/>
      <c r="GWT7" s="1"/>
      <c r="GWU7" s="1"/>
      <c r="GWV7" s="1"/>
      <c r="GWW7" s="1"/>
      <c r="GWX7" s="1"/>
      <c r="GWY7" s="1"/>
      <c r="GWZ7" s="1"/>
      <c r="GXA7" s="1"/>
      <c r="GXB7" s="1"/>
      <c r="GXC7" s="1"/>
      <c r="GXD7" s="1"/>
      <c r="GXE7" s="1"/>
      <c r="GXF7" s="1"/>
      <c r="GXG7" s="1"/>
      <c r="GXH7" s="1"/>
      <c r="GXI7" s="1"/>
      <c r="GXJ7" s="1"/>
      <c r="GXK7" s="1"/>
      <c r="GXL7" s="1"/>
      <c r="GXM7" s="1"/>
      <c r="GXN7" s="1"/>
      <c r="GXO7" s="1"/>
      <c r="GXP7" s="1"/>
      <c r="GXQ7" s="1"/>
      <c r="GXR7" s="1"/>
      <c r="GXS7" s="1"/>
      <c r="GXT7" s="1"/>
      <c r="GXU7" s="1"/>
      <c r="GXV7" s="1"/>
      <c r="GXW7" s="1"/>
      <c r="GXX7" s="1"/>
      <c r="GXY7" s="1"/>
      <c r="GXZ7" s="1"/>
      <c r="GYA7" s="1"/>
      <c r="GYB7" s="1"/>
      <c r="GYC7" s="1"/>
      <c r="GYD7" s="1"/>
      <c r="GYE7" s="1"/>
      <c r="GYF7" s="1"/>
      <c r="GYG7" s="1"/>
      <c r="GYH7" s="1"/>
      <c r="GYI7" s="1"/>
      <c r="GYJ7" s="1"/>
      <c r="GYK7" s="1"/>
      <c r="GYL7" s="1"/>
      <c r="GYM7" s="1"/>
      <c r="GYN7" s="1"/>
      <c r="GYO7" s="1"/>
      <c r="GYP7" s="1"/>
      <c r="GYQ7" s="1"/>
      <c r="GYR7" s="1"/>
      <c r="GYS7" s="1"/>
      <c r="GYT7" s="1"/>
      <c r="GYU7" s="1"/>
      <c r="GYV7" s="1"/>
      <c r="GYW7" s="1"/>
      <c r="GYX7" s="1"/>
      <c r="GYY7" s="1"/>
      <c r="GYZ7" s="1"/>
      <c r="GZA7" s="1"/>
      <c r="GZB7" s="1"/>
      <c r="GZC7" s="1"/>
      <c r="GZD7" s="1"/>
      <c r="GZE7" s="1"/>
      <c r="GZF7" s="1"/>
      <c r="GZG7" s="1"/>
      <c r="GZH7" s="1"/>
      <c r="GZI7" s="1"/>
      <c r="GZJ7" s="1"/>
      <c r="GZK7" s="1"/>
      <c r="GZL7" s="1"/>
      <c r="GZM7" s="1"/>
      <c r="GZN7" s="1"/>
      <c r="GZO7" s="1"/>
      <c r="GZP7" s="1"/>
      <c r="GZQ7" s="1"/>
      <c r="GZR7" s="1"/>
      <c r="GZS7" s="1"/>
      <c r="GZT7" s="1"/>
      <c r="GZU7" s="1"/>
      <c r="GZV7" s="1"/>
      <c r="GZW7" s="1"/>
      <c r="GZX7" s="1"/>
      <c r="GZY7" s="1"/>
      <c r="GZZ7" s="1"/>
      <c r="HAA7" s="1"/>
      <c r="HAB7" s="1"/>
      <c r="HAC7" s="1"/>
      <c r="HAD7" s="1"/>
      <c r="HAE7" s="1"/>
      <c r="HAF7" s="1"/>
      <c r="HAG7" s="1"/>
      <c r="HAH7" s="1"/>
      <c r="HAI7" s="1"/>
      <c r="HAJ7" s="1"/>
      <c r="HAK7" s="1"/>
      <c r="HAL7" s="1"/>
      <c r="HAM7" s="1"/>
      <c r="HAN7" s="1"/>
      <c r="HAO7" s="1"/>
      <c r="HAP7" s="1"/>
      <c r="HAQ7" s="1"/>
      <c r="HAR7" s="1"/>
      <c r="HAS7" s="1"/>
      <c r="HAT7" s="1"/>
      <c r="HAU7" s="1"/>
      <c r="HAV7" s="1"/>
      <c r="HAW7" s="1"/>
      <c r="HAX7" s="1"/>
      <c r="HAY7" s="1"/>
      <c r="HAZ7" s="1"/>
      <c r="HBA7" s="1"/>
      <c r="HBB7" s="1"/>
      <c r="HBC7" s="1"/>
      <c r="HBD7" s="1"/>
      <c r="HBE7" s="1"/>
      <c r="HBF7" s="1"/>
      <c r="HBG7" s="1"/>
      <c r="HBH7" s="1"/>
      <c r="HBI7" s="1"/>
      <c r="HBJ7" s="1"/>
      <c r="HBK7" s="1"/>
      <c r="HBL7" s="1"/>
      <c r="HBM7" s="1"/>
      <c r="HBN7" s="1"/>
      <c r="HBO7" s="1"/>
      <c r="HBP7" s="1"/>
      <c r="HBQ7" s="1"/>
      <c r="HBR7" s="1"/>
      <c r="HBS7" s="1"/>
      <c r="HBT7" s="1"/>
      <c r="HBU7" s="1"/>
      <c r="HBV7" s="1"/>
      <c r="HBW7" s="1"/>
      <c r="HBX7" s="1"/>
      <c r="HBY7" s="1"/>
      <c r="HBZ7" s="1"/>
      <c r="HCA7" s="1"/>
      <c r="HCB7" s="1"/>
      <c r="HCC7" s="1"/>
      <c r="HCD7" s="1"/>
      <c r="HCE7" s="1"/>
      <c r="HCF7" s="1"/>
      <c r="HCG7" s="1"/>
      <c r="HCH7" s="1"/>
      <c r="HCI7" s="1"/>
      <c r="HCJ7" s="1"/>
      <c r="HCK7" s="1"/>
      <c r="HCL7" s="1"/>
      <c r="HCM7" s="1"/>
      <c r="HCN7" s="1"/>
      <c r="HCO7" s="1"/>
      <c r="HCP7" s="1"/>
      <c r="HCQ7" s="1"/>
      <c r="HCR7" s="1"/>
      <c r="HCS7" s="1"/>
      <c r="HCT7" s="1"/>
      <c r="HCU7" s="1"/>
      <c r="HCV7" s="1"/>
      <c r="HCW7" s="1"/>
      <c r="HCX7" s="1"/>
      <c r="HCY7" s="1"/>
      <c r="HCZ7" s="1"/>
      <c r="HDA7" s="1"/>
      <c r="HDB7" s="1"/>
      <c r="HDC7" s="1"/>
      <c r="HDD7" s="1"/>
      <c r="HDE7" s="1"/>
      <c r="HDF7" s="1"/>
      <c r="HDG7" s="1"/>
      <c r="HDH7" s="1"/>
      <c r="HDI7" s="1"/>
      <c r="HDJ7" s="1"/>
      <c r="HDK7" s="1"/>
      <c r="HDL7" s="1"/>
      <c r="HDM7" s="1"/>
      <c r="HDN7" s="1"/>
      <c r="HDO7" s="1"/>
      <c r="HDP7" s="1"/>
      <c r="HDQ7" s="1"/>
      <c r="HDR7" s="1"/>
      <c r="HDS7" s="1"/>
      <c r="HDT7" s="1"/>
      <c r="HDU7" s="1"/>
      <c r="HDV7" s="1"/>
      <c r="HDW7" s="1"/>
      <c r="HDX7" s="1"/>
      <c r="HDY7" s="1"/>
      <c r="HDZ7" s="1"/>
      <c r="HEA7" s="1"/>
      <c r="HEB7" s="1"/>
      <c r="HEC7" s="1"/>
      <c r="HED7" s="1"/>
      <c r="HEE7" s="1"/>
      <c r="HEF7" s="1"/>
      <c r="HEG7" s="1"/>
      <c r="HEH7" s="1"/>
      <c r="HEI7" s="1"/>
      <c r="HEJ7" s="1"/>
      <c r="HEK7" s="1"/>
      <c r="HEL7" s="1"/>
      <c r="HEM7" s="1"/>
      <c r="HEN7" s="1"/>
      <c r="HEO7" s="1"/>
      <c r="HEP7" s="1"/>
      <c r="HEQ7" s="1"/>
      <c r="HER7" s="1"/>
      <c r="HES7" s="1"/>
      <c r="HET7" s="1"/>
      <c r="HEU7" s="1"/>
      <c r="HEV7" s="1"/>
      <c r="HEW7" s="1"/>
      <c r="HEX7" s="1"/>
      <c r="HEY7" s="1"/>
      <c r="HEZ7" s="1"/>
      <c r="HFA7" s="1"/>
      <c r="HFB7" s="1"/>
      <c r="HFC7" s="1"/>
      <c r="HFD7" s="1"/>
      <c r="HFE7" s="1"/>
      <c r="HFF7" s="1"/>
      <c r="HFG7" s="1"/>
      <c r="HFH7" s="1"/>
      <c r="HFI7" s="1"/>
      <c r="HFJ7" s="1"/>
      <c r="HFK7" s="1"/>
      <c r="HFL7" s="1"/>
      <c r="HFM7" s="1"/>
      <c r="HFN7" s="1"/>
      <c r="HFO7" s="1"/>
      <c r="HFP7" s="1"/>
      <c r="HFQ7" s="1"/>
      <c r="HFR7" s="1"/>
      <c r="HFS7" s="1"/>
      <c r="HFT7" s="1"/>
      <c r="HFU7" s="1"/>
      <c r="HFV7" s="1"/>
      <c r="HFW7" s="1"/>
      <c r="HFX7" s="1"/>
      <c r="HFY7" s="1"/>
      <c r="HFZ7" s="1"/>
      <c r="HGA7" s="1"/>
      <c r="HGB7" s="1"/>
      <c r="HGC7" s="1"/>
      <c r="HGD7" s="1"/>
      <c r="HGE7" s="1"/>
      <c r="HGF7" s="1"/>
      <c r="HGG7" s="1"/>
      <c r="HGH7" s="1"/>
      <c r="HGI7" s="1"/>
      <c r="HGJ7" s="1"/>
      <c r="HGK7" s="1"/>
      <c r="HGL7" s="1"/>
      <c r="HGM7" s="1"/>
      <c r="HGN7" s="1"/>
      <c r="HGO7" s="1"/>
      <c r="HGP7" s="1"/>
      <c r="HGQ7" s="1"/>
      <c r="HGR7" s="1"/>
      <c r="HGS7" s="1"/>
      <c r="HGT7" s="1"/>
      <c r="HGU7" s="1"/>
      <c r="HGV7" s="1"/>
      <c r="HGW7" s="1"/>
      <c r="HGX7" s="1"/>
      <c r="HGY7" s="1"/>
      <c r="HGZ7" s="1"/>
      <c r="HHA7" s="1"/>
      <c r="HHB7" s="1"/>
      <c r="HHC7" s="1"/>
      <c r="HHD7" s="1"/>
      <c r="HHE7" s="1"/>
      <c r="HHF7" s="1"/>
      <c r="HHG7" s="1"/>
      <c r="HHH7" s="1"/>
      <c r="HHI7" s="1"/>
      <c r="HHJ7" s="1"/>
      <c r="HHK7" s="1"/>
      <c r="HHL7" s="1"/>
      <c r="HHM7" s="1"/>
      <c r="HHN7" s="1"/>
      <c r="HHO7" s="1"/>
      <c r="HHP7" s="1"/>
      <c r="HHQ7" s="1"/>
      <c r="HHR7" s="1"/>
      <c r="HHS7" s="1"/>
      <c r="HHT7" s="1"/>
      <c r="HHU7" s="1"/>
      <c r="HHV7" s="1"/>
      <c r="HHW7" s="1"/>
      <c r="HHX7" s="1"/>
      <c r="HHY7" s="1"/>
      <c r="HHZ7" s="1"/>
      <c r="HIA7" s="1"/>
      <c r="HIB7" s="1"/>
      <c r="HIC7" s="1"/>
      <c r="HID7" s="1"/>
      <c r="HIE7" s="1"/>
      <c r="HIF7" s="1"/>
      <c r="HIG7" s="1"/>
      <c r="HIH7" s="1"/>
      <c r="HII7" s="1"/>
      <c r="HIJ7" s="1"/>
      <c r="HIK7" s="1"/>
      <c r="HIL7" s="1"/>
      <c r="HIM7" s="1"/>
      <c r="HIN7" s="1"/>
      <c r="HIO7" s="1"/>
      <c r="HIP7" s="1"/>
      <c r="HIQ7" s="1"/>
      <c r="HIR7" s="1"/>
      <c r="HIS7" s="1"/>
      <c r="HIT7" s="1"/>
      <c r="HIU7" s="1"/>
      <c r="HIV7" s="1"/>
      <c r="HIW7" s="1"/>
      <c r="HIX7" s="1"/>
      <c r="HIY7" s="1"/>
      <c r="HIZ7" s="1"/>
      <c r="HJA7" s="1"/>
      <c r="HJB7" s="1"/>
      <c r="HJC7" s="1"/>
      <c r="HJD7" s="1"/>
      <c r="HJE7" s="1"/>
      <c r="HJF7" s="1"/>
      <c r="HJG7" s="1"/>
      <c r="HJH7" s="1"/>
      <c r="HJI7" s="1"/>
      <c r="HJJ7" s="1"/>
      <c r="HJK7" s="1"/>
      <c r="HJL7" s="1"/>
      <c r="HJM7" s="1"/>
      <c r="HJN7" s="1"/>
      <c r="HJO7" s="1"/>
      <c r="HJP7" s="1"/>
      <c r="HJQ7" s="1"/>
      <c r="HJR7" s="1"/>
      <c r="HJS7" s="1"/>
      <c r="HJT7" s="1"/>
      <c r="HJU7" s="1"/>
      <c r="HJV7" s="1"/>
      <c r="HJW7" s="1"/>
      <c r="HJX7" s="1"/>
      <c r="HJY7" s="1"/>
      <c r="HJZ7" s="1"/>
      <c r="HKA7" s="1"/>
      <c r="HKB7" s="1"/>
      <c r="HKC7" s="1"/>
      <c r="HKD7" s="1"/>
      <c r="HKE7" s="1"/>
      <c r="HKF7" s="1"/>
      <c r="HKG7" s="1"/>
      <c r="HKH7" s="1"/>
      <c r="HKI7" s="1"/>
      <c r="HKJ7" s="1"/>
      <c r="HKK7" s="1"/>
      <c r="HKL7" s="1"/>
      <c r="HKM7" s="1"/>
      <c r="HKN7" s="1"/>
      <c r="HKO7" s="1"/>
      <c r="HKP7" s="1"/>
      <c r="HKQ7" s="1"/>
      <c r="HKR7" s="1"/>
      <c r="HKS7" s="1"/>
      <c r="HKT7" s="1"/>
      <c r="HKU7" s="1"/>
      <c r="HKV7" s="1"/>
      <c r="HKW7" s="1"/>
      <c r="HKX7" s="1"/>
      <c r="HKY7" s="1"/>
      <c r="HKZ7" s="1"/>
      <c r="HLA7" s="1"/>
      <c r="HLB7" s="1"/>
      <c r="HLC7" s="1"/>
      <c r="HLD7" s="1"/>
      <c r="HLE7" s="1"/>
      <c r="HLF7" s="1"/>
      <c r="HLG7" s="1"/>
      <c r="HLH7" s="1"/>
      <c r="HLI7" s="1"/>
      <c r="HLJ7" s="1"/>
      <c r="HLK7" s="1"/>
      <c r="HLL7" s="1"/>
      <c r="HLM7" s="1"/>
      <c r="HLN7" s="1"/>
      <c r="HLO7" s="1"/>
      <c r="HLP7" s="1"/>
      <c r="HLQ7" s="1"/>
      <c r="HLR7" s="1"/>
      <c r="HLS7" s="1"/>
      <c r="HLT7" s="1"/>
      <c r="HLU7" s="1"/>
      <c r="HLV7" s="1"/>
      <c r="HLW7" s="1"/>
      <c r="HLX7" s="1"/>
      <c r="HLY7" s="1"/>
      <c r="HLZ7" s="1"/>
      <c r="HMA7" s="1"/>
      <c r="HMB7" s="1"/>
      <c r="HMC7" s="1"/>
      <c r="HMD7" s="1"/>
      <c r="HME7" s="1"/>
      <c r="HMF7" s="1"/>
      <c r="HMG7" s="1"/>
      <c r="HMH7" s="1"/>
      <c r="HMI7" s="1"/>
      <c r="HMJ7" s="1"/>
      <c r="HMK7" s="1"/>
      <c r="HML7" s="1"/>
      <c r="HMM7" s="1"/>
      <c r="HMN7" s="1"/>
      <c r="HMO7" s="1"/>
      <c r="HMP7" s="1"/>
      <c r="HMQ7" s="1"/>
      <c r="HMR7" s="1"/>
      <c r="HMS7" s="1"/>
      <c r="HMT7" s="1"/>
      <c r="HMU7" s="1"/>
      <c r="HMV7" s="1"/>
      <c r="HMW7" s="1"/>
      <c r="HMX7" s="1"/>
      <c r="HMY7" s="1"/>
      <c r="HMZ7" s="1"/>
      <c r="HNA7" s="1"/>
      <c r="HNB7" s="1"/>
      <c r="HNC7" s="1"/>
      <c r="HND7" s="1"/>
      <c r="HNE7" s="1"/>
      <c r="HNF7" s="1"/>
      <c r="HNG7" s="1"/>
      <c r="HNH7" s="1"/>
      <c r="HNI7" s="1"/>
      <c r="HNJ7" s="1"/>
      <c r="HNK7" s="1"/>
      <c r="HNL7" s="1"/>
      <c r="HNM7" s="1"/>
      <c r="HNN7" s="1"/>
      <c r="HNO7" s="1"/>
      <c r="HNP7" s="1"/>
      <c r="HNQ7" s="1"/>
      <c r="HNR7" s="1"/>
      <c r="HNS7" s="1"/>
      <c r="HNT7" s="1"/>
      <c r="HNU7" s="1"/>
      <c r="HNV7" s="1"/>
      <c r="HNW7" s="1"/>
      <c r="HNX7" s="1"/>
      <c r="HNY7" s="1"/>
      <c r="HNZ7" s="1"/>
      <c r="HOA7" s="1"/>
      <c r="HOB7" s="1"/>
      <c r="HOC7" s="1"/>
      <c r="HOD7" s="1"/>
      <c r="HOE7" s="1"/>
      <c r="HOF7" s="1"/>
      <c r="HOG7" s="1"/>
      <c r="HOH7" s="1"/>
      <c r="HOI7" s="1"/>
      <c r="HOJ7" s="1"/>
      <c r="HOK7" s="1"/>
      <c r="HOL7" s="1"/>
      <c r="HOM7" s="1"/>
      <c r="HON7" s="1"/>
      <c r="HOO7" s="1"/>
      <c r="HOP7" s="1"/>
      <c r="HOQ7" s="1"/>
      <c r="HOR7" s="1"/>
      <c r="HOS7" s="1"/>
      <c r="HOT7" s="1"/>
      <c r="HOU7" s="1"/>
      <c r="HOV7" s="1"/>
      <c r="HOW7" s="1"/>
      <c r="HOX7" s="1"/>
      <c r="HOY7" s="1"/>
      <c r="HOZ7" s="1"/>
      <c r="HPA7" s="1"/>
      <c r="HPB7" s="1"/>
      <c r="HPC7" s="1"/>
      <c r="HPD7" s="1"/>
      <c r="HPE7" s="1"/>
      <c r="HPF7" s="1"/>
      <c r="HPG7" s="1"/>
      <c r="HPH7" s="1"/>
      <c r="HPI7" s="1"/>
      <c r="HPJ7" s="1"/>
      <c r="HPK7" s="1"/>
      <c r="HPL7" s="1"/>
      <c r="HPM7" s="1"/>
      <c r="HPN7" s="1"/>
      <c r="HPO7" s="1"/>
      <c r="HPP7" s="1"/>
      <c r="HPQ7" s="1"/>
      <c r="HPR7" s="1"/>
      <c r="HPS7" s="1"/>
      <c r="HPT7" s="1"/>
      <c r="HPU7" s="1"/>
      <c r="HPV7" s="1"/>
      <c r="HPW7" s="1"/>
      <c r="HPX7" s="1"/>
      <c r="HPY7" s="1"/>
      <c r="HPZ7" s="1"/>
      <c r="HQA7" s="1"/>
      <c r="HQB7" s="1"/>
      <c r="HQC7" s="1"/>
      <c r="HQD7" s="1"/>
      <c r="HQE7" s="1"/>
      <c r="HQF7" s="1"/>
      <c r="HQG7" s="1"/>
      <c r="HQH7" s="1"/>
      <c r="HQI7" s="1"/>
      <c r="HQJ7" s="1"/>
      <c r="HQK7" s="1"/>
      <c r="HQL7" s="1"/>
      <c r="HQM7" s="1"/>
      <c r="HQN7" s="1"/>
      <c r="HQO7" s="1"/>
      <c r="HQP7" s="1"/>
      <c r="HQQ7" s="1"/>
      <c r="HQR7" s="1"/>
      <c r="HQS7" s="1"/>
      <c r="HQT7" s="1"/>
      <c r="HQU7" s="1"/>
      <c r="HQV7" s="1"/>
      <c r="HQW7" s="1"/>
      <c r="HQX7" s="1"/>
      <c r="HQY7" s="1"/>
      <c r="HQZ7" s="1"/>
      <c r="HRA7" s="1"/>
      <c r="HRB7" s="1"/>
      <c r="HRC7" s="1"/>
      <c r="HRD7" s="1"/>
      <c r="HRE7" s="1"/>
      <c r="HRF7" s="1"/>
      <c r="HRG7" s="1"/>
      <c r="HRH7" s="1"/>
      <c r="HRI7" s="1"/>
      <c r="HRJ7" s="1"/>
      <c r="HRK7" s="1"/>
      <c r="HRL7" s="1"/>
      <c r="HRM7" s="1"/>
      <c r="HRN7" s="1"/>
      <c r="HRO7" s="1"/>
      <c r="HRP7" s="1"/>
      <c r="HRQ7" s="1"/>
      <c r="HRR7" s="1"/>
      <c r="HRS7" s="1"/>
      <c r="HRT7" s="1"/>
      <c r="HRU7" s="1"/>
      <c r="HRV7" s="1"/>
      <c r="HRW7" s="1"/>
      <c r="HRX7" s="1"/>
      <c r="HRY7" s="1"/>
      <c r="HRZ7" s="1"/>
      <c r="HSA7" s="1"/>
      <c r="HSB7" s="1"/>
      <c r="HSC7" s="1"/>
      <c r="HSD7" s="1"/>
      <c r="HSE7" s="1"/>
      <c r="HSF7" s="1"/>
      <c r="HSG7" s="1"/>
      <c r="HSH7" s="1"/>
      <c r="HSI7" s="1"/>
      <c r="HSJ7" s="1"/>
      <c r="HSK7" s="1"/>
      <c r="HSL7" s="1"/>
      <c r="HSM7" s="1"/>
      <c r="HSN7" s="1"/>
      <c r="HSO7" s="1"/>
      <c r="HSP7" s="1"/>
      <c r="HSQ7" s="1"/>
      <c r="HSR7" s="1"/>
      <c r="HSS7" s="1"/>
      <c r="HST7" s="1"/>
      <c r="HSU7" s="1"/>
      <c r="HSV7" s="1"/>
      <c r="HSW7" s="1"/>
      <c r="HSX7" s="1"/>
      <c r="HSY7" s="1"/>
      <c r="HSZ7" s="1"/>
      <c r="HTA7" s="1"/>
      <c r="HTB7" s="1"/>
      <c r="HTC7" s="1"/>
      <c r="HTD7" s="1"/>
      <c r="HTE7" s="1"/>
      <c r="HTF7" s="1"/>
      <c r="HTG7" s="1"/>
      <c r="HTH7" s="1"/>
      <c r="HTI7" s="1"/>
      <c r="HTJ7" s="1"/>
      <c r="HTK7" s="1"/>
      <c r="HTL7" s="1"/>
      <c r="HTM7" s="1"/>
      <c r="HTN7" s="1"/>
      <c r="HTO7" s="1"/>
      <c r="HTP7" s="1"/>
      <c r="HTQ7" s="1"/>
      <c r="HTR7" s="1"/>
      <c r="HTS7" s="1"/>
      <c r="HTT7" s="1"/>
      <c r="HTU7" s="1"/>
      <c r="HTV7" s="1"/>
      <c r="HTW7" s="1"/>
      <c r="HTX7" s="1"/>
      <c r="HTY7" s="1"/>
      <c r="HTZ7" s="1"/>
      <c r="HUA7" s="1"/>
      <c r="HUB7" s="1"/>
      <c r="HUC7" s="1"/>
      <c r="HUD7" s="1"/>
      <c r="HUE7" s="1"/>
      <c r="HUF7" s="1"/>
      <c r="HUG7" s="1"/>
      <c r="HUH7" s="1"/>
      <c r="HUI7" s="1"/>
      <c r="HUJ7" s="1"/>
      <c r="HUK7" s="1"/>
      <c r="HUL7" s="1"/>
      <c r="HUM7" s="1"/>
      <c r="HUN7" s="1"/>
      <c r="HUO7" s="1"/>
      <c r="HUP7" s="1"/>
      <c r="HUQ7" s="1"/>
      <c r="HUR7" s="1"/>
      <c r="HUS7" s="1"/>
      <c r="HUT7" s="1"/>
      <c r="HUU7" s="1"/>
      <c r="HUV7" s="1"/>
      <c r="HUW7" s="1"/>
      <c r="HUX7" s="1"/>
      <c r="HUY7" s="1"/>
      <c r="HUZ7" s="1"/>
      <c r="HVA7" s="1"/>
      <c r="HVB7" s="1"/>
      <c r="HVC7" s="1"/>
      <c r="HVD7" s="1"/>
      <c r="HVE7" s="1"/>
      <c r="HVF7" s="1"/>
      <c r="HVG7" s="1"/>
      <c r="HVH7" s="1"/>
      <c r="HVI7" s="1"/>
      <c r="HVJ7" s="1"/>
      <c r="HVK7" s="1"/>
      <c r="HVL7" s="1"/>
      <c r="HVM7" s="1"/>
      <c r="HVN7" s="1"/>
      <c r="HVO7" s="1"/>
      <c r="HVP7" s="1"/>
      <c r="HVQ7" s="1"/>
      <c r="HVR7" s="1"/>
      <c r="HVS7" s="1"/>
      <c r="HVT7" s="1"/>
      <c r="HVU7" s="1"/>
      <c r="HVV7" s="1"/>
      <c r="HVW7" s="1"/>
      <c r="HVX7" s="1"/>
      <c r="HVY7" s="1"/>
      <c r="HVZ7" s="1"/>
      <c r="HWA7" s="1"/>
      <c r="HWB7" s="1"/>
      <c r="HWC7" s="1"/>
      <c r="HWD7" s="1"/>
      <c r="HWE7" s="1"/>
      <c r="HWF7" s="1"/>
      <c r="HWG7" s="1"/>
      <c r="HWH7" s="1"/>
      <c r="HWI7" s="1"/>
      <c r="HWJ7" s="1"/>
      <c r="HWK7" s="1"/>
      <c r="HWL7" s="1"/>
      <c r="HWM7" s="1"/>
      <c r="HWN7" s="1"/>
      <c r="HWO7" s="1"/>
      <c r="HWP7" s="1"/>
      <c r="HWQ7" s="1"/>
      <c r="HWR7" s="1"/>
      <c r="HWS7" s="1"/>
      <c r="HWT7" s="1"/>
      <c r="HWU7" s="1"/>
      <c r="HWV7" s="1"/>
      <c r="HWW7" s="1"/>
      <c r="HWX7" s="1"/>
      <c r="HWY7" s="1"/>
      <c r="HWZ7" s="1"/>
      <c r="HXA7" s="1"/>
      <c r="HXB7" s="1"/>
      <c r="HXC7" s="1"/>
      <c r="HXD7" s="1"/>
      <c r="HXE7" s="1"/>
      <c r="HXF7" s="1"/>
      <c r="HXG7" s="1"/>
      <c r="HXH7" s="1"/>
      <c r="HXI7" s="1"/>
      <c r="HXJ7" s="1"/>
      <c r="HXK7" s="1"/>
      <c r="HXL7" s="1"/>
      <c r="HXM7" s="1"/>
      <c r="HXN7" s="1"/>
      <c r="HXO7" s="1"/>
      <c r="HXP7" s="1"/>
      <c r="HXQ7" s="1"/>
      <c r="HXR7" s="1"/>
      <c r="HXS7" s="1"/>
      <c r="HXT7" s="1"/>
      <c r="HXU7" s="1"/>
      <c r="HXV7" s="1"/>
      <c r="HXW7" s="1"/>
      <c r="HXX7" s="1"/>
      <c r="HXY7" s="1"/>
      <c r="HXZ7" s="1"/>
      <c r="HYA7" s="1"/>
      <c r="HYB7" s="1"/>
      <c r="HYC7" s="1"/>
      <c r="HYD7" s="1"/>
      <c r="HYE7" s="1"/>
      <c r="HYF7" s="1"/>
      <c r="HYG7" s="1"/>
      <c r="HYH7" s="1"/>
      <c r="HYI7" s="1"/>
      <c r="HYJ7" s="1"/>
      <c r="HYK7" s="1"/>
      <c r="HYL7" s="1"/>
      <c r="HYM7" s="1"/>
      <c r="HYN7" s="1"/>
      <c r="HYO7" s="1"/>
      <c r="HYP7" s="1"/>
      <c r="HYQ7" s="1"/>
      <c r="HYR7" s="1"/>
      <c r="HYS7" s="1"/>
      <c r="HYT7" s="1"/>
      <c r="HYU7" s="1"/>
      <c r="HYV7" s="1"/>
      <c r="HYW7" s="1"/>
      <c r="HYX7" s="1"/>
      <c r="HYY7" s="1"/>
      <c r="HYZ7" s="1"/>
      <c r="HZA7" s="1"/>
      <c r="HZB7" s="1"/>
      <c r="HZC7" s="1"/>
      <c r="HZD7" s="1"/>
      <c r="HZE7" s="1"/>
      <c r="HZF7" s="1"/>
      <c r="HZG7" s="1"/>
      <c r="HZH7" s="1"/>
      <c r="HZI7" s="1"/>
      <c r="HZJ7" s="1"/>
      <c r="HZK7" s="1"/>
      <c r="HZL7" s="1"/>
      <c r="HZM7" s="1"/>
      <c r="HZN7" s="1"/>
      <c r="HZO7" s="1"/>
      <c r="HZP7" s="1"/>
      <c r="HZQ7" s="1"/>
      <c r="HZR7" s="1"/>
      <c r="HZS7" s="1"/>
      <c r="HZT7" s="1"/>
      <c r="HZU7" s="1"/>
      <c r="HZV7" s="1"/>
      <c r="HZW7" s="1"/>
      <c r="HZX7" s="1"/>
      <c r="HZY7" s="1"/>
      <c r="HZZ7" s="1"/>
      <c r="IAA7" s="1"/>
      <c r="IAB7" s="1"/>
      <c r="IAC7" s="1"/>
      <c r="IAD7" s="1"/>
      <c r="IAE7" s="1"/>
      <c r="IAF7" s="1"/>
      <c r="IAG7" s="1"/>
      <c r="IAH7" s="1"/>
      <c r="IAI7" s="1"/>
      <c r="IAJ7" s="1"/>
      <c r="IAK7" s="1"/>
      <c r="IAL7" s="1"/>
      <c r="IAM7" s="1"/>
      <c r="IAN7" s="1"/>
      <c r="IAO7" s="1"/>
      <c r="IAP7" s="1"/>
      <c r="IAQ7" s="1"/>
      <c r="IAR7" s="1"/>
      <c r="IAS7" s="1"/>
      <c r="IAT7" s="1"/>
      <c r="IAU7" s="1"/>
      <c r="IAV7" s="1"/>
      <c r="IAW7" s="1"/>
      <c r="IAX7" s="1"/>
      <c r="IAY7" s="1"/>
      <c r="IAZ7" s="1"/>
      <c r="IBA7" s="1"/>
      <c r="IBB7" s="1"/>
      <c r="IBC7" s="1"/>
      <c r="IBD7" s="1"/>
      <c r="IBE7" s="1"/>
      <c r="IBF7" s="1"/>
      <c r="IBG7" s="1"/>
      <c r="IBH7" s="1"/>
      <c r="IBI7" s="1"/>
      <c r="IBJ7" s="1"/>
      <c r="IBK7" s="1"/>
      <c r="IBL7" s="1"/>
      <c r="IBM7" s="1"/>
      <c r="IBN7" s="1"/>
      <c r="IBO7" s="1"/>
      <c r="IBP7" s="1"/>
      <c r="IBQ7" s="1"/>
      <c r="IBR7" s="1"/>
      <c r="IBS7" s="1"/>
      <c r="IBT7" s="1"/>
      <c r="IBU7" s="1"/>
      <c r="IBV7" s="1"/>
      <c r="IBW7" s="1"/>
      <c r="IBX7" s="1"/>
      <c r="IBY7" s="1"/>
      <c r="IBZ7" s="1"/>
      <c r="ICA7" s="1"/>
      <c r="ICB7" s="1"/>
      <c r="ICC7" s="1"/>
      <c r="ICD7" s="1"/>
      <c r="ICE7" s="1"/>
      <c r="ICF7" s="1"/>
      <c r="ICG7" s="1"/>
      <c r="ICH7" s="1"/>
      <c r="ICI7" s="1"/>
      <c r="ICJ7" s="1"/>
      <c r="ICK7" s="1"/>
      <c r="ICL7" s="1"/>
      <c r="ICM7" s="1"/>
      <c r="ICN7" s="1"/>
      <c r="ICO7" s="1"/>
      <c r="ICP7" s="1"/>
      <c r="ICQ7" s="1"/>
      <c r="ICR7" s="1"/>
      <c r="ICS7" s="1"/>
      <c r="ICT7" s="1"/>
      <c r="ICU7" s="1"/>
      <c r="ICV7" s="1"/>
      <c r="ICW7" s="1"/>
      <c r="ICX7" s="1"/>
      <c r="ICY7" s="1"/>
      <c r="ICZ7" s="1"/>
      <c r="IDA7" s="1"/>
      <c r="IDB7" s="1"/>
      <c r="IDC7" s="1"/>
      <c r="IDD7" s="1"/>
      <c r="IDE7" s="1"/>
      <c r="IDF7" s="1"/>
      <c r="IDG7" s="1"/>
      <c r="IDH7" s="1"/>
      <c r="IDI7" s="1"/>
      <c r="IDJ7" s="1"/>
      <c r="IDK7" s="1"/>
      <c r="IDL7" s="1"/>
      <c r="IDM7" s="1"/>
      <c r="IDN7" s="1"/>
      <c r="IDO7" s="1"/>
      <c r="IDP7" s="1"/>
      <c r="IDQ7" s="1"/>
      <c r="IDR7" s="1"/>
      <c r="IDS7" s="1"/>
      <c r="IDT7" s="1"/>
      <c r="IDU7" s="1"/>
      <c r="IDV7" s="1"/>
      <c r="IDW7" s="1"/>
      <c r="IDX7" s="1"/>
      <c r="IDY7" s="1"/>
      <c r="IDZ7" s="1"/>
      <c r="IEA7" s="1"/>
      <c r="IEB7" s="1"/>
      <c r="IEC7" s="1"/>
      <c r="IED7" s="1"/>
      <c r="IEE7" s="1"/>
      <c r="IEF7" s="1"/>
      <c r="IEG7" s="1"/>
      <c r="IEH7" s="1"/>
      <c r="IEI7" s="1"/>
      <c r="IEJ7" s="1"/>
      <c r="IEK7" s="1"/>
      <c r="IEL7" s="1"/>
      <c r="IEM7" s="1"/>
      <c r="IEN7" s="1"/>
      <c r="IEO7" s="1"/>
      <c r="IEP7" s="1"/>
      <c r="IEQ7" s="1"/>
      <c r="IER7" s="1"/>
      <c r="IES7" s="1"/>
      <c r="IET7" s="1"/>
      <c r="IEU7" s="1"/>
      <c r="IEV7" s="1"/>
      <c r="IEW7" s="1"/>
      <c r="IEX7" s="1"/>
      <c r="IEY7" s="1"/>
      <c r="IEZ7" s="1"/>
      <c r="IFA7" s="1"/>
      <c r="IFB7" s="1"/>
      <c r="IFC7" s="1"/>
      <c r="IFD7" s="1"/>
      <c r="IFE7" s="1"/>
      <c r="IFF7" s="1"/>
      <c r="IFG7" s="1"/>
      <c r="IFH7" s="1"/>
      <c r="IFI7" s="1"/>
      <c r="IFJ7" s="1"/>
      <c r="IFK7" s="1"/>
      <c r="IFL7" s="1"/>
      <c r="IFM7" s="1"/>
      <c r="IFN7" s="1"/>
      <c r="IFO7" s="1"/>
      <c r="IFP7" s="1"/>
      <c r="IFQ7" s="1"/>
      <c r="IFR7" s="1"/>
      <c r="IFS7" s="1"/>
      <c r="IFT7" s="1"/>
      <c r="IFU7" s="1"/>
      <c r="IFV7" s="1"/>
      <c r="IFW7" s="1"/>
      <c r="IFX7" s="1"/>
      <c r="IFY7" s="1"/>
      <c r="IFZ7" s="1"/>
      <c r="IGA7" s="1"/>
      <c r="IGB7" s="1"/>
      <c r="IGC7" s="1"/>
      <c r="IGD7" s="1"/>
      <c r="IGE7" s="1"/>
      <c r="IGF7" s="1"/>
      <c r="IGG7" s="1"/>
      <c r="IGH7" s="1"/>
      <c r="IGI7" s="1"/>
      <c r="IGJ7" s="1"/>
      <c r="IGK7" s="1"/>
      <c r="IGL7" s="1"/>
      <c r="IGM7" s="1"/>
      <c r="IGN7" s="1"/>
      <c r="IGO7" s="1"/>
      <c r="IGP7" s="1"/>
      <c r="IGQ7" s="1"/>
      <c r="IGR7" s="1"/>
      <c r="IGS7" s="1"/>
      <c r="IGT7" s="1"/>
      <c r="IGU7" s="1"/>
      <c r="IGV7" s="1"/>
      <c r="IGW7" s="1"/>
      <c r="IGX7" s="1"/>
      <c r="IGY7" s="1"/>
      <c r="IGZ7" s="1"/>
      <c r="IHA7" s="1"/>
      <c r="IHB7" s="1"/>
      <c r="IHC7" s="1"/>
      <c r="IHD7" s="1"/>
      <c r="IHE7" s="1"/>
      <c r="IHF7" s="1"/>
      <c r="IHG7" s="1"/>
      <c r="IHH7" s="1"/>
      <c r="IHI7" s="1"/>
      <c r="IHJ7" s="1"/>
      <c r="IHK7" s="1"/>
      <c r="IHL7" s="1"/>
      <c r="IHM7" s="1"/>
      <c r="IHN7" s="1"/>
      <c r="IHO7" s="1"/>
      <c r="IHP7" s="1"/>
      <c r="IHQ7" s="1"/>
      <c r="IHR7" s="1"/>
      <c r="IHS7" s="1"/>
      <c r="IHT7" s="1"/>
      <c r="IHU7" s="1"/>
      <c r="IHV7" s="1"/>
      <c r="IHW7" s="1"/>
      <c r="IHX7" s="1"/>
      <c r="IHY7" s="1"/>
      <c r="IHZ7" s="1"/>
      <c r="IIA7" s="1"/>
      <c r="IIB7" s="1"/>
      <c r="IIC7" s="1"/>
      <c r="IID7" s="1"/>
      <c r="IIE7" s="1"/>
      <c r="IIF7" s="1"/>
      <c r="IIG7" s="1"/>
      <c r="IIH7" s="1"/>
      <c r="III7" s="1"/>
      <c r="IIJ7" s="1"/>
      <c r="IIK7" s="1"/>
      <c r="IIL7" s="1"/>
      <c r="IIM7" s="1"/>
      <c r="IIN7" s="1"/>
      <c r="IIO7" s="1"/>
      <c r="IIP7" s="1"/>
      <c r="IIQ7" s="1"/>
      <c r="IIR7" s="1"/>
      <c r="IIS7" s="1"/>
      <c r="IIT7" s="1"/>
      <c r="IIU7" s="1"/>
      <c r="IIV7" s="1"/>
      <c r="IIW7" s="1"/>
      <c r="IIX7" s="1"/>
      <c r="IIY7" s="1"/>
      <c r="IIZ7" s="1"/>
      <c r="IJA7" s="1"/>
      <c r="IJB7" s="1"/>
      <c r="IJC7" s="1"/>
      <c r="IJD7" s="1"/>
      <c r="IJE7" s="1"/>
      <c r="IJF7" s="1"/>
      <c r="IJG7" s="1"/>
      <c r="IJH7" s="1"/>
      <c r="IJI7" s="1"/>
      <c r="IJJ7" s="1"/>
      <c r="IJK7" s="1"/>
      <c r="IJL7" s="1"/>
      <c r="IJM7" s="1"/>
      <c r="IJN7" s="1"/>
      <c r="IJO7" s="1"/>
      <c r="IJP7" s="1"/>
      <c r="IJQ7" s="1"/>
      <c r="IJR7" s="1"/>
      <c r="IJS7" s="1"/>
      <c r="IJT7" s="1"/>
      <c r="IJU7" s="1"/>
      <c r="IJV7" s="1"/>
      <c r="IJW7" s="1"/>
      <c r="IJX7" s="1"/>
      <c r="IJY7" s="1"/>
      <c r="IJZ7" s="1"/>
      <c r="IKA7" s="1"/>
      <c r="IKB7" s="1"/>
      <c r="IKC7" s="1"/>
      <c r="IKD7" s="1"/>
      <c r="IKE7" s="1"/>
      <c r="IKF7" s="1"/>
      <c r="IKG7" s="1"/>
      <c r="IKH7" s="1"/>
      <c r="IKI7" s="1"/>
      <c r="IKJ7" s="1"/>
      <c r="IKK7" s="1"/>
      <c r="IKL7" s="1"/>
      <c r="IKM7" s="1"/>
      <c r="IKN7" s="1"/>
      <c r="IKO7" s="1"/>
      <c r="IKP7" s="1"/>
      <c r="IKQ7" s="1"/>
      <c r="IKR7" s="1"/>
      <c r="IKS7" s="1"/>
      <c r="IKT7" s="1"/>
      <c r="IKU7" s="1"/>
      <c r="IKV7" s="1"/>
      <c r="IKW7" s="1"/>
      <c r="IKX7" s="1"/>
      <c r="IKY7" s="1"/>
      <c r="IKZ7" s="1"/>
      <c r="ILA7" s="1"/>
      <c r="ILB7" s="1"/>
      <c r="ILC7" s="1"/>
      <c r="ILD7" s="1"/>
      <c r="ILE7" s="1"/>
      <c r="ILF7" s="1"/>
      <c r="ILG7" s="1"/>
      <c r="ILH7" s="1"/>
      <c r="ILI7" s="1"/>
      <c r="ILJ7" s="1"/>
      <c r="ILK7" s="1"/>
      <c r="ILL7" s="1"/>
      <c r="ILM7" s="1"/>
      <c r="ILN7" s="1"/>
      <c r="ILO7" s="1"/>
      <c r="ILP7" s="1"/>
      <c r="ILQ7" s="1"/>
      <c r="ILR7" s="1"/>
      <c r="ILS7" s="1"/>
      <c r="ILT7" s="1"/>
      <c r="ILU7" s="1"/>
      <c r="ILV7" s="1"/>
      <c r="ILW7" s="1"/>
      <c r="ILX7" s="1"/>
      <c r="ILY7" s="1"/>
      <c r="ILZ7" s="1"/>
      <c r="IMA7" s="1"/>
      <c r="IMB7" s="1"/>
      <c r="IMC7" s="1"/>
      <c r="IMD7" s="1"/>
      <c r="IME7" s="1"/>
      <c r="IMF7" s="1"/>
      <c r="IMG7" s="1"/>
      <c r="IMH7" s="1"/>
      <c r="IMI7" s="1"/>
      <c r="IMJ7" s="1"/>
      <c r="IMK7" s="1"/>
      <c r="IML7" s="1"/>
      <c r="IMM7" s="1"/>
      <c r="IMN7" s="1"/>
      <c r="IMO7" s="1"/>
      <c r="IMP7" s="1"/>
      <c r="IMQ7" s="1"/>
      <c r="IMR7" s="1"/>
      <c r="IMS7" s="1"/>
      <c r="IMT7" s="1"/>
      <c r="IMU7" s="1"/>
      <c r="IMV7" s="1"/>
      <c r="IMW7" s="1"/>
      <c r="IMX7" s="1"/>
      <c r="IMY7" s="1"/>
      <c r="IMZ7" s="1"/>
      <c r="INA7" s="1"/>
      <c r="INB7" s="1"/>
      <c r="INC7" s="1"/>
      <c r="IND7" s="1"/>
      <c r="INE7" s="1"/>
      <c r="INF7" s="1"/>
      <c r="ING7" s="1"/>
      <c r="INH7" s="1"/>
      <c r="INI7" s="1"/>
      <c r="INJ7" s="1"/>
      <c r="INK7" s="1"/>
      <c r="INL7" s="1"/>
      <c r="INM7" s="1"/>
      <c r="INN7" s="1"/>
      <c r="INO7" s="1"/>
      <c r="INP7" s="1"/>
      <c r="INQ7" s="1"/>
      <c r="INR7" s="1"/>
      <c r="INS7" s="1"/>
      <c r="INT7" s="1"/>
      <c r="INU7" s="1"/>
      <c r="INV7" s="1"/>
      <c r="INW7" s="1"/>
      <c r="INX7" s="1"/>
      <c r="INY7" s="1"/>
      <c r="INZ7" s="1"/>
      <c r="IOA7" s="1"/>
      <c r="IOB7" s="1"/>
      <c r="IOC7" s="1"/>
      <c r="IOD7" s="1"/>
      <c r="IOE7" s="1"/>
      <c r="IOF7" s="1"/>
      <c r="IOG7" s="1"/>
      <c r="IOH7" s="1"/>
      <c r="IOI7" s="1"/>
      <c r="IOJ7" s="1"/>
      <c r="IOK7" s="1"/>
      <c r="IOL7" s="1"/>
      <c r="IOM7" s="1"/>
      <c r="ION7" s="1"/>
      <c r="IOO7" s="1"/>
      <c r="IOP7" s="1"/>
      <c r="IOQ7" s="1"/>
      <c r="IOR7" s="1"/>
      <c r="IOS7" s="1"/>
      <c r="IOT7" s="1"/>
      <c r="IOU7" s="1"/>
      <c r="IOV7" s="1"/>
      <c r="IOW7" s="1"/>
      <c r="IOX7" s="1"/>
      <c r="IOY7" s="1"/>
      <c r="IOZ7" s="1"/>
      <c r="IPA7" s="1"/>
      <c r="IPB7" s="1"/>
      <c r="IPC7" s="1"/>
      <c r="IPD7" s="1"/>
      <c r="IPE7" s="1"/>
      <c r="IPF7" s="1"/>
      <c r="IPG7" s="1"/>
      <c r="IPH7" s="1"/>
      <c r="IPI7" s="1"/>
      <c r="IPJ7" s="1"/>
      <c r="IPK7" s="1"/>
      <c r="IPL7" s="1"/>
      <c r="IPM7" s="1"/>
      <c r="IPN7" s="1"/>
      <c r="IPO7" s="1"/>
      <c r="IPP7" s="1"/>
      <c r="IPQ7" s="1"/>
      <c r="IPR7" s="1"/>
      <c r="IPS7" s="1"/>
      <c r="IPT7" s="1"/>
      <c r="IPU7" s="1"/>
      <c r="IPV7" s="1"/>
      <c r="IPW7" s="1"/>
      <c r="IPX7" s="1"/>
      <c r="IPY7" s="1"/>
      <c r="IPZ7" s="1"/>
      <c r="IQA7" s="1"/>
      <c r="IQB7" s="1"/>
      <c r="IQC7" s="1"/>
      <c r="IQD7" s="1"/>
      <c r="IQE7" s="1"/>
      <c r="IQF7" s="1"/>
      <c r="IQG7" s="1"/>
      <c r="IQH7" s="1"/>
      <c r="IQI7" s="1"/>
      <c r="IQJ7" s="1"/>
      <c r="IQK7" s="1"/>
      <c r="IQL7" s="1"/>
      <c r="IQM7" s="1"/>
      <c r="IQN7" s="1"/>
      <c r="IQO7" s="1"/>
      <c r="IQP7" s="1"/>
      <c r="IQQ7" s="1"/>
      <c r="IQR7" s="1"/>
      <c r="IQS7" s="1"/>
      <c r="IQT7" s="1"/>
      <c r="IQU7" s="1"/>
      <c r="IQV7" s="1"/>
      <c r="IQW7" s="1"/>
      <c r="IQX7" s="1"/>
      <c r="IQY7" s="1"/>
      <c r="IQZ7" s="1"/>
      <c r="IRA7" s="1"/>
      <c r="IRB7" s="1"/>
      <c r="IRC7" s="1"/>
      <c r="IRD7" s="1"/>
      <c r="IRE7" s="1"/>
      <c r="IRF7" s="1"/>
      <c r="IRG7" s="1"/>
      <c r="IRH7" s="1"/>
      <c r="IRI7" s="1"/>
      <c r="IRJ7" s="1"/>
      <c r="IRK7" s="1"/>
      <c r="IRL7" s="1"/>
      <c r="IRM7" s="1"/>
      <c r="IRN7" s="1"/>
      <c r="IRO7" s="1"/>
      <c r="IRP7" s="1"/>
      <c r="IRQ7" s="1"/>
      <c r="IRR7" s="1"/>
      <c r="IRS7" s="1"/>
      <c r="IRT7" s="1"/>
      <c r="IRU7" s="1"/>
      <c r="IRV7" s="1"/>
      <c r="IRW7" s="1"/>
      <c r="IRX7" s="1"/>
      <c r="IRY7" s="1"/>
      <c r="IRZ7" s="1"/>
      <c r="ISA7" s="1"/>
      <c r="ISB7" s="1"/>
      <c r="ISC7" s="1"/>
      <c r="ISD7" s="1"/>
      <c r="ISE7" s="1"/>
      <c r="ISF7" s="1"/>
      <c r="ISG7" s="1"/>
      <c r="ISH7" s="1"/>
      <c r="ISI7" s="1"/>
      <c r="ISJ7" s="1"/>
      <c r="ISK7" s="1"/>
      <c r="ISL7" s="1"/>
      <c r="ISM7" s="1"/>
      <c r="ISN7" s="1"/>
      <c r="ISO7" s="1"/>
      <c r="ISP7" s="1"/>
      <c r="ISQ7" s="1"/>
      <c r="ISR7" s="1"/>
      <c r="ISS7" s="1"/>
      <c r="IST7" s="1"/>
      <c r="ISU7" s="1"/>
      <c r="ISV7" s="1"/>
      <c r="ISW7" s="1"/>
      <c r="ISX7" s="1"/>
      <c r="ISY7" s="1"/>
      <c r="ISZ7" s="1"/>
      <c r="ITA7" s="1"/>
      <c r="ITB7" s="1"/>
      <c r="ITC7" s="1"/>
      <c r="ITD7" s="1"/>
      <c r="ITE7" s="1"/>
      <c r="ITF7" s="1"/>
      <c r="ITG7" s="1"/>
      <c r="ITH7" s="1"/>
      <c r="ITI7" s="1"/>
      <c r="ITJ7" s="1"/>
      <c r="ITK7" s="1"/>
      <c r="ITL7" s="1"/>
      <c r="ITM7" s="1"/>
      <c r="ITN7" s="1"/>
      <c r="ITO7" s="1"/>
      <c r="ITP7" s="1"/>
      <c r="ITQ7" s="1"/>
      <c r="ITR7" s="1"/>
      <c r="ITS7" s="1"/>
      <c r="ITT7" s="1"/>
      <c r="ITU7" s="1"/>
      <c r="ITV7" s="1"/>
      <c r="ITW7" s="1"/>
      <c r="ITX7" s="1"/>
      <c r="ITY7" s="1"/>
      <c r="ITZ7" s="1"/>
      <c r="IUA7" s="1"/>
      <c r="IUB7" s="1"/>
      <c r="IUC7" s="1"/>
      <c r="IUD7" s="1"/>
      <c r="IUE7" s="1"/>
      <c r="IUF7" s="1"/>
      <c r="IUG7" s="1"/>
      <c r="IUH7" s="1"/>
      <c r="IUI7" s="1"/>
      <c r="IUJ7" s="1"/>
      <c r="IUK7" s="1"/>
      <c r="IUL7" s="1"/>
      <c r="IUM7" s="1"/>
      <c r="IUN7" s="1"/>
      <c r="IUO7" s="1"/>
      <c r="IUP7" s="1"/>
      <c r="IUQ7" s="1"/>
      <c r="IUR7" s="1"/>
      <c r="IUS7" s="1"/>
      <c r="IUT7" s="1"/>
      <c r="IUU7" s="1"/>
      <c r="IUV7" s="1"/>
      <c r="IUW7" s="1"/>
      <c r="IUX7" s="1"/>
      <c r="IUY7" s="1"/>
      <c r="IUZ7" s="1"/>
      <c r="IVA7" s="1"/>
      <c r="IVB7" s="1"/>
      <c r="IVC7" s="1"/>
      <c r="IVD7" s="1"/>
      <c r="IVE7" s="1"/>
      <c r="IVF7" s="1"/>
      <c r="IVG7" s="1"/>
      <c r="IVH7" s="1"/>
      <c r="IVI7" s="1"/>
      <c r="IVJ7" s="1"/>
      <c r="IVK7" s="1"/>
      <c r="IVL7" s="1"/>
      <c r="IVM7" s="1"/>
      <c r="IVN7" s="1"/>
      <c r="IVO7" s="1"/>
      <c r="IVP7" s="1"/>
      <c r="IVQ7" s="1"/>
      <c r="IVR7" s="1"/>
      <c r="IVS7" s="1"/>
      <c r="IVT7" s="1"/>
      <c r="IVU7" s="1"/>
      <c r="IVV7" s="1"/>
      <c r="IVW7" s="1"/>
      <c r="IVX7" s="1"/>
      <c r="IVY7" s="1"/>
      <c r="IVZ7" s="1"/>
      <c r="IWA7" s="1"/>
      <c r="IWB7" s="1"/>
      <c r="IWC7" s="1"/>
      <c r="IWD7" s="1"/>
      <c r="IWE7" s="1"/>
      <c r="IWF7" s="1"/>
      <c r="IWG7" s="1"/>
      <c r="IWH7" s="1"/>
      <c r="IWI7" s="1"/>
      <c r="IWJ7" s="1"/>
      <c r="IWK7" s="1"/>
      <c r="IWL7" s="1"/>
      <c r="IWM7" s="1"/>
      <c r="IWN7" s="1"/>
      <c r="IWO7" s="1"/>
      <c r="IWP7" s="1"/>
      <c r="IWQ7" s="1"/>
      <c r="IWR7" s="1"/>
      <c r="IWS7" s="1"/>
      <c r="IWT7" s="1"/>
      <c r="IWU7" s="1"/>
      <c r="IWV7" s="1"/>
      <c r="IWW7" s="1"/>
      <c r="IWX7" s="1"/>
      <c r="IWY7" s="1"/>
      <c r="IWZ7" s="1"/>
      <c r="IXA7" s="1"/>
      <c r="IXB7" s="1"/>
      <c r="IXC7" s="1"/>
      <c r="IXD7" s="1"/>
      <c r="IXE7" s="1"/>
      <c r="IXF7" s="1"/>
      <c r="IXG7" s="1"/>
      <c r="IXH7" s="1"/>
      <c r="IXI7" s="1"/>
      <c r="IXJ7" s="1"/>
      <c r="IXK7" s="1"/>
      <c r="IXL7" s="1"/>
      <c r="IXM7" s="1"/>
      <c r="IXN7" s="1"/>
      <c r="IXO7" s="1"/>
      <c r="IXP7" s="1"/>
      <c r="IXQ7" s="1"/>
      <c r="IXR7" s="1"/>
      <c r="IXS7" s="1"/>
      <c r="IXT7" s="1"/>
      <c r="IXU7" s="1"/>
      <c r="IXV7" s="1"/>
      <c r="IXW7" s="1"/>
      <c r="IXX7" s="1"/>
      <c r="IXY7" s="1"/>
      <c r="IXZ7" s="1"/>
      <c r="IYA7" s="1"/>
      <c r="IYB7" s="1"/>
      <c r="IYC7" s="1"/>
      <c r="IYD7" s="1"/>
      <c r="IYE7" s="1"/>
      <c r="IYF7" s="1"/>
      <c r="IYG7" s="1"/>
      <c r="IYH7" s="1"/>
      <c r="IYI7" s="1"/>
      <c r="IYJ7" s="1"/>
      <c r="IYK7" s="1"/>
      <c r="IYL7" s="1"/>
      <c r="IYM7" s="1"/>
      <c r="IYN7" s="1"/>
      <c r="IYO7" s="1"/>
      <c r="IYP7" s="1"/>
      <c r="IYQ7" s="1"/>
      <c r="IYR7" s="1"/>
      <c r="IYS7" s="1"/>
      <c r="IYT7" s="1"/>
      <c r="IYU7" s="1"/>
      <c r="IYV7" s="1"/>
      <c r="IYW7" s="1"/>
      <c r="IYX7" s="1"/>
      <c r="IYY7" s="1"/>
      <c r="IYZ7" s="1"/>
      <c r="IZA7" s="1"/>
      <c r="IZB7" s="1"/>
      <c r="IZC7" s="1"/>
      <c r="IZD7" s="1"/>
      <c r="IZE7" s="1"/>
      <c r="IZF7" s="1"/>
      <c r="IZG7" s="1"/>
      <c r="IZH7" s="1"/>
      <c r="IZI7" s="1"/>
      <c r="IZJ7" s="1"/>
      <c r="IZK7" s="1"/>
      <c r="IZL7" s="1"/>
      <c r="IZM7" s="1"/>
      <c r="IZN7" s="1"/>
      <c r="IZO7" s="1"/>
      <c r="IZP7" s="1"/>
      <c r="IZQ7" s="1"/>
      <c r="IZR7" s="1"/>
      <c r="IZS7" s="1"/>
      <c r="IZT7" s="1"/>
      <c r="IZU7" s="1"/>
      <c r="IZV7" s="1"/>
      <c r="IZW7" s="1"/>
      <c r="IZX7" s="1"/>
      <c r="IZY7" s="1"/>
      <c r="IZZ7" s="1"/>
      <c r="JAA7" s="1"/>
      <c r="JAB7" s="1"/>
      <c r="JAC7" s="1"/>
      <c r="JAD7" s="1"/>
      <c r="JAE7" s="1"/>
      <c r="JAF7" s="1"/>
      <c r="JAG7" s="1"/>
      <c r="JAH7" s="1"/>
      <c r="JAI7" s="1"/>
      <c r="JAJ7" s="1"/>
      <c r="JAK7" s="1"/>
      <c r="JAL7" s="1"/>
      <c r="JAM7" s="1"/>
      <c r="JAN7" s="1"/>
      <c r="JAO7" s="1"/>
      <c r="JAP7" s="1"/>
      <c r="JAQ7" s="1"/>
      <c r="JAR7" s="1"/>
      <c r="JAS7" s="1"/>
      <c r="JAT7" s="1"/>
      <c r="JAU7" s="1"/>
      <c r="JAV7" s="1"/>
      <c r="JAW7" s="1"/>
      <c r="JAX7" s="1"/>
      <c r="JAY7" s="1"/>
      <c r="JAZ7" s="1"/>
      <c r="JBA7" s="1"/>
      <c r="JBB7" s="1"/>
      <c r="JBC7" s="1"/>
      <c r="JBD7" s="1"/>
      <c r="JBE7" s="1"/>
      <c r="JBF7" s="1"/>
      <c r="JBG7" s="1"/>
      <c r="JBH7" s="1"/>
      <c r="JBI7" s="1"/>
      <c r="JBJ7" s="1"/>
      <c r="JBK7" s="1"/>
      <c r="JBL7" s="1"/>
      <c r="JBM7" s="1"/>
      <c r="JBN7" s="1"/>
      <c r="JBO7" s="1"/>
      <c r="JBP7" s="1"/>
      <c r="JBQ7" s="1"/>
      <c r="JBR7" s="1"/>
      <c r="JBS7" s="1"/>
      <c r="JBT7" s="1"/>
      <c r="JBU7" s="1"/>
      <c r="JBV7" s="1"/>
      <c r="JBW7" s="1"/>
      <c r="JBX7" s="1"/>
      <c r="JBY7" s="1"/>
      <c r="JBZ7" s="1"/>
      <c r="JCA7" s="1"/>
      <c r="JCB7" s="1"/>
      <c r="JCC7" s="1"/>
      <c r="JCD7" s="1"/>
      <c r="JCE7" s="1"/>
      <c r="JCF7" s="1"/>
      <c r="JCG7" s="1"/>
      <c r="JCH7" s="1"/>
      <c r="JCI7" s="1"/>
      <c r="JCJ7" s="1"/>
      <c r="JCK7" s="1"/>
      <c r="JCL7" s="1"/>
      <c r="JCM7" s="1"/>
      <c r="JCN7" s="1"/>
      <c r="JCO7" s="1"/>
      <c r="JCP7" s="1"/>
      <c r="JCQ7" s="1"/>
      <c r="JCR7" s="1"/>
      <c r="JCS7" s="1"/>
      <c r="JCT7" s="1"/>
      <c r="JCU7" s="1"/>
      <c r="JCV7" s="1"/>
      <c r="JCW7" s="1"/>
      <c r="JCX7" s="1"/>
      <c r="JCY7" s="1"/>
      <c r="JCZ7" s="1"/>
      <c r="JDA7" s="1"/>
      <c r="JDB7" s="1"/>
      <c r="JDC7" s="1"/>
      <c r="JDD7" s="1"/>
      <c r="JDE7" s="1"/>
      <c r="JDF7" s="1"/>
      <c r="JDG7" s="1"/>
      <c r="JDH7" s="1"/>
      <c r="JDI7" s="1"/>
      <c r="JDJ7" s="1"/>
      <c r="JDK7" s="1"/>
      <c r="JDL7" s="1"/>
      <c r="JDM7" s="1"/>
      <c r="JDN7" s="1"/>
      <c r="JDO7" s="1"/>
      <c r="JDP7" s="1"/>
      <c r="JDQ7" s="1"/>
      <c r="JDR7" s="1"/>
      <c r="JDS7" s="1"/>
      <c r="JDT7" s="1"/>
      <c r="JDU7" s="1"/>
      <c r="JDV7" s="1"/>
      <c r="JDW7" s="1"/>
      <c r="JDX7" s="1"/>
      <c r="JDY7" s="1"/>
      <c r="JDZ7" s="1"/>
      <c r="JEA7" s="1"/>
      <c r="JEB7" s="1"/>
      <c r="JEC7" s="1"/>
      <c r="JED7" s="1"/>
      <c r="JEE7" s="1"/>
      <c r="JEF7" s="1"/>
      <c r="JEG7" s="1"/>
      <c r="JEH7" s="1"/>
      <c r="JEI7" s="1"/>
      <c r="JEJ7" s="1"/>
      <c r="JEK7" s="1"/>
      <c r="JEL7" s="1"/>
      <c r="JEM7" s="1"/>
      <c r="JEN7" s="1"/>
      <c r="JEO7" s="1"/>
      <c r="JEP7" s="1"/>
      <c r="JEQ7" s="1"/>
      <c r="JER7" s="1"/>
      <c r="JES7" s="1"/>
      <c r="JET7" s="1"/>
      <c r="JEU7" s="1"/>
      <c r="JEV7" s="1"/>
      <c r="JEW7" s="1"/>
      <c r="JEX7" s="1"/>
      <c r="JEY7" s="1"/>
      <c r="JEZ7" s="1"/>
      <c r="JFA7" s="1"/>
      <c r="JFB7" s="1"/>
      <c r="JFC7" s="1"/>
      <c r="JFD7" s="1"/>
      <c r="JFE7" s="1"/>
      <c r="JFF7" s="1"/>
      <c r="JFG7" s="1"/>
      <c r="JFH7" s="1"/>
      <c r="JFI7" s="1"/>
      <c r="JFJ7" s="1"/>
      <c r="JFK7" s="1"/>
      <c r="JFL7" s="1"/>
      <c r="JFM7" s="1"/>
      <c r="JFN7" s="1"/>
      <c r="JFO7" s="1"/>
      <c r="JFP7" s="1"/>
      <c r="JFQ7" s="1"/>
      <c r="JFR7" s="1"/>
      <c r="JFS7" s="1"/>
      <c r="JFT7" s="1"/>
      <c r="JFU7" s="1"/>
      <c r="JFV7" s="1"/>
      <c r="JFW7" s="1"/>
      <c r="JFX7" s="1"/>
      <c r="JFY7" s="1"/>
      <c r="JFZ7" s="1"/>
      <c r="JGA7" s="1"/>
      <c r="JGB7" s="1"/>
      <c r="JGC7" s="1"/>
      <c r="JGD7" s="1"/>
      <c r="JGE7" s="1"/>
      <c r="JGF7" s="1"/>
      <c r="JGG7" s="1"/>
      <c r="JGH7" s="1"/>
      <c r="JGI7" s="1"/>
      <c r="JGJ7" s="1"/>
      <c r="JGK7" s="1"/>
      <c r="JGL7" s="1"/>
      <c r="JGM7" s="1"/>
      <c r="JGN7" s="1"/>
      <c r="JGO7" s="1"/>
      <c r="JGP7" s="1"/>
      <c r="JGQ7" s="1"/>
      <c r="JGR7" s="1"/>
      <c r="JGS7" s="1"/>
      <c r="JGT7" s="1"/>
      <c r="JGU7" s="1"/>
      <c r="JGV7" s="1"/>
      <c r="JGW7" s="1"/>
      <c r="JGX7" s="1"/>
      <c r="JGY7" s="1"/>
      <c r="JGZ7" s="1"/>
      <c r="JHA7" s="1"/>
      <c r="JHB7" s="1"/>
      <c r="JHC7" s="1"/>
      <c r="JHD7" s="1"/>
      <c r="JHE7" s="1"/>
      <c r="JHF7" s="1"/>
      <c r="JHG7" s="1"/>
      <c r="JHH7" s="1"/>
      <c r="JHI7" s="1"/>
      <c r="JHJ7" s="1"/>
      <c r="JHK7" s="1"/>
      <c r="JHL7" s="1"/>
      <c r="JHM7" s="1"/>
      <c r="JHN7" s="1"/>
      <c r="JHO7" s="1"/>
      <c r="JHP7" s="1"/>
      <c r="JHQ7" s="1"/>
      <c r="JHR7" s="1"/>
      <c r="JHS7" s="1"/>
      <c r="JHT7" s="1"/>
      <c r="JHU7" s="1"/>
      <c r="JHV7" s="1"/>
      <c r="JHW7" s="1"/>
      <c r="JHX7" s="1"/>
      <c r="JHY7" s="1"/>
      <c r="JHZ7" s="1"/>
      <c r="JIA7" s="1"/>
      <c r="JIB7" s="1"/>
      <c r="JIC7" s="1"/>
      <c r="JID7" s="1"/>
      <c r="JIE7" s="1"/>
      <c r="JIF7" s="1"/>
      <c r="JIG7" s="1"/>
      <c r="JIH7" s="1"/>
      <c r="JII7" s="1"/>
      <c r="JIJ7" s="1"/>
      <c r="JIK7" s="1"/>
      <c r="JIL7" s="1"/>
      <c r="JIM7" s="1"/>
      <c r="JIN7" s="1"/>
      <c r="JIO7" s="1"/>
      <c r="JIP7" s="1"/>
      <c r="JIQ7" s="1"/>
      <c r="JIR7" s="1"/>
      <c r="JIS7" s="1"/>
      <c r="JIT7" s="1"/>
      <c r="JIU7" s="1"/>
      <c r="JIV7" s="1"/>
      <c r="JIW7" s="1"/>
      <c r="JIX7" s="1"/>
      <c r="JIY7" s="1"/>
      <c r="JIZ7" s="1"/>
      <c r="JJA7" s="1"/>
      <c r="JJB7" s="1"/>
      <c r="JJC7" s="1"/>
      <c r="JJD7" s="1"/>
      <c r="JJE7" s="1"/>
      <c r="JJF7" s="1"/>
      <c r="JJG7" s="1"/>
      <c r="JJH7" s="1"/>
      <c r="JJI7" s="1"/>
      <c r="JJJ7" s="1"/>
      <c r="JJK7" s="1"/>
      <c r="JJL7" s="1"/>
      <c r="JJM7" s="1"/>
      <c r="JJN7" s="1"/>
      <c r="JJO7" s="1"/>
      <c r="JJP7" s="1"/>
      <c r="JJQ7" s="1"/>
      <c r="JJR7" s="1"/>
      <c r="JJS7" s="1"/>
      <c r="JJT7" s="1"/>
      <c r="JJU7" s="1"/>
      <c r="JJV7" s="1"/>
      <c r="JJW7" s="1"/>
      <c r="JJX7" s="1"/>
      <c r="JJY7" s="1"/>
      <c r="JJZ7" s="1"/>
      <c r="JKA7" s="1"/>
      <c r="JKB7" s="1"/>
      <c r="JKC7" s="1"/>
      <c r="JKD7" s="1"/>
      <c r="JKE7" s="1"/>
      <c r="JKF7" s="1"/>
      <c r="JKG7" s="1"/>
      <c r="JKH7" s="1"/>
      <c r="JKI7" s="1"/>
      <c r="JKJ7" s="1"/>
      <c r="JKK7" s="1"/>
      <c r="JKL7" s="1"/>
      <c r="JKM7" s="1"/>
      <c r="JKN7" s="1"/>
      <c r="JKO7" s="1"/>
      <c r="JKP7" s="1"/>
      <c r="JKQ7" s="1"/>
      <c r="JKR7" s="1"/>
      <c r="JKS7" s="1"/>
      <c r="JKT7" s="1"/>
      <c r="JKU7" s="1"/>
      <c r="JKV7" s="1"/>
      <c r="JKW7" s="1"/>
      <c r="JKX7" s="1"/>
      <c r="JKY7" s="1"/>
      <c r="JKZ7" s="1"/>
      <c r="JLA7" s="1"/>
      <c r="JLB7" s="1"/>
      <c r="JLC7" s="1"/>
      <c r="JLD7" s="1"/>
      <c r="JLE7" s="1"/>
      <c r="JLF7" s="1"/>
      <c r="JLG7" s="1"/>
      <c r="JLH7" s="1"/>
      <c r="JLI7" s="1"/>
      <c r="JLJ7" s="1"/>
      <c r="JLK7" s="1"/>
      <c r="JLL7" s="1"/>
      <c r="JLM7" s="1"/>
      <c r="JLN7" s="1"/>
      <c r="JLO7" s="1"/>
      <c r="JLP7" s="1"/>
      <c r="JLQ7" s="1"/>
      <c r="JLR7" s="1"/>
      <c r="JLS7" s="1"/>
      <c r="JLT7" s="1"/>
      <c r="JLU7" s="1"/>
      <c r="JLV7" s="1"/>
      <c r="JLW7" s="1"/>
      <c r="JLX7" s="1"/>
      <c r="JLY7" s="1"/>
      <c r="JLZ7" s="1"/>
      <c r="JMA7" s="1"/>
      <c r="JMB7" s="1"/>
      <c r="JMC7" s="1"/>
      <c r="JMD7" s="1"/>
      <c r="JME7" s="1"/>
      <c r="JMF7" s="1"/>
      <c r="JMG7" s="1"/>
      <c r="JMH7" s="1"/>
      <c r="JMI7" s="1"/>
      <c r="JMJ7" s="1"/>
      <c r="JMK7" s="1"/>
      <c r="JML7" s="1"/>
      <c r="JMM7" s="1"/>
      <c r="JMN7" s="1"/>
      <c r="JMO7" s="1"/>
      <c r="JMP7" s="1"/>
      <c r="JMQ7" s="1"/>
      <c r="JMR7" s="1"/>
      <c r="JMS7" s="1"/>
      <c r="JMT7" s="1"/>
      <c r="JMU7" s="1"/>
      <c r="JMV7" s="1"/>
      <c r="JMW7" s="1"/>
      <c r="JMX7" s="1"/>
      <c r="JMY7" s="1"/>
      <c r="JMZ7" s="1"/>
      <c r="JNA7" s="1"/>
      <c r="JNB7" s="1"/>
      <c r="JNC7" s="1"/>
      <c r="JND7" s="1"/>
      <c r="JNE7" s="1"/>
      <c r="JNF7" s="1"/>
      <c r="JNG7" s="1"/>
      <c r="JNH7" s="1"/>
      <c r="JNI7" s="1"/>
      <c r="JNJ7" s="1"/>
      <c r="JNK7" s="1"/>
      <c r="JNL7" s="1"/>
      <c r="JNM7" s="1"/>
      <c r="JNN7" s="1"/>
      <c r="JNO7" s="1"/>
      <c r="JNP7" s="1"/>
      <c r="JNQ7" s="1"/>
      <c r="JNR7" s="1"/>
      <c r="JNS7" s="1"/>
      <c r="JNT7" s="1"/>
      <c r="JNU7" s="1"/>
      <c r="JNV7" s="1"/>
      <c r="JNW7" s="1"/>
      <c r="JNX7" s="1"/>
      <c r="JNY7" s="1"/>
      <c r="JNZ7" s="1"/>
      <c r="JOA7" s="1"/>
      <c r="JOB7" s="1"/>
      <c r="JOC7" s="1"/>
      <c r="JOD7" s="1"/>
      <c r="JOE7" s="1"/>
      <c r="JOF7" s="1"/>
      <c r="JOG7" s="1"/>
      <c r="JOH7" s="1"/>
      <c r="JOI7" s="1"/>
      <c r="JOJ7" s="1"/>
      <c r="JOK7" s="1"/>
      <c r="JOL7" s="1"/>
      <c r="JOM7" s="1"/>
      <c r="JON7" s="1"/>
      <c r="JOO7" s="1"/>
      <c r="JOP7" s="1"/>
      <c r="JOQ7" s="1"/>
      <c r="JOR7" s="1"/>
      <c r="JOS7" s="1"/>
      <c r="JOT7" s="1"/>
      <c r="JOU7" s="1"/>
      <c r="JOV7" s="1"/>
      <c r="JOW7" s="1"/>
      <c r="JOX7" s="1"/>
      <c r="JOY7" s="1"/>
      <c r="JOZ7" s="1"/>
      <c r="JPA7" s="1"/>
      <c r="JPB7" s="1"/>
      <c r="JPC7" s="1"/>
      <c r="JPD7" s="1"/>
      <c r="JPE7" s="1"/>
      <c r="JPF7" s="1"/>
      <c r="JPG7" s="1"/>
      <c r="JPH7" s="1"/>
      <c r="JPI7" s="1"/>
      <c r="JPJ7" s="1"/>
      <c r="JPK7" s="1"/>
      <c r="JPL7" s="1"/>
      <c r="JPM7" s="1"/>
      <c r="JPN7" s="1"/>
      <c r="JPO7" s="1"/>
      <c r="JPP7" s="1"/>
      <c r="JPQ7" s="1"/>
      <c r="JPR7" s="1"/>
      <c r="JPS7" s="1"/>
      <c r="JPT7" s="1"/>
      <c r="JPU7" s="1"/>
      <c r="JPV7" s="1"/>
      <c r="JPW7" s="1"/>
      <c r="JPX7" s="1"/>
      <c r="JPY7" s="1"/>
      <c r="JPZ7" s="1"/>
      <c r="JQA7" s="1"/>
      <c r="JQB7" s="1"/>
      <c r="JQC7" s="1"/>
      <c r="JQD7" s="1"/>
      <c r="JQE7" s="1"/>
      <c r="JQF7" s="1"/>
      <c r="JQG7" s="1"/>
      <c r="JQH7" s="1"/>
      <c r="JQI7" s="1"/>
      <c r="JQJ7" s="1"/>
      <c r="JQK7" s="1"/>
      <c r="JQL7" s="1"/>
      <c r="JQM7" s="1"/>
      <c r="JQN7" s="1"/>
      <c r="JQO7" s="1"/>
      <c r="JQP7" s="1"/>
      <c r="JQQ7" s="1"/>
      <c r="JQR7" s="1"/>
      <c r="JQS7" s="1"/>
      <c r="JQT7" s="1"/>
      <c r="JQU7" s="1"/>
      <c r="JQV7" s="1"/>
      <c r="JQW7" s="1"/>
      <c r="JQX7" s="1"/>
      <c r="JQY7" s="1"/>
      <c r="JQZ7" s="1"/>
      <c r="JRA7" s="1"/>
      <c r="JRB7" s="1"/>
      <c r="JRC7" s="1"/>
      <c r="JRD7" s="1"/>
      <c r="JRE7" s="1"/>
      <c r="JRF7" s="1"/>
      <c r="JRG7" s="1"/>
      <c r="JRH7" s="1"/>
      <c r="JRI7" s="1"/>
      <c r="JRJ7" s="1"/>
      <c r="JRK7" s="1"/>
      <c r="JRL7" s="1"/>
      <c r="JRM7" s="1"/>
      <c r="JRN7" s="1"/>
      <c r="JRO7" s="1"/>
      <c r="JRP7" s="1"/>
      <c r="JRQ7" s="1"/>
      <c r="JRR7" s="1"/>
      <c r="JRS7" s="1"/>
      <c r="JRT7" s="1"/>
      <c r="JRU7" s="1"/>
      <c r="JRV7" s="1"/>
      <c r="JRW7" s="1"/>
      <c r="JRX7" s="1"/>
      <c r="JRY7" s="1"/>
      <c r="JRZ7" s="1"/>
      <c r="JSA7" s="1"/>
      <c r="JSB7" s="1"/>
      <c r="JSC7" s="1"/>
      <c r="JSD7" s="1"/>
      <c r="JSE7" s="1"/>
      <c r="JSF7" s="1"/>
      <c r="JSG7" s="1"/>
      <c r="JSH7" s="1"/>
      <c r="JSI7" s="1"/>
      <c r="JSJ7" s="1"/>
      <c r="JSK7" s="1"/>
      <c r="JSL7" s="1"/>
      <c r="JSM7" s="1"/>
      <c r="JSN7" s="1"/>
      <c r="JSO7" s="1"/>
      <c r="JSP7" s="1"/>
      <c r="JSQ7" s="1"/>
      <c r="JSR7" s="1"/>
      <c r="JSS7" s="1"/>
      <c r="JST7" s="1"/>
      <c r="JSU7" s="1"/>
      <c r="JSV7" s="1"/>
      <c r="JSW7" s="1"/>
      <c r="JSX7" s="1"/>
      <c r="JSY7" s="1"/>
      <c r="JSZ7" s="1"/>
      <c r="JTA7" s="1"/>
      <c r="JTB7" s="1"/>
      <c r="JTC7" s="1"/>
      <c r="JTD7" s="1"/>
      <c r="JTE7" s="1"/>
      <c r="JTF7" s="1"/>
      <c r="JTG7" s="1"/>
      <c r="JTH7" s="1"/>
      <c r="JTI7" s="1"/>
      <c r="JTJ7" s="1"/>
      <c r="JTK7" s="1"/>
      <c r="JTL7" s="1"/>
      <c r="JTM7" s="1"/>
      <c r="JTN7" s="1"/>
      <c r="JTO7" s="1"/>
      <c r="JTP7" s="1"/>
      <c r="JTQ7" s="1"/>
      <c r="JTR7" s="1"/>
      <c r="JTS7" s="1"/>
      <c r="JTT7" s="1"/>
      <c r="JTU7" s="1"/>
      <c r="JTV7" s="1"/>
      <c r="JTW7" s="1"/>
      <c r="JTX7" s="1"/>
      <c r="JTY7" s="1"/>
      <c r="JTZ7" s="1"/>
      <c r="JUA7" s="1"/>
      <c r="JUB7" s="1"/>
      <c r="JUC7" s="1"/>
      <c r="JUD7" s="1"/>
      <c r="JUE7" s="1"/>
      <c r="JUF7" s="1"/>
      <c r="JUG7" s="1"/>
      <c r="JUH7" s="1"/>
      <c r="JUI7" s="1"/>
      <c r="JUJ7" s="1"/>
      <c r="JUK7" s="1"/>
      <c r="JUL7" s="1"/>
      <c r="JUM7" s="1"/>
      <c r="JUN7" s="1"/>
      <c r="JUO7" s="1"/>
      <c r="JUP7" s="1"/>
      <c r="JUQ7" s="1"/>
      <c r="JUR7" s="1"/>
      <c r="JUS7" s="1"/>
      <c r="JUT7" s="1"/>
      <c r="JUU7" s="1"/>
      <c r="JUV7" s="1"/>
      <c r="JUW7" s="1"/>
      <c r="JUX7" s="1"/>
      <c r="JUY7" s="1"/>
      <c r="JUZ7" s="1"/>
      <c r="JVA7" s="1"/>
      <c r="JVB7" s="1"/>
      <c r="JVC7" s="1"/>
      <c r="JVD7" s="1"/>
      <c r="JVE7" s="1"/>
      <c r="JVF7" s="1"/>
      <c r="JVG7" s="1"/>
      <c r="JVH7" s="1"/>
      <c r="JVI7" s="1"/>
      <c r="JVJ7" s="1"/>
      <c r="JVK7" s="1"/>
      <c r="JVL7" s="1"/>
      <c r="JVM7" s="1"/>
      <c r="JVN7" s="1"/>
      <c r="JVO7" s="1"/>
      <c r="JVP7" s="1"/>
      <c r="JVQ7" s="1"/>
      <c r="JVR7" s="1"/>
      <c r="JVS7" s="1"/>
      <c r="JVT7" s="1"/>
      <c r="JVU7" s="1"/>
      <c r="JVV7" s="1"/>
      <c r="JVW7" s="1"/>
      <c r="JVX7" s="1"/>
      <c r="JVY7" s="1"/>
      <c r="JVZ7" s="1"/>
      <c r="JWA7" s="1"/>
      <c r="JWB7" s="1"/>
      <c r="JWC7" s="1"/>
      <c r="JWD7" s="1"/>
      <c r="JWE7" s="1"/>
      <c r="JWF7" s="1"/>
      <c r="JWG7" s="1"/>
      <c r="JWH7" s="1"/>
      <c r="JWI7" s="1"/>
      <c r="JWJ7" s="1"/>
      <c r="JWK7" s="1"/>
      <c r="JWL7" s="1"/>
      <c r="JWM7" s="1"/>
      <c r="JWN7" s="1"/>
      <c r="JWO7" s="1"/>
      <c r="JWP7" s="1"/>
      <c r="JWQ7" s="1"/>
      <c r="JWR7" s="1"/>
      <c r="JWS7" s="1"/>
      <c r="JWT7" s="1"/>
      <c r="JWU7" s="1"/>
      <c r="JWV7" s="1"/>
      <c r="JWW7" s="1"/>
      <c r="JWX7" s="1"/>
      <c r="JWY7" s="1"/>
      <c r="JWZ7" s="1"/>
      <c r="JXA7" s="1"/>
      <c r="JXB7" s="1"/>
      <c r="JXC7" s="1"/>
      <c r="JXD7" s="1"/>
      <c r="JXE7" s="1"/>
      <c r="JXF7" s="1"/>
      <c r="JXG7" s="1"/>
      <c r="JXH7" s="1"/>
      <c r="JXI7" s="1"/>
      <c r="JXJ7" s="1"/>
      <c r="JXK7" s="1"/>
      <c r="JXL7" s="1"/>
      <c r="JXM7" s="1"/>
      <c r="JXN7" s="1"/>
      <c r="JXO7" s="1"/>
      <c r="JXP7" s="1"/>
      <c r="JXQ7" s="1"/>
      <c r="JXR7" s="1"/>
      <c r="JXS7" s="1"/>
      <c r="JXT7" s="1"/>
      <c r="JXU7" s="1"/>
      <c r="JXV7" s="1"/>
      <c r="JXW7" s="1"/>
      <c r="JXX7" s="1"/>
      <c r="JXY7" s="1"/>
      <c r="JXZ7" s="1"/>
      <c r="JYA7" s="1"/>
      <c r="JYB7" s="1"/>
      <c r="JYC7" s="1"/>
      <c r="JYD7" s="1"/>
      <c r="JYE7" s="1"/>
      <c r="JYF7" s="1"/>
      <c r="JYG7" s="1"/>
      <c r="JYH7" s="1"/>
      <c r="JYI7" s="1"/>
      <c r="JYJ7" s="1"/>
      <c r="JYK7" s="1"/>
      <c r="JYL7" s="1"/>
      <c r="JYM7" s="1"/>
      <c r="JYN7" s="1"/>
      <c r="JYO7" s="1"/>
      <c r="JYP7" s="1"/>
      <c r="JYQ7" s="1"/>
      <c r="JYR7" s="1"/>
      <c r="JYS7" s="1"/>
      <c r="JYT7" s="1"/>
      <c r="JYU7" s="1"/>
      <c r="JYV7" s="1"/>
      <c r="JYW7" s="1"/>
      <c r="JYX7" s="1"/>
      <c r="JYY7" s="1"/>
      <c r="JYZ7" s="1"/>
      <c r="JZA7" s="1"/>
      <c r="JZB7" s="1"/>
      <c r="JZC7" s="1"/>
      <c r="JZD7" s="1"/>
      <c r="JZE7" s="1"/>
      <c r="JZF7" s="1"/>
      <c r="JZG7" s="1"/>
      <c r="JZH7" s="1"/>
      <c r="JZI7" s="1"/>
      <c r="JZJ7" s="1"/>
      <c r="JZK7" s="1"/>
      <c r="JZL7" s="1"/>
      <c r="JZM7" s="1"/>
      <c r="JZN7" s="1"/>
      <c r="JZO7" s="1"/>
      <c r="JZP7" s="1"/>
      <c r="JZQ7" s="1"/>
      <c r="JZR7" s="1"/>
      <c r="JZS7" s="1"/>
      <c r="JZT7" s="1"/>
      <c r="JZU7" s="1"/>
      <c r="JZV7" s="1"/>
      <c r="JZW7" s="1"/>
      <c r="JZX7" s="1"/>
      <c r="JZY7" s="1"/>
      <c r="JZZ7" s="1"/>
      <c r="KAA7" s="1"/>
      <c r="KAB7" s="1"/>
      <c r="KAC7" s="1"/>
      <c r="KAD7" s="1"/>
      <c r="KAE7" s="1"/>
      <c r="KAF7" s="1"/>
      <c r="KAG7" s="1"/>
      <c r="KAH7" s="1"/>
      <c r="KAI7" s="1"/>
      <c r="KAJ7" s="1"/>
      <c r="KAK7" s="1"/>
      <c r="KAL7" s="1"/>
      <c r="KAM7" s="1"/>
      <c r="KAN7" s="1"/>
      <c r="KAO7" s="1"/>
      <c r="KAP7" s="1"/>
      <c r="KAQ7" s="1"/>
      <c r="KAR7" s="1"/>
      <c r="KAS7" s="1"/>
      <c r="KAT7" s="1"/>
      <c r="KAU7" s="1"/>
      <c r="KAV7" s="1"/>
      <c r="KAW7" s="1"/>
      <c r="KAX7" s="1"/>
      <c r="KAY7" s="1"/>
      <c r="KAZ7" s="1"/>
      <c r="KBA7" s="1"/>
      <c r="KBB7" s="1"/>
      <c r="KBC7" s="1"/>
      <c r="KBD7" s="1"/>
      <c r="KBE7" s="1"/>
      <c r="KBF7" s="1"/>
      <c r="KBG7" s="1"/>
      <c r="KBH7" s="1"/>
      <c r="KBI7" s="1"/>
      <c r="KBJ7" s="1"/>
      <c r="KBK7" s="1"/>
      <c r="KBL7" s="1"/>
      <c r="KBM7" s="1"/>
      <c r="KBN7" s="1"/>
      <c r="KBO7" s="1"/>
      <c r="KBP7" s="1"/>
      <c r="KBQ7" s="1"/>
      <c r="KBR7" s="1"/>
      <c r="KBS7" s="1"/>
      <c r="KBT7" s="1"/>
      <c r="KBU7" s="1"/>
      <c r="KBV7" s="1"/>
      <c r="KBW7" s="1"/>
      <c r="KBX7" s="1"/>
      <c r="KBY7" s="1"/>
      <c r="KBZ7" s="1"/>
      <c r="KCA7" s="1"/>
      <c r="KCB7" s="1"/>
      <c r="KCC7" s="1"/>
      <c r="KCD7" s="1"/>
      <c r="KCE7" s="1"/>
      <c r="KCF7" s="1"/>
      <c r="KCG7" s="1"/>
      <c r="KCH7" s="1"/>
      <c r="KCI7" s="1"/>
      <c r="KCJ7" s="1"/>
      <c r="KCK7" s="1"/>
      <c r="KCL7" s="1"/>
      <c r="KCM7" s="1"/>
      <c r="KCN7" s="1"/>
      <c r="KCO7" s="1"/>
      <c r="KCP7" s="1"/>
      <c r="KCQ7" s="1"/>
      <c r="KCR7" s="1"/>
      <c r="KCS7" s="1"/>
      <c r="KCT7" s="1"/>
      <c r="KCU7" s="1"/>
      <c r="KCV7" s="1"/>
      <c r="KCW7" s="1"/>
      <c r="KCX7" s="1"/>
      <c r="KCY7" s="1"/>
      <c r="KCZ7" s="1"/>
      <c r="KDA7" s="1"/>
      <c r="KDB7" s="1"/>
      <c r="KDC7" s="1"/>
      <c r="KDD7" s="1"/>
      <c r="KDE7" s="1"/>
      <c r="KDF7" s="1"/>
      <c r="KDG7" s="1"/>
      <c r="KDH7" s="1"/>
      <c r="KDI7" s="1"/>
      <c r="KDJ7" s="1"/>
      <c r="KDK7" s="1"/>
      <c r="KDL7" s="1"/>
      <c r="KDM7" s="1"/>
      <c r="KDN7" s="1"/>
      <c r="KDO7" s="1"/>
      <c r="KDP7" s="1"/>
      <c r="KDQ7" s="1"/>
      <c r="KDR7" s="1"/>
      <c r="KDS7" s="1"/>
      <c r="KDT7" s="1"/>
      <c r="KDU7" s="1"/>
      <c r="KDV7" s="1"/>
      <c r="KDW7" s="1"/>
      <c r="KDX7" s="1"/>
      <c r="KDY7" s="1"/>
      <c r="KDZ7" s="1"/>
      <c r="KEA7" s="1"/>
      <c r="KEB7" s="1"/>
      <c r="KEC7" s="1"/>
      <c r="KED7" s="1"/>
      <c r="KEE7" s="1"/>
      <c r="KEF7" s="1"/>
      <c r="KEG7" s="1"/>
      <c r="KEH7" s="1"/>
      <c r="KEI7" s="1"/>
      <c r="KEJ7" s="1"/>
      <c r="KEK7" s="1"/>
      <c r="KEL7" s="1"/>
      <c r="KEM7" s="1"/>
      <c r="KEN7" s="1"/>
      <c r="KEO7" s="1"/>
      <c r="KEP7" s="1"/>
      <c r="KEQ7" s="1"/>
      <c r="KER7" s="1"/>
      <c r="KES7" s="1"/>
      <c r="KET7" s="1"/>
      <c r="KEU7" s="1"/>
      <c r="KEV7" s="1"/>
      <c r="KEW7" s="1"/>
      <c r="KEX7" s="1"/>
      <c r="KEY7" s="1"/>
      <c r="KEZ7" s="1"/>
      <c r="KFA7" s="1"/>
      <c r="KFB7" s="1"/>
      <c r="KFC7" s="1"/>
      <c r="KFD7" s="1"/>
      <c r="KFE7" s="1"/>
      <c r="KFF7" s="1"/>
      <c r="KFG7" s="1"/>
      <c r="KFH7" s="1"/>
      <c r="KFI7" s="1"/>
      <c r="KFJ7" s="1"/>
      <c r="KFK7" s="1"/>
      <c r="KFL7" s="1"/>
      <c r="KFM7" s="1"/>
      <c r="KFN7" s="1"/>
      <c r="KFO7" s="1"/>
      <c r="KFP7" s="1"/>
      <c r="KFQ7" s="1"/>
      <c r="KFR7" s="1"/>
      <c r="KFS7" s="1"/>
      <c r="KFT7" s="1"/>
      <c r="KFU7" s="1"/>
      <c r="KFV7" s="1"/>
      <c r="KFW7" s="1"/>
      <c r="KFX7" s="1"/>
      <c r="KFY7" s="1"/>
      <c r="KFZ7" s="1"/>
      <c r="KGA7" s="1"/>
      <c r="KGB7" s="1"/>
      <c r="KGC7" s="1"/>
      <c r="KGD7" s="1"/>
      <c r="KGE7" s="1"/>
      <c r="KGF7" s="1"/>
      <c r="KGG7" s="1"/>
      <c r="KGH7" s="1"/>
      <c r="KGI7" s="1"/>
      <c r="KGJ7" s="1"/>
      <c r="KGK7" s="1"/>
      <c r="KGL7" s="1"/>
      <c r="KGM7" s="1"/>
      <c r="KGN7" s="1"/>
      <c r="KGO7" s="1"/>
      <c r="KGP7" s="1"/>
      <c r="KGQ7" s="1"/>
      <c r="KGR7" s="1"/>
      <c r="KGS7" s="1"/>
      <c r="KGT7" s="1"/>
      <c r="KGU7" s="1"/>
      <c r="KGV7" s="1"/>
      <c r="KGW7" s="1"/>
      <c r="KGX7" s="1"/>
      <c r="KGY7" s="1"/>
      <c r="KGZ7" s="1"/>
      <c r="KHA7" s="1"/>
      <c r="KHB7" s="1"/>
      <c r="KHC7" s="1"/>
      <c r="KHD7" s="1"/>
      <c r="KHE7" s="1"/>
      <c r="KHF7" s="1"/>
      <c r="KHG7" s="1"/>
      <c r="KHH7" s="1"/>
      <c r="KHI7" s="1"/>
      <c r="KHJ7" s="1"/>
      <c r="KHK7" s="1"/>
      <c r="KHL7" s="1"/>
      <c r="KHM7" s="1"/>
      <c r="KHN7" s="1"/>
      <c r="KHO7" s="1"/>
      <c r="KHP7" s="1"/>
      <c r="KHQ7" s="1"/>
      <c r="KHR7" s="1"/>
      <c r="KHS7" s="1"/>
      <c r="KHT7" s="1"/>
      <c r="KHU7" s="1"/>
      <c r="KHV7" s="1"/>
      <c r="KHW7" s="1"/>
      <c r="KHX7" s="1"/>
      <c r="KHY7" s="1"/>
      <c r="KHZ7" s="1"/>
      <c r="KIA7" s="1"/>
      <c r="KIB7" s="1"/>
      <c r="KIC7" s="1"/>
      <c r="KID7" s="1"/>
      <c r="KIE7" s="1"/>
      <c r="KIF7" s="1"/>
      <c r="KIG7" s="1"/>
      <c r="KIH7" s="1"/>
      <c r="KII7" s="1"/>
      <c r="KIJ7" s="1"/>
      <c r="KIK7" s="1"/>
      <c r="KIL7" s="1"/>
      <c r="KIM7" s="1"/>
      <c r="KIN7" s="1"/>
      <c r="KIO7" s="1"/>
      <c r="KIP7" s="1"/>
      <c r="KIQ7" s="1"/>
      <c r="KIR7" s="1"/>
      <c r="KIS7" s="1"/>
      <c r="KIT7" s="1"/>
      <c r="KIU7" s="1"/>
      <c r="KIV7" s="1"/>
      <c r="KIW7" s="1"/>
      <c r="KIX7" s="1"/>
      <c r="KIY7" s="1"/>
      <c r="KIZ7" s="1"/>
      <c r="KJA7" s="1"/>
      <c r="KJB7" s="1"/>
      <c r="KJC7" s="1"/>
      <c r="KJD7" s="1"/>
      <c r="KJE7" s="1"/>
      <c r="KJF7" s="1"/>
      <c r="KJG7" s="1"/>
      <c r="KJH7" s="1"/>
      <c r="KJI7" s="1"/>
      <c r="KJJ7" s="1"/>
      <c r="KJK7" s="1"/>
      <c r="KJL7" s="1"/>
      <c r="KJM7" s="1"/>
      <c r="KJN7" s="1"/>
      <c r="KJO7" s="1"/>
      <c r="KJP7" s="1"/>
      <c r="KJQ7" s="1"/>
      <c r="KJR7" s="1"/>
      <c r="KJS7" s="1"/>
      <c r="KJT7" s="1"/>
      <c r="KJU7" s="1"/>
      <c r="KJV7" s="1"/>
      <c r="KJW7" s="1"/>
      <c r="KJX7" s="1"/>
      <c r="KJY7" s="1"/>
      <c r="KJZ7" s="1"/>
      <c r="KKA7" s="1"/>
      <c r="KKB7" s="1"/>
      <c r="KKC7" s="1"/>
      <c r="KKD7" s="1"/>
      <c r="KKE7" s="1"/>
      <c r="KKF7" s="1"/>
      <c r="KKG7" s="1"/>
      <c r="KKH7" s="1"/>
      <c r="KKI7" s="1"/>
      <c r="KKJ7" s="1"/>
      <c r="KKK7" s="1"/>
      <c r="KKL7" s="1"/>
      <c r="KKM7" s="1"/>
      <c r="KKN7" s="1"/>
      <c r="KKO7" s="1"/>
      <c r="KKP7" s="1"/>
      <c r="KKQ7" s="1"/>
      <c r="KKR7" s="1"/>
      <c r="KKS7" s="1"/>
      <c r="KKT7" s="1"/>
      <c r="KKU7" s="1"/>
      <c r="KKV7" s="1"/>
      <c r="KKW7" s="1"/>
      <c r="KKX7" s="1"/>
      <c r="KKY7" s="1"/>
      <c r="KKZ7" s="1"/>
      <c r="KLA7" s="1"/>
      <c r="KLB7" s="1"/>
      <c r="KLC7" s="1"/>
      <c r="KLD7" s="1"/>
      <c r="KLE7" s="1"/>
      <c r="KLF7" s="1"/>
      <c r="KLG7" s="1"/>
      <c r="KLH7" s="1"/>
      <c r="KLI7" s="1"/>
      <c r="KLJ7" s="1"/>
      <c r="KLK7" s="1"/>
      <c r="KLL7" s="1"/>
      <c r="KLM7" s="1"/>
      <c r="KLN7" s="1"/>
      <c r="KLO7" s="1"/>
      <c r="KLP7" s="1"/>
      <c r="KLQ7" s="1"/>
      <c r="KLR7" s="1"/>
      <c r="KLS7" s="1"/>
      <c r="KLT7" s="1"/>
      <c r="KLU7" s="1"/>
      <c r="KLV7" s="1"/>
      <c r="KLW7" s="1"/>
      <c r="KLX7" s="1"/>
      <c r="KLY7" s="1"/>
      <c r="KLZ7" s="1"/>
      <c r="KMA7" s="1"/>
      <c r="KMB7" s="1"/>
      <c r="KMC7" s="1"/>
      <c r="KMD7" s="1"/>
      <c r="KME7" s="1"/>
      <c r="KMF7" s="1"/>
      <c r="KMG7" s="1"/>
      <c r="KMH7" s="1"/>
      <c r="KMI7" s="1"/>
      <c r="KMJ7" s="1"/>
      <c r="KMK7" s="1"/>
      <c r="KML7" s="1"/>
      <c r="KMM7" s="1"/>
      <c r="KMN7" s="1"/>
      <c r="KMO7" s="1"/>
      <c r="KMP7" s="1"/>
      <c r="KMQ7" s="1"/>
      <c r="KMR7" s="1"/>
      <c r="KMS7" s="1"/>
      <c r="KMT7" s="1"/>
      <c r="KMU7" s="1"/>
      <c r="KMV7" s="1"/>
      <c r="KMW7" s="1"/>
      <c r="KMX7" s="1"/>
      <c r="KMY7" s="1"/>
      <c r="KMZ7" s="1"/>
      <c r="KNA7" s="1"/>
      <c r="KNB7" s="1"/>
      <c r="KNC7" s="1"/>
      <c r="KND7" s="1"/>
      <c r="KNE7" s="1"/>
      <c r="KNF7" s="1"/>
      <c r="KNG7" s="1"/>
      <c r="KNH7" s="1"/>
      <c r="KNI7" s="1"/>
      <c r="KNJ7" s="1"/>
      <c r="KNK7" s="1"/>
      <c r="KNL7" s="1"/>
      <c r="KNM7" s="1"/>
      <c r="KNN7" s="1"/>
      <c r="KNO7" s="1"/>
      <c r="KNP7" s="1"/>
      <c r="KNQ7" s="1"/>
      <c r="KNR7" s="1"/>
      <c r="KNS7" s="1"/>
      <c r="KNT7" s="1"/>
      <c r="KNU7" s="1"/>
      <c r="KNV7" s="1"/>
      <c r="KNW7" s="1"/>
      <c r="KNX7" s="1"/>
      <c r="KNY7" s="1"/>
      <c r="KNZ7" s="1"/>
      <c r="KOA7" s="1"/>
      <c r="KOB7" s="1"/>
      <c r="KOC7" s="1"/>
      <c r="KOD7" s="1"/>
      <c r="KOE7" s="1"/>
      <c r="KOF7" s="1"/>
      <c r="KOG7" s="1"/>
      <c r="KOH7" s="1"/>
      <c r="KOI7" s="1"/>
      <c r="KOJ7" s="1"/>
      <c r="KOK7" s="1"/>
      <c r="KOL7" s="1"/>
      <c r="KOM7" s="1"/>
      <c r="KON7" s="1"/>
      <c r="KOO7" s="1"/>
      <c r="KOP7" s="1"/>
      <c r="KOQ7" s="1"/>
      <c r="KOR7" s="1"/>
      <c r="KOS7" s="1"/>
      <c r="KOT7" s="1"/>
      <c r="KOU7" s="1"/>
      <c r="KOV7" s="1"/>
      <c r="KOW7" s="1"/>
      <c r="KOX7" s="1"/>
      <c r="KOY7" s="1"/>
      <c r="KOZ7" s="1"/>
      <c r="KPA7" s="1"/>
      <c r="KPB7" s="1"/>
      <c r="KPC7" s="1"/>
      <c r="KPD7" s="1"/>
      <c r="KPE7" s="1"/>
      <c r="KPF7" s="1"/>
      <c r="KPG7" s="1"/>
      <c r="KPH7" s="1"/>
      <c r="KPI7" s="1"/>
      <c r="KPJ7" s="1"/>
      <c r="KPK7" s="1"/>
      <c r="KPL7" s="1"/>
      <c r="KPM7" s="1"/>
      <c r="KPN7" s="1"/>
      <c r="KPO7" s="1"/>
      <c r="KPP7" s="1"/>
      <c r="KPQ7" s="1"/>
      <c r="KPR7" s="1"/>
      <c r="KPS7" s="1"/>
      <c r="KPT7" s="1"/>
      <c r="KPU7" s="1"/>
      <c r="KPV7" s="1"/>
      <c r="KPW7" s="1"/>
      <c r="KPX7" s="1"/>
      <c r="KPY7" s="1"/>
      <c r="KPZ7" s="1"/>
      <c r="KQA7" s="1"/>
      <c r="KQB7" s="1"/>
      <c r="KQC7" s="1"/>
      <c r="KQD7" s="1"/>
      <c r="KQE7" s="1"/>
      <c r="KQF7" s="1"/>
      <c r="KQG7" s="1"/>
      <c r="KQH7" s="1"/>
      <c r="KQI7" s="1"/>
      <c r="KQJ7" s="1"/>
      <c r="KQK7" s="1"/>
      <c r="KQL7" s="1"/>
      <c r="KQM7" s="1"/>
      <c r="KQN7" s="1"/>
      <c r="KQO7" s="1"/>
      <c r="KQP7" s="1"/>
      <c r="KQQ7" s="1"/>
      <c r="KQR7" s="1"/>
      <c r="KQS7" s="1"/>
      <c r="KQT7" s="1"/>
      <c r="KQU7" s="1"/>
      <c r="KQV7" s="1"/>
      <c r="KQW7" s="1"/>
      <c r="KQX7" s="1"/>
      <c r="KQY7" s="1"/>
      <c r="KQZ7" s="1"/>
      <c r="KRA7" s="1"/>
      <c r="KRB7" s="1"/>
      <c r="KRC7" s="1"/>
      <c r="KRD7" s="1"/>
      <c r="KRE7" s="1"/>
      <c r="KRF7" s="1"/>
      <c r="KRG7" s="1"/>
      <c r="KRH7" s="1"/>
      <c r="KRI7" s="1"/>
      <c r="KRJ7" s="1"/>
      <c r="KRK7" s="1"/>
      <c r="KRL7" s="1"/>
      <c r="KRM7" s="1"/>
      <c r="KRN7" s="1"/>
      <c r="KRO7" s="1"/>
      <c r="KRP7" s="1"/>
      <c r="KRQ7" s="1"/>
      <c r="KRR7" s="1"/>
      <c r="KRS7" s="1"/>
      <c r="KRT7" s="1"/>
      <c r="KRU7" s="1"/>
      <c r="KRV7" s="1"/>
      <c r="KRW7" s="1"/>
      <c r="KRX7" s="1"/>
      <c r="KRY7" s="1"/>
      <c r="KRZ7" s="1"/>
      <c r="KSA7" s="1"/>
      <c r="KSB7" s="1"/>
      <c r="KSC7" s="1"/>
      <c r="KSD7" s="1"/>
      <c r="KSE7" s="1"/>
      <c r="KSF7" s="1"/>
      <c r="KSG7" s="1"/>
      <c r="KSH7" s="1"/>
      <c r="KSI7" s="1"/>
      <c r="KSJ7" s="1"/>
      <c r="KSK7" s="1"/>
      <c r="KSL7" s="1"/>
      <c r="KSM7" s="1"/>
      <c r="KSN7" s="1"/>
      <c r="KSO7" s="1"/>
      <c r="KSP7" s="1"/>
      <c r="KSQ7" s="1"/>
      <c r="KSR7" s="1"/>
      <c r="KSS7" s="1"/>
      <c r="KST7" s="1"/>
      <c r="KSU7" s="1"/>
      <c r="KSV7" s="1"/>
      <c r="KSW7" s="1"/>
      <c r="KSX7" s="1"/>
      <c r="KSY7" s="1"/>
      <c r="KSZ7" s="1"/>
      <c r="KTA7" s="1"/>
      <c r="KTB7" s="1"/>
      <c r="KTC7" s="1"/>
      <c r="KTD7" s="1"/>
      <c r="KTE7" s="1"/>
      <c r="KTF7" s="1"/>
      <c r="KTG7" s="1"/>
      <c r="KTH7" s="1"/>
      <c r="KTI7" s="1"/>
      <c r="KTJ7" s="1"/>
      <c r="KTK7" s="1"/>
      <c r="KTL7" s="1"/>
      <c r="KTM7" s="1"/>
      <c r="KTN7" s="1"/>
      <c r="KTO7" s="1"/>
      <c r="KTP7" s="1"/>
      <c r="KTQ7" s="1"/>
      <c r="KTR7" s="1"/>
      <c r="KTS7" s="1"/>
      <c r="KTT7" s="1"/>
      <c r="KTU7" s="1"/>
      <c r="KTV7" s="1"/>
      <c r="KTW7" s="1"/>
      <c r="KTX7" s="1"/>
      <c r="KTY7" s="1"/>
      <c r="KTZ7" s="1"/>
      <c r="KUA7" s="1"/>
      <c r="KUB7" s="1"/>
      <c r="KUC7" s="1"/>
      <c r="KUD7" s="1"/>
      <c r="KUE7" s="1"/>
      <c r="KUF7" s="1"/>
      <c r="KUG7" s="1"/>
      <c r="KUH7" s="1"/>
      <c r="KUI7" s="1"/>
      <c r="KUJ7" s="1"/>
      <c r="KUK7" s="1"/>
      <c r="KUL7" s="1"/>
      <c r="KUM7" s="1"/>
      <c r="KUN7" s="1"/>
      <c r="KUO7" s="1"/>
      <c r="KUP7" s="1"/>
      <c r="KUQ7" s="1"/>
      <c r="KUR7" s="1"/>
      <c r="KUS7" s="1"/>
      <c r="KUT7" s="1"/>
      <c r="KUU7" s="1"/>
      <c r="KUV7" s="1"/>
      <c r="KUW7" s="1"/>
      <c r="KUX7" s="1"/>
      <c r="KUY7" s="1"/>
      <c r="KUZ7" s="1"/>
      <c r="KVA7" s="1"/>
      <c r="KVB7" s="1"/>
      <c r="KVC7" s="1"/>
      <c r="KVD7" s="1"/>
      <c r="KVE7" s="1"/>
      <c r="KVF7" s="1"/>
      <c r="KVG7" s="1"/>
      <c r="KVH7" s="1"/>
      <c r="KVI7" s="1"/>
      <c r="KVJ7" s="1"/>
      <c r="KVK7" s="1"/>
      <c r="KVL7" s="1"/>
      <c r="KVM7" s="1"/>
      <c r="KVN7" s="1"/>
      <c r="KVO7" s="1"/>
      <c r="KVP7" s="1"/>
      <c r="KVQ7" s="1"/>
      <c r="KVR7" s="1"/>
      <c r="KVS7" s="1"/>
      <c r="KVT7" s="1"/>
      <c r="KVU7" s="1"/>
      <c r="KVV7" s="1"/>
      <c r="KVW7" s="1"/>
      <c r="KVX7" s="1"/>
      <c r="KVY7" s="1"/>
      <c r="KVZ7" s="1"/>
      <c r="KWA7" s="1"/>
      <c r="KWB7" s="1"/>
      <c r="KWC7" s="1"/>
      <c r="KWD7" s="1"/>
      <c r="KWE7" s="1"/>
      <c r="KWF7" s="1"/>
      <c r="KWG7" s="1"/>
      <c r="KWH7" s="1"/>
      <c r="KWI7" s="1"/>
      <c r="KWJ7" s="1"/>
      <c r="KWK7" s="1"/>
      <c r="KWL7" s="1"/>
      <c r="KWM7" s="1"/>
      <c r="KWN7" s="1"/>
      <c r="KWO7" s="1"/>
      <c r="KWP7" s="1"/>
      <c r="KWQ7" s="1"/>
      <c r="KWR7" s="1"/>
      <c r="KWS7" s="1"/>
      <c r="KWT7" s="1"/>
      <c r="KWU7" s="1"/>
      <c r="KWV7" s="1"/>
      <c r="KWW7" s="1"/>
      <c r="KWX7" s="1"/>
      <c r="KWY7" s="1"/>
      <c r="KWZ7" s="1"/>
      <c r="KXA7" s="1"/>
      <c r="KXB7" s="1"/>
      <c r="KXC7" s="1"/>
      <c r="KXD7" s="1"/>
      <c r="KXE7" s="1"/>
      <c r="KXF7" s="1"/>
      <c r="KXG7" s="1"/>
      <c r="KXH7" s="1"/>
      <c r="KXI7" s="1"/>
      <c r="KXJ7" s="1"/>
      <c r="KXK7" s="1"/>
      <c r="KXL7" s="1"/>
      <c r="KXM7" s="1"/>
      <c r="KXN7" s="1"/>
      <c r="KXO7" s="1"/>
      <c r="KXP7" s="1"/>
      <c r="KXQ7" s="1"/>
      <c r="KXR7" s="1"/>
      <c r="KXS7" s="1"/>
      <c r="KXT7" s="1"/>
      <c r="KXU7" s="1"/>
      <c r="KXV7" s="1"/>
      <c r="KXW7" s="1"/>
      <c r="KXX7" s="1"/>
      <c r="KXY7" s="1"/>
      <c r="KXZ7" s="1"/>
      <c r="KYA7" s="1"/>
      <c r="KYB7" s="1"/>
      <c r="KYC7" s="1"/>
      <c r="KYD7" s="1"/>
      <c r="KYE7" s="1"/>
      <c r="KYF7" s="1"/>
      <c r="KYG7" s="1"/>
      <c r="KYH7" s="1"/>
      <c r="KYI7" s="1"/>
      <c r="KYJ7" s="1"/>
      <c r="KYK7" s="1"/>
      <c r="KYL7" s="1"/>
      <c r="KYM7" s="1"/>
      <c r="KYN7" s="1"/>
      <c r="KYO7" s="1"/>
      <c r="KYP7" s="1"/>
      <c r="KYQ7" s="1"/>
      <c r="KYR7" s="1"/>
      <c r="KYS7" s="1"/>
      <c r="KYT7" s="1"/>
      <c r="KYU7" s="1"/>
      <c r="KYV7" s="1"/>
      <c r="KYW7" s="1"/>
      <c r="KYX7" s="1"/>
      <c r="KYY7" s="1"/>
      <c r="KYZ7" s="1"/>
      <c r="KZA7" s="1"/>
      <c r="KZB7" s="1"/>
      <c r="KZC7" s="1"/>
      <c r="KZD7" s="1"/>
      <c r="KZE7" s="1"/>
      <c r="KZF7" s="1"/>
      <c r="KZG7" s="1"/>
      <c r="KZH7" s="1"/>
      <c r="KZI7" s="1"/>
      <c r="KZJ7" s="1"/>
      <c r="KZK7" s="1"/>
      <c r="KZL7" s="1"/>
      <c r="KZM7" s="1"/>
      <c r="KZN7" s="1"/>
      <c r="KZO7" s="1"/>
      <c r="KZP7" s="1"/>
      <c r="KZQ7" s="1"/>
      <c r="KZR7" s="1"/>
      <c r="KZS7" s="1"/>
      <c r="KZT7" s="1"/>
      <c r="KZU7" s="1"/>
      <c r="KZV7" s="1"/>
      <c r="KZW7" s="1"/>
      <c r="KZX7" s="1"/>
      <c r="KZY7" s="1"/>
      <c r="KZZ7" s="1"/>
      <c r="LAA7" s="1"/>
      <c r="LAB7" s="1"/>
      <c r="LAC7" s="1"/>
      <c r="LAD7" s="1"/>
      <c r="LAE7" s="1"/>
      <c r="LAF7" s="1"/>
      <c r="LAG7" s="1"/>
      <c r="LAH7" s="1"/>
      <c r="LAI7" s="1"/>
      <c r="LAJ7" s="1"/>
      <c r="LAK7" s="1"/>
      <c r="LAL7" s="1"/>
      <c r="LAM7" s="1"/>
      <c r="LAN7" s="1"/>
      <c r="LAO7" s="1"/>
      <c r="LAP7" s="1"/>
      <c r="LAQ7" s="1"/>
      <c r="LAR7" s="1"/>
      <c r="LAS7" s="1"/>
      <c r="LAT7" s="1"/>
      <c r="LAU7" s="1"/>
      <c r="LAV7" s="1"/>
      <c r="LAW7" s="1"/>
      <c r="LAX7" s="1"/>
      <c r="LAY7" s="1"/>
      <c r="LAZ7" s="1"/>
      <c r="LBA7" s="1"/>
      <c r="LBB7" s="1"/>
      <c r="LBC7" s="1"/>
      <c r="LBD7" s="1"/>
      <c r="LBE7" s="1"/>
      <c r="LBF7" s="1"/>
      <c r="LBG7" s="1"/>
      <c r="LBH7" s="1"/>
      <c r="LBI7" s="1"/>
      <c r="LBJ7" s="1"/>
      <c r="LBK7" s="1"/>
      <c r="LBL7" s="1"/>
      <c r="LBM7" s="1"/>
      <c r="LBN7" s="1"/>
      <c r="LBO7" s="1"/>
      <c r="LBP7" s="1"/>
      <c r="LBQ7" s="1"/>
      <c r="LBR7" s="1"/>
      <c r="LBS7" s="1"/>
      <c r="LBT7" s="1"/>
      <c r="LBU7" s="1"/>
      <c r="LBV7" s="1"/>
      <c r="LBW7" s="1"/>
      <c r="LBX7" s="1"/>
      <c r="LBY7" s="1"/>
      <c r="LBZ7" s="1"/>
      <c r="LCA7" s="1"/>
      <c r="LCB7" s="1"/>
      <c r="LCC7" s="1"/>
      <c r="LCD7" s="1"/>
      <c r="LCE7" s="1"/>
      <c r="LCF7" s="1"/>
      <c r="LCG7" s="1"/>
      <c r="LCH7" s="1"/>
      <c r="LCI7" s="1"/>
      <c r="LCJ7" s="1"/>
      <c r="LCK7" s="1"/>
      <c r="LCL7" s="1"/>
      <c r="LCM7" s="1"/>
      <c r="LCN7" s="1"/>
      <c r="LCO7" s="1"/>
      <c r="LCP7" s="1"/>
      <c r="LCQ7" s="1"/>
      <c r="LCR7" s="1"/>
      <c r="LCS7" s="1"/>
      <c r="LCT7" s="1"/>
      <c r="LCU7" s="1"/>
      <c r="LCV7" s="1"/>
      <c r="LCW7" s="1"/>
      <c r="LCX7" s="1"/>
      <c r="LCY7" s="1"/>
      <c r="LCZ7" s="1"/>
      <c r="LDA7" s="1"/>
      <c r="LDB7" s="1"/>
      <c r="LDC7" s="1"/>
      <c r="LDD7" s="1"/>
      <c r="LDE7" s="1"/>
      <c r="LDF7" s="1"/>
      <c r="LDG7" s="1"/>
      <c r="LDH7" s="1"/>
      <c r="LDI7" s="1"/>
      <c r="LDJ7" s="1"/>
      <c r="LDK7" s="1"/>
      <c r="LDL7" s="1"/>
      <c r="LDM7" s="1"/>
      <c r="LDN7" s="1"/>
      <c r="LDO7" s="1"/>
      <c r="LDP7" s="1"/>
      <c r="LDQ7" s="1"/>
      <c r="LDR7" s="1"/>
      <c r="LDS7" s="1"/>
      <c r="LDT7" s="1"/>
      <c r="LDU7" s="1"/>
      <c r="LDV7" s="1"/>
      <c r="LDW7" s="1"/>
      <c r="LDX7" s="1"/>
      <c r="LDY7" s="1"/>
      <c r="LDZ7" s="1"/>
      <c r="LEA7" s="1"/>
      <c r="LEB7" s="1"/>
      <c r="LEC7" s="1"/>
      <c r="LED7" s="1"/>
      <c r="LEE7" s="1"/>
      <c r="LEF7" s="1"/>
      <c r="LEG7" s="1"/>
      <c r="LEH7" s="1"/>
      <c r="LEI7" s="1"/>
      <c r="LEJ7" s="1"/>
      <c r="LEK7" s="1"/>
      <c r="LEL7" s="1"/>
      <c r="LEM7" s="1"/>
      <c r="LEN7" s="1"/>
      <c r="LEO7" s="1"/>
      <c r="LEP7" s="1"/>
      <c r="LEQ7" s="1"/>
      <c r="LER7" s="1"/>
      <c r="LES7" s="1"/>
      <c r="LET7" s="1"/>
      <c r="LEU7" s="1"/>
      <c r="LEV7" s="1"/>
      <c r="LEW7" s="1"/>
      <c r="LEX7" s="1"/>
      <c r="LEY7" s="1"/>
      <c r="LEZ7" s="1"/>
      <c r="LFA7" s="1"/>
      <c r="LFB7" s="1"/>
      <c r="LFC7" s="1"/>
      <c r="LFD7" s="1"/>
      <c r="LFE7" s="1"/>
      <c r="LFF7" s="1"/>
      <c r="LFG7" s="1"/>
      <c r="LFH7" s="1"/>
      <c r="LFI7" s="1"/>
      <c r="LFJ7" s="1"/>
      <c r="LFK7" s="1"/>
      <c r="LFL7" s="1"/>
      <c r="LFM7" s="1"/>
      <c r="LFN7" s="1"/>
      <c r="LFO7" s="1"/>
      <c r="LFP7" s="1"/>
      <c r="LFQ7" s="1"/>
      <c r="LFR7" s="1"/>
      <c r="LFS7" s="1"/>
      <c r="LFT7" s="1"/>
      <c r="LFU7" s="1"/>
      <c r="LFV7" s="1"/>
      <c r="LFW7" s="1"/>
      <c r="LFX7" s="1"/>
      <c r="LFY7" s="1"/>
      <c r="LFZ7" s="1"/>
      <c r="LGA7" s="1"/>
      <c r="LGB7" s="1"/>
      <c r="LGC7" s="1"/>
      <c r="LGD7" s="1"/>
      <c r="LGE7" s="1"/>
      <c r="LGF7" s="1"/>
      <c r="LGG7" s="1"/>
      <c r="LGH7" s="1"/>
      <c r="LGI7" s="1"/>
      <c r="LGJ7" s="1"/>
      <c r="LGK7" s="1"/>
      <c r="LGL7" s="1"/>
      <c r="LGM7" s="1"/>
      <c r="LGN7" s="1"/>
      <c r="LGO7" s="1"/>
      <c r="LGP7" s="1"/>
      <c r="LGQ7" s="1"/>
      <c r="LGR7" s="1"/>
      <c r="LGS7" s="1"/>
      <c r="LGT7" s="1"/>
      <c r="LGU7" s="1"/>
      <c r="LGV7" s="1"/>
      <c r="LGW7" s="1"/>
      <c r="LGX7" s="1"/>
      <c r="LGY7" s="1"/>
      <c r="LGZ7" s="1"/>
      <c r="LHA7" s="1"/>
      <c r="LHB7" s="1"/>
      <c r="LHC7" s="1"/>
      <c r="LHD7" s="1"/>
      <c r="LHE7" s="1"/>
      <c r="LHF7" s="1"/>
      <c r="LHG7" s="1"/>
      <c r="LHH7" s="1"/>
      <c r="LHI7" s="1"/>
      <c r="LHJ7" s="1"/>
      <c r="LHK7" s="1"/>
      <c r="LHL7" s="1"/>
      <c r="LHM7" s="1"/>
      <c r="LHN7" s="1"/>
      <c r="LHO7" s="1"/>
      <c r="LHP7" s="1"/>
      <c r="LHQ7" s="1"/>
      <c r="LHR7" s="1"/>
      <c r="LHS7" s="1"/>
      <c r="LHT7" s="1"/>
      <c r="LHU7" s="1"/>
      <c r="LHV7" s="1"/>
      <c r="LHW7" s="1"/>
      <c r="LHX7" s="1"/>
      <c r="LHY7" s="1"/>
      <c r="LHZ7" s="1"/>
      <c r="LIA7" s="1"/>
      <c r="LIB7" s="1"/>
      <c r="LIC7" s="1"/>
      <c r="LID7" s="1"/>
      <c r="LIE7" s="1"/>
      <c r="LIF7" s="1"/>
      <c r="LIG7" s="1"/>
      <c r="LIH7" s="1"/>
      <c r="LII7" s="1"/>
      <c r="LIJ7" s="1"/>
      <c r="LIK7" s="1"/>
      <c r="LIL7" s="1"/>
      <c r="LIM7" s="1"/>
      <c r="LIN7" s="1"/>
      <c r="LIO7" s="1"/>
      <c r="LIP7" s="1"/>
      <c r="LIQ7" s="1"/>
      <c r="LIR7" s="1"/>
      <c r="LIS7" s="1"/>
      <c r="LIT7" s="1"/>
      <c r="LIU7" s="1"/>
      <c r="LIV7" s="1"/>
      <c r="LIW7" s="1"/>
      <c r="LIX7" s="1"/>
      <c r="LIY7" s="1"/>
      <c r="LIZ7" s="1"/>
      <c r="LJA7" s="1"/>
      <c r="LJB7" s="1"/>
      <c r="LJC7" s="1"/>
      <c r="LJD7" s="1"/>
      <c r="LJE7" s="1"/>
      <c r="LJF7" s="1"/>
      <c r="LJG7" s="1"/>
      <c r="LJH7" s="1"/>
      <c r="LJI7" s="1"/>
      <c r="LJJ7" s="1"/>
      <c r="LJK7" s="1"/>
      <c r="LJL7" s="1"/>
      <c r="LJM7" s="1"/>
      <c r="LJN7" s="1"/>
      <c r="LJO7" s="1"/>
      <c r="LJP7" s="1"/>
      <c r="LJQ7" s="1"/>
      <c r="LJR7" s="1"/>
      <c r="LJS7" s="1"/>
      <c r="LJT7" s="1"/>
      <c r="LJU7" s="1"/>
      <c r="LJV7" s="1"/>
      <c r="LJW7" s="1"/>
      <c r="LJX7" s="1"/>
      <c r="LJY7" s="1"/>
      <c r="LJZ7" s="1"/>
      <c r="LKA7" s="1"/>
      <c r="LKB7" s="1"/>
      <c r="LKC7" s="1"/>
      <c r="LKD7" s="1"/>
      <c r="LKE7" s="1"/>
      <c r="LKF7" s="1"/>
      <c r="LKG7" s="1"/>
      <c r="LKH7" s="1"/>
      <c r="LKI7" s="1"/>
      <c r="LKJ7" s="1"/>
      <c r="LKK7" s="1"/>
      <c r="LKL7" s="1"/>
      <c r="LKM7" s="1"/>
      <c r="LKN7" s="1"/>
      <c r="LKO7" s="1"/>
      <c r="LKP7" s="1"/>
      <c r="LKQ7" s="1"/>
      <c r="LKR7" s="1"/>
      <c r="LKS7" s="1"/>
      <c r="LKT7" s="1"/>
      <c r="LKU7" s="1"/>
      <c r="LKV7" s="1"/>
      <c r="LKW7" s="1"/>
      <c r="LKX7" s="1"/>
      <c r="LKY7" s="1"/>
      <c r="LKZ7" s="1"/>
      <c r="LLA7" s="1"/>
      <c r="LLB7" s="1"/>
      <c r="LLC7" s="1"/>
      <c r="LLD7" s="1"/>
      <c r="LLE7" s="1"/>
      <c r="LLF7" s="1"/>
      <c r="LLG7" s="1"/>
      <c r="LLH7" s="1"/>
      <c r="LLI7" s="1"/>
      <c r="LLJ7" s="1"/>
      <c r="LLK7" s="1"/>
      <c r="LLL7" s="1"/>
      <c r="LLM7" s="1"/>
      <c r="LLN7" s="1"/>
      <c r="LLO7" s="1"/>
      <c r="LLP7" s="1"/>
      <c r="LLQ7" s="1"/>
      <c r="LLR7" s="1"/>
      <c r="LLS7" s="1"/>
      <c r="LLT7" s="1"/>
      <c r="LLU7" s="1"/>
      <c r="LLV7" s="1"/>
      <c r="LLW7" s="1"/>
      <c r="LLX7" s="1"/>
      <c r="LLY7" s="1"/>
      <c r="LLZ7" s="1"/>
      <c r="LMA7" s="1"/>
      <c r="LMB7" s="1"/>
      <c r="LMC7" s="1"/>
      <c r="LMD7" s="1"/>
      <c r="LME7" s="1"/>
      <c r="LMF7" s="1"/>
      <c r="LMG7" s="1"/>
      <c r="LMH7" s="1"/>
      <c r="LMI7" s="1"/>
      <c r="LMJ7" s="1"/>
      <c r="LMK7" s="1"/>
      <c r="LML7" s="1"/>
      <c r="LMM7" s="1"/>
      <c r="LMN7" s="1"/>
      <c r="LMO7" s="1"/>
      <c r="LMP7" s="1"/>
      <c r="LMQ7" s="1"/>
      <c r="LMR7" s="1"/>
      <c r="LMS7" s="1"/>
      <c r="LMT7" s="1"/>
      <c r="LMU7" s="1"/>
      <c r="LMV7" s="1"/>
      <c r="LMW7" s="1"/>
      <c r="LMX7" s="1"/>
      <c r="LMY7" s="1"/>
      <c r="LMZ7" s="1"/>
      <c r="LNA7" s="1"/>
      <c r="LNB7" s="1"/>
      <c r="LNC7" s="1"/>
      <c r="LND7" s="1"/>
      <c r="LNE7" s="1"/>
      <c r="LNF7" s="1"/>
      <c r="LNG7" s="1"/>
      <c r="LNH7" s="1"/>
      <c r="LNI7" s="1"/>
      <c r="LNJ7" s="1"/>
      <c r="LNK7" s="1"/>
      <c r="LNL7" s="1"/>
      <c r="LNM7" s="1"/>
      <c r="LNN7" s="1"/>
      <c r="LNO7" s="1"/>
      <c r="LNP7" s="1"/>
      <c r="LNQ7" s="1"/>
      <c r="LNR7" s="1"/>
      <c r="LNS7" s="1"/>
      <c r="LNT7" s="1"/>
      <c r="LNU7" s="1"/>
      <c r="LNV7" s="1"/>
      <c r="LNW7" s="1"/>
      <c r="LNX7" s="1"/>
      <c r="LNY7" s="1"/>
      <c r="LNZ7" s="1"/>
      <c r="LOA7" s="1"/>
      <c r="LOB7" s="1"/>
      <c r="LOC7" s="1"/>
      <c r="LOD7" s="1"/>
      <c r="LOE7" s="1"/>
      <c r="LOF7" s="1"/>
      <c r="LOG7" s="1"/>
      <c r="LOH7" s="1"/>
      <c r="LOI7" s="1"/>
      <c r="LOJ7" s="1"/>
      <c r="LOK7" s="1"/>
      <c r="LOL7" s="1"/>
      <c r="LOM7" s="1"/>
      <c r="LON7" s="1"/>
      <c r="LOO7" s="1"/>
      <c r="LOP7" s="1"/>
      <c r="LOQ7" s="1"/>
      <c r="LOR7" s="1"/>
      <c r="LOS7" s="1"/>
      <c r="LOT7" s="1"/>
      <c r="LOU7" s="1"/>
      <c r="LOV7" s="1"/>
      <c r="LOW7" s="1"/>
      <c r="LOX7" s="1"/>
      <c r="LOY7" s="1"/>
      <c r="LOZ7" s="1"/>
      <c r="LPA7" s="1"/>
      <c r="LPB7" s="1"/>
      <c r="LPC7" s="1"/>
      <c r="LPD7" s="1"/>
      <c r="LPE7" s="1"/>
      <c r="LPF7" s="1"/>
      <c r="LPG7" s="1"/>
      <c r="LPH7" s="1"/>
      <c r="LPI7" s="1"/>
      <c r="LPJ7" s="1"/>
      <c r="LPK7" s="1"/>
      <c r="LPL7" s="1"/>
      <c r="LPM7" s="1"/>
      <c r="LPN7" s="1"/>
      <c r="LPO7" s="1"/>
      <c r="LPP7" s="1"/>
      <c r="LPQ7" s="1"/>
      <c r="LPR7" s="1"/>
      <c r="LPS7" s="1"/>
      <c r="LPT7" s="1"/>
      <c r="LPU7" s="1"/>
      <c r="LPV7" s="1"/>
      <c r="LPW7" s="1"/>
      <c r="LPX7" s="1"/>
      <c r="LPY7" s="1"/>
      <c r="LPZ7" s="1"/>
      <c r="LQA7" s="1"/>
      <c r="LQB7" s="1"/>
      <c r="LQC7" s="1"/>
      <c r="LQD7" s="1"/>
      <c r="LQE7" s="1"/>
      <c r="LQF7" s="1"/>
      <c r="LQG7" s="1"/>
      <c r="LQH7" s="1"/>
      <c r="LQI7" s="1"/>
      <c r="LQJ7" s="1"/>
      <c r="LQK7" s="1"/>
      <c r="LQL7" s="1"/>
      <c r="LQM7" s="1"/>
      <c r="LQN7" s="1"/>
      <c r="LQO7" s="1"/>
      <c r="LQP7" s="1"/>
      <c r="LQQ7" s="1"/>
      <c r="LQR7" s="1"/>
      <c r="LQS7" s="1"/>
      <c r="LQT7" s="1"/>
      <c r="LQU7" s="1"/>
      <c r="LQV7" s="1"/>
      <c r="LQW7" s="1"/>
      <c r="LQX7" s="1"/>
      <c r="LQY7" s="1"/>
      <c r="LQZ7" s="1"/>
      <c r="LRA7" s="1"/>
      <c r="LRB7" s="1"/>
      <c r="LRC7" s="1"/>
      <c r="LRD7" s="1"/>
      <c r="LRE7" s="1"/>
      <c r="LRF7" s="1"/>
      <c r="LRG7" s="1"/>
      <c r="LRH7" s="1"/>
      <c r="LRI7" s="1"/>
      <c r="LRJ7" s="1"/>
      <c r="LRK7" s="1"/>
      <c r="LRL7" s="1"/>
      <c r="LRM7" s="1"/>
      <c r="LRN7" s="1"/>
      <c r="LRO7" s="1"/>
      <c r="LRP7" s="1"/>
      <c r="LRQ7" s="1"/>
      <c r="LRR7" s="1"/>
      <c r="LRS7" s="1"/>
      <c r="LRT7" s="1"/>
      <c r="LRU7" s="1"/>
      <c r="LRV7" s="1"/>
      <c r="LRW7" s="1"/>
      <c r="LRX7" s="1"/>
      <c r="LRY7" s="1"/>
      <c r="LRZ7" s="1"/>
      <c r="LSA7" s="1"/>
      <c r="LSB7" s="1"/>
      <c r="LSC7" s="1"/>
      <c r="LSD7" s="1"/>
      <c r="LSE7" s="1"/>
      <c r="LSF7" s="1"/>
      <c r="LSG7" s="1"/>
      <c r="LSH7" s="1"/>
      <c r="LSI7" s="1"/>
      <c r="LSJ7" s="1"/>
      <c r="LSK7" s="1"/>
      <c r="LSL7" s="1"/>
      <c r="LSM7" s="1"/>
      <c r="LSN7" s="1"/>
      <c r="LSO7" s="1"/>
      <c r="LSP7" s="1"/>
      <c r="LSQ7" s="1"/>
      <c r="LSR7" s="1"/>
      <c r="LSS7" s="1"/>
      <c r="LST7" s="1"/>
      <c r="LSU7" s="1"/>
      <c r="LSV7" s="1"/>
      <c r="LSW7" s="1"/>
      <c r="LSX7" s="1"/>
      <c r="LSY7" s="1"/>
      <c r="LSZ7" s="1"/>
      <c r="LTA7" s="1"/>
      <c r="LTB7" s="1"/>
      <c r="LTC7" s="1"/>
      <c r="LTD7" s="1"/>
      <c r="LTE7" s="1"/>
      <c r="LTF7" s="1"/>
      <c r="LTG7" s="1"/>
      <c r="LTH7" s="1"/>
      <c r="LTI7" s="1"/>
      <c r="LTJ7" s="1"/>
      <c r="LTK7" s="1"/>
      <c r="LTL7" s="1"/>
      <c r="LTM7" s="1"/>
      <c r="LTN7" s="1"/>
      <c r="LTO7" s="1"/>
      <c r="LTP7" s="1"/>
      <c r="LTQ7" s="1"/>
      <c r="LTR7" s="1"/>
      <c r="LTS7" s="1"/>
      <c r="LTT7" s="1"/>
      <c r="LTU7" s="1"/>
      <c r="LTV7" s="1"/>
      <c r="LTW7" s="1"/>
      <c r="LTX7" s="1"/>
      <c r="LTY7" s="1"/>
      <c r="LTZ7" s="1"/>
      <c r="LUA7" s="1"/>
      <c r="LUB7" s="1"/>
      <c r="LUC7" s="1"/>
      <c r="LUD7" s="1"/>
      <c r="LUE7" s="1"/>
      <c r="LUF7" s="1"/>
      <c r="LUG7" s="1"/>
      <c r="LUH7" s="1"/>
      <c r="LUI7" s="1"/>
      <c r="LUJ7" s="1"/>
      <c r="LUK7" s="1"/>
      <c r="LUL7" s="1"/>
      <c r="LUM7" s="1"/>
      <c r="LUN7" s="1"/>
      <c r="LUO7" s="1"/>
      <c r="LUP7" s="1"/>
      <c r="LUQ7" s="1"/>
      <c r="LUR7" s="1"/>
      <c r="LUS7" s="1"/>
      <c r="LUT7" s="1"/>
      <c r="LUU7" s="1"/>
      <c r="LUV7" s="1"/>
      <c r="LUW7" s="1"/>
      <c r="LUX7" s="1"/>
      <c r="LUY7" s="1"/>
      <c r="LUZ7" s="1"/>
      <c r="LVA7" s="1"/>
      <c r="LVB7" s="1"/>
      <c r="LVC7" s="1"/>
      <c r="LVD7" s="1"/>
      <c r="LVE7" s="1"/>
      <c r="LVF7" s="1"/>
      <c r="LVG7" s="1"/>
      <c r="LVH7" s="1"/>
      <c r="LVI7" s="1"/>
      <c r="LVJ7" s="1"/>
      <c r="LVK7" s="1"/>
      <c r="LVL7" s="1"/>
      <c r="LVM7" s="1"/>
      <c r="LVN7" s="1"/>
      <c r="LVO7" s="1"/>
      <c r="LVP7" s="1"/>
      <c r="LVQ7" s="1"/>
      <c r="LVR7" s="1"/>
      <c r="LVS7" s="1"/>
      <c r="LVT7" s="1"/>
      <c r="LVU7" s="1"/>
      <c r="LVV7" s="1"/>
      <c r="LVW7" s="1"/>
      <c r="LVX7" s="1"/>
      <c r="LVY7" s="1"/>
      <c r="LVZ7" s="1"/>
      <c r="LWA7" s="1"/>
      <c r="LWB7" s="1"/>
      <c r="LWC7" s="1"/>
      <c r="LWD7" s="1"/>
      <c r="LWE7" s="1"/>
      <c r="LWF7" s="1"/>
      <c r="LWG7" s="1"/>
      <c r="LWH7" s="1"/>
      <c r="LWI7" s="1"/>
      <c r="LWJ7" s="1"/>
      <c r="LWK7" s="1"/>
      <c r="LWL7" s="1"/>
      <c r="LWM7" s="1"/>
      <c r="LWN7" s="1"/>
      <c r="LWO7" s="1"/>
      <c r="LWP7" s="1"/>
      <c r="LWQ7" s="1"/>
      <c r="LWR7" s="1"/>
      <c r="LWS7" s="1"/>
      <c r="LWT7" s="1"/>
      <c r="LWU7" s="1"/>
      <c r="LWV7" s="1"/>
      <c r="LWW7" s="1"/>
      <c r="LWX7" s="1"/>
      <c r="LWY7" s="1"/>
      <c r="LWZ7" s="1"/>
      <c r="LXA7" s="1"/>
      <c r="LXB7" s="1"/>
      <c r="LXC7" s="1"/>
      <c r="LXD7" s="1"/>
      <c r="LXE7" s="1"/>
      <c r="LXF7" s="1"/>
      <c r="LXG7" s="1"/>
      <c r="LXH7" s="1"/>
      <c r="LXI7" s="1"/>
      <c r="LXJ7" s="1"/>
      <c r="LXK7" s="1"/>
      <c r="LXL7" s="1"/>
      <c r="LXM7" s="1"/>
      <c r="LXN7" s="1"/>
      <c r="LXO7" s="1"/>
      <c r="LXP7" s="1"/>
      <c r="LXQ7" s="1"/>
      <c r="LXR7" s="1"/>
      <c r="LXS7" s="1"/>
      <c r="LXT7" s="1"/>
      <c r="LXU7" s="1"/>
      <c r="LXV7" s="1"/>
      <c r="LXW7" s="1"/>
      <c r="LXX7" s="1"/>
      <c r="LXY7" s="1"/>
      <c r="LXZ7" s="1"/>
      <c r="LYA7" s="1"/>
      <c r="LYB7" s="1"/>
      <c r="LYC7" s="1"/>
      <c r="LYD7" s="1"/>
      <c r="LYE7" s="1"/>
      <c r="LYF7" s="1"/>
      <c r="LYG7" s="1"/>
      <c r="LYH7" s="1"/>
      <c r="LYI7" s="1"/>
      <c r="LYJ7" s="1"/>
      <c r="LYK7" s="1"/>
      <c r="LYL7" s="1"/>
      <c r="LYM7" s="1"/>
      <c r="LYN7" s="1"/>
      <c r="LYO7" s="1"/>
      <c r="LYP7" s="1"/>
      <c r="LYQ7" s="1"/>
      <c r="LYR7" s="1"/>
      <c r="LYS7" s="1"/>
      <c r="LYT7" s="1"/>
      <c r="LYU7" s="1"/>
      <c r="LYV7" s="1"/>
      <c r="LYW7" s="1"/>
      <c r="LYX7" s="1"/>
      <c r="LYY7" s="1"/>
      <c r="LYZ7" s="1"/>
      <c r="LZA7" s="1"/>
      <c r="LZB7" s="1"/>
      <c r="LZC7" s="1"/>
      <c r="LZD7" s="1"/>
      <c r="LZE7" s="1"/>
      <c r="LZF7" s="1"/>
      <c r="LZG7" s="1"/>
      <c r="LZH7" s="1"/>
      <c r="LZI7" s="1"/>
      <c r="LZJ7" s="1"/>
      <c r="LZK7" s="1"/>
      <c r="LZL7" s="1"/>
      <c r="LZM7" s="1"/>
      <c r="LZN7" s="1"/>
      <c r="LZO7" s="1"/>
      <c r="LZP7" s="1"/>
      <c r="LZQ7" s="1"/>
      <c r="LZR7" s="1"/>
      <c r="LZS7" s="1"/>
      <c r="LZT7" s="1"/>
      <c r="LZU7" s="1"/>
      <c r="LZV7" s="1"/>
      <c r="LZW7" s="1"/>
      <c r="LZX7" s="1"/>
      <c r="LZY7" s="1"/>
      <c r="LZZ7" s="1"/>
      <c r="MAA7" s="1"/>
      <c r="MAB7" s="1"/>
      <c r="MAC7" s="1"/>
      <c r="MAD7" s="1"/>
      <c r="MAE7" s="1"/>
      <c r="MAF7" s="1"/>
      <c r="MAG7" s="1"/>
      <c r="MAH7" s="1"/>
      <c r="MAI7" s="1"/>
      <c r="MAJ7" s="1"/>
      <c r="MAK7" s="1"/>
      <c r="MAL7" s="1"/>
      <c r="MAM7" s="1"/>
      <c r="MAN7" s="1"/>
      <c r="MAO7" s="1"/>
      <c r="MAP7" s="1"/>
      <c r="MAQ7" s="1"/>
      <c r="MAR7" s="1"/>
      <c r="MAS7" s="1"/>
      <c r="MAT7" s="1"/>
      <c r="MAU7" s="1"/>
      <c r="MAV7" s="1"/>
      <c r="MAW7" s="1"/>
      <c r="MAX7" s="1"/>
      <c r="MAY7" s="1"/>
      <c r="MAZ7" s="1"/>
      <c r="MBA7" s="1"/>
      <c r="MBB7" s="1"/>
      <c r="MBC7" s="1"/>
      <c r="MBD7" s="1"/>
      <c r="MBE7" s="1"/>
      <c r="MBF7" s="1"/>
      <c r="MBG7" s="1"/>
      <c r="MBH7" s="1"/>
      <c r="MBI7" s="1"/>
      <c r="MBJ7" s="1"/>
      <c r="MBK7" s="1"/>
      <c r="MBL7" s="1"/>
      <c r="MBM7" s="1"/>
      <c r="MBN7" s="1"/>
      <c r="MBO7" s="1"/>
      <c r="MBP7" s="1"/>
      <c r="MBQ7" s="1"/>
      <c r="MBR7" s="1"/>
      <c r="MBS7" s="1"/>
      <c r="MBT7" s="1"/>
      <c r="MBU7" s="1"/>
      <c r="MBV7" s="1"/>
      <c r="MBW7" s="1"/>
      <c r="MBX7" s="1"/>
      <c r="MBY7" s="1"/>
      <c r="MBZ7" s="1"/>
      <c r="MCA7" s="1"/>
      <c r="MCB7" s="1"/>
      <c r="MCC7" s="1"/>
      <c r="MCD7" s="1"/>
      <c r="MCE7" s="1"/>
      <c r="MCF7" s="1"/>
      <c r="MCG7" s="1"/>
      <c r="MCH7" s="1"/>
      <c r="MCI7" s="1"/>
      <c r="MCJ7" s="1"/>
      <c r="MCK7" s="1"/>
      <c r="MCL7" s="1"/>
      <c r="MCM7" s="1"/>
      <c r="MCN7" s="1"/>
      <c r="MCO7" s="1"/>
      <c r="MCP7" s="1"/>
      <c r="MCQ7" s="1"/>
      <c r="MCR7" s="1"/>
      <c r="MCS7" s="1"/>
      <c r="MCT7" s="1"/>
      <c r="MCU7" s="1"/>
      <c r="MCV7" s="1"/>
      <c r="MCW7" s="1"/>
      <c r="MCX7" s="1"/>
      <c r="MCY7" s="1"/>
      <c r="MCZ7" s="1"/>
      <c r="MDA7" s="1"/>
      <c r="MDB7" s="1"/>
      <c r="MDC7" s="1"/>
      <c r="MDD7" s="1"/>
      <c r="MDE7" s="1"/>
      <c r="MDF7" s="1"/>
      <c r="MDG7" s="1"/>
      <c r="MDH7" s="1"/>
      <c r="MDI7" s="1"/>
      <c r="MDJ7" s="1"/>
      <c r="MDK7" s="1"/>
      <c r="MDL7" s="1"/>
      <c r="MDM7" s="1"/>
      <c r="MDN7" s="1"/>
      <c r="MDO7" s="1"/>
      <c r="MDP7" s="1"/>
      <c r="MDQ7" s="1"/>
      <c r="MDR7" s="1"/>
      <c r="MDS7" s="1"/>
      <c r="MDT7" s="1"/>
      <c r="MDU7" s="1"/>
      <c r="MDV7" s="1"/>
      <c r="MDW7" s="1"/>
      <c r="MDX7" s="1"/>
      <c r="MDY7" s="1"/>
      <c r="MDZ7" s="1"/>
      <c r="MEA7" s="1"/>
      <c r="MEB7" s="1"/>
      <c r="MEC7" s="1"/>
      <c r="MED7" s="1"/>
      <c r="MEE7" s="1"/>
      <c r="MEF7" s="1"/>
      <c r="MEG7" s="1"/>
      <c r="MEH7" s="1"/>
      <c r="MEI7" s="1"/>
      <c r="MEJ7" s="1"/>
      <c r="MEK7" s="1"/>
      <c r="MEL7" s="1"/>
      <c r="MEM7" s="1"/>
      <c r="MEN7" s="1"/>
      <c r="MEO7" s="1"/>
      <c r="MEP7" s="1"/>
      <c r="MEQ7" s="1"/>
      <c r="MER7" s="1"/>
      <c r="MES7" s="1"/>
      <c r="MET7" s="1"/>
      <c r="MEU7" s="1"/>
      <c r="MEV7" s="1"/>
      <c r="MEW7" s="1"/>
      <c r="MEX7" s="1"/>
      <c r="MEY7" s="1"/>
      <c r="MEZ7" s="1"/>
      <c r="MFA7" s="1"/>
      <c r="MFB7" s="1"/>
      <c r="MFC7" s="1"/>
      <c r="MFD7" s="1"/>
      <c r="MFE7" s="1"/>
      <c r="MFF7" s="1"/>
      <c r="MFG7" s="1"/>
      <c r="MFH7" s="1"/>
      <c r="MFI7" s="1"/>
      <c r="MFJ7" s="1"/>
      <c r="MFK7" s="1"/>
      <c r="MFL7" s="1"/>
      <c r="MFM7" s="1"/>
      <c r="MFN7" s="1"/>
      <c r="MFO7" s="1"/>
      <c r="MFP7" s="1"/>
      <c r="MFQ7" s="1"/>
      <c r="MFR7" s="1"/>
      <c r="MFS7" s="1"/>
      <c r="MFT7" s="1"/>
      <c r="MFU7" s="1"/>
      <c r="MFV7" s="1"/>
      <c r="MFW7" s="1"/>
      <c r="MFX7" s="1"/>
      <c r="MFY7" s="1"/>
      <c r="MFZ7" s="1"/>
      <c r="MGA7" s="1"/>
      <c r="MGB7" s="1"/>
      <c r="MGC7" s="1"/>
      <c r="MGD7" s="1"/>
      <c r="MGE7" s="1"/>
      <c r="MGF7" s="1"/>
      <c r="MGG7" s="1"/>
      <c r="MGH7" s="1"/>
      <c r="MGI7" s="1"/>
      <c r="MGJ7" s="1"/>
      <c r="MGK7" s="1"/>
      <c r="MGL7" s="1"/>
      <c r="MGM7" s="1"/>
      <c r="MGN7" s="1"/>
      <c r="MGO7" s="1"/>
      <c r="MGP7" s="1"/>
      <c r="MGQ7" s="1"/>
      <c r="MGR7" s="1"/>
      <c r="MGS7" s="1"/>
      <c r="MGT7" s="1"/>
      <c r="MGU7" s="1"/>
      <c r="MGV7" s="1"/>
      <c r="MGW7" s="1"/>
      <c r="MGX7" s="1"/>
      <c r="MGY7" s="1"/>
      <c r="MGZ7" s="1"/>
      <c r="MHA7" s="1"/>
      <c r="MHB7" s="1"/>
      <c r="MHC7" s="1"/>
      <c r="MHD7" s="1"/>
      <c r="MHE7" s="1"/>
      <c r="MHF7" s="1"/>
      <c r="MHG7" s="1"/>
      <c r="MHH7" s="1"/>
      <c r="MHI7" s="1"/>
      <c r="MHJ7" s="1"/>
      <c r="MHK7" s="1"/>
      <c r="MHL7" s="1"/>
      <c r="MHM7" s="1"/>
      <c r="MHN7" s="1"/>
      <c r="MHO7" s="1"/>
      <c r="MHP7" s="1"/>
      <c r="MHQ7" s="1"/>
      <c r="MHR7" s="1"/>
      <c r="MHS7" s="1"/>
      <c r="MHT7" s="1"/>
      <c r="MHU7" s="1"/>
      <c r="MHV7" s="1"/>
      <c r="MHW7" s="1"/>
      <c r="MHX7" s="1"/>
      <c r="MHY7" s="1"/>
      <c r="MHZ7" s="1"/>
      <c r="MIA7" s="1"/>
      <c r="MIB7" s="1"/>
      <c r="MIC7" s="1"/>
      <c r="MID7" s="1"/>
      <c r="MIE7" s="1"/>
      <c r="MIF7" s="1"/>
      <c r="MIG7" s="1"/>
      <c r="MIH7" s="1"/>
      <c r="MII7" s="1"/>
      <c r="MIJ7" s="1"/>
      <c r="MIK7" s="1"/>
      <c r="MIL7" s="1"/>
      <c r="MIM7" s="1"/>
      <c r="MIN7" s="1"/>
      <c r="MIO7" s="1"/>
      <c r="MIP7" s="1"/>
      <c r="MIQ7" s="1"/>
      <c r="MIR7" s="1"/>
      <c r="MIS7" s="1"/>
      <c r="MIT7" s="1"/>
      <c r="MIU7" s="1"/>
      <c r="MIV7" s="1"/>
      <c r="MIW7" s="1"/>
      <c r="MIX7" s="1"/>
      <c r="MIY7" s="1"/>
      <c r="MIZ7" s="1"/>
      <c r="MJA7" s="1"/>
      <c r="MJB7" s="1"/>
      <c r="MJC7" s="1"/>
      <c r="MJD7" s="1"/>
      <c r="MJE7" s="1"/>
      <c r="MJF7" s="1"/>
      <c r="MJG7" s="1"/>
      <c r="MJH7" s="1"/>
      <c r="MJI7" s="1"/>
      <c r="MJJ7" s="1"/>
      <c r="MJK7" s="1"/>
      <c r="MJL7" s="1"/>
      <c r="MJM7" s="1"/>
      <c r="MJN7" s="1"/>
      <c r="MJO7" s="1"/>
      <c r="MJP7" s="1"/>
      <c r="MJQ7" s="1"/>
      <c r="MJR7" s="1"/>
      <c r="MJS7" s="1"/>
      <c r="MJT7" s="1"/>
      <c r="MJU7" s="1"/>
      <c r="MJV7" s="1"/>
      <c r="MJW7" s="1"/>
      <c r="MJX7" s="1"/>
      <c r="MJY7" s="1"/>
      <c r="MJZ7" s="1"/>
      <c r="MKA7" s="1"/>
      <c r="MKB7" s="1"/>
      <c r="MKC7" s="1"/>
      <c r="MKD7" s="1"/>
      <c r="MKE7" s="1"/>
      <c r="MKF7" s="1"/>
      <c r="MKG7" s="1"/>
      <c r="MKH7" s="1"/>
      <c r="MKI7" s="1"/>
      <c r="MKJ7" s="1"/>
      <c r="MKK7" s="1"/>
      <c r="MKL7" s="1"/>
      <c r="MKM7" s="1"/>
      <c r="MKN7" s="1"/>
      <c r="MKO7" s="1"/>
      <c r="MKP7" s="1"/>
      <c r="MKQ7" s="1"/>
      <c r="MKR7" s="1"/>
      <c r="MKS7" s="1"/>
      <c r="MKT7" s="1"/>
      <c r="MKU7" s="1"/>
      <c r="MKV7" s="1"/>
      <c r="MKW7" s="1"/>
      <c r="MKX7" s="1"/>
      <c r="MKY7" s="1"/>
      <c r="MKZ7" s="1"/>
      <c r="MLA7" s="1"/>
      <c r="MLB7" s="1"/>
      <c r="MLC7" s="1"/>
      <c r="MLD7" s="1"/>
      <c r="MLE7" s="1"/>
      <c r="MLF7" s="1"/>
      <c r="MLG7" s="1"/>
      <c r="MLH7" s="1"/>
      <c r="MLI7" s="1"/>
      <c r="MLJ7" s="1"/>
      <c r="MLK7" s="1"/>
      <c r="MLL7" s="1"/>
      <c r="MLM7" s="1"/>
      <c r="MLN7" s="1"/>
      <c r="MLO7" s="1"/>
      <c r="MLP7" s="1"/>
      <c r="MLQ7" s="1"/>
      <c r="MLR7" s="1"/>
      <c r="MLS7" s="1"/>
      <c r="MLT7" s="1"/>
      <c r="MLU7" s="1"/>
      <c r="MLV7" s="1"/>
      <c r="MLW7" s="1"/>
      <c r="MLX7" s="1"/>
      <c r="MLY7" s="1"/>
      <c r="MLZ7" s="1"/>
      <c r="MMA7" s="1"/>
      <c r="MMB7" s="1"/>
      <c r="MMC7" s="1"/>
      <c r="MMD7" s="1"/>
      <c r="MME7" s="1"/>
      <c r="MMF7" s="1"/>
      <c r="MMG7" s="1"/>
      <c r="MMH7" s="1"/>
      <c r="MMI7" s="1"/>
      <c r="MMJ7" s="1"/>
      <c r="MMK7" s="1"/>
      <c r="MML7" s="1"/>
      <c r="MMM7" s="1"/>
      <c r="MMN7" s="1"/>
      <c r="MMO7" s="1"/>
      <c r="MMP7" s="1"/>
      <c r="MMQ7" s="1"/>
      <c r="MMR7" s="1"/>
      <c r="MMS7" s="1"/>
      <c r="MMT7" s="1"/>
      <c r="MMU7" s="1"/>
      <c r="MMV7" s="1"/>
      <c r="MMW7" s="1"/>
      <c r="MMX7" s="1"/>
      <c r="MMY7" s="1"/>
      <c r="MMZ7" s="1"/>
      <c r="MNA7" s="1"/>
      <c r="MNB7" s="1"/>
      <c r="MNC7" s="1"/>
      <c r="MND7" s="1"/>
      <c r="MNE7" s="1"/>
      <c r="MNF7" s="1"/>
      <c r="MNG7" s="1"/>
      <c r="MNH7" s="1"/>
      <c r="MNI7" s="1"/>
      <c r="MNJ7" s="1"/>
      <c r="MNK7" s="1"/>
      <c r="MNL7" s="1"/>
      <c r="MNM7" s="1"/>
      <c r="MNN7" s="1"/>
      <c r="MNO7" s="1"/>
      <c r="MNP7" s="1"/>
      <c r="MNQ7" s="1"/>
      <c r="MNR7" s="1"/>
      <c r="MNS7" s="1"/>
      <c r="MNT7" s="1"/>
      <c r="MNU7" s="1"/>
      <c r="MNV7" s="1"/>
      <c r="MNW7" s="1"/>
      <c r="MNX7" s="1"/>
      <c r="MNY7" s="1"/>
      <c r="MNZ7" s="1"/>
      <c r="MOA7" s="1"/>
      <c r="MOB7" s="1"/>
      <c r="MOC7" s="1"/>
      <c r="MOD7" s="1"/>
      <c r="MOE7" s="1"/>
      <c r="MOF7" s="1"/>
      <c r="MOG7" s="1"/>
      <c r="MOH7" s="1"/>
      <c r="MOI7" s="1"/>
      <c r="MOJ7" s="1"/>
      <c r="MOK7" s="1"/>
      <c r="MOL7" s="1"/>
      <c r="MOM7" s="1"/>
      <c r="MON7" s="1"/>
      <c r="MOO7" s="1"/>
      <c r="MOP7" s="1"/>
      <c r="MOQ7" s="1"/>
      <c r="MOR7" s="1"/>
      <c r="MOS7" s="1"/>
      <c r="MOT7" s="1"/>
      <c r="MOU7" s="1"/>
      <c r="MOV7" s="1"/>
      <c r="MOW7" s="1"/>
      <c r="MOX7" s="1"/>
      <c r="MOY7" s="1"/>
      <c r="MOZ7" s="1"/>
      <c r="MPA7" s="1"/>
      <c r="MPB7" s="1"/>
      <c r="MPC7" s="1"/>
      <c r="MPD7" s="1"/>
      <c r="MPE7" s="1"/>
      <c r="MPF7" s="1"/>
      <c r="MPG7" s="1"/>
      <c r="MPH7" s="1"/>
      <c r="MPI7" s="1"/>
      <c r="MPJ7" s="1"/>
      <c r="MPK7" s="1"/>
      <c r="MPL7" s="1"/>
      <c r="MPM7" s="1"/>
      <c r="MPN7" s="1"/>
      <c r="MPO7" s="1"/>
      <c r="MPP7" s="1"/>
      <c r="MPQ7" s="1"/>
      <c r="MPR7" s="1"/>
      <c r="MPS7" s="1"/>
      <c r="MPT7" s="1"/>
      <c r="MPU7" s="1"/>
      <c r="MPV7" s="1"/>
      <c r="MPW7" s="1"/>
      <c r="MPX7" s="1"/>
      <c r="MPY7" s="1"/>
      <c r="MPZ7" s="1"/>
      <c r="MQA7" s="1"/>
      <c r="MQB7" s="1"/>
      <c r="MQC7" s="1"/>
      <c r="MQD7" s="1"/>
      <c r="MQE7" s="1"/>
      <c r="MQF7" s="1"/>
      <c r="MQG7" s="1"/>
      <c r="MQH7" s="1"/>
      <c r="MQI7" s="1"/>
      <c r="MQJ7" s="1"/>
      <c r="MQK7" s="1"/>
      <c r="MQL7" s="1"/>
      <c r="MQM7" s="1"/>
      <c r="MQN7" s="1"/>
      <c r="MQO7" s="1"/>
      <c r="MQP7" s="1"/>
      <c r="MQQ7" s="1"/>
      <c r="MQR7" s="1"/>
      <c r="MQS7" s="1"/>
      <c r="MQT7" s="1"/>
      <c r="MQU7" s="1"/>
      <c r="MQV7" s="1"/>
      <c r="MQW7" s="1"/>
      <c r="MQX7" s="1"/>
      <c r="MQY7" s="1"/>
      <c r="MQZ7" s="1"/>
      <c r="MRA7" s="1"/>
      <c r="MRB7" s="1"/>
      <c r="MRC7" s="1"/>
      <c r="MRD7" s="1"/>
      <c r="MRE7" s="1"/>
      <c r="MRF7" s="1"/>
      <c r="MRG7" s="1"/>
      <c r="MRH7" s="1"/>
      <c r="MRI7" s="1"/>
      <c r="MRJ7" s="1"/>
      <c r="MRK7" s="1"/>
      <c r="MRL7" s="1"/>
      <c r="MRM7" s="1"/>
      <c r="MRN7" s="1"/>
      <c r="MRO7" s="1"/>
      <c r="MRP7" s="1"/>
      <c r="MRQ7" s="1"/>
      <c r="MRR7" s="1"/>
      <c r="MRS7" s="1"/>
      <c r="MRT7" s="1"/>
      <c r="MRU7" s="1"/>
      <c r="MRV7" s="1"/>
      <c r="MRW7" s="1"/>
      <c r="MRX7" s="1"/>
      <c r="MRY7" s="1"/>
      <c r="MRZ7" s="1"/>
      <c r="MSA7" s="1"/>
      <c r="MSB7" s="1"/>
      <c r="MSC7" s="1"/>
      <c r="MSD7" s="1"/>
      <c r="MSE7" s="1"/>
      <c r="MSF7" s="1"/>
      <c r="MSG7" s="1"/>
      <c r="MSH7" s="1"/>
      <c r="MSI7" s="1"/>
      <c r="MSJ7" s="1"/>
      <c r="MSK7" s="1"/>
      <c r="MSL7" s="1"/>
      <c r="MSM7" s="1"/>
      <c r="MSN7" s="1"/>
      <c r="MSO7" s="1"/>
      <c r="MSP7" s="1"/>
      <c r="MSQ7" s="1"/>
      <c r="MSR7" s="1"/>
      <c r="MSS7" s="1"/>
      <c r="MST7" s="1"/>
      <c r="MSU7" s="1"/>
      <c r="MSV7" s="1"/>
      <c r="MSW7" s="1"/>
      <c r="MSX7" s="1"/>
      <c r="MSY7" s="1"/>
      <c r="MSZ7" s="1"/>
      <c r="MTA7" s="1"/>
      <c r="MTB7" s="1"/>
      <c r="MTC7" s="1"/>
      <c r="MTD7" s="1"/>
      <c r="MTE7" s="1"/>
      <c r="MTF7" s="1"/>
      <c r="MTG7" s="1"/>
      <c r="MTH7" s="1"/>
      <c r="MTI7" s="1"/>
      <c r="MTJ7" s="1"/>
      <c r="MTK7" s="1"/>
      <c r="MTL7" s="1"/>
      <c r="MTM7" s="1"/>
      <c r="MTN7" s="1"/>
      <c r="MTO7" s="1"/>
      <c r="MTP7" s="1"/>
      <c r="MTQ7" s="1"/>
      <c r="MTR7" s="1"/>
      <c r="MTS7" s="1"/>
      <c r="MTT7" s="1"/>
      <c r="MTU7" s="1"/>
      <c r="MTV7" s="1"/>
      <c r="MTW7" s="1"/>
      <c r="MTX7" s="1"/>
      <c r="MTY7" s="1"/>
      <c r="MTZ7" s="1"/>
      <c r="MUA7" s="1"/>
      <c r="MUB7" s="1"/>
      <c r="MUC7" s="1"/>
      <c r="MUD7" s="1"/>
      <c r="MUE7" s="1"/>
      <c r="MUF7" s="1"/>
      <c r="MUG7" s="1"/>
      <c r="MUH7" s="1"/>
      <c r="MUI7" s="1"/>
      <c r="MUJ7" s="1"/>
      <c r="MUK7" s="1"/>
      <c r="MUL7" s="1"/>
      <c r="MUM7" s="1"/>
      <c r="MUN7" s="1"/>
      <c r="MUO7" s="1"/>
      <c r="MUP7" s="1"/>
      <c r="MUQ7" s="1"/>
      <c r="MUR7" s="1"/>
      <c r="MUS7" s="1"/>
      <c r="MUT7" s="1"/>
      <c r="MUU7" s="1"/>
      <c r="MUV7" s="1"/>
      <c r="MUW7" s="1"/>
      <c r="MUX7" s="1"/>
      <c r="MUY7" s="1"/>
      <c r="MUZ7" s="1"/>
      <c r="MVA7" s="1"/>
      <c r="MVB7" s="1"/>
      <c r="MVC7" s="1"/>
      <c r="MVD7" s="1"/>
      <c r="MVE7" s="1"/>
      <c r="MVF7" s="1"/>
      <c r="MVG7" s="1"/>
      <c r="MVH7" s="1"/>
      <c r="MVI7" s="1"/>
      <c r="MVJ7" s="1"/>
      <c r="MVK7" s="1"/>
      <c r="MVL7" s="1"/>
      <c r="MVM7" s="1"/>
      <c r="MVN7" s="1"/>
      <c r="MVO7" s="1"/>
      <c r="MVP7" s="1"/>
      <c r="MVQ7" s="1"/>
      <c r="MVR7" s="1"/>
      <c r="MVS7" s="1"/>
      <c r="MVT7" s="1"/>
      <c r="MVU7" s="1"/>
      <c r="MVV7" s="1"/>
      <c r="MVW7" s="1"/>
      <c r="MVX7" s="1"/>
      <c r="MVY7" s="1"/>
      <c r="MVZ7" s="1"/>
      <c r="MWA7" s="1"/>
      <c r="MWB7" s="1"/>
      <c r="MWC7" s="1"/>
      <c r="MWD7" s="1"/>
      <c r="MWE7" s="1"/>
      <c r="MWF7" s="1"/>
      <c r="MWG7" s="1"/>
      <c r="MWH7" s="1"/>
      <c r="MWI7" s="1"/>
      <c r="MWJ7" s="1"/>
      <c r="MWK7" s="1"/>
      <c r="MWL7" s="1"/>
      <c r="MWM7" s="1"/>
      <c r="MWN7" s="1"/>
      <c r="MWO7" s="1"/>
      <c r="MWP7" s="1"/>
      <c r="MWQ7" s="1"/>
      <c r="MWR7" s="1"/>
      <c r="MWS7" s="1"/>
      <c r="MWT7" s="1"/>
      <c r="MWU7" s="1"/>
      <c r="MWV7" s="1"/>
      <c r="MWW7" s="1"/>
      <c r="MWX7" s="1"/>
      <c r="MWY7" s="1"/>
      <c r="MWZ7" s="1"/>
      <c r="MXA7" s="1"/>
      <c r="MXB7" s="1"/>
      <c r="MXC7" s="1"/>
      <c r="MXD7" s="1"/>
      <c r="MXE7" s="1"/>
      <c r="MXF7" s="1"/>
      <c r="MXG7" s="1"/>
      <c r="MXH7" s="1"/>
      <c r="MXI7" s="1"/>
      <c r="MXJ7" s="1"/>
      <c r="MXK7" s="1"/>
      <c r="MXL7" s="1"/>
      <c r="MXM7" s="1"/>
      <c r="MXN7" s="1"/>
      <c r="MXO7" s="1"/>
      <c r="MXP7" s="1"/>
      <c r="MXQ7" s="1"/>
      <c r="MXR7" s="1"/>
      <c r="MXS7" s="1"/>
      <c r="MXT7" s="1"/>
      <c r="MXU7" s="1"/>
      <c r="MXV7" s="1"/>
      <c r="MXW7" s="1"/>
      <c r="MXX7" s="1"/>
      <c r="MXY7" s="1"/>
      <c r="MXZ7" s="1"/>
      <c r="MYA7" s="1"/>
      <c r="MYB7" s="1"/>
      <c r="MYC7" s="1"/>
      <c r="MYD7" s="1"/>
      <c r="MYE7" s="1"/>
      <c r="MYF7" s="1"/>
      <c r="MYG7" s="1"/>
      <c r="MYH7" s="1"/>
      <c r="MYI7" s="1"/>
      <c r="MYJ7" s="1"/>
      <c r="MYK7" s="1"/>
      <c r="MYL7" s="1"/>
      <c r="MYM7" s="1"/>
      <c r="MYN7" s="1"/>
      <c r="MYO7" s="1"/>
      <c r="MYP7" s="1"/>
      <c r="MYQ7" s="1"/>
      <c r="MYR7" s="1"/>
      <c r="MYS7" s="1"/>
      <c r="MYT7" s="1"/>
      <c r="MYU7" s="1"/>
      <c r="MYV7" s="1"/>
      <c r="MYW7" s="1"/>
      <c r="MYX7" s="1"/>
      <c r="MYY7" s="1"/>
      <c r="MYZ7" s="1"/>
      <c r="MZA7" s="1"/>
      <c r="MZB7" s="1"/>
      <c r="MZC7" s="1"/>
      <c r="MZD7" s="1"/>
      <c r="MZE7" s="1"/>
      <c r="MZF7" s="1"/>
      <c r="MZG7" s="1"/>
      <c r="MZH7" s="1"/>
      <c r="MZI7" s="1"/>
      <c r="MZJ7" s="1"/>
      <c r="MZK7" s="1"/>
      <c r="MZL7" s="1"/>
      <c r="MZM7" s="1"/>
      <c r="MZN7" s="1"/>
      <c r="MZO7" s="1"/>
      <c r="MZP7" s="1"/>
      <c r="MZQ7" s="1"/>
      <c r="MZR7" s="1"/>
      <c r="MZS7" s="1"/>
      <c r="MZT7" s="1"/>
      <c r="MZU7" s="1"/>
      <c r="MZV7" s="1"/>
      <c r="MZW7" s="1"/>
      <c r="MZX7" s="1"/>
      <c r="MZY7" s="1"/>
      <c r="MZZ7" s="1"/>
      <c r="NAA7" s="1"/>
      <c r="NAB7" s="1"/>
      <c r="NAC7" s="1"/>
      <c r="NAD7" s="1"/>
      <c r="NAE7" s="1"/>
      <c r="NAF7" s="1"/>
      <c r="NAG7" s="1"/>
      <c r="NAH7" s="1"/>
      <c r="NAI7" s="1"/>
      <c r="NAJ7" s="1"/>
      <c r="NAK7" s="1"/>
      <c r="NAL7" s="1"/>
      <c r="NAM7" s="1"/>
      <c r="NAN7" s="1"/>
      <c r="NAO7" s="1"/>
      <c r="NAP7" s="1"/>
      <c r="NAQ7" s="1"/>
      <c r="NAR7" s="1"/>
      <c r="NAS7" s="1"/>
      <c r="NAT7" s="1"/>
      <c r="NAU7" s="1"/>
      <c r="NAV7" s="1"/>
      <c r="NAW7" s="1"/>
      <c r="NAX7" s="1"/>
      <c r="NAY7" s="1"/>
      <c r="NAZ7" s="1"/>
      <c r="NBA7" s="1"/>
      <c r="NBB7" s="1"/>
      <c r="NBC7" s="1"/>
      <c r="NBD7" s="1"/>
      <c r="NBE7" s="1"/>
      <c r="NBF7" s="1"/>
      <c r="NBG7" s="1"/>
      <c r="NBH7" s="1"/>
      <c r="NBI7" s="1"/>
      <c r="NBJ7" s="1"/>
      <c r="NBK7" s="1"/>
      <c r="NBL7" s="1"/>
      <c r="NBM7" s="1"/>
      <c r="NBN7" s="1"/>
      <c r="NBO7" s="1"/>
      <c r="NBP7" s="1"/>
      <c r="NBQ7" s="1"/>
      <c r="NBR7" s="1"/>
      <c r="NBS7" s="1"/>
      <c r="NBT7" s="1"/>
      <c r="NBU7" s="1"/>
      <c r="NBV7" s="1"/>
      <c r="NBW7" s="1"/>
      <c r="NBX7" s="1"/>
      <c r="NBY7" s="1"/>
      <c r="NBZ7" s="1"/>
      <c r="NCA7" s="1"/>
      <c r="NCB7" s="1"/>
      <c r="NCC7" s="1"/>
      <c r="NCD7" s="1"/>
      <c r="NCE7" s="1"/>
      <c r="NCF7" s="1"/>
      <c r="NCG7" s="1"/>
      <c r="NCH7" s="1"/>
      <c r="NCI7" s="1"/>
      <c r="NCJ7" s="1"/>
      <c r="NCK7" s="1"/>
      <c r="NCL7" s="1"/>
      <c r="NCM7" s="1"/>
      <c r="NCN7" s="1"/>
      <c r="NCO7" s="1"/>
      <c r="NCP7" s="1"/>
      <c r="NCQ7" s="1"/>
      <c r="NCR7" s="1"/>
      <c r="NCS7" s="1"/>
      <c r="NCT7" s="1"/>
      <c r="NCU7" s="1"/>
      <c r="NCV7" s="1"/>
      <c r="NCW7" s="1"/>
      <c r="NCX7" s="1"/>
      <c r="NCY7" s="1"/>
      <c r="NCZ7" s="1"/>
      <c r="NDA7" s="1"/>
      <c r="NDB7" s="1"/>
      <c r="NDC7" s="1"/>
      <c r="NDD7" s="1"/>
      <c r="NDE7" s="1"/>
      <c r="NDF7" s="1"/>
      <c r="NDG7" s="1"/>
      <c r="NDH7" s="1"/>
      <c r="NDI7" s="1"/>
      <c r="NDJ7" s="1"/>
      <c r="NDK7" s="1"/>
      <c r="NDL7" s="1"/>
      <c r="NDM7" s="1"/>
      <c r="NDN7" s="1"/>
      <c r="NDO7" s="1"/>
      <c r="NDP7" s="1"/>
      <c r="NDQ7" s="1"/>
      <c r="NDR7" s="1"/>
      <c r="NDS7" s="1"/>
      <c r="NDT7" s="1"/>
      <c r="NDU7" s="1"/>
      <c r="NDV7" s="1"/>
      <c r="NDW7" s="1"/>
      <c r="NDX7" s="1"/>
      <c r="NDY7" s="1"/>
      <c r="NDZ7" s="1"/>
      <c r="NEA7" s="1"/>
      <c r="NEB7" s="1"/>
      <c r="NEC7" s="1"/>
      <c r="NED7" s="1"/>
      <c r="NEE7" s="1"/>
      <c r="NEF7" s="1"/>
      <c r="NEG7" s="1"/>
      <c r="NEH7" s="1"/>
      <c r="NEI7" s="1"/>
      <c r="NEJ7" s="1"/>
      <c r="NEK7" s="1"/>
      <c r="NEL7" s="1"/>
      <c r="NEM7" s="1"/>
      <c r="NEN7" s="1"/>
      <c r="NEO7" s="1"/>
      <c r="NEP7" s="1"/>
      <c r="NEQ7" s="1"/>
      <c r="NER7" s="1"/>
      <c r="NES7" s="1"/>
      <c r="NET7" s="1"/>
      <c r="NEU7" s="1"/>
      <c r="NEV7" s="1"/>
      <c r="NEW7" s="1"/>
      <c r="NEX7" s="1"/>
      <c r="NEY7" s="1"/>
      <c r="NEZ7" s="1"/>
      <c r="NFA7" s="1"/>
      <c r="NFB7" s="1"/>
      <c r="NFC7" s="1"/>
      <c r="NFD7" s="1"/>
      <c r="NFE7" s="1"/>
      <c r="NFF7" s="1"/>
      <c r="NFG7" s="1"/>
      <c r="NFH7" s="1"/>
      <c r="NFI7" s="1"/>
      <c r="NFJ7" s="1"/>
      <c r="NFK7" s="1"/>
      <c r="NFL7" s="1"/>
      <c r="NFM7" s="1"/>
      <c r="NFN7" s="1"/>
      <c r="NFO7" s="1"/>
      <c r="NFP7" s="1"/>
      <c r="NFQ7" s="1"/>
      <c r="NFR7" s="1"/>
      <c r="NFS7" s="1"/>
      <c r="NFT7" s="1"/>
      <c r="NFU7" s="1"/>
      <c r="NFV7" s="1"/>
      <c r="NFW7" s="1"/>
      <c r="NFX7" s="1"/>
      <c r="NFY7" s="1"/>
      <c r="NFZ7" s="1"/>
      <c r="NGA7" s="1"/>
      <c r="NGB7" s="1"/>
      <c r="NGC7" s="1"/>
      <c r="NGD7" s="1"/>
      <c r="NGE7" s="1"/>
      <c r="NGF7" s="1"/>
      <c r="NGG7" s="1"/>
      <c r="NGH7" s="1"/>
      <c r="NGI7" s="1"/>
      <c r="NGJ7" s="1"/>
      <c r="NGK7" s="1"/>
      <c r="NGL7" s="1"/>
      <c r="NGM7" s="1"/>
      <c r="NGN7" s="1"/>
      <c r="NGO7" s="1"/>
      <c r="NGP7" s="1"/>
      <c r="NGQ7" s="1"/>
      <c r="NGR7" s="1"/>
      <c r="NGS7" s="1"/>
      <c r="NGT7" s="1"/>
      <c r="NGU7" s="1"/>
      <c r="NGV7" s="1"/>
      <c r="NGW7" s="1"/>
      <c r="NGX7" s="1"/>
      <c r="NGY7" s="1"/>
      <c r="NGZ7" s="1"/>
      <c r="NHA7" s="1"/>
      <c r="NHB7" s="1"/>
      <c r="NHC7" s="1"/>
      <c r="NHD7" s="1"/>
      <c r="NHE7" s="1"/>
      <c r="NHF7" s="1"/>
      <c r="NHG7" s="1"/>
      <c r="NHH7" s="1"/>
      <c r="NHI7" s="1"/>
      <c r="NHJ7" s="1"/>
      <c r="NHK7" s="1"/>
      <c r="NHL7" s="1"/>
      <c r="NHM7" s="1"/>
      <c r="NHN7" s="1"/>
      <c r="NHO7" s="1"/>
      <c r="NHP7" s="1"/>
      <c r="NHQ7" s="1"/>
      <c r="NHR7" s="1"/>
      <c r="NHS7" s="1"/>
      <c r="NHT7" s="1"/>
      <c r="NHU7" s="1"/>
      <c r="NHV7" s="1"/>
      <c r="NHW7" s="1"/>
      <c r="NHX7" s="1"/>
      <c r="NHY7" s="1"/>
      <c r="NHZ7" s="1"/>
      <c r="NIA7" s="1"/>
      <c r="NIB7" s="1"/>
      <c r="NIC7" s="1"/>
      <c r="NID7" s="1"/>
      <c r="NIE7" s="1"/>
      <c r="NIF7" s="1"/>
      <c r="NIG7" s="1"/>
      <c r="NIH7" s="1"/>
      <c r="NII7" s="1"/>
      <c r="NIJ7" s="1"/>
      <c r="NIK7" s="1"/>
      <c r="NIL7" s="1"/>
      <c r="NIM7" s="1"/>
      <c r="NIN7" s="1"/>
      <c r="NIO7" s="1"/>
      <c r="NIP7" s="1"/>
      <c r="NIQ7" s="1"/>
      <c r="NIR7" s="1"/>
      <c r="NIS7" s="1"/>
      <c r="NIT7" s="1"/>
      <c r="NIU7" s="1"/>
      <c r="NIV7" s="1"/>
      <c r="NIW7" s="1"/>
      <c r="NIX7" s="1"/>
      <c r="NIY7" s="1"/>
      <c r="NIZ7" s="1"/>
      <c r="NJA7" s="1"/>
      <c r="NJB7" s="1"/>
      <c r="NJC7" s="1"/>
      <c r="NJD7" s="1"/>
      <c r="NJE7" s="1"/>
      <c r="NJF7" s="1"/>
      <c r="NJG7" s="1"/>
      <c r="NJH7" s="1"/>
      <c r="NJI7" s="1"/>
      <c r="NJJ7" s="1"/>
      <c r="NJK7" s="1"/>
      <c r="NJL7" s="1"/>
      <c r="NJM7" s="1"/>
      <c r="NJN7" s="1"/>
      <c r="NJO7" s="1"/>
      <c r="NJP7" s="1"/>
      <c r="NJQ7" s="1"/>
      <c r="NJR7" s="1"/>
      <c r="NJS7" s="1"/>
      <c r="NJT7" s="1"/>
      <c r="NJU7" s="1"/>
      <c r="NJV7" s="1"/>
      <c r="NJW7" s="1"/>
      <c r="NJX7" s="1"/>
      <c r="NJY7" s="1"/>
      <c r="NJZ7" s="1"/>
      <c r="NKA7" s="1"/>
      <c r="NKB7" s="1"/>
      <c r="NKC7" s="1"/>
      <c r="NKD7" s="1"/>
      <c r="NKE7" s="1"/>
      <c r="NKF7" s="1"/>
      <c r="NKG7" s="1"/>
      <c r="NKH7" s="1"/>
      <c r="NKI7" s="1"/>
      <c r="NKJ7" s="1"/>
      <c r="NKK7" s="1"/>
      <c r="NKL7" s="1"/>
      <c r="NKM7" s="1"/>
      <c r="NKN7" s="1"/>
      <c r="NKO7" s="1"/>
      <c r="NKP7" s="1"/>
      <c r="NKQ7" s="1"/>
      <c r="NKR7" s="1"/>
      <c r="NKS7" s="1"/>
      <c r="NKT7" s="1"/>
      <c r="NKU7" s="1"/>
      <c r="NKV7" s="1"/>
      <c r="NKW7" s="1"/>
      <c r="NKX7" s="1"/>
      <c r="NKY7" s="1"/>
      <c r="NKZ7" s="1"/>
      <c r="NLA7" s="1"/>
      <c r="NLB7" s="1"/>
      <c r="NLC7" s="1"/>
      <c r="NLD7" s="1"/>
      <c r="NLE7" s="1"/>
      <c r="NLF7" s="1"/>
      <c r="NLG7" s="1"/>
      <c r="NLH7" s="1"/>
      <c r="NLI7" s="1"/>
      <c r="NLJ7" s="1"/>
      <c r="NLK7" s="1"/>
      <c r="NLL7" s="1"/>
      <c r="NLM7" s="1"/>
      <c r="NLN7" s="1"/>
      <c r="NLO7" s="1"/>
      <c r="NLP7" s="1"/>
      <c r="NLQ7" s="1"/>
      <c r="NLR7" s="1"/>
      <c r="NLS7" s="1"/>
      <c r="NLT7" s="1"/>
      <c r="NLU7" s="1"/>
      <c r="NLV7" s="1"/>
      <c r="NLW7" s="1"/>
      <c r="NLX7" s="1"/>
      <c r="NLY7" s="1"/>
      <c r="NLZ7" s="1"/>
      <c r="NMA7" s="1"/>
      <c r="NMB7" s="1"/>
      <c r="NMC7" s="1"/>
      <c r="NMD7" s="1"/>
      <c r="NME7" s="1"/>
      <c r="NMF7" s="1"/>
      <c r="NMG7" s="1"/>
      <c r="NMH7" s="1"/>
      <c r="NMI7" s="1"/>
      <c r="NMJ7" s="1"/>
      <c r="NMK7" s="1"/>
      <c r="NML7" s="1"/>
      <c r="NMM7" s="1"/>
      <c r="NMN7" s="1"/>
      <c r="NMO7" s="1"/>
      <c r="NMP7" s="1"/>
      <c r="NMQ7" s="1"/>
      <c r="NMR7" s="1"/>
      <c r="NMS7" s="1"/>
      <c r="NMT7" s="1"/>
      <c r="NMU7" s="1"/>
      <c r="NMV7" s="1"/>
      <c r="NMW7" s="1"/>
      <c r="NMX7" s="1"/>
      <c r="NMY7" s="1"/>
      <c r="NMZ7" s="1"/>
      <c r="NNA7" s="1"/>
      <c r="NNB7" s="1"/>
      <c r="NNC7" s="1"/>
      <c r="NND7" s="1"/>
      <c r="NNE7" s="1"/>
      <c r="NNF7" s="1"/>
      <c r="NNG7" s="1"/>
      <c r="NNH7" s="1"/>
      <c r="NNI7" s="1"/>
      <c r="NNJ7" s="1"/>
      <c r="NNK7" s="1"/>
      <c r="NNL7" s="1"/>
      <c r="NNM7" s="1"/>
      <c r="NNN7" s="1"/>
      <c r="NNO7" s="1"/>
      <c r="NNP7" s="1"/>
      <c r="NNQ7" s="1"/>
      <c r="NNR7" s="1"/>
      <c r="NNS7" s="1"/>
      <c r="NNT7" s="1"/>
      <c r="NNU7" s="1"/>
      <c r="NNV7" s="1"/>
      <c r="NNW7" s="1"/>
      <c r="NNX7" s="1"/>
      <c r="NNY7" s="1"/>
      <c r="NNZ7" s="1"/>
      <c r="NOA7" s="1"/>
      <c r="NOB7" s="1"/>
      <c r="NOC7" s="1"/>
      <c r="NOD7" s="1"/>
      <c r="NOE7" s="1"/>
      <c r="NOF7" s="1"/>
      <c r="NOG7" s="1"/>
      <c r="NOH7" s="1"/>
      <c r="NOI7" s="1"/>
      <c r="NOJ7" s="1"/>
      <c r="NOK7" s="1"/>
      <c r="NOL7" s="1"/>
      <c r="NOM7" s="1"/>
      <c r="NON7" s="1"/>
      <c r="NOO7" s="1"/>
      <c r="NOP7" s="1"/>
      <c r="NOQ7" s="1"/>
      <c r="NOR7" s="1"/>
      <c r="NOS7" s="1"/>
      <c r="NOT7" s="1"/>
      <c r="NOU7" s="1"/>
      <c r="NOV7" s="1"/>
      <c r="NOW7" s="1"/>
      <c r="NOX7" s="1"/>
      <c r="NOY7" s="1"/>
      <c r="NOZ7" s="1"/>
      <c r="NPA7" s="1"/>
      <c r="NPB7" s="1"/>
      <c r="NPC7" s="1"/>
      <c r="NPD7" s="1"/>
      <c r="NPE7" s="1"/>
      <c r="NPF7" s="1"/>
      <c r="NPG7" s="1"/>
      <c r="NPH7" s="1"/>
      <c r="NPI7" s="1"/>
      <c r="NPJ7" s="1"/>
      <c r="NPK7" s="1"/>
      <c r="NPL7" s="1"/>
      <c r="NPM7" s="1"/>
      <c r="NPN7" s="1"/>
      <c r="NPO7" s="1"/>
      <c r="NPP7" s="1"/>
      <c r="NPQ7" s="1"/>
      <c r="NPR7" s="1"/>
      <c r="NPS7" s="1"/>
      <c r="NPT7" s="1"/>
      <c r="NPU7" s="1"/>
      <c r="NPV7" s="1"/>
      <c r="NPW7" s="1"/>
      <c r="NPX7" s="1"/>
      <c r="NPY7" s="1"/>
      <c r="NPZ7" s="1"/>
      <c r="NQA7" s="1"/>
      <c r="NQB7" s="1"/>
      <c r="NQC7" s="1"/>
      <c r="NQD7" s="1"/>
      <c r="NQE7" s="1"/>
      <c r="NQF7" s="1"/>
      <c r="NQG7" s="1"/>
      <c r="NQH7" s="1"/>
      <c r="NQI7" s="1"/>
      <c r="NQJ7" s="1"/>
      <c r="NQK7" s="1"/>
      <c r="NQL7" s="1"/>
      <c r="NQM7" s="1"/>
      <c r="NQN7" s="1"/>
      <c r="NQO7" s="1"/>
      <c r="NQP7" s="1"/>
      <c r="NQQ7" s="1"/>
      <c r="NQR7" s="1"/>
      <c r="NQS7" s="1"/>
      <c r="NQT7" s="1"/>
      <c r="NQU7" s="1"/>
      <c r="NQV7" s="1"/>
      <c r="NQW7" s="1"/>
      <c r="NQX7" s="1"/>
      <c r="NQY7" s="1"/>
      <c r="NQZ7" s="1"/>
      <c r="NRA7" s="1"/>
      <c r="NRB7" s="1"/>
      <c r="NRC7" s="1"/>
      <c r="NRD7" s="1"/>
      <c r="NRE7" s="1"/>
      <c r="NRF7" s="1"/>
      <c r="NRG7" s="1"/>
      <c r="NRH7" s="1"/>
      <c r="NRI7" s="1"/>
      <c r="NRJ7" s="1"/>
      <c r="NRK7" s="1"/>
      <c r="NRL7" s="1"/>
      <c r="NRM7" s="1"/>
      <c r="NRN7" s="1"/>
      <c r="NRO7" s="1"/>
      <c r="NRP7" s="1"/>
      <c r="NRQ7" s="1"/>
      <c r="NRR7" s="1"/>
      <c r="NRS7" s="1"/>
      <c r="NRT7" s="1"/>
      <c r="NRU7" s="1"/>
      <c r="NRV7" s="1"/>
      <c r="NRW7" s="1"/>
      <c r="NRX7" s="1"/>
      <c r="NRY7" s="1"/>
      <c r="NRZ7" s="1"/>
      <c r="NSA7" s="1"/>
      <c r="NSB7" s="1"/>
      <c r="NSC7" s="1"/>
      <c r="NSD7" s="1"/>
      <c r="NSE7" s="1"/>
      <c r="NSF7" s="1"/>
      <c r="NSG7" s="1"/>
      <c r="NSH7" s="1"/>
      <c r="NSI7" s="1"/>
      <c r="NSJ7" s="1"/>
      <c r="NSK7" s="1"/>
      <c r="NSL7" s="1"/>
      <c r="NSM7" s="1"/>
      <c r="NSN7" s="1"/>
      <c r="NSO7" s="1"/>
      <c r="NSP7" s="1"/>
      <c r="NSQ7" s="1"/>
      <c r="NSR7" s="1"/>
      <c r="NSS7" s="1"/>
      <c r="NST7" s="1"/>
      <c r="NSU7" s="1"/>
      <c r="NSV7" s="1"/>
      <c r="NSW7" s="1"/>
      <c r="NSX7" s="1"/>
      <c r="NSY7" s="1"/>
      <c r="NSZ7" s="1"/>
      <c r="NTA7" s="1"/>
      <c r="NTB7" s="1"/>
      <c r="NTC7" s="1"/>
      <c r="NTD7" s="1"/>
      <c r="NTE7" s="1"/>
      <c r="NTF7" s="1"/>
      <c r="NTG7" s="1"/>
      <c r="NTH7" s="1"/>
      <c r="NTI7" s="1"/>
      <c r="NTJ7" s="1"/>
      <c r="NTK7" s="1"/>
      <c r="NTL7" s="1"/>
      <c r="NTM7" s="1"/>
      <c r="NTN7" s="1"/>
      <c r="NTO7" s="1"/>
      <c r="NTP7" s="1"/>
      <c r="NTQ7" s="1"/>
      <c r="NTR7" s="1"/>
      <c r="NTS7" s="1"/>
      <c r="NTT7" s="1"/>
      <c r="NTU7" s="1"/>
      <c r="NTV7" s="1"/>
      <c r="NTW7" s="1"/>
      <c r="NTX7" s="1"/>
      <c r="NTY7" s="1"/>
      <c r="NTZ7" s="1"/>
      <c r="NUA7" s="1"/>
      <c r="NUB7" s="1"/>
      <c r="NUC7" s="1"/>
      <c r="NUD7" s="1"/>
      <c r="NUE7" s="1"/>
      <c r="NUF7" s="1"/>
      <c r="NUG7" s="1"/>
      <c r="NUH7" s="1"/>
      <c r="NUI7" s="1"/>
      <c r="NUJ7" s="1"/>
      <c r="NUK7" s="1"/>
      <c r="NUL7" s="1"/>
      <c r="NUM7" s="1"/>
      <c r="NUN7" s="1"/>
      <c r="NUO7" s="1"/>
      <c r="NUP7" s="1"/>
      <c r="NUQ7" s="1"/>
      <c r="NUR7" s="1"/>
      <c r="NUS7" s="1"/>
      <c r="NUT7" s="1"/>
      <c r="NUU7" s="1"/>
      <c r="NUV7" s="1"/>
      <c r="NUW7" s="1"/>
      <c r="NUX7" s="1"/>
      <c r="NUY7" s="1"/>
      <c r="NUZ7" s="1"/>
      <c r="NVA7" s="1"/>
      <c r="NVB7" s="1"/>
      <c r="NVC7" s="1"/>
      <c r="NVD7" s="1"/>
      <c r="NVE7" s="1"/>
      <c r="NVF7" s="1"/>
      <c r="NVG7" s="1"/>
      <c r="NVH7" s="1"/>
      <c r="NVI7" s="1"/>
      <c r="NVJ7" s="1"/>
      <c r="NVK7" s="1"/>
      <c r="NVL7" s="1"/>
      <c r="NVM7" s="1"/>
      <c r="NVN7" s="1"/>
      <c r="NVO7" s="1"/>
      <c r="NVP7" s="1"/>
      <c r="NVQ7" s="1"/>
      <c r="NVR7" s="1"/>
      <c r="NVS7" s="1"/>
      <c r="NVT7" s="1"/>
      <c r="NVU7" s="1"/>
      <c r="NVV7" s="1"/>
      <c r="NVW7" s="1"/>
      <c r="NVX7" s="1"/>
      <c r="NVY7" s="1"/>
      <c r="NVZ7" s="1"/>
      <c r="NWA7" s="1"/>
      <c r="NWB7" s="1"/>
      <c r="NWC7" s="1"/>
      <c r="NWD7" s="1"/>
      <c r="NWE7" s="1"/>
      <c r="NWF7" s="1"/>
      <c r="NWG7" s="1"/>
      <c r="NWH7" s="1"/>
      <c r="NWI7" s="1"/>
      <c r="NWJ7" s="1"/>
      <c r="NWK7" s="1"/>
      <c r="NWL7" s="1"/>
      <c r="NWM7" s="1"/>
      <c r="NWN7" s="1"/>
      <c r="NWO7" s="1"/>
      <c r="NWP7" s="1"/>
      <c r="NWQ7" s="1"/>
      <c r="NWR7" s="1"/>
      <c r="NWS7" s="1"/>
      <c r="NWT7" s="1"/>
      <c r="NWU7" s="1"/>
      <c r="NWV7" s="1"/>
      <c r="NWW7" s="1"/>
      <c r="NWX7" s="1"/>
      <c r="NWY7" s="1"/>
      <c r="NWZ7" s="1"/>
      <c r="NXA7" s="1"/>
      <c r="NXB7" s="1"/>
      <c r="NXC7" s="1"/>
      <c r="NXD7" s="1"/>
      <c r="NXE7" s="1"/>
      <c r="NXF7" s="1"/>
      <c r="NXG7" s="1"/>
      <c r="NXH7" s="1"/>
      <c r="NXI7" s="1"/>
      <c r="NXJ7" s="1"/>
      <c r="NXK7" s="1"/>
      <c r="NXL7" s="1"/>
      <c r="NXM7" s="1"/>
      <c r="NXN7" s="1"/>
      <c r="NXO7" s="1"/>
      <c r="NXP7" s="1"/>
      <c r="NXQ7" s="1"/>
      <c r="NXR7" s="1"/>
      <c r="NXS7" s="1"/>
      <c r="NXT7" s="1"/>
      <c r="NXU7" s="1"/>
      <c r="NXV7" s="1"/>
      <c r="NXW7" s="1"/>
      <c r="NXX7" s="1"/>
      <c r="NXY7" s="1"/>
      <c r="NXZ7" s="1"/>
      <c r="NYA7" s="1"/>
      <c r="NYB7" s="1"/>
      <c r="NYC7" s="1"/>
      <c r="NYD7" s="1"/>
      <c r="NYE7" s="1"/>
      <c r="NYF7" s="1"/>
      <c r="NYG7" s="1"/>
      <c r="NYH7" s="1"/>
      <c r="NYI7" s="1"/>
      <c r="NYJ7" s="1"/>
      <c r="NYK7" s="1"/>
      <c r="NYL7" s="1"/>
      <c r="NYM7" s="1"/>
      <c r="NYN7" s="1"/>
      <c r="NYO7" s="1"/>
      <c r="NYP7" s="1"/>
      <c r="NYQ7" s="1"/>
      <c r="NYR7" s="1"/>
      <c r="NYS7" s="1"/>
      <c r="NYT7" s="1"/>
      <c r="NYU7" s="1"/>
      <c r="NYV7" s="1"/>
      <c r="NYW7" s="1"/>
      <c r="NYX7" s="1"/>
      <c r="NYY7" s="1"/>
      <c r="NYZ7" s="1"/>
      <c r="NZA7" s="1"/>
      <c r="NZB7" s="1"/>
      <c r="NZC7" s="1"/>
      <c r="NZD7" s="1"/>
      <c r="NZE7" s="1"/>
      <c r="NZF7" s="1"/>
      <c r="NZG7" s="1"/>
      <c r="NZH7" s="1"/>
      <c r="NZI7" s="1"/>
      <c r="NZJ7" s="1"/>
      <c r="NZK7" s="1"/>
      <c r="NZL7" s="1"/>
      <c r="NZM7" s="1"/>
      <c r="NZN7" s="1"/>
      <c r="NZO7" s="1"/>
      <c r="NZP7" s="1"/>
      <c r="NZQ7" s="1"/>
      <c r="NZR7" s="1"/>
      <c r="NZS7" s="1"/>
      <c r="NZT7" s="1"/>
      <c r="NZU7" s="1"/>
      <c r="NZV7" s="1"/>
      <c r="NZW7" s="1"/>
      <c r="NZX7" s="1"/>
      <c r="NZY7" s="1"/>
      <c r="NZZ7" s="1"/>
      <c r="OAA7" s="1"/>
      <c r="OAB7" s="1"/>
      <c r="OAC7" s="1"/>
      <c r="OAD7" s="1"/>
      <c r="OAE7" s="1"/>
      <c r="OAF7" s="1"/>
      <c r="OAG7" s="1"/>
      <c r="OAH7" s="1"/>
      <c r="OAI7" s="1"/>
      <c r="OAJ7" s="1"/>
      <c r="OAK7" s="1"/>
      <c r="OAL7" s="1"/>
      <c r="OAM7" s="1"/>
      <c r="OAN7" s="1"/>
      <c r="OAO7" s="1"/>
      <c r="OAP7" s="1"/>
      <c r="OAQ7" s="1"/>
      <c r="OAR7" s="1"/>
      <c r="OAS7" s="1"/>
      <c r="OAT7" s="1"/>
      <c r="OAU7" s="1"/>
      <c r="OAV7" s="1"/>
      <c r="OAW7" s="1"/>
      <c r="OAX7" s="1"/>
      <c r="OAY7" s="1"/>
      <c r="OAZ7" s="1"/>
      <c r="OBA7" s="1"/>
      <c r="OBB7" s="1"/>
      <c r="OBC7" s="1"/>
      <c r="OBD7" s="1"/>
      <c r="OBE7" s="1"/>
      <c r="OBF7" s="1"/>
      <c r="OBG7" s="1"/>
      <c r="OBH7" s="1"/>
      <c r="OBI7" s="1"/>
      <c r="OBJ7" s="1"/>
      <c r="OBK7" s="1"/>
      <c r="OBL7" s="1"/>
      <c r="OBM7" s="1"/>
      <c r="OBN7" s="1"/>
      <c r="OBO7" s="1"/>
      <c r="OBP7" s="1"/>
      <c r="OBQ7" s="1"/>
      <c r="OBR7" s="1"/>
      <c r="OBS7" s="1"/>
      <c r="OBT7" s="1"/>
      <c r="OBU7" s="1"/>
      <c r="OBV7" s="1"/>
      <c r="OBW7" s="1"/>
      <c r="OBX7" s="1"/>
      <c r="OBY7" s="1"/>
      <c r="OBZ7" s="1"/>
      <c r="OCA7" s="1"/>
      <c r="OCB7" s="1"/>
      <c r="OCC7" s="1"/>
      <c r="OCD7" s="1"/>
      <c r="OCE7" s="1"/>
      <c r="OCF7" s="1"/>
      <c r="OCG7" s="1"/>
      <c r="OCH7" s="1"/>
      <c r="OCI7" s="1"/>
      <c r="OCJ7" s="1"/>
      <c r="OCK7" s="1"/>
      <c r="OCL7" s="1"/>
      <c r="OCM7" s="1"/>
      <c r="OCN7" s="1"/>
      <c r="OCO7" s="1"/>
      <c r="OCP7" s="1"/>
      <c r="OCQ7" s="1"/>
      <c r="OCR7" s="1"/>
      <c r="OCS7" s="1"/>
      <c r="OCT7" s="1"/>
      <c r="OCU7" s="1"/>
      <c r="OCV7" s="1"/>
      <c r="OCW7" s="1"/>
      <c r="OCX7" s="1"/>
      <c r="OCY7" s="1"/>
      <c r="OCZ7" s="1"/>
      <c r="ODA7" s="1"/>
      <c r="ODB7" s="1"/>
      <c r="ODC7" s="1"/>
      <c r="ODD7" s="1"/>
      <c r="ODE7" s="1"/>
      <c r="ODF7" s="1"/>
      <c r="ODG7" s="1"/>
      <c r="ODH7" s="1"/>
      <c r="ODI7" s="1"/>
      <c r="ODJ7" s="1"/>
      <c r="ODK7" s="1"/>
      <c r="ODL7" s="1"/>
      <c r="ODM7" s="1"/>
      <c r="ODN7" s="1"/>
      <c r="ODO7" s="1"/>
      <c r="ODP7" s="1"/>
      <c r="ODQ7" s="1"/>
      <c r="ODR7" s="1"/>
      <c r="ODS7" s="1"/>
      <c r="ODT7" s="1"/>
      <c r="ODU7" s="1"/>
      <c r="ODV7" s="1"/>
      <c r="ODW7" s="1"/>
      <c r="ODX7" s="1"/>
      <c r="ODY7" s="1"/>
      <c r="ODZ7" s="1"/>
      <c r="OEA7" s="1"/>
      <c r="OEB7" s="1"/>
      <c r="OEC7" s="1"/>
      <c r="OED7" s="1"/>
      <c r="OEE7" s="1"/>
      <c r="OEF7" s="1"/>
      <c r="OEG7" s="1"/>
      <c r="OEH7" s="1"/>
      <c r="OEI7" s="1"/>
      <c r="OEJ7" s="1"/>
      <c r="OEK7" s="1"/>
      <c r="OEL7" s="1"/>
      <c r="OEM7" s="1"/>
      <c r="OEN7" s="1"/>
      <c r="OEO7" s="1"/>
      <c r="OEP7" s="1"/>
      <c r="OEQ7" s="1"/>
      <c r="OER7" s="1"/>
      <c r="OES7" s="1"/>
      <c r="OET7" s="1"/>
      <c r="OEU7" s="1"/>
      <c r="OEV7" s="1"/>
      <c r="OEW7" s="1"/>
      <c r="OEX7" s="1"/>
      <c r="OEY7" s="1"/>
      <c r="OEZ7" s="1"/>
      <c r="OFA7" s="1"/>
      <c r="OFB7" s="1"/>
      <c r="OFC7" s="1"/>
      <c r="OFD7" s="1"/>
      <c r="OFE7" s="1"/>
      <c r="OFF7" s="1"/>
      <c r="OFG7" s="1"/>
      <c r="OFH7" s="1"/>
      <c r="OFI7" s="1"/>
      <c r="OFJ7" s="1"/>
      <c r="OFK7" s="1"/>
      <c r="OFL7" s="1"/>
      <c r="OFM7" s="1"/>
      <c r="OFN7" s="1"/>
      <c r="OFO7" s="1"/>
      <c r="OFP7" s="1"/>
      <c r="OFQ7" s="1"/>
      <c r="OFR7" s="1"/>
      <c r="OFS7" s="1"/>
      <c r="OFT7" s="1"/>
      <c r="OFU7" s="1"/>
      <c r="OFV7" s="1"/>
      <c r="OFW7" s="1"/>
      <c r="OFX7" s="1"/>
      <c r="OFY7" s="1"/>
      <c r="OFZ7" s="1"/>
      <c r="OGA7" s="1"/>
      <c r="OGB7" s="1"/>
      <c r="OGC7" s="1"/>
      <c r="OGD7" s="1"/>
      <c r="OGE7" s="1"/>
      <c r="OGF7" s="1"/>
      <c r="OGG7" s="1"/>
      <c r="OGH7" s="1"/>
      <c r="OGI7" s="1"/>
      <c r="OGJ7" s="1"/>
      <c r="OGK7" s="1"/>
      <c r="OGL7" s="1"/>
      <c r="OGM7" s="1"/>
      <c r="OGN7" s="1"/>
      <c r="OGO7" s="1"/>
      <c r="OGP7" s="1"/>
      <c r="OGQ7" s="1"/>
      <c r="OGR7" s="1"/>
      <c r="OGS7" s="1"/>
      <c r="OGT7" s="1"/>
      <c r="OGU7" s="1"/>
      <c r="OGV7" s="1"/>
      <c r="OGW7" s="1"/>
      <c r="OGX7" s="1"/>
      <c r="OGY7" s="1"/>
      <c r="OGZ7" s="1"/>
      <c r="OHA7" s="1"/>
      <c r="OHB7" s="1"/>
      <c r="OHC7" s="1"/>
      <c r="OHD7" s="1"/>
      <c r="OHE7" s="1"/>
      <c r="OHF7" s="1"/>
      <c r="OHG7" s="1"/>
      <c r="OHH7" s="1"/>
      <c r="OHI7" s="1"/>
      <c r="OHJ7" s="1"/>
      <c r="OHK7" s="1"/>
      <c r="OHL7" s="1"/>
      <c r="OHM7" s="1"/>
      <c r="OHN7" s="1"/>
      <c r="OHO7" s="1"/>
      <c r="OHP7" s="1"/>
      <c r="OHQ7" s="1"/>
      <c r="OHR7" s="1"/>
      <c r="OHS7" s="1"/>
      <c r="OHT7" s="1"/>
      <c r="OHU7" s="1"/>
      <c r="OHV7" s="1"/>
      <c r="OHW7" s="1"/>
      <c r="OHX7" s="1"/>
      <c r="OHY7" s="1"/>
      <c r="OHZ7" s="1"/>
      <c r="OIA7" s="1"/>
      <c r="OIB7" s="1"/>
      <c r="OIC7" s="1"/>
      <c r="OID7" s="1"/>
      <c r="OIE7" s="1"/>
      <c r="OIF7" s="1"/>
      <c r="OIG7" s="1"/>
      <c r="OIH7" s="1"/>
      <c r="OII7" s="1"/>
      <c r="OIJ7" s="1"/>
      <c r="OIK7" s="1"/>
      <c r="OIL7" s="1"/>
      <c r="OIM7" s="1"/>
      <c r="OIN7" s="1"/>
      <c r="OIO7" s="1"/>
      <c r="OIP7" s="1"/>
      <c r="OIQ7" s="1"/>
      <c r="OIR7" s="1"/>
      <c r="OIS7" s="1"/>
      <c r="OIT7" s="1"/>
      <c r="OIU7" s="1"/>
      <c r="OIV7" s="1"/>
      <c r="OIW7" s="1"/>
      <c r="OIX7" s="1"/>
      <c r="OIY7" s="1"/>
      <c r="OIZ7" s="1"/>
      <c r="OJA7" s="1"/>
      <c r="OJB7" s="1"/>
      <c r="OJC7" s="1"/>
      <c r="OJD7" s="1"/>
      <c r="OJE7" s="1"/>
      <c r="OJF7" s="1"/>
      <c r="OJG7" s="1"/>
      <c r="OJH7" s="1"/>
      <c r="OJI7" s="1"/>
      <c r="OJJ7" s="1"/>
      <c r="OJK7" s="1"/>
      <c r="OJL7" s="1"/>
      <c r="OJM7" s="1"/>
      <c r="OJN7" s="1"/>
      <c r="OJO7" s="1"/>
      <c r="OJP7" s="1"/>
      <c r="OJQ7" s="1"/>
      <c r="OJR7" s="1"/>
      <c r="OJS7" s="1"/>
      <c r="OJT7" s="1"/>
      <c r="OJU7" s="1"/>
      <c r="OJV7" s="1"/>
      <c r="OJW7" s="1"/>
      <c r="OJX7" s="1"/>
      <c r="OJY7" s="1"/>
      <c r="OJZ7" s="1"/>
      <c r="OKA7" s="1"/>
      <c r="OKB7" s="1"/>
      <c r="OKC7" s="1"/>
      <c r="OKD7" s="1"/>
      <c r="OKE7" s="1"/>
      <c r="OKF7" s="1"/>
      <c r="OKG7" s="1"/>
      <c r="OKH7" s="1"/>
      <c r="OKI7" s="1"/>
      <c r="OKJ7" s="1"/>
      <c r="OKK7" s="1"/>
      <c r="OKL7" s="1"/>
      <c r="OKM7" s="1"/>
      <c r="OKN7" s="1"/>
      <c r="OKO7" s="1"/>
      <c r="OKP7" s="1"/>
      <c r="OKQ7" s="1"/>
      <c r="OKR7" s="1"/>
      <c r="OKS7" s="1"/>
      <c r="OKT7" s="1"/>
      <c r="OKU7" s="1"/>
      <c r="OKV7" s="1"/>
      <c r="OKW7" s="1"/>
      <c r="OKX7" s="1"/>
      <c r="OKY7" s="1"/>
      <c r="OKZ7" s="1"/>
      <c r="OLA7" s="1"/>
      <c r="OLB7" s="1"/>
      <c r="OLC7" s="1"/>
      <c r="OLD7" s="1"/>
      <c r="OLE7" s="1"/>
      <c r="OLF7" s="1"/>
      <c r="OLG7" s="1"/>
      <c r="OLH7" s="1"/>
      <c r="OLI7" s="1"/>
      <c r="OLJ7" s="1"/>
      <c r="OLK7" s="1"/>
      <c r="OLL7" s="1"/>
      <c r="OLM7" s="1"/>
      <c r="OLN7" s="1"/>
      <c r="OLO7" s="1"/>
      <c r="OLP7" s="1"/>
      <c r="OLQ7" s="1"/>
      <c r="OLR7" s="1"/>
      <c r="OLS7" s="1"/>
      <c r="OLT7" s="1"/>
      <c r="OLU7" s="1"/>
      <c r="OLV7" s="1"/>
      <c r="OLW7" s="1"/>
      <c r="OLX7" s="1"/>
      <c r="OLY7" s="1"/>
      <c r="OLZ7" s="1"/>
      <c r="OMA7" s="1"/>
      <c r="OMB7" s="1"/>
      <c r="OMC7" s="1"/>
      <c r="OMD7" s="1"/>
      <c r="OME7" s="1"/>
      <c r="OMF7" s="1"/>
      <c r="OMG7" s="1"/>
      <c r="OMH7" s="1"/>
      <c r="OMI7" s="1"/>
      <c r="OMJ7" s="1"/>
      <c r="OMK7" s="1"/>
      <c r="OML7" s="1"/>
      <c r="OMM7" s="1"/>
      <c r="OMN7" s="1"/>
      <c r="OMO7" s="1"/>
      <c r="OMP7" s="1"/>
      <c r="OMQ7" s="1"/>
      <c r="OMR7" s="1"/>
      <c r="OMS7" s="1"/>
      <c r="OMT7" s="1"/>
      <c r="OMU7" s="1"/>
      <c r="OMV7" s="1"/>
      <c r="OMW7" s="1"/>
      <c r="OMX7" s="1"/>
      <c r="OMY7" s="1"/>
      <c r="OMZ7" s="1"/>
      <c r="ONA7" s="1"/>
      <c r="ONB7" s="1"/>
      <c r="ONC7" s="1"/>
      <c r="OND7" s="1"/>
      <c r="ONE7" s="1"/>
      <c r="ONF7" s="1"/>
      <c r="ONG7" s="1"/>
      <c r="ONH7" s="1"/>
      <c r="ONI7" s="1"/>
      <c r="ONJ7" s="1"/>
      <c r="ONK7" s="1"/>
      <c r="ONL7" s="1"/>
      <c r="ONM7" s="1"/>
      <c r="ONN7" s="1"/>
      <c r="ONO7" s="1"/>
      <c r="ONP7" s="1"/>
      <c r="ONQ7" s="1"/>
      <c r="ONR7" s="1"/>
      <c r="ONS7" s="1"/>
      <c r="ONT7" s="1"/>
      <c r="ONU7" s="1"/>
      <c r="ONV7" s="1"/>
      <c r="ONW7" s="1"/>
      <c r="ONX7" s="1"/>
      <c r="ONY7" s="1"/>
      <c r="ONZ7" s="1"/>
      <c r="OOA7" s="1"/>
      <c r="OOB7" s="1"/>
      <c r="OOC7" s="1"/>
      <c r="OOD7" s="1"/>
      <c r="OOE7" s="1"/>
      <c r="OOF7" s="1"/>
      <c r="OOG7" s="1"/>
      <c r="OOH7" s="1"/>
      <c r="OOI7" s="1"/>
      <c r="OOJ7" s="1"/>
      <c r="OOK7" s="1"/>
      <c r="OOL7" s="1"/>
      <c r="OOM7" s="1"/>
      <c r="OON7" s="1"/>
      <c r="OOO7" s="1"/>
      <c r="OOP7" s="1"/>
      <c r="OOQ7" s="1"/>
      <c r="OOR7" s="1"/>
      <c r="OOS7" s="1"/>
      <c r="OOT7" s="1"/>
      <c r="OOU7" s="1"/>
      <c r="OOV7" s="1"/>
      <c r="OOW7" s="1"/>
      <c r="OOX7" s="1"/>
      <c r="OOY7" s="1"/>
      <c r="OOZ7" s="1"/>
      <c r="OPA7" s="1"/>
      <c r="OPB7" s="1"/>
      <c r="OPC7" s="1"/>
      <c r="OPD7" s="1"/>
      <c r="OPE7" s="1"/>
      <c r="OPF7" s="1"/>
      <c r="OPG7" s="1"/>
      <c r="OPH7" s="1"/>
      <c r="OPI7" s="1"/>
      <c r="OPJ7" s="1"/>
      <c r="OPK7" s="1"/>
      <c r="OPL7" s="1"/>
      <c r="OPM7" s="1"/>
      <c r="OPN7" s="1"/>
      <c r="OPO7" s="1"/>
      <c r="OPP7" s="1"/>
      <c r="OPQ7" s="1"/>
      <c r="OPR7" s="1"/>
      <c r="OPS7" s="1"/>
      <c r="OPT7" s="1"/>
      <c r="OPU7" s="1"/>
      <c r="OPV7" s="1"/>
      <c r="OPW7" s="1"/>
      <c r="OPX7" s="1"/>
      <c r="OPY7" s="1"/>
      <c r="OPZ7" s="1"/>
      <c r="OQA7" s="1"/>
      <c r="OQB7" s="1"/>
      <c r="OQC7" s="1"/>
      <c r="OQD7" s="1"/>
      <c r="OQE7" s="1"/>
      <c r="OQF7" s="1"/>
      <c r="OQG7" s="1"/>
      <c r="OQH7" s="1"/>
      <c r="OQI7" s="1"/>
      <c r="OQJ7" s="1"/>
      <c r="OQK7" s="1"/>
      <c r="OQL7" s="1"/>
      <c r="OQM7" s="1"/>
      <c r="OQN7" s="1"/>
      <c r="OQO7" s="1"/>
      <c r="OQP7" s="1"/>
      <c r="OQQ7" s="1"/>
      <c r="OQR7" s="1"/>
      <c r="OQS7" s="1"/>
      <c r="OQT7" s="1"/>
      <c r="OQU7" s="1"/>
      <c r="OQV7" s="1"/>
      <c r="OQW7" s="1"/>
      <c r="OQX7" s="1"/>
      <c r="OQY7" s="1"/>
      <c r="OQZ7" s="1"/>
      <c r="ORA7" s="1"/>
      <c r="ORB7" s="1"/>
      <c r="ORC7" s="1"/>
      <c r="ORD7" s="1"/>
      <c r="ORE7" s="1"/>
      <c r="ORF7" s="1"/>
      <c r="ORG7" s="1"/>
      <c r="ORH7" s="1"/>
      <c r="ORI7" s="1"/>
      <c r="ORJ7" s="1"/>
      <c r="ORK7" s="1"/>
      <c r="ORL7" s="1"/>
      <c r="ORM7" s="1"/>
      <c r="ORN7" s="1"/>
      <c r="ORO7" s="1"/>
      <c r="ORP7" s="1"/>
      <c r="ORQ7" s="1"/>
      <c r="ORR7" s="1"/>
      <c r="ORS7" s="1"/>
      <c r="ORT7" s="1"/>
      <c r="ORU7" s="1"/>
      <c r="ORV7" s="1"/>
      <c r="ORW7" s="1"/>
      <c r="ORX7" s="1"/>
      <c r="ORY7" s="1"/>
      <c r="ORZ7" s="1"/>
      <c r="OSA7" s="1"/>
      <c r="OSB7" s="1"/>
      <c r="OSC7" s="1"/>
      <c r="OSD7" s="1"/>
      <c r="OSE7" s="1"/>
      <c r="OSF7" s="1"/>
      <c r="OSG7" s="1"/>
      <c r="OSH7" s="1"/>
      <c r="OSI7" s="1"/>
      <c r="OSJ7" s="1"/>
      <c r="OSK7" s="1"/>
      <c r="OSL7" s="1"/>
      <c r="OSM7" s="1"/>
      <c r="OSN7" s="1"/>
      <c r="OSO7" s="1"/>
      <c r="OSP7" s="1"/>
      <c r="OSQ7" s="1"/>
      <c r="OSR7" s="1"/>
      <c r="OSS7" s="1"/>
      <c r="OST7" s="1"/>
      <c r="OSU7" s="1"/>
      <c r="OSV7" s="1"/>
      <c r="OSW7" s="1"/>
      <c r="OSX7" s="1"/>
      <c r="OSY7" s="1"/>
      <c r="OSZ7" s="1"/>
      <c r="OTA7" s="1"/>
      <c r="OTB7" s="1"/>
      <c r="OTC7" s="1"/>
      <c r="OTD7" s="1"/>
      <c r="OTE7" s="1"/>
      <c r="OTF7" s="1"/>
      <c r="OTG7" s="1"/>
      <c r="OTH7" s="1"/>
      <c r="OTI7" s="1"/>
      <c r="OTJ7" s="1"/>
      <c r="OTK7" s="1"/>
      <c r="OTL7" s="1"/>
      <c r="OTM7" s="1"/>
      <c r="OTN7" s="1"/>
      <c r="OTO7" s="1"/>
      <c r="OTP7" s="1"/>
      <c r="OTQ7" s="1"/>
      <c r="OTR7" s="1"/>
      <c r="OTS7" s="1"/>
      <c r="OTT7" s="1"/>
      <c r="OTU7" s="1"/>
      <c r="OTV7" s="1"/>
      <c r="OTW7" s="1"/>
      <c r="OTX7" s="1"/>
      <c r="OTY7" s="1"/>
      <c r="OTZ7" s="1"/>
      <c r="OUA7" s="1"/>
      <c r="OUB7" s="1"/>
      <c r="OUC7" s="1"/>
      <c r="OUD7" s="1"/>
      <c r="OUE7" s="1"/>
      <c r="OUF7" s="1"/>
      <c r="OUG7" s="1"/>
      <c r="OUH7" s="1"/>
      <c r="OUI7" s="1"/>
      <c r="OUJ7" s="1"/>
      <c r="OUK7" s="1"/>
      <c r="OUL7" s="1"/>
      <c r="OUM7" s="1"/>
      <c r="OUN7" s="1"/>
      <c r="OUO7" s="1"/>
      <c r="OUP7" s="1"/>
      <c r="OUQ7" s="1"/>
      <c r="OUR7" s="1"/>
      <c r="OUS7" s="1"/>
      <c r="OUT7" s="1"/>
      <c r="OUU7" s="1"/>
      <c r="OUV7" s="1"/>
      <c r="OUW7" s="1"/>
      <c r="OUX7" s="1"/>
      <c r="OUY7" s="1"/>
      <c r="OUZ7" s="1"/>
      <c r="OVA7" s="1"/>
      <c r="OVB7" s="1"/>
      <c r="OVC7" s="1"/>
      <c r="OVD7" s="1"/>
      <c r="OVE7" s="1"/>
      <c r="OVF7" s="1"/>
      <c r="OVG7" s="1"/>
      <c r="OVH7" s="1"/>
      <c r="OVI7" s="1"/>
      <c r="OVJ7" s="1"/>
      <c r="OVK7" s="1"/>
      <c r="OVL7" s="1"/>
      <c r="OVM7" s="1"/>
      <c r="OVN7" s="1"/>
      <c r="OVO7" s="1"/>
      <c r="OVP7" s="1"/>
      <c r="OVQ7" s="1"/>
      <c r="OVR7" s="1"/>
      <c r="OVS7" s="1"/>
      <c r="OVT7" s="1"/>
      <c r="OVU7" s="1"/>
      <c r="OVV7" s="1"/>
      <c r="OVW7" s="1"/>
      <c r="OVX7" s="1"/>
      <c r="OVY7" s="1"/>
      <c r="OVZ7" s="1"/>
      <c r="OWA7" s="1"/>
      <c r="OWB7" s="1"/>
      <c r="OWC7" s="1"/>
      <c r="OWD7" s="1"/>
      <c r="OWE7" s="1"/>
      <c r="OWF7" s="1"/>
      <c r="OWG7" s="1"/>
      <c r="OWH7" s="1"/>
      <c r="OWI7" s="1"/>
      <c r="OWJ7" s="1"/>
      <c r="OWK7" s="1"/>
      <c r="OWL7" s="1"/>
      <c r="OWM7" s="1"/>
      <c r="OWN7" s="1"/>
      <c r="OWO7" s="1"/>
      <c r="OWP7" s="1"/>
      <c r="OWQ7" s="1"/>
      <c r="OWR7" s="1"/>
      <c r="OWS7" s="1"/>
      <c r="OWT7" s="1"/>
      <c r="OWU7" s="1"/>
      <c r="OWV7" s="1"/>
      <c r="OWW7" s="1"/>
      <c r="OWX7" s="1"/>
      <c r="OWY7" s="1"/>
      <c r="OWZ7" s="1"/>
      <c r="OXA7" s="1"/>
      <c r="OXB7" s="1"/>
      <c r="OXC7" s="1"/>
      <c r="OXD7" s="1"/>
      <c r="OXE7" s="1"/>
      <c r="OXF7" s="1"/>
      <c r="OXG7" s="1"/>
      <c r="OXH7" s="1"/>
      <c r="OXI7" s="1"/>
      <c r="OXJ7" s="1"/>
      <c r="OXK7" s="1"/>
      <c r="OXL7" s="1"/>
      <c r="OXM7" s="1"/>
      <c r="OXN7" s="1"/>
      <c r="OXO7" s="1"/>
      <c r="OXP7" s="1"/>
      <c r="OXQ7" s="1"/>
      <c r="OXR7" s="1"/>
      <c r="OXS7" s="1"/>
      <c r="OXT7" s="1"/>
      <c r="OXU7" s="1"/>
      <c r="OXV7" s="1"/>
      <c r="OXW7" s="1"/>
      <c r="OXX7" s="1"/>
      <c r="OXY7" s="1"/>
      <c r="OXZ7" s="1"/>
      <c r="OYA7" s="1"/>
      <c r="OYB7" s="1"/>
      <c r="OYC7" s="1"/>
      <c r="OYD7" s="1"/>
      <c r="OYE7" s="1"/>
      <c r="OYF7" s="1"/>
      <c r="OYG7" s="1"/>
      <c r="OYH7" s="1"/>
      <c r="OYI7" s="1"/>
      <c r="OYJ7" s="1"/>
      <c r="OYK7" s="1"/>
      <c r="OYL7" s="1"/>
      <c r="OYM7" s="1"/>
      <c r="OYN7" s="1"/>
      <c r="OYO7" s="1"/>
      <c r="OYP7" s="1"/>
      <c r="OYQ7" s="1"/>
      <c r="OYR7" s="1"/>
      <c r="OYS7" s="1"/>
      <c r="OYT7" s="1"/>
      <c r="OYU7" s="1"/>
      <c r="OYV7" s="1"/>
      <c r="OYW7" s="1"/>
      <c r="OYX7" s="1"/>
      <c r="OYY7" s="1"/>
      <c r="OYZ7" s="1"/>
      <c r="OZA7" s="1"/>
      <c r="OZB7" s="1"/>
      <c r="OZC7" s="1"/>
      <c r="OZD7" s="1"/>
      <c r="OZE7" s="1"/>
      <c r="OZF7" s="1"/>
      <c r="OZG7" s="1"/>
      <c r="OZH7" s="1"/>
      <c r="OZI7" s="1"/>
      <c r="OZJ7" s="1"/>
      <c r="OZK7" s="1"/>
      <c r="OZL7" s="1"/>
      <c r="OZM7" s="1"/>
      <c r="OZN7" s="1"/>
      <c r="OZO7" s="1"/>
      <c r="OZP7" s="1"/>
      <c r="OZQ7" s="1"/>
      <c r="OZR7" s="1"/>
      <c r="OZS7" s="1"/>
      <c r="OZT7" s="1"/>
      <c r="OZU7" s="1"/>
      <c r="OZV7" s="1"/>
      <c r="OZW7" s="1"/>
      <c r="OZX7" s="1"/>
      <c r="OZY7" s="1"/>
      <c r="OZZ7" s="1"/>
      <c r="PAA7" s="1"/>
      <c r="PAB7" s="1"/>
      <c r="PAC7" s="1"/>
      <c r="PAD7" s="1"/>
      <c r="PAE7" s="1"/>
      <c r="PAF7" s="1"/>
      <c r="PAG7" s="1"/>
      <c r="PAH7" s="1"/>
      <c r="PAI7" s="1"/>
      <c r="PAJ7" s="1"/>
      <c r="PAK7" s="1"/>
      <c r="PAL7" s="1"/>
      <c r="PAM7" s="1"/>
      <c r="PAN7" s="1"/>
      <c r="PAO7" s="1"/>
      <c r="PAP7" s="1"/>
      <c r="PAQ7" s="1"/>
      <c r="PAR7" s="1"/>
      <c r="PAS7" s="1"/>
      <c r="PAT7" s="1"/>
      <c r="PAU7" s="1"/>
      <c r="PAV7" s="1"/>
      <c r="PAW7" s="1"/>
      <c r="PAX7" s="1"/>
      <c r="PAY7" s="1"/>
      <c r="PAZ7" s="1"/>
      <c r="PBA7" s="1"/>
      <c r="PBB7" s="1"/>
      <c r="PBC7" s="1"/>
      <c r="PBD7" s="1"/>
      <c r="PBE7" s="1"/>
      <c r="PBF7" s="1"/>
      <c r="PBG7" s="1"/>
      <c r="PBH7" s="1"/>
      <c r="PBI7" s="1"/>
      <c r="PBJ7" s="1"/>
      <c r="PBK7" s="1"/>
      <c r="PBL7" s="1"/>
      <c r="PBM7" s="1"/>
      <c r="PBN7" s="1"/>
      <c r="PBO7" s="1"/>
      <c r="PBP7" s="1"/>
      <c r="PBQ7" s="1"/>
      <c r="PBR7" s="1"/>
      <c r="PBS7" s="1"/>
      <c r="PBT7" s="1"/>
      <c r="PBU7" s="1"/>
      <c r="PBV7" s="1"/>
      <c r="PBW7" s="1"/>
      <c r="PBX7" s="1"/>
      <c r="PBY7" s="1"/>
      <c r="PBZ7" s="1"/>
      <c r="PCA7" s="1"/>
      <c r="PCB7" s="1"/>
      <c r="PCC7" s="1"/>
      <c r="PCD7" s="1"/>
      <c r="PCE7" s="1"/>
      <c r="PCF7" s="1"/>
      <c r="PCG7" s="1"/>
      <c r="PCH7" s="1"/>
      <c r="PCI7" s="1"/>
      <c r="PCJ7" s="1"/>
      <c r="PCK7" s="1"/>
      <c r="PCL7" s="1"/>
      <c r="PCM7" s="1"/>
      <c r="PCN7" s="1"/>
      <c r="PCO7" s="1"/>
      <c r="PCP7" s="1"/>
      <c r="PCQ7" s="1"/>
      <c r="PCR7" s="1"/>
      <c r="PCS7" s="1"/>
      <c r="PCT7" s="1"/>
      <c r="PCU7" s="1"/>
      <c r="PCV7" s="1"/>
      <c r="PCW7" s="1"/>
      <c r="PCX7" s="1"/>
      <c r="PCY7" s="1"/>
      <c r="PCZ7" s="1"/>
      <c r="PDA7" s="1"/>
      <c r="PDB7" s="1"/>
      <c r="PDC7" s="1"/>
      <c r="PDD7" s="1"/>
      <c r="PDE7" s="1"/>
      <c r="PDF7" s="1"/>
      <c r="PDG7" s="1"/>
      <c r="PDH7" s="1"/>
      <c r="PDI7" s="1"/>
      <c r="PDJ7" s="1"/>
      <c r="PDK7" s="1"/>
      <c r="PDL7" s="1"/>
      <c r="PDM7" s="1"/>
      <c r="PDN7" s="1"/>
      <c r="PDO7" s="1"/>
      <c r="PDP7" s="1"/>
      <c r="PDQ7" s="1"/>
      <c r="PDR7" s="1"/>
      <c r="PDS7" s="1"/>
      <c r="PDT7" s="1"/>
      <c r="PDU7" s="1"/>
      <c r="PDV7" s="1"/>
      <c r="PDW7" s="1"/>
      <c r="PDX7" s="1"/>
      <c r="PDY7" s="1"/>
      <c r="PDZ7" s="1"/>
      <c r="PEA7" s="1"/>
      <c r="PEB7" s="1"/>
      <c r="PEC7" s="1"/>
      <c r="PED7" s="1"/>
      <c r="PEE7" s="1"/>
      <c r="PEF7" s="1"/>
      <c r="PEG7" s="1"/>
      <c r="PEH7" s="1"/>
      <c r="PEI7" s="1"/>
      <c r="PEJ7" s="1"/>
      <c r="PEK7" s="1"/>
      <c r="PEL7" s="1"/>
      <c r="PEM7" s="1"/>
      <c r="PEN7" s="1"/>
      <c r="PEO7" s="1"/>
      <c r="PEP7" s="1"/>
      <c r="PEQ7" s="1"/>
      <c r="PER7" s="1"/>
      <c r="PES7" s="1"/>
      <c r="PET7" s="1"/>
      <c r="PEU7" s="1"/>
      <c r="PEV7" s="1"/>
      <c r="PEW7" s="1"/>
      <c r="PEX7" s="1"/>
      <c r="PEY7" s="1"/>
      <c r="PEZ7" s="1"/>
      <c r="PFA7" s="1"/>
      <c r="PFB7" s="1"/>
      <c r="PFC7" s="1"/>
      <c r="PFD7" s="1"/>
      <c r="PFE7" s="1"/>
      <c r="PFF7" s="1"/>
      <c r="PFG7" s="1"/>
      <c r="PFH7" s="1"/>
      <c r="PFI7" s="1"/>
      <c r="PFJ7" s="1"/>
      <c r="PFK7" s="1"/>
      <c r="PFL7" s="1"/>
      <c r="PFM7" s="1"/>
      <c r="PFN7" s="1"/>
      <c r="PFO7" s="1"/>
      <c r="PFP7" s="1"/>
      <c r="PFQ7" s="1"/>
      <c r="PFR7" s="1"/>
      <c r="PFS7" s="1"/>
      <c r="PFT7" s="1"/>
      <c r="PFU7" s="1"/>
      <c r="PFV7" s="1"/>
      <c r="PFW7" s="1"/>
      <c r="PFX7" s="1"/>
      <c r="PFY7" s="1"/>
      <c r="PFZ7" s="1"/>
      <c r="PGA7" s="1"/>
      <c r="PGB7" s="1"/>
      <c r="PGC7" s="1"/>
      <c r="PGD7" s="1"/>
      <c r="PGE7" s="1"/>
      <c r="PGF7" s="1"/>
      <c r="PGG7" s="1"/>
      <c r="PGH7" s="1"/>
      <c r="PGI7" s="1"/>
      <c r="PGJ7" s="1"/>
      <c r="PGK7" s="1"/>
      <c r="PGL7" s="1"/>
      <c r="PGM7" s="1"/>
      <c r="PGN7" s="1"/>
      <c r="PGO7" s="1"/>
      <c r="PGP7" s="1"/>
      <c r="PGQ7" s="1"/>
      <c r="PGR7" s="1"/>
      <c r="PGS7" s="1"/>
      <c r="PGT7" s="1"/>
      <c r="PGU7" s="1"/>
      <c r="PGV7" s="1"/>
      <c r="PGW7" s="1"/>
      <c r="PGX7" s="1"/>
      <c r="PGY7" s="1"/>
      <c r="PGZ7" s="1"/>
      <c r="PHA7" s="1"/>
      <c r="PHB7" s="1"/>
      <c r="PHC7" s="1"/>
      <c r="PHD7" s="1"/>
      <c r="PHE7" s="1"/>
      <c r="PHF7" s="1"/>
      <c r="PHG7" s="1"/>
      <c r="PHH7" s="1"/>
      <c r="PHI7" s="1"/>
      <c r="PHJ7" s="1"/>
      <c r="PHK7" s="1"/>
      <c r="PHL7" s="1"/>
      <c r="PHM7" s="1"/>
      <c r="PHN7" s="1"/>
      <c r="PHO7" s="1"/>
      <c r="PHP7" s="1"/>
      <c r="PHQ7" s="1"/>
      <c r="PHR7" s="1"/>
      <c r="PHS7" s="1"/>
      <c r="PHT7" s="1"/>
      <c r="PHU7" s="1"/>
      <c r="PHV7" s="1"/>
      <c r="PHW7" s="1"/>
      <c r="PHX7" s="1"/>
      <c r="PHY7" s="1"/>
      <c r="PHZ7" s="1"/>
      <c r="PIA7" s="1"/>
      <c r="PIB7" s="1"/>
      <c r="PIC7" s="1"/>
      <c r="PID7" s="1"/>
      <c r="PIE7" s="1"/>
      <c r="PIF7" s="1"/>
      <c r="PIG7" s="1"/>
      <c r="PIH7" s="1"/>
      <c r="PII7" s="1"/>
      <c r="PIJ7" s="1"/>
      <c r="PIK7" s="1"/>
      <c r="PIL7" s="1"/>
      <c r="PIM7" s="1"/>
      <c r="PIN7" s="1"/>
      <c r="PIO7" s="1"/>
      <c r="PIP7" s="1"/>
      <c r="PIQ7" s="1"/>
      <c r="PIR7" s="1"/>
      <c r="PIS7" s="1"/>
      <c r="PIT7" s="1"/>
      <c r="PIU7" s="1"/>
      <c r="PIV7" s="1"/>
      <c r="PIW7" s="1"/>
      <c r="PIX7" s="1"/>
      <c r="PIY7" s="1"/>
      <c r="PIZ7" s="1"/>
      <c r="PJA7" s="1"/>
      <c r="PJB7" s="1"/>
      <c r="PJC7" s="1"/>
      <c r="PJD7" s="1"/>
      <c r="PJE7" s="1"/>
      <c r="PJF7" s="1"/>
      <c r="PJG7" s="1"/>
      <c r="PJH7" s="1"/>
      <c r="PJI7" s="1"/>
      <c r="PJJ7" s="1"/>
      <c r="PJK7" s="1"/>
      <c r="PJL7" s="1"/>
      <c r="PJM7" s="1"/>
      <c r="PJN7" s="1"/>
      <c r="PJO7" s="1"/>
      <c r="PJP7" s="1"/>
      <c r="PJQ7" s="1"/>
      <c r="PJR7" s="1"/>
      <c r="PJS7" s="1"/>
      <c r="PJT7" s="1"/>
      <c r="PJU7" s="1"/>
      <c r="PJV7" s="1"/>
      <c r="PJW7" s="1"/>
      <c r="PJX7" s="1"/>
      <c r="PJY7" s="1"/>
      <c r="PJZ7" s="1"/>
      <c r="PKA7" s="1"/>
      <c r="PKB7" s="1"/>
      <c r="PKC7" s="1"/>
      <c r="PKD7" s="1"/>
      <c r="PKE7" s="1"/>
      <c r="PKF7" s="1"/>
      <c r="PKG7" s="1"/>
      <c r="PKH7" s="1"/>
      <c r="PKI7" s="1"/>
      <c r="PKJ7" s="1"/>
      <c r="PKK7" s="1"/>
      <c r="PKL7" s="1"/>
      <c r="PKM7" s="1"/>
      <c r="PKN7" s="1"/>
      <c r="PKO7" s="1"/>
      <c r="PKP7" s="1"/>
      <c r="PKQ7" s="1"/>
      <c r="PKR7" s="1"/>
      <c r="PKS7" s="1"/>
      <c r="PKT7" s="1"/>
      <c r="PKU7" s="1"/>
      <c r="PKV7" s="1"/>
      <c r="PKW7" s="1"/>
      <c r="PKX7" s="1"/>
      <c r="PKY7" s="1"/>
      <c r="PKZ7" s="1"/>
      <c r="PLA7" s="1"/>
      <c r="PLB7" s="1"/>
      <c r="PLC7" s="1"/>
      <c r="PLD7" s="1"/>
      <c r="PLE7" s="1"/>
      <c r="PLF7" s="1"/>
      <c r="PLG7" s="1"/>
      <c r="PLH7" s="1"/>
      <c r="PLI7" s="1"/>
      <c r="PLJ7" s="1"/>
      <c r="PLK7" s="1"/>
      <c r="PLL7" s="1"/>
      <c r="PLM7" s="1"/>
      <c r="PLN7" s="1"/>
      <c r="PLO7" s="1"/>
      <c r="PLP7" s="1"/>
      <c r="PLQ7" s="1"/>
      <c r="PLR7" s="1"/>
      <c r="PLS7" s="1"/>
      <c r="PLT7" s="1"/>
      <c r="PLU7" s="1"/>
      <c r="PLV7" s="1"/>
      <c r="PLW7" s="1"/>
      <c r="PLX7" s="1"/>
      <c r="PLY7" s="1"/>
      <c r="PLZ7" s="1"/>
      <c r="PMA7" s="1"/>
      <c r="PMB7" s="1"/>
      <c r="PMC7" s="1"/>
      <c r="PMD7" s="1"/>
      <c r="PME7" s="1"/>
      <c r="PMF7" s="1"/>
      <c r="PMG7" s="1"/>
      <c r="PMH7" s="1"/>
      <c r="PMI7" s="1"/>
      <c r="PMJ7" s="1"/>
      <c r="PMK7" s="1"/>
      <c r="PML7" s="1"/>
      <c r="PMM7" s="1"/>
      <c r="PMN7" s="1"/>
      <c r="PMO7" s="1"/>
      <c r="PMP7" s="1"/>
      <c r="PMQ7" s="1"/>
      <c r="PMR7" s="1"/>
      <c r="PMS7" s="1"/>
      <c r="PMT7" s="1"/>
      <c r="PMU7" s="1"/>
      <c r="PMV7" s="1"/>
      <c r="PMW7" s="1"/>
      <c r="PMX7" s="1"/>
      <c r="PMY7" s="1"/>
      <c r="PMZ7" s="1"/>
      <c r="PNA7" s="1"/>
      <c r="PNB7" s="1"/>
      <c r="PNC7" s="1"/>
      <c r="PND7" s="1"/>
      <c r="PNE7" s="1"/>
      <c r="PNF7" s="1"/>
      <c r="PNG7" s="1"/>
      <c r="PNH7" s="1"/>
      <c r="PNI7" s="1"/>
      <c r="PNJ7" s="1"/>
      <c r="PNK7" s="1"/>
      <c r="PNL7" s="1"/>
      <c r="PNM7" s="1"/>
      <c r="PNN7" s="1"/>
      <c r="PNO7" s="1"/>
      <c r="PNP7" s="1"/>
      <c r="PNQ7" s="1"/>
      <c r="PNR7" s="1"/>
      <c r="PNS7" s="1"/>
      <c r="PNT7" s="1"/>
      <c r="PNU7" s="1"/>
      <c r="PNV7" s="1"/>
      <c r="PNW7" s="1"/>
      <c r="PNX7" s="1"/>
      <c r="PNY7" s="1"/>
      <c r="PNZ7" s="1"/>
      <c r="POA7" s="1"/>
      <c r="POB7" s="1"/>
      <c r="POC7" s="1"/>
      <c r="POD7" s="1"/>
      <c r="POE7" s="1"/>
      <c r="POF7" s="1"/>
      <c r="POG7" s="1"/>
      <c r="POH7" s="1"/>
      <c r="POI7" s="1"/>
      <c r="POJ7" s="1"/>
      <c r="POK7" s="1"/>
      <c r="POL7" s="1"/>
      <c r="POM7" s="1"/>
      <c r="PON7" s="1"/>
      <c r="POO7" s="1"/>
      <c r="POP7" s="1"/>
      <c r="POQ7" s="1"/>
      <c r="POR7" s="1"/>
      <c r="POS7" s="1"/>
      <c r="POT7" s="1"/>
      <c r="POU7" s="1"/>
      <c r="POV7" s="1"/>
      <c r="POW7" s="1"/>
      <c r="POX7" s="1"/>
      <c r="POY7" s="1"/>
      <c r="POZ7" s="1"/>
      <c r="PPA7" s="1"/>
      <c r="PPB7" s="1"/>
      <c r="PPC7" s="1"/>
      <c r="PPD7" s="1"/>
      <c r="PPE7" s="1"/>
      <c r="PPF7" s="1"/>
      <c r="PPG7" s="1"/>
      <c r="PPH7" s="1"/>
      <c r="PPI7" s="1"/>
      <c r="PPJ7" s="1"/>
      <c r="PPK7" s="1"/>
      <c r="PPL7" s="1"/>
      <c r="PPM7" s="1"/>
      <c r="PPN7" s="1"/>
      <c r="PPO7" s="1"/>
      <c r="PPP7" s="1"/>
      <c r="PPQ7" s="1"/>
      <c r="PPR7" s="1"/>
      <c r="PPS7" s="1"/>
      <c r="PPT7" s="1"/>
      <c r="PPU7" s="1"/>
      <c r="PPV7" s="1"/>
      <c r="PPW7" s="1"/>
      <c r="PPX7" s="1"/>
      <c r="PPY7" s="1"/>
      <c r="PPZ7" s="1"/>
      <c r="PQA7" s="1"/>
      <c r="PQB7" s="1"/>
      <c r="PQC7" s="1"/>
      <c r="PQD7" s="1"/>
      <c r="PQE7" s="1"/>
      <c r="PQF7" s="1"/>
      <c r="PQG7" s="1"/>
      <c r="PQH7" s="1"/>
      <c r="PQI7" s="1"/>
      <c r="PQJ7" s="1"/>
      <c r="PQK7" s="1"/>
      <c r="PQL7" s="1"/>
      <c r="PQM7" s="1"/>
      <c r="PQN7" s="1"/>
      <c r="PQO7" s="1"/>
      <c r="PQP7" s="1"/>
      <c r="PQQ7" s="1"/>
      <c r="PQR7" s="1"/>
      <c r="PQS7" s="1"/>
      <c r="PQT7" s="1"/>
      <c r="PQU7" s="1"/>
      <c r="PQV7" s="1"/>
      <c r="PQW7" s="1"/>
      <c r="PQX7" s="1"/>
      <c r="PQY7" s="1"/>
      <c r="PQZ7" s="1"/>
      <c r="PRA7" s="1"/>
      <c r="PRB7" s="1"/>
      <c r="PRC7" s="1"/>
      <c r="PRD7" s="1"/>
      <c r="PRE7" s="1"/>
      <c r="PRF7" s="1"/>
      <c r="PRG7" s="1"/>
      <c r="PRH7" s="1"/>
      <c r="PRI7" s="1"/>
      <c r="PRJ7" s="1"/>
      <c r="PRK7" s="1"/>
      <c r="PRL7" s="1"/>
      <c r="PRM7" s="1"/>
      <c r="PRN7" s="1"/>
      <c r="PRO7" s="1"/>
      <c r="PRP7" s="1"/>
      <c r="PRQ7" s="1"/>
      <c r="PRR7" s="1"/>
      <c r="PRS7" s="1"/>
      <c r="PRT7" s="1"/>
      <c r="PRU7" s="1"/>
      <c r="PRV7" s="1"/>
      <c r="PRW7" s="1"/>
      <c r="PRX7" s="1"/>
      <c r="PRY7" s="1"/>
      <c r="PRZ7" s="1"/>
      <c r="PSA7" s="1"/>
      <c r="PSB7" s="1"/>
      <c r="PSC7" s="1"/>
      <c r="PSD7" s="1"/>
      <c r="PSE7" s="1"/>
      <c r="PSF7" s="1"/>
      <c r="PSG7" s="1"/>
      <c r="PSH7" s="1"/>
      <c r="PSI7" s="1"/>
      <c r="PSJ7" s="1"/>
      <c r="PSK7" s="1"/>
      <c r="PSL7" s="1"/>
      <c r="PSM7" s="1"/>
      <c r="PSN7" s="1"/>
      <c r="PSO7" s="1"/>
      <c r="PSP7" s="1"/>
      <c r="PSQ7" s="1"/>
      <c r="PSR7" s="1"/>
      <c r="PSS7" s="1"/>
      <c r="PST7" s="1"/>
      <c r="PSU7" s="1"/>
      <c r="PSV7" s="1"/>
      <c r="PSW7" s="1"/>
      <c r="PSX7" s="1"/>
      <c r="PSY7" s="1"/>
      <c r="PSZ7" s="1"/>
      <c r="PTA7" s="1"/>
      <c r="PTB7" s="1"/>
      <c r="PTC7" s="1"/>
      <c r="PTD7" s="1"/>
      <c r="PTE7" s="1"/>
      <c r="PTF7" s="1"/>
      <c r="PTG7" s="1"/>
      <c r="PTH7" s="1"/>
      <c r="PTI7" s="1"/>
      <c r="PTJ7" s="1"/>
      <c r="PTK7" s="1"/>
      <c r="PTL7" s="1"/>
      <c r="PTM7" s="1"/>
      <c r="PTN7" s="1"/>
      <c r="PTO7" s="1"/>
      <c r="PTP7" s="1"/>
      <c r="PTQ7" s="1"/>
      <c r="PTR7" s="1"/>
      <c r="PTS7" s="1"/>
      <c r="PTT7" s="1"/>
      <c r="PTU7" s="1"/>
      <c r="PTV7" s="1"/>
      <c r="PTW7" s="1"/>
      <c r="PTX7" s="1"/>
      <c r="PTY7" s="1"/>
      <c r="PTZ7" s="1"/>
      <c r="PUA7" s="1"/>
      <c r="PUB7" s="1"/>
      <c r="PUC7" s="1"/>
      <c r="PUD7" s="1"/>
      <c r="PUE7" s="1"/>
      <c r="PUF7" s="1"/>
      <c r="PUG7" s="1"/>
      <c r="PUH7" s="1"/>
      <c r="PUI7" s="1"/>
      <c r="PUJ7" s="1"/>
      <c r="PUK7" s="1"/>
      <c r="PUL7" s="1"/>
      <c r="PUM7" s="1"/>
      <c r="PUN7" s="1"/>
      <c r="PUO7" s="1"/>
      <c r="PUP7" s="1"/>
      <c r="PUQ7" s="1"/>
      <c r="PUR7" s="1"/>
      <c r="PUS7" s="1"/>
      <c r="PUT7" s="1"/>
      <c r="PUU7" s="1"/>
      <c r="PUV7" s="1"/>
      <c r="PUW7" s="1"/>
      <c r="PUX7" s="1"/>
      <c r="PUY7" s="1"/>
      <c r="PUZ7" s="1"/>
      <c r="PVA7" s="1"/>
      <c r="PVB7" s="1"/>
      <c r="PVC7" s="1"/>
      <c r="PVD7" s="1"/>
      <c r="PVE7" s="1"/>
      <c r="PVF7" s="1"/>
      <c r="PVG7" s="1"/>
      <c r="PVH7" s="1"/>
      <c r="PVI7" s="1"/>
      <c r="PVJ7" s="1"/>
      <c r="PVK7" s="1"/>
      <c r="PVL7" s="1"/>
      <c r="PVM7" s="1"/>
      <c r="PVN7" s="1"/>
      <c r="PVO7" s="1"/>
      <c r="PVP7" s="1"/>
      <c r="PVQ7" s="1"/>
      <c r="PVR7" s="1"/>
      <c r="PVS7" s="1"/>
      <c r="PVT7" s="1"/>
      <c r="PVU7" s="1"/>
      <c r="PVV7" s="1"/>
      <c r="PVW7" s="1"/>
      <c r="PVX7" s="1"/>
      <c r="PVY7" s="1"/>
      <c r="PVZ7" s="1"/>
      <c r="PWA7" s="1"/>
      <c r="PWB7" s="1"/>
      <c r="PWC7" s="1"/>
      <c r="PWD7" s="1"/>
      <c r="PWE7" s="1"/>
      <c r="PWF7" s="1"/>
      <c r="PWG7" s="1"/>
      <c r="PWH7" s="1"/>
      <c r="PWI7" s="1"/>
      <c r="PWJ7" s="1"/>
      <c r="PWK7" s="1"/>
      <c r="PWL7" s="1"/>
      <c r="PWM7" s="1"/>
      <c r="PWN7" s="1"/>
      <c r="PWO7" s="1"/>
      <c r="PWP7" s="1"/>
      <c r="PWQ7" s="1"/>
      <c r="PWR7" s="1"/>
      <c r="PWS7" s="1"/>
      <c r="PWT7" s="1"/>
      <c r="PWU7" s="1"/>
      <c r="PWV7" s="1"/>
      <c r="PWW7" s="1"/>
      <c r="PWX7" s="1"/>
      <c r="PWY7" s="1"/>
      <c r="PWZ7" s="1"/>
      <c r="PXA7" s="1"/>
      <c r="PXB7" s="1"/>
      <c r="PXC7" s="1"/>
      <c r="PXD7" s="1"/>
      <c r="PXE7" s="1"/>
      <c r="PXF7" s="1"/>
      <c r="PXG7" s="1"/>
      <c r="PXH7" s="1"/>
      <c r="PXI7" s="1"/>
      <c r="PXJ7" s="1"/>
      <c r="PXK7" s="1"/>
      <c r="PXL7" s="1"/>
      <c r="PXM7" s="1"/>
      <c r="PXN7" s="1"/>
      <c r="PXO7" s="1"/>
      <c r="PXP7" s="1"/>
      <c r="PXQ7" s="1"/>
      <c r="PXR7" s="1"/>
      <c r="PXS7" s="1"/>
      <c r="PXT7" s="1"/>
      <c r="PXU7" s="1"/>
      <c r="PXV7" s="1"/>
      <c r="PXW7" s="1"/>
      <c r="PXX7" s="1"/>
      <c r="PXY7" s="1"/>
      <c r="PXZ7" s="1"/>
      <c r="PYA7" s="1"/>
      <c r="PYB7" s="1"/>
      <c r="PYC7" s="1"/>
      <c r="PYD7" s="1"/>
      <c r="PYE7" s="1"/>
      <c r="PYF7" s="1"/>
      <c r="PYG7" s="1"/>
      <c r="PYH7" s="1"/>
      <c r="PYI7" s="1"/>
      <c r="PYJ7" s="1"/>
      <c r="PYK7" s="1"/>
      <c r="PYL7" s="1"/>
      <c r="PYM7" s="1"/>
      <c r="PYN7" s="1"/>
      <c r="PYO7" s="1"/>
      <c r="PYP7" s="1"/>
      <c r="PYQ7" s="1"/>
      <c r="PYR7" s="1"/>
      <c r="PYS7" s="1"/>
      <c r="PYT7" s="1"/>
      <c r="PYU7" s="1"/>
      <c r="PYV7" s="1"/>
      <c r="PYW7" s="1"/>
      <c r="PYX7" s="1"/>
      <c r="PYY7" s="1"/>
      <c r="PYZ7" s="1"/>
      <c r="PZA7" s="1"/>
      <c r="PZB7" s="1"/>
      <c r="PZC7" s="1"/>
      <c r="PZD7" s="1"/>
      <c r="PZE7" s="1"/>
      <c r="PZF7" s="1"/>
      <c r="PZG7" s="1"/>
      <c r="PZH7" s="1"/>
      <c r="PZI7" s="1"/>
      <c r="PZJ7" s="1"/>
      <c r="PZK7" s="1"/>
      <c r="PZL7" s="1"/>
      <c r="PZM7" s="1"/>
      <c r="PZN7" s="1"/>
      <c r="PZO7" s="1"/>
      <c r="PZP7" s="1"/>
      <c r="PZQ7" s="1"/>
      <c r="PZR7" s="1"/>
      <c r="PZS7" s="1"/>
      <c r="PZT7" s="1"/>
      <c r="PZU7" s="1"/>
      <c r="PZV7" s="1"/>
      <c r="PZW7" s="1"/>
      <c r="PZX7" s="1"/>
      <c r="PZY7" s="1"/>
      <c r="PZZ7" s="1"/>
      <c r="QAA7" s="1"/>
      <c r="QAB7" s="1"/>
      <c r="QAC7" s="1"/>
      <c r="QAD7" s="1"/>
      <c r="QAE7" s="1"/>
      <c r="QAF7" s="1"/>
      <c r="QAG7" s="1"/>
      <c r="QAH7" s="1"/>
      <c r="QAI7" s="1"/>
      <c r="QAJ7" s="1"/>
      <c r="QAK7" s="1"/>
      <c r="QAL7" s="1"/>
      <c r="QAM7" s="1"/>
      <c r="QAN7" s="1"/>
      <c r="QAO7" s="1"/>
      <c r="QAP7" s="1"/>
      <c r="QAQ7" s="1"/>
      <c r="QAR7" s="1"/>
      <c r="QAS7" s="1"/>
      <c r="QAT7" s="1"/>
      <c r="QAU7" s="1"/>
      <c r="QAV7" s="1"/>
      <c r="QAW7" s="1"/>
      <c r="QAX7" s="1"/>
      <c r="QAY7" s="1"/>
      <c r="QAZ7" s="1"/>
      <c r="QBA7" s="1"/>
      <c r="QBB7" s="1"/>
      <c r="QBC7" s="1"/>
      <c r="QBD7" s="1"/>
      <c r="QBE7" s="1"/>
      <c r="QBF7" s="1"/>
      <c r="QBG7" s="1"/>
      <c r="QBH7" s="1"/>
      <c r="QBI7" s="1"/>
      <c r="QBJ7" s="1"/>
      <c r="QBK7" s="1"/>
      <c r="QBL7" s="1"/>
      <c r="QBM7" s="1"/>
      <c r="QBN7" s="1"/>
      <c r="QBO7" s="1"/>
      <c r="QBP7" s="1"/>
      <c r="QBQ7" s="1"/>
      <c r="QBR7" s="1"/>
      <c r="QBS7" s="1"/>
      <c r="QBT7" s="1"/>
      <c r="QBU7" s="1"/>
      <c r="QBV7" s="1"/>
      <c r="QBW7" s="1"/>
      <c r="QBX7" s="1"/>
      <c r="QBY7" s="1"/>
      <c r="QBZ7" s="1"/>
      <c r="QCA7" s="1"/>
      <c r="QCB7" s="1"/>
      <c r="QCC7" s="1"/>
      <c r="QCD7" s="1"/>
      <c r="QCE7" s="1"/>
      <c r="QCF7" s="1"/>
      <c r="QCG7" s="1"/>
      <c r="QCH7" s="1"/>
      <c r="QCI7" s="1"/>
      <c r="QCJ7" s="1"/>
      <c r="QCK7" s="1"/>
      <c r="QCL7" s="1"/>
      <c r="QCM7" s="1"/>
      <c r="QCN7" s="1"/>
      <c r="QCO7" s="1"/>
      <c r="QCP7" s="1"/>
      <c r="QCQ7" s="1"/>
      <c r="QCR7" s="1"/>
      <c r="QCS7" s="1"/>
      <c r="QCT7" s="1"/>
      <c r="QCU7" s="1"/>
      <c r="QCV7" s="1"/>
      <c r="QCW7" s="1"/>
      <c r="QCX7" s="1"/>
      <c r="QCY7" s="1"/>
      <c r="QCZ7" s="1"/>
      <c r="QDA7" s="1"/>
      <c r="QDB7" s="1"/>
      <c r="QDC7" s="1"/>
      <c r="QDD7" s="1"/>
      <c r="QDE7" s="1"/>
      <c r="QDF7" s="1"/>
      <c r="QDG7" s="1"/>
      <c r="QDH7" s="1"/>
      <c r="QDI7" s="1"/>
      <c r="QDJ7" s="1"/>
      <c r="QDK7" s="1"/>
      <c r="QDL7" s="1"/>
      <c r="QDM7" s="1"/>
      <c r="QDN7" s="1"/>
      <c r="QDO7" s="1"/>
      <c r="QDP7" s="1"/>
      <c r="QDQ7" s="1"/>
      <c r="QDR7" s="1"/>
      <c r="QDS7" s="1"/>
      <c r="QDT7" s="1"/>
      <c r="QDU7" s="1"/>
      <c r="QDV7" s="1"/>
      <c r="QDW7" s="1"/>
      <c r="QDX7" s="1"/>
      <c r="QDY7" s="1"/>
      <c r="QDZ7" s="1"/>
      <c r="QEA7" s="1"/>
      <c r="QEB7" s="1"/>
      <c r="QEC7" s="1"/>
      <c r="QED7" s="1"/>
      <c r="QEE7" s="1"/>
      <c r="QEF7" s="1"/>
      <c r="QEG7" s="1"/>
      <c r="QEH7" s="1"/>
      <c r="QEI7" s="1"/>
      <c r="QEJ7" s="1"/>
      <c r="QEK7" s="1"/>
      <c r="QEL7" s="1"/>
      <c r="QEM7" s="1"/>
      <c r="QEN7" s="1"/>
      <c r="QEO7" s="1"/>
      <c r="QEP7" s="1"/>
      <c r="QEQ7" s="1"/>
      <c r="QER7" s="1"/>
      <c r="QES7" s="1"/>
      <c r="QET7" s="1"/>
      <c r="QEU7" s="1"/>
      <c r="QEV7" s="1"/>
      <c r="QEW7" s="1"/>
      <c r="QEX7" s="1"/>
      <c r="QEY7" s="1"/>
      <c r="QEZ7" s="1"/>
      <c r="QFA7" s="1"/>
      <c r="QFB7" s="1"/>
      <c r="QFC7" s="1"/>
      <c r="QFD7" s="1"/>
      <c r="QFE7" s="1"/>
      <c r="QFF7" s="1"/>
      <c r="QFG7" s="1"/>
      <c r="QFH7" s="1"/>
      <c r="QFI7" s="1"/>
      <c r="QFJ7" s="1"/>
      <c r="QFK7" s="1"/>
      <c r="QFL7" s="1"/>
      <c r="QFM7" s="1"/>
      <c r="QFN7" s="1"/>
      <c r="QFO7" s="1"/>
      <c r="QFP7" s="1"/>
      <c r="QFQ7" s="1"/>
      <c r="QFR7" s="1"/>
      <c r="QFS7" s="1"/>
      <c r="QFT7" s="1"/>
      <c r="QFU7" s="1"/>
      <c r="QFV7" s="1"/>
      <c r="QFW7" s="1"/>
      <c r="QFX7" s="1"/>
      <c r="QFY7" s="1"/>
      <c r="QFZ7" s="1"/>
      <c r="QGA7" s="1"/>
      <c r="QGB7" s="1"/>
      <c r="QGC7" s="1"/>
      <c r="QGD7" s="1"/>
      <c r="QGE7" s="1"/>
      <c r="QGF7" s="1"/>
      <c r="QGG7" s="1"/>
      <c r="QGH7" s="1"/>
      <c r="QGI7" s="1"/>
      <c r="QGJ7" s="1"/>
      <c r="QGK7" s="1"/>
      <c r="QGL7" s="1"/>
      <c r="QGM7" s="1"/>
      <c r="QGN7" s="1"/>
      <c r="QGO7" s="1"/>
      <c r="QGP7" s="1"/>
      <c r="QGQ7" s="1"/>
      <c r="QGR7" s="1"/>
      <c r="QGS7" s="1"/>
      <c r="QGT7" s="1"/>
      <c r="QGU7" s="1"/>
      <c r="QGV7" s="1"/>
      <c r="QGW7" s="1"/>
      <c r="QGX7" s="1"/>
      <c r="QGY7" s="1"/>
      <c r="QGZ7" s="1"/>
      <c r="QHA7" s="1"/>
      <c r="QHB7" s="1"/>
      <c r="QHC7" s="1"/>
      <c r="QHD7" s="1"/>
      <c r="QHE7" s="1"/>
      <c r="QHF7" s="1"/>
      <c r="QHG7" s="1"/>
      <c r="QHH7" s="1"/>
      <c r="QHI7" s="1"/>
      <c r="QHJ7" s="1"/>
      <c r="QHK7" s="1"/>
      <c r="QHL7" s="1"/>
      <c r="QHM7" s="1"/>
      <c r="QHN7" s="1"/>
      <c r="QHO7" s="1"/>
      <c r="QHP7" s="1"/>
      <c r="QHQ7" s="1"/>
      <c r="QHR7" s="1"/>
      <c r="QHS7" s="1"/>
      <c r="QHT7" s="1"/>
      <c r="QHU7" s="1"/>
      <c r="QHV7" s="1"/>
      <c r="QHW7" s="1"/>
      <c r="QHX7" s="1"/>
      <c r="QHY7" s="1"/>
      <c r="QHZ7" s="1"/>
      <c r="QIA7" s="1"/>
      <c r="QIB7" s="1"/>
      <c r="QIC7" s="1"/>
      <c r="QID7" s="1"/>
      <c r="QIE7" s="1"/>
      <c r="QIF7" s="1"/>
      <c r="QIG7" s="1"/>
      <c r="QIH7" s="1"/>
      <c r="QII7" s="1"/>
      <c r="QIJ7" s="1"/>
      <c r="QIK7" s="1"/>
      <c r="QIL7" s="1"/>
      <c r="QIM7" s="1"/>
      <c r="QIN7" s="1"/>
      <c r="QIO7" s="1"/>
      <c r="QIP7" s="1"/>
      <c r="QIQ7" s="1"/>
      <c r="QIR7" s="1"/>
      <c r="QIS7" s="1"/>
      <c r="QIT7" s="1"/>
      <c r="QIU7" s="1"/>
      <c r="QIV7" s="1"/>
      <c r="QIW7" s="1"/>
      <c r="QIX7" s="1"/>
      <c r="QIY7" s="1"/>
      <c r="QIZ7" s="1"/>
      <c r="QJA7" s="1"/>
      <c r="QJB7" s="1"/>
      <c r="QJC7" s="1"/>
      <c r="QJD7" s="1"/>
      <c r="QJE7" s="1"/>
      <c r="QJF7" s="1"/>
      <c r="QJG7" s="1"/>
      <c r="QJH7" s="1"/>
      <c r="QJI7" s="1"/>
      <c r="QJJ7" s="1"/>
      <c r="QJK7" s="1"/>
      <c r="QJL7" s="1"/>
      <c r="QJM7" s="1"/>
      <c r="QJN7" s="1"/>
      <c r="QJO7" s="1"/>
      <c r="QJP7" s="1"/>
      <c r="QJQ7" s="1"/>
      <c r="QJR7" s="1"/>
      <c r="QJS7" s="1"/>
      <c r="QJT7" s="1"/>
      <c r="QJU7" s="1"/>
      <c r="QJV7" s="1"/>
      <c r="QJW7" s="1"/>
      <c r="QJX7" s="1"/>
      <c r="QJY7" s="1"/>
      <c r="QJZ7" s="1"/>
      <c r="QKA7" s="1"/>
      <c r="QKB7" s="1"/>
      <c r="QKC7" s="1"/>
      <c r="QKD7" s="1"/>
      <c r="QKE7" s="1"/>
      <c r="QKF7" s="1"/>
      <c r="QKG7" s="1"/>
      <c r="QKH7" s="1"/>
      <c r="QKI7" s="1"/>
      <c r="QKJ7" s="1"/>
      <c r="QKK7" s="1"/>
      <c r="QKL7" s="1"/>
      <c r="QKM7" s="1"/>
      <c r="QKN7" s="1"/>
      <c r="QKO7" s="1"/>
      <c r="QKP7" s="1"/>
      <c r="QKQ7" s="1"/>
      <c r="QKR7" s="1"/>
      <c r="QKS7" s="1"/>
      <c r="QKT7" s="1"/>
      <c r="QKU7" s="1"/>
      <c r="QKV7" s="1"/>
      <c r="QKW7" s="1"/>
      <c r="QKX7" s="1"/>
      <c r="QKY7" s="1"/>
      <c r="QKZ7" s="1"/>
      <c r="QLA7" s="1"/>
      <c r="QLB7" s="1"/>
      <c r="QLC7" s="1"/>
      <c r="QLD7" s="1"/>
      <c r="QLE7" s="1"/>
      <c r="QLF7" s="1"/>
      <c r="QLG7" s="1"/>
      <c r="QLH7" s="1"/>
      <c r="QLI7" s="1"/>
      <c r="QLJ7" s="1"/>
      <c r="QLK7" s="1"/>
      <c r="QLL7" s="1"/>
      <c r="QLM7" s="1"/>
      <c r="QLN7" s="1"/>
      <c r="QLO7" s="1"/>
      <c r="QLP7" s="1"/>
      <c r="QLQ7" s="1"/>
      <c r="QLR7" s="1"/>
      <c r="QLS7" s="1"/>
      <c r="QLT7" s="1"/>
      <c r="QLU7" s="1"/>
      <c r="QLV7" s="1"/>
      <c r="QLW7" s="1"/>
      <c r="QLX7" s="1"/>
      <c r="QLY7" s="1"/>
      <c r="QLZ7" s="1"/>
      <c r="QMA7" s="1"/>
      <c r="QMB7" s="1"/>
      <c r="QMC7" s="1"/>
      <c r="QMD7" s="1"/>
      <c r="QME7" s="1"/>
      <c r="QMF7" s="1"/>
      <c r="QMG7" s="1"/>
      <c r="QMH7" s="1"/>
      <c r="QMI7" s="1"/>
      <c r="QMJ7" s="1"/>
      <c r="QMK7" s="1"/>
      <c r="QML7" s="1"/>
      <c r="QMM7" s="1"/>
      <c r="QMN7" s="1"/>
      <c r="QMO7" s="1"/>
      <c r="QMP7" s="1"/>
      <c r="QMQ7" s="1"/>
      <c r="QMR7" s="1"/>
      <c r="QMS7" s="1"/>
      <c r="QMT7" s="1"/>
      <c r="QMU7" s="1"/>
      <c r="QMV7" s="1"/>
      <c r="QMW7" s="1"/>
      <c r="QMX7" s="1"/>
      <c r="QMY7" s="1"/>
      <c r="QMZ7" s="1"/>
      <c r="QNA7" s="1"/>
      <c r="QNB7" s="1"/>
      <c r="QNC7" s="1"/>
      <c r="QND7" s="1"/>
      <c r="QNE7" s="1"/>
      <c r="QNF7" s="1"/>
      <c r="QNG7" s="1"/>
      <c r="QNH7" s="1"/>
      <c r="QNI7" s="1"/>
      <c r="QNJ7" s="1"/>
      <c r="QNK7" s="1"/>
      <c r="QNL7" s="1"/>
      <c r="QNM7" s="1"/>
      <c r="QNN7" s="1"/>
      <c r="QNO7" s="1"/>
      <c r="QNP7" s="1"/>
      <c r="QNQ7" s="1"/>
      <c r="QNR7" s="1"/>
      <c r="QNS7" s="1"/>
      <c r="QNT7" s="1"/>
      <c r="QNU7" s="1"/>
      <c r="QNV7" s="1"/>
      <c r="QNW7" s="1"/>
      <c r="QNX7" s="1"/>
      <c r="QNY7" s="1"/>
      <c r="QNZ7" s="1"/>
      <c r="QOA7" s="1"/>
      <c r="QOB7" s="1"/>
      <c r="QOC7" s="1"/>
      <c r="QOD7" s="1"/>
      <c r="QOE7" s="1"/>
      <c r="QOF7" s="1"/>
      <c r="QOG7" s="1"/>
      <c r="QOH7" s="1"/>
      <c r="QOI7" s="1"/>
      <c r="QOJ7" s="1"/>
      <c r="QOK7" s="1"/>
      <c r="QOL7" s="1"/>
      <c r="QOM7" s="1"/>
      <c r="QON7" s="1"/>
      <c r="QOO7" s="1"/>
      <c r="QOP7" s="1"/>
      <c r="QOQ7" s="1"/>
      <c r="QOR7" s="1"/>
      <c r="QOS7" s="1"/>
      <c r="QOT7" s="1"/>
      <c r="QOU7" s="1"/>
      <c r="QOV7" s="1"/>
      <c r="QOW7" s="1"/>
      <c r="QOX7" s="1"/>
      <c r="QOY7" s="1"/>
      <c r="QOZ7" s="1"/>
      <c r="QPA7" s="1"/>
      <c r="QPB7" s="1"/>
      <c r="QPC7" s="1"/>
      <c r="QPD7" s="1"/>
      <c r="QPE7" s="1"/>
      <c r="QPF7" s="1"/>
      <c r="QPG7" s="1"/>
      <c r="QPH7" s="1"/>
      <c r="QPI7" s="1"/>
      <c r="QPJ7" s="1"/>
      <c r="QPK7" s="1"/>
      <c r="QPL7" s="1"/>
      <c r="QPM7" s="1"/>
      <c r="QPN7" s="1"/>
      <c r="QPO7" s="1"/>
      <c r="QPP7" s="1"/>
      <c r="QPQ7" s="1"/>
      <c r="QPR7" s="1"/>
      <c r="QPS7" s="1"/>
      <c r="QPT7" s="1"/>
      <c r="QPU7" s="1"/>
      <c r="QPV7" s="1"/>
      <c r="QPW7" s="1"/>
      <c r="QPX7" s="1"/>
      <c r="QPY7" s="1"/>
      <c r="QPZ7" s="1"/>
      <c r="QQA7" s="1"/>
      <c r="QQB7" s="1"/>
      <c r="QQC7" s="1"/>
      <c r="QQD7" s="1"/>
      <c r="QQE7" s="1"/>
      <c r="QQF7" s="1"/>
      <c r="QQG7" s="1"/>
      <c r="QQH7" s="1"/>
      <c r="QQI7" s="1"/>
      <c r="QQJ7" s="1"/>
      <c r="QQK7" s="1"/>
      <c r="QQL7" s="1"/>
      <c r="QQM7" s="1"/>
      <c r="QQN7" s="1"/>
      <c r="QQO7" s="1"/>
      <c r="QQP7" s="1"/>
      <c r="QQQ7" s="1"/>
      <c r="QQR7" s="1"/>
      <c r="QQS7" s="1"/>
      <c r="QQT7" s="1"/>
      <c r="QQU7" s="1"/>
      <c r="QQV7" s="1"/>
      <c r="QQW7" s="1"/>
      <c r="QQX7" s="1"/>
      <c r="QQY7" s="1"/>
      <c r="QQZ7" s="1"/>
      <c r="QRA7" s="1"/>
      <c r="QRB7" s="1"/>
      <c r="QRC7" s="1"/>
      <c r="QRD7" s="1"/>
      <c r="QRE7" s="1"/>
      <c r="QRF7" s="1"/>
      <c r="QRG7" s="1"/>
      <c r="QRH7" s="1"/>
      <c r="QRI7" s="1"/>
      <c r="QRJ7" s="1"/>
      <c r="QRK7" s="1"/>
      <c r="QRL7" s="1"/>
      <c r="QRM7" s="1"/>
      <c r="QRN7" s="1"/>
      <c r="QRO7" s="1"/>
      <c r="QRP7" s="1"/>
      <c r="QRQ7" s="1"/>
      <c r="QRR7" s="1"/>
      <c r="QRS7" s="1"/>
      <c r="QRT7" s="1"/>
      <c r="QRU7" s="1"/>
      <c r="QRV7" s="1"/>
      <c r="QRW7" s="1"/>
      <c r="QRX7" s="1"/>
      <c r="QRY7" s="1"/>
      <c r="QRZ7" s="1"/>
      <c r="QSA7" s="1"/>
      <c r="QSB7" s="1"/>
      <c r="QSC7" s="1"/>
      <c r="QSD7" s="1"/>
      <c r="QSE7" s="1"/>
      <c r="QSF7" s="1"/>
      <c r="QSG7" s="1"/>
      <c r="QSH7" s="1"/>
      <c r="QSI7" s="1"/>
      <c r="QSJ7" s="1"/>
      <c r="QSK7" s="1"/>
      <c r="QSL7" s="1"/>
      <c r="QSM7" s="1"/>
      <c r="QSN7" s="1"/>
      <c r="QSO7" s="1"/>
      <c r="QSP7" s="1"/>
      <c r="QSQ7" s="1"/>
      <c r="QSR7" s="1"/>
      <c r="QSS7" s="1"/>
      <c r="QST7" s="1"/>
      <c r="QSU7" s="1"/>
      <c r="QSV7" s="1"/>
      <c r="QSW7" s="1"/>
      <c r="QSX7" s="1"/>
      <c r="QSY7" s="1"/>
      <c r="QSZ7" s="1"/>
      <c r="QTA7" s="1"/>
      <c r="QTB7" s="1"/>
      <c r="QTC7" s="1"/>
      <c r="QTD7" s="1"/>
      <c r="QTE7" s="1"/>
      <c r="QTF7" s="1"/>
      <c r="QTG7" s="1"/>
      <c r="QTH7" s="1"/>
      <c r="QTI7" s="1"/>
      <c r="QTJ7" s="1"/>
      <c r="QTK7" s="1"/>
      <c r="QTL7" s="1"/>
      <c r="QTM7" s="1"/>
      <c r="QTN7" s="1"/>
      <c r="QTO7" s="1"/>
      <c r="QTP7" s="1"/>
      <c r="QTQ7" s="1"/>
      <c r="QTR7" s="1"/>
      <c r="QTS7" s="1"/>
      <c r="QTT7" s="1"/>
      <c r="QTU7" s="1"/>
      <c r="QTV7" s="1"/>
      <c r="QTW7" s="1"/>
      <c r="QTX7" s="1"/>
      <c r="QTY7" s="1"/>
      <c r="QTZ7" s="1"/>
      <c r="QUA7" s="1"/>
      <c r="QUB7" s="1"/>
      <c r="QUC7" s="1"/>
      <c r="QUD7" s="1"/>
      <c r="QUE7" s="1"/>
      <c r="QUF7" s="1"/>
      <c r="QUG7" s="1"/>
      <c r="QUH7" s="1"/>
      <c r="QUI7" s="1"/>
      <c r="QUJ7" s="1"/>
      <c r="QUK7" s="1"/>
      <c r="QUL7" s="1"/>
      <c r="QUM7" s="1"/>
      <c r="QUN7" s="1"/>
      <c r="QUO7" s="1"/>
      <c r="QUP7" s="1"/>
      <c r="QUQ7" s="1"/>
      <c r="QUR7" s="1"/>
      <c r="QUS7" s="1"/>
      <c r="QUT7" s="1"/>
      <c r="QUU7" s="1"/>
      <c r="QUV7" s="1"/>
      <c r="QUW7" s="1"/>
      <c r="QUX7" s="1"/>
      <c r="QUY7" s="1"/>
      <c r="QUZ7" s="1"/>
      <c r="QVA7" s="1"/>
      <c r="QVB7" s="1"/>
      <c r="QVC7" s="1"/>
      <c r="QVD7" s="1"/>
      <c r="QVE7" s="1"/>
      <c r="QVF7" s="1"/>
      <c r="QVG7" s="1"/>
      <c r="QVH7" s="1"/>
      <c r="QVI7" s="1"/>
      <c r="QVJ7" s="1"/>
      <c r="QVK7" s="1"/>
      <c r="QVL7" s="1"/>
      <c r="QVM7" s="1"/>
      <c r="QVN7" s="1"/>
      <c r="QVO7" s="1"/>
      <c r="QVP7" s="1"/>
      <c r="QVQ7" s="1"/>
      <c r="QVR7" s="1"/>
      <c r="QVS7" s="1"/>
      <c r="QVT7" s="1"/>
      <c r="QVU7" s="1"/>
      <c r="QVV7" s="1"/>
      <c r="QVW7" s="1"/>
      <c r="QVX7" s="1"/>
      <c r="QVY7" s="1"/>
      <c r="QVZ7" s="1"/>
      <c r="QWA7" s="1"/>
      <c r="QWB7" s="1"/>
      <c r="QWC7" s="1"/>
      <c r="QWD7" s="1"/>
      <c r="QWE7" s="1"/>
      <c r="QWF7" s="1"/>
      <c r="QWG7" s="1"/>
      <c r="QWH7" s="1"/>
      <c r="QWI7" s="1"/>
      <c r="QWJ7" s="1"/>
      <c r="QWK7" s="1"/>
      <c r="QWL7" s="1"/>
      <c r="QWM7" s="1"/>
      <c r="QWN7" s="1"/>
      <c r="QWO7" s="1"/>
      <c r="QWP7" s="1"/>
      <c r="QWQ7" s="1"/>
      <c r="QWR7" s="1"/>
      <c r="QWS7" s="1"/>
      <c r="QWT7" s="1"/>
      <c r="QWU7" s="1"/>
      <c r="QWV7" s="1"/>
      <c r="QWW7" s="1"/>
      <c r="QWX7" s="1"/>
      <c r="QWY7" s="1"/>
      <c r="QWZ7" s="1"/>
      <c r="QXA7" s="1"/>
      <c r="QXB7" s="1"/>
      <c r="QXC7" s="1"/>
      <c r="QXD7" s="1"/>
      <c r="QXE7" s="1"/>
      <c r="QXF7" s="1"/>
      <c r="QXG7" s="1"/>
      <c r="QXH7" s="1"/>
      <c r="QXI7" s="1"/>
      <c r="QXJ7" s="1"/>
      <c r="QXK7" s="1"/>
      <c r="QXL7" s="1"/>
      <c r="QXM7" s="1"/>
      <c r="QXN7" s="1"/>
      <c r="QXO7" s="1"/>
      <c r="QXP7" s="1"/>
      <c r="QXQ7" s="1"/>
      <c r="QXR7" s="1"/>
      <c r="QXS7" s="1"/>
      <c r="QXT7" s="1"/>
      <c r="QXU7" s="1"/>
      <c r="QXV7" s="1"/>
      <c r="QXW7" s="1"/>
      <c r="QXX7" s="1"/>
      <c r="QXY7" s="1"/>
      <c r="QXZ7" s="1"/>
      <c r="QYA7" s="1"/>
      <c r="QYB7" s="1"/>
      <c r="QYC7" s="1"/>
      <c r="QYD7" s="1"/>
      <c r="QYE7" s="1"/>
      <c r="QYF7" s="1"/>
      <c r="QYG7" s="1"/>
      <c r="QYH7" s="1"/>
      <c r="QYI7" s="1"/>
      <c r="QYJ7" s="1"/>
      <c r="QYK7" s="1"/>
      <c r="QYL7" s="1"/>
      <c r="QYM7" s="1"/>
      <c r="QYN7" s="1"/>
      <c r="QYO7" s="1"/>
      <c r="QYP7" s="1"/>
      <c r="QYQ7" s="1"/>
      <c r="QYR7" s="1"/>
      <c r="QYS7" s="1"/>
      <c r="QYT7" s="1"/>
      <c r="QYU7" s="1"/>
      <c r="QYV7" s="1"/>
      <c r="QYW7" s="1"/>
      <c r="QYX7" s="1"/>
      <c r="QYY7" s="1"/>
      <c r="QYZ7" s="1"/>
      <c r="QZA7" s="1"/>
      <c r="QZB7" s="1"/>
      <c r="QZC7" s="1"/>
      <c r="QZD7" s="1"/>
      <c r="QZE7" s="1"/>
      <c r="QZF7" s="1"/>
      <c r="QZG7" s="1"/>
      <c r="QZH7" s="1"/>
      <c r="QZI7" s="1"/>
      <c r="QZJ7" s="1"/>
      <c r="QZK7" s="1"/>
      <c r="QZL7" s="1"/>
      <c r="QZM7" s="1"/>
      <c r="QZN7" s="1"/>
      <c r="QZO7" s="1"/>
      <c r="QZP7" s="1"/>
      <c r="QZQ7" s="1"/>
      <c r="QZR7" s="1"/>
      <c r="QZS7" s="1"/>
      <c r="QZT7" s="1"/>
      <c r="QZU7" s="1"/>
      <c r="QZV7" s="1"/>
      <c r="QZW7" s="1"/>
      <c r="QZX7" s="1"/>
      <c r="QZY7" s="1"/>
      <c r="QZZ7" s="1"/>
      <c r="RAA7" s="1"/>
      <c r="RAB7" s="1"/>
      <c r="RAC7" s="1"/>
      <c r="RAD7" s="1"/>
      <c r="RAE7" s="1"/>
      <c r="RAF7" s="1"/>
      <c r="RAG7" s="1"/>
      <c r="RAH7" s="1"/>
      <c r="RAI7" s="1"/>
      <c r="RAJ7" s="1"/>
      <c r="RAK7" s="1"/>
      <c r="RAL7" s="1"/>
      <c r="RAM7" s="1"/>
      <c r="RAN7" s="1"/>
      <c r="RAO7" s="1"/>
      <c r="RAP7" s="1"/>
      <c r="RAQ7" s="1"/>
      <c r="RAR7" s="1"/>
      <c r="RAS7" s="1"/>
      <c r="RAT7" s="1"/>
      <c r="RAU7" s="1"/>
      <c r="RAV7" s="1"/>
      <c r="RAW7" s="1"/>
      <c r="RAX7" s="1"/>
      <c r="RAY7" s="1"/>
      <c r="RAZ7" s="1"/>
      <c r="RBA7" s="1"/>
      <c r="RBB7" s="1"/>
      <c r="RBC7" s="1"/>
      <c r="RBD7" s="1"/>
      <c r="RBE7" s="1"/>
      <c r="RBF7" s="1"/>
      <c r="RBG7" s="1"/>
      <c r="RBH7" s="1"/>
      <c r="RBI7" s="1"/>
      <c r="RBJ7" s="1"/>
      <c r="RBK7" s="1"/>
      <c r="RBL7" s="1"/>
      <c r="RBM7" s="1"/>
      <c r="RBN7" s="1"/>
      <c r="RBO7" s="1"/>
      <c r="RBP7" s="1"/>
      <c r="RBQ7" s="1"/>
      <c r="RBR7" s="1"/>
      <c r="RBS7" s="1"/>
      <c r="RBT7" s="1"/>
      <c r="RBU7" s="1"/>
      <c r="RBV7" s="1"/>
      <c r="RBW7" s="1"/>
      <c r="RBX7" s="1"/>
      <c r="RBY7" s="1"/>
      <c r="RBZ7" s="1"/>
      <c r="RCA7" s="1"/>
      <c r="RCB7" s="1"/>
      <c r="RCC7" s="1"/>
      <c r="RCD7" s="1"/>
      <c r="RCE7" s="1"/>
      <c r="RCF7" s="1"/>
      <c r="RCG7" s="1"/>
      <c r="RCH7" s="1"/>
      <c r="RCI7" s="1"/>
      <c r="RCJ7" s="1"/>
      <c r="RCK7" s="1"/>
      <c r="RCL7" s="1"/>
      <c r="RCM7" s="1"/>
      <c r="RCN7" s="1"/>
      <c r="RCO7" s="1"/>
      <c r="RCP7" s="1"/>
      <c r="RCQ7" s="1"/>
      <c r="RCR7" s="1"/>
      <c r="RCS7" s="1"/>
      <c r="RCT7" s="1"/>
      <c r="RCU7" s="1"/>
      <c r="RCV7" s="1"/>
      <c r="RCW7" s="1"/>
      <c r="RCX7" s="1"/>
      <c r="RCY7" s="1"/>
      <c r="RCZ7" s="1"/>
      <c r="RDA7" s="1"/>
      <c r="RDB7" s="1"/>
      <c r="RDC7" s="1"/>
      <c r="RDD7" s="1"/>
      <c r="RDE7" s="1"/>
      <c r="RDF7" s="1"/>
      <c r="RDG7" s="1"/>
      <c r="RDH7" s="1"/>
      <c r="RDI7" s="1"/>
      <c r="RDJ7" s="1"/>
      <c r="RDK7" s="1"/>
      <c r="RDL7" s="1"/>
      <c r="RDM7" s="1"/>
      <c r="RDN7" s="1"/>
      <c r="RDO7" s="1"/>
      <c r="RDP7" s="1"/>
      <c r="RDQ7" s="1"/>
      <c r="RDR7" s="1"/>
      <c r="RDS7" s="1"/>
      <c r="RDT7" s="1"/>
      <c r="RDU7" s="1"/>
      <c r="RDV7" s="1"/>
      <c r="RDW7" s="1"/>
      <c r="RDX7" s="1"/>
      <c r="RDY7" s="1"/>
      <c r="RDZ7" s="1"/>
      <c r="REA7" s="1"/>
      <c r="REB7" s="1"/>
      <c r="REC7" s="1"/>
      <c r="RED7" s="1"/>
      <c r="REE7" s="1"/>
      <c r="REF7" s="1"/>
      <c r="REG7" s="1"/>
      <c r="REH7" s="1"/>
      <c r="REI7" s="1"/>
      <c r="REJ7" s="1"/>
      <c r="REK7" s="1"/>
      <c r="REL7" s="1"/>
      <c r="REM7" s="1"/>
      <c r="REN7" s="1"/>
      <c r="REO7" s="1"/>
      <c r="REP7" s="1"/>
      <c r="REQ7" s="1"/>
      <c r="RER7" s="1"/>
      <c r="RES7" s="1"/>
      <c r="RET7" s="1"/>
      <c r="REU7" s="1"/>
      <c r="REV7" s="1"/>
      <c r="REW7" s="1"/>
      <c r="REX7" s="1"/>
      <c r="REY7" s="1"/>
      <c r="REZ7" s="1"/>
      <c r="RFA7" s="1"/>
      <c r="RFB7" s="1"/>
      <c r="RFC7" s="1"/>
      <c r="RFD7" s="1"/>
      <c r="RFE7" s="1"/>
      <c r="RFF7" s="1"/>
      <c r="RFG7" s="1"/>
      <c r="RFH7" s="1"/>
      <c r="RFI7" s="1"/>
      <c r="RFJ7" s="1"/>
      <c r="RFK7" s="1"/>
      <c r="RFL7" s="1"/>
      <c r="RFM7" s="1"/>
      <c r="RFN7" s="1"/>
      <c r="RFO7" s="1"/>
      <c r="RFP7" s="1"/>
      <c r="RFQ7" s="1"/>
      <c r="RFR7" s="1"/>
      <c r="RFS7" s="1"/>
      <c r="RFT7" s="1"/>
      <c r="RFU7" s="1"/>
      <c r="RFV7" s="1"/>
      <c r="RFW7" s="1"/>
      <c r="RFX7" s="1"/>
      <c r="RFY7" s="1"/>
      <c r="RFZ7" s="1"/>
      <c r="RGA7" s="1"/>
      <c r="RGB7" s="1"/>
      <c r="RGC7" s="1"/>
      <c r="RGD7" s="1"/>
      <c r="RGE7" s="1"/>
      <c r="RGF7" s="1"/>
      <c r="RGG7" s="1"/>
      <c r="RGH7" s="1"/>
      <c r="RGI7" s="1"/>
      <c r="RGJ7" s="1"/>
      <c r="RGK7" s="1"/>
      <c r="RGL7" s="1"/>
      <c r="RGM7" s="1"/>
      <c r="RGN7" s="1"/>
      <c r="RGO7" s="1"/>
      <c r="RGP7" s="1"/>
      <c r="RGQ7" s="1"/>
      <c r="RGR7" s="1"/>
      <c r="RGS7" s="1"/>
      <c r="RGT7" s="1"/>
      <c r="RGU7" s="1"/>
      <c r="RGV7" s="1"/>
      <c r="RGW7" s="1"/>
      <c r="RGX7" s="1"/>
      <c r="RGY7" s="1"/>
      <c r="RGZ7" s="1"/>
      <c r="RHA7" s="1"/>
      <c r="RHB7" s="1"/>
      <c r="RHC7" s="1"/>
      <c r="RHD7" s="1"/>
      <c r="RHE7" s="1"/>
      <c r="RHF7" s="1"/>
      <c r="RHG7" s="1"/>
      <c r="RHH7" s="1"/>
      <c r="RHI7" s="1"/>
      <c r="RHJ7" s="1"/>
      <c r="RHK7" s="1"/>
      <c r="RHL7" s="1"/>
      <c r="RHM7" s="1"/>
      <c r="RHN7" s="1"/>
      <c r="RHO7" s="1"/>
      <c r="RHP7" s="1"/>
      <c r="RHQ7" s="1"/>
      <c r="RHR7" s="1"/>
      <c r="RHS7" s="1"/>
      <c r="RHT7" s="1"/>
      <c r="RHU7" s="1"/>
      <c r="RHV7" s="1"/>
      <c r="RHW7" s="1"/>
      <c r="RHX7" s="1"/>
      <c r="RHY7" s="1"/>
      <c r="RHZ7" s="1"/>
      <c r="RIA7" s="1"/>
      <c r="RIB7" s="1"/>
      <c r="RIC7" s="1"/>
      <c r="RID7" s="1"/>
      <c r="RIE7" s="1"/>
      <c r="RIF7" s="1"/>
      <c r="RIG7" s="1"/>
      <c r="RIH7" s="1"/>
      <c r="RII7" s="1"/>
      <c r="RIJ7" s="1"/>
      <c r="RIK7" s="1"/>
      <c r="RIL7" s="1"/>
      <c r="RIM7" s="1"/>
      <c r="RIN7" s="1"/>
      <c r="RIO7" s="1"/>
      <c r="RIP7" s="1"/>
      <c r="RIQ7" s="1"/>
      <c r="RIR7" s="1"/>
      <c r="RIS7" s="1"/>
      <c r="RIT7" s="1"/>
      <c r="RIU7" s="1"/>
      <c r="RIV7" s="1"/>
      <c r="RIW7" s="1"/>
      <c r="RIX7" s="1"/>
      <c r="RIY7" s="1"/>
      <c r="RIZ7" s="1"/>
      <c r="RJA7" s="1"/>
      <c r="RJB7" s="1"/>
      <c r="RJC7" s="1"/>
      <c r="RJD7" s="1"/>
      <c r="RJE7" s="1"/>
      <c r="RJF7" s="1"/>
      <c r="RJG7" s="1"/>
      <c r="RJH7" s="1"/>
      <c r="RJI7" s="1"/>
      <c r="RJJ7" s="1"/>
      <c r="RJK7" s="1"/>
      <c r="RJL7" s="1"/>
      <c r="RJM7" s="1"/>
      <c r="RJN7" s="1"/>
      <c r="RJO7" s="1"/>
      <c r="RJP7" s="1"/>
      <c r="RJQ7" s="1"/>
      <c r="RJR7" s="1"/>
      <c r="RJS7" s="1"/>
      <c r="RJT7" s="1"/>
      <c r="RJU7" s="1"/>
      <c r="RJV7" s="1"/>
      <c r="RJW7" s="1"/>
      <c r="RJX7" s="1"/>
      <c r="RJY7" s="1"/>
      <c r="RJZ7" s="1"/>
      <c r="RKA7" s="1"/>
      <c r="RKB7" s="1"/>
      <c r="RKC7" s="1"/>
      <c r="RKD7" s="1"/>
      <c r="RKE7" s="1"/>
      <c r="RKF7" s="1"/>
      <c r="RKG7" s="1"/>
      <c r="RKH7" s="1"/>
      <c r="RKI7" s="1"/>
      <c r="RKJ7" s="1"/>
      <c r="RKK7" s="1"/>
      <c r="RKL7" s="1"/>
      <c r="RKM7" s="1"/>
      <c r="RKN7" s="1"/>
      <c r="RKO7" s="1"/>
      <c r="RKP7" s="1"/>
      <c r="RKQ7" s="1"/>
      <c r="RKR7" s="1"/>
      <c r="RKS7" s="1"/>
      <c r="RKT7" s="1"/>
      <c r="RKU7" s="1"/>
      <c r="RKV7" s="1"/>
      <c r="RKW7" s="1"/>
      <c r="RKX7" s="1"/>
      <c r="RKY7" s="1"/>
      <c r="RKZ7" s="1"/>
      <c r="RLA7" s="1"/>
      <c r="RLB7" s="1"/>
      <c r="RLC7" s="1"/>
      <c r="RLD7" s="1"/>
      <c r="RLE7" s="1"/>
      <c r="RLF7" s="1"/>
      <c r="RLG7" s="1"/>
      <c r="RLH7" s="1"/>
      <c r="RLI7" s="1"/>
      <c r="RLJ7" s="1"/>
      <c r="RLK7" s="1"/>
      <c r="RLL7" s="1"/>
      <c r="RLM7" s="1"/>
      <c r="RLN7" s="1"/>
      <c r="RLO7" s="1"/>
      <c r="RLP7" s="1"/>
      <c r="RLQ7" s="1"/>
      <c r="RLR7" s="1"/>
      <c r="RLS7" s="1"/>
      <c r="RLT7" s="1"/>
      <c r="RLU7" s="1"/>
      <c r="RLV7" s="1"/>
      <c r="RLW7" s="1"/>
      <c r="RLX7" s="1"/>
      <c r="RLY7" s="1"/>
      <c r="RLZ7" s="1"/>
      <c r="RMA7" s="1"/>
      <c r="RMB7" s="1"/>
      <c r="RMC7" s="1"/>
      <c r="RMD7" s="1"/>
      <c r="RME7" s="1"/>
      <c r="RMF7" s="1"/>
      <c r="RMG7" s="1"/>
      <c r="RMH7" s="1"/>
      <c r="RMI7" s="1"/>
      <c r="RMJ7" s="1"/>
      <c r="RMK7" s="1"/>
      <c r="RML7" s="1"/>
      <c r="RMM7" s="1"/>
      <c r="RMN7" s="1"/>
      <c r="RMO7" s="1"/>
      <c r="RMP7" s="1"/>
      <c r="RMQ7" s="1"/>
      <c r="RMR7" s="1"/>
      <c r="RMS7" s="1"/>
      <c r="RMT7" s="1"/>
      <c r="RMU7" s="1"/>
      <c r="RMV7" s="1"/>
      <c r="RMW7" s="1"/>
      <c r="RMX7" s="1"/>
      <c r="RMY7" s="1"/>
      <c r="RMZ7" s="1"/>
      <c r="RNA7" s="1"/>
      <c r="RNB7" s="1"/>
      <c r="RNC7" s="1"/>
      <c r="RND7" s="1"/>
      <c r="RNE7" s="1"/>
      <c r="RNF7" s="1"/>
      <c r="RNG7" s="1"/>
      <c r="RNH7" s="1"/>
      <c r="RNI7" s="1"/>
      <c r="RNJ7" s="1"/>
      <c r="RNK7" s="1"/>
      <c r="RNL7" s="1"/>
      <c r="RNM7" s="1"/>
      <c r="RNN7" s="1"/>
      <c r="RNO7" s="1"/>
      <c r="RNP7" s="1"/>
      <c r="RNQ7" s="1"/>
      <c r="RNR7" s="1"/>
      <c r="RNS7" s="1"/>
      <c r="RNT7" s="1"/>
      <c r="RNU7" s="1"/>
      <c r="RNV7" s="1"/>
      <c r="RNW7" s="1"/>
      <c r="RNX7" s="1"/>
      <c r="RNY7" s="1"/>
      <c r="RNZ7" s="1"/>
      <c r="ROA7" s="1"/>
      <c r="ROB7" s="1"/>
      <c r="ROC7" s="1"/>
      <c r="ROD7" s="1"/>
      <c r="ROE7" s="1"/>
      <c r="ROF7" s="1"/>
      <c r="ROG7" s="1"/>
      <c r="ROH7" s="1"/>
      <c r="ROI7" s="1"/>
      <c r="ROJ7" s="1"/>
      <c r="ROK7" s="1"/>
      <c r="ROL7" s="1"/>
      <c r="ROM7" s="1"/>
      <c r="RON7" s="1"/>
      <c r="ROO7" s="1"/>
      <c r="ROP7" s="1"/>
      <c r="ROQ7" s="1"/>
      <c r="ROR7" s="1"/>
      <c r="ROS7" s="1"/>
      <c r="ROT7" s="1"/>
      <c r="ROU7" s="1"/>
      <c r="ROV7" s="1"/>
      <c r="ROW7" s="1"/>
      <c r="ROX7" s="1"/>
      <c r="ROY7" s="1"/>
      <c r="ROZ7" s="1"/>
      <c r="RPA7" s="1"/>
      <c r="RPB7" s="1"/>
      <c r="RPC7" s="1"/>
      <c r="RPD7" s="1"/>
      <c r="RPE7" s="1"/>
      <c r="RPF7" s="1"/>
      <c r="RPG7" s="1"/>
      <c r="RPH7" s="1"/>
      <c r="RPI7" s="1"/>
      <c r="RPJ7" s="1"/>
      <c r="RPK7" s="1"/>
      <c r="RPL7" s="1"/>
      <c r="RPM7" s="1"/>
      <c r="RPN7" s="1"/>
      <c r="RPO7" s="1"/>
      <c r="RPP7" s="1"/>
      <c r="RPQ7" s="1"/>
      <c r="RPR7" s="1"/>
      <c r="RPS7" s="1"/>
      <c r="RPT7" s="1"/>
      <c r="RPU7" s="1"/>
      <c r="RPV7" s="1"/>
      <c r="RPW7" s="1"/>
      <c r="RPX7" s="1"/>
      <c r="RPY7" s="1"/>
      <c r="RPZ7" s="1"/>
      <c r="RQA7" s="1"/>
      <c r="RQB7" s="1"/>
      <c r="RQC7" s="1"/>
      <c r="RQD7" s="1"/>
      <c r="RQE7" s="1"/>
      <c r="RQF7" s="1"/>
      <c r="RQG7" s="1"/>
      <c r="RQH7" s="1"/>
      <c r="RQI7" s="1"/>
      <c r="RQJ7" s="1"/>
      <c r="RQK7" s="1"/>
      <c r="RQL7" s="1"/>
      <c r="RQM7" s="1"/>
      <c r="RQN7" s="1"/>
      <c r="RQO7" s="1"/>
      <c r="RQP7" s="1"/>
      <c r="RQQ7" s="1"/>
      <c r="RQR7" s="1"/>
      <c r="RQS7" s="1"/>
      <c r="RQT7" s="1"/>
      <c r="RQU7" s="1"/>
      <c r="RQV7" s="1"/>
      <c r="RQW7" s="1"/>
      <c r="RQX7" s="1"/>
      <c r="RQY7" s="1"/>
      <c r="RQZ7" s="1"/>
      <c r="RRA7" s="1"/>
      <c r="RRB7" s="1"/>
      <c r="RRC7" s="1"/>
      <c r="RRD7" s="1"/>
      <c r="RRE7" s="1"/>
      <c r="RRF7" s="1"/>
      <c r="RRG7" s="1"/>
      <c r="RRH7" s="1"/>
      <c r="RRI7" s="1"/>
      <c r="RRJ7" s="1"/>
      <c r="RRK7" s="1"/>
      <c r="RRL7" s="1"/>
      <c r="RRM7" s="1"/>
      <c r="RRN7" s="1"/>
      <c r="RRO7" s="1"/>
      <c r="RRP7" s="1"/>
      <c r="RRQ7" s="1"/>
      <c r="RRR7" s="1"/>
      <c r="RRS7" s="1"/>
      <c r="RRT7" s="1"/>
      <c r="RRU7" s="1"/>
      <c r="RRV7" s="1"/>
      <c r="RRW7" s="1"/>
      <c r="RRX7" s="1"/>
      <c r="RRY7" s="1"/>
      <c r="RRZ7" s="1"/>
      <c r="RSA7" s="1"/>
      <c r="RSB7" s="1"/>
      <c r="RSC7" s="1"/>
      <c r="RSD7" s="1"/>
      <c r="RSE7" s="1"/>
      <c r="RSF7" s="1"/>
      <c r="RSG7" s="1"/>
      <c r="RSH7" s="1"/>
      <c r="RSI7" s="1"/>
      <c r="RSJ7" s="1"/>
      <c r="RSK7" s="1"/>
      <c r="RSL7" s="1"/>
      <c r="RSM7" s="1"/>
      <c r="RSN7" s="1"/>
      <c r="RSO7" s="1"/>
      <c r="RSP7" s="1"/>
      <c r="RSQ7" s="1"/>
      <c r="RSR7" s="1"/>
      <c r="RSS7" s="1"/>
      <c r="RST7" s="1"/>
      <c r="RSU7" s="1"/>
      <c r="RSV7" s="1"/>
      <c r="RSW7" s="1"/>
      <c r="RSX7" s="1"/>
      <c r="RSY7" s="1"/>
      <c r="RSZ7" s="1"/>
      <c r="RTA7" s="1"/>
      <c r="RTB7" s="1"/>
      <c r="RTC7" s="1"/>
      <c r="RTD7" s="1"/>
      <c r="RTE7" s="1"/>
      <c r="RTF7" s="1"/>
      <c r="RTG7" s="1"/>
      <c r="RTH7" s="1"/>
      <c r="RTI7" s="1"/>
      <c r="RTJ7" s="1"/>
      <c r="RTK7" s="1"/>
      <c r="RTL7" s="1"/>
      <c r="RTM7" s="1"/>
      <c r="RTN7" s="1"/>
      <c r="RTO7" s="1"/>
      <c r="RTP7" s="1"/>
      <c r="RTQ7" s="1"/>
      <c r="RTR7" s="1"/>
      <c r="RTS7" s="1"/>
      <c r="RTT7" s="1"/>
      <c r="RTU7" s="1"/>
      <c r="RTV7" s="1"/>
      <c r="RTW7" s="1"/>
      <c r="RTX7" s="1"/>
      <c r="RTY7" s="1"/>
      <c r="RTZ7" s="1"/>
      <c r="RUA7" s="1"/>
      <c r="RUB7" s="1"/>
      <c r="RUC7" s="1"/>
      <c r="RUD7" s="1"/>
      <c r="RUE7" s="1"/>
      <c r="RUF7" s="1"/>
      <c r="RUG7" s="1"/>
      <c r="RUH7" s="1"/>
      <c r="RUI7" s="1"/>
      <c r="RUJ7" s="1"/>
      <c r="RUK7" s="1"/>
      <c r="RUL7" s="1"/>
      <c r="RUM7" s="1"/>
      <c r="RUN7" s="1"/>
      <c r="RUO7" s="1"/>
      <c r="RUP7" s="1"/>
      <c r="RUQ7" s="1"/>
      <c r="RUR7" s="1"/>
      <c r="RUS7" s="1"/>
      <c r="RUT7" s="1"/>
      <c r="RUU7" s="1"/>
      <c r="RUV7" s="1"/>
      <c r="RUW7" s="1"/>
      <c r="RUX7" s="1"/>
      <c r="RUY7" s="1"/>
      <c r="RUZ7" s="1"/>
      <c r="RVA7" s="1"/>
      <c r="RVB7" s="1"/>
      <c r="RVC7" s="1"/>
      <c r="RVD7" s="1"/>
      <c r="RVE7" s="1"/>
      <c r="RVF7" s="1"/>
      <c r="RVG7" s="1"/>
      <c r="RVH7" s="1"/>
      <c r="RVI7" s="1"/>
      <c r="RVJ7" s="1"/>
      <c r="RVK7" s="1"/>
      <c r="RVL7" s="1"/>
      <c r="RVM7" s="1"/>
      <c r="RVN7" s="1"/>
      <c r="RVO7" s="1"/>
      <c r="RVP7" s="1"/>
      <c r="RVQ7" s="1"/>
      <c r="RVR7" s="1"/>
      <c r="RVS7" s="1"/>
      <c r="RVT7" s="1"/>
      <c r="RVU7" s="1"/>
      <c r="RVV7" s="1"/>
      <c r="RVW7" s="1"/>
      <c r="RVX7" s="1"/>
      <c r="RVY7" s="1"/>
      <c r="RVZ7" s="1"/>
      <c r="RWA7" s="1"/>
      <c r="RWB7" s="1"/>
      <c r="RWC7" s="1"/>
      <c r="RWD7" s="1"/>
      <c r="RWE7" s="1"/>
      <c r="RWF7" s="1"/>
      <c r="RWG7" s="1"/>
      <c r="RWH7" s="1"/>
      <c r="RWI7" s="1"/>
      <c r="RWJ7" s="1"/>
      <c r="RWK7" s="1"/>
      <c r="RWL7" s="1"/>
      <c r="RWM7" s="1"/>
      <c r="RWN7" s="1"/>
      <c r="RWO7" s="1"/>
      <c r="RWP7" s="1"/>
      <c r="RWQ7" s="1"/>
      <c r="RWR7" s="1"/>
      <c r="RWS7" s="1"/>
      <c r="RWT7" s="1"/>
      <c r="RWU7" s="1"/>
      <c r="RWV7" s="1"/>
      <c r="RWW7" s="1"/>
      <c r="RWX7" s="1"/>
      <c r="RWY7" s="1"/>
      <c r="RWZ7" s="1"/>
      <c r="RXA7" s="1"/>
      <c r="RXB7" s="1"/>
      <c r="RXC7" s="1"/>
      <c r="RXD7" s="1"/>
      <c r="RXE7" s="1"/>
      <c r="RXF7" s="1"/>
      <c r="RXG7" s="1"/>
      <c r="RXH7" s="1"/>
      <c r="RXI7" s="1"/>
      <c r="RXJ7" s="1"/>
      <c r="RXK7" s="1"/>
      <c r="RXL7" s="1"/>
      <c r="RXM7" s="1"/>
      <c r="RXN7" s="1"/>
      <c r="RXO7" s="1"/>
      <c r="RXP7" s="1"/>
      <c r="RXQ7" s="1"/>
      <c r="RXR7" s="1"/>
      <c r="RXS7" s="1"/>
      <c r="RXT7" s="1"/>
      <c r="RXU7" s="1"/>
      <c r="RXV7" s="1"/>
      <c r="RXW7" s="1"/>
      <c r="RXX7" s="1"/>
      <c r="RXY7" s="1"/>
      <c r="RXZ7" s="1"/>
      <c r="RYA7" s="1"/>
      <c r="RYB7" s="1"/>
      <c r="RYC7" s="1"/>
      <c r="RYD7" s="1"/>
      <c r="RYE7" s="1"/>
      <c r="RYF7" s="1"/>
      <c r="RYG7" s="1"/>
      <c r="RYH7" s="1"/>
      <c r="RYI7" s="1"/>
      <c r="RYJ7" s="1"/>
      <c r="RYK7" s="1"/>
      <c r="RYL7" s="1"/>
      <c r="RYM7" s="1"/>
      <c r="RYN7" s="1"/>
      <c r="RYO7" s="1"/>
      <c r="RYP7" s="1"/>
      <c r="RYQ7" s="1"/>
      <c r="RYR7" s="1"/>
      <c r="RYS7" s="1"/>
      <c r="RYT7" s="1"/>
      <c r="RYU7" s="1"/>
      <c r="RYV7" s="1"/>
      <c r="RYW7" s="1"/>
      <c r="RYX7" s="1"/>
      <c r="RYY7" s="1"/>
      <c r="RYZ7" s="1"/>
      <c r="RZA7" s="1"/>
      <c r="RZB7" s="1"/>
      <c r="RZC7" s="1"/>
      <c r="RZD7" s="1"/>
      <c r="RZE7" s="1"/>
      <c r="RZF7" s="1"/>
      <c r="RZG7" s="1"/>
      <c r="RZH7" s="1"/>
      <c r="RZI7" s="1"/>
      <c r="RZJ7" s="1"/>
      <c r="RZK7" s="1"/>
      <c r="RZL7" s="1"/>
      <c r="RZM7" s="1"/>
      <c r="RZN7" s="1"/>
      <c r="RZO7" s="1"/>
      <c r="RZP7" s="1"/>
      <c r="RZQ7" s="1"/>
      <c r="RZR7" s="1"/>
      <c r="RZS7" s="1"/>
      <c r="RZT7" s="1"/>
      <c r="RZU7" s="1"/>
      <c r="RZV7" s="1"/>
      <c r="RZW7" s="1"/>
      <c r="RZX7" s="1"/>
      <c r="RZY7" s="1"/>
      <c r="RZZ7" s="1"/>
      <c r="SAA7" s="1"/>
      <c r="SAB7" s="1"/>
      <c r="SAC7" s="1"/>
      <c r="SAD7" s="1"/>
      <c r="SAE7" s="1"/>
      <c r="SAF7" s="1"/>
      <c r="SAG7" s="1"/>
      <c r="SAH7" s="1"/>
      <c r="SAI7" s="1"/>
      <c r="SAJ7" s="1"/>
      <c r="SAK7" s="1"/>
      <c r="SAL7" s="1"/>
      <c r="SAM7" s="1"/>
      <c r="SAN7" s="1"/>
      <c r="SAO7" s="1"/>
      <c r="SAP7" s="1"/>
      <c r="SAQ7" s="1"/>
      <c r="SAR7" s="1"/>
      <c r="SAS7" s="1"/>
      <c r="SAT7" s="1"/>
      <c r="SAU7" s="1"/>
      <c r="SAV7" s="1"/>
      <c r="SAW7" s="1"/>
      <c r="SAX7" s="1"/>
      <c r="SAY7" s="1"/>
      <c r="SAZ7" s="1"/>
      <c r="SBA7" s="1"/>
      <c r="SBB7" s="1"/>
      <c r="SBC7" s="1"/>
      <c r="SBD7" s="1"/>
      <c r="SBE7" s="1"/>
      <c r="SBF7" s="1"/>
      <c r="SBG7" s="1"/>
      <c r="SBH7" s="1"/>
      <c r="SBI7" s="1"/>
      <c r="SBJ7" s="1"/>
      <c r="SBK7" s="1"/>
      <c r="SBL7" s="1"/>
      <c r="SBM7" s="1"/>
      <c r="SBN7" s="1"/>
      <c r="SBO7" s="1"/>
      <c r="SBP7" s="1"/>
      <c r="SBQ7" s="1"/>
      <c r="SBR7" s="1"/>
      <c r="SBS7" s="1"/>
      <c r="SBT7" s="1"/>
      <c r="SBU7" s="1"/>
      <c r="SBV7" s="1"/>
      <c r="SBW7" s="1"/>
      <c r="SBX7" s="1"/>
      <c r="SBY7" s="1"/>
      <c r="SBZ7" s="1"/>
      <c r="SCA7" s="1"/>
      <c r="SCB7" s="1"/>
      <c r="SCC7" s="1"/>
      <c r="SCD7" s="1"/>
      <c r="SCE7" s="1"/>
      <c r="SCF7" s="1"/>
      <c r="SCG7" s="1"/>
      <c r="SCH7" s="1"/>
      <c r="SCI7" s="1"/>
      <c r="SCJ7" s="1"/>
      <c r="SCK7" s="1"/>
      <c r="SCL7" s="1"/>
      <c r="SCM7" s="1"/>
      <c r="SCN7" s="1"/>
      <c r="SCO7" s="1"/>
      <c r="SCP7" s="1"/>
      <c r="SCQ7" s="1"/>
      <c r="SCR7" s="1"/>
      <c r="SCS7" s="1"/>
      <c r="SCT7" s="1"/>
      <c r="SCU7" s="1"/>
      <c r="SCV7" s="1"/>
      <c r="SCW7" s="1"/>
      <c r="SCX7" s="1"/>
      <c r="SCY7" s="1"/>
      <c r="SCZ7" s="1"/>
      <c r="SDA7" s="1"/>
      <c r="SDB7" s="1"/>
      <c r="SDC7" s="1"/>
      <c r="SDD7" s="1"/>
      <c r="SDE7" s="1"/>
      <c r="SDF7" s="1"/>
      <c r="SDG7" s="1"/>
      <c r="SDH7" s="1"/>
      <c r="SDI7" s="1"/>
      <c r="SDJ7" s="1"/>
      <c r="SDK7" s="1"/>
      <c r="SDL7" s="1"/>
      <c r="SDM7" s="1"/>
      <c r="SDN7" s="1"/>
      <c r="SDO7" s="1"/>
      <c r="SDP7" s="1"/>
      <c r="SDQ7" s="1"/>
      <c r="SDR7" s="1"/>
      <c r="SDS7" s="1"/>
      <c r="SDT7" s="1"/>
      <c r="SDU7" s="1"/>
      <c r="SDV7" s="1"/>
      <c r="SDW7" s="1"/>
      <c r="SDX7" s="1"/>
      <c r="SDY7" s="1"/>
      <c r="SDZ7" s="1"/>
      <c r="SEA7" s="1"/>
      <c r="SEB7" s="1"/>
      <c r="SEC7" s="1"/>
      <c r="SED7" s="1"/>
      <c r="SEE7" s="1"/>
      <c r="SEF7" s="1"/>
      <c r="SEG7" s="1"/>
      <c r="SEH7" s="1"/>
      <c r="SEI7" s="1"/>
      <c r="SEJ7" s="1"/>
      <c r="SEK7" s="1"/>
      <c r="SEL7" s="1"/>
      <c r="SEM7" s="1"/>
      <c r="SEN7" s="1"/>
      <c r="SEO7" s="1"/>
      <c r="SEP7" s="1"/>
      <c r="SEQ7" s="1"/>
      <c r="SER7" s="1"/>
      <c r="SES7" s="1"/>
      <c r="SET7" s="1"/>
      <c r="SEU7" s="1"/>
      <c r="SEV7" s="1"/>
      <c r="SEW7" s="1"/>
      <c r="SEX7" s="1"/>
      <c r="SEY7" s="1"/>
      <c r="SEZ7" s="1"/>
      <c r="SFA7" s="1"/>
      <c r="SFB7" s="1"/>
      <c r="SFC7" s="1"/>
      <c r="SFD7" s="1"/>
      <c r="SFE7" s="1"/>
      <c r="SFF7" s="1"/>
      <c r="SFG7" s="1"/>
      <c r="SFH7" s="1"/>
      <c r="SFI7" s="1"/>
      <c r="SFJ7" s="1"/>
      <c r="SFK7" s="1"/>
      <c r="SFL7" s="1"/>
      <c r="SFM7" s="1"/>
      <c r="SFN7" s="1"/>
      <c r="SFO7" s="1"/>
      <c r="SFP7" s="1"/>
      <c r="SFQ7" s="1"/>
      <c r="SFR7" s="1"/>
      <c r="SFS7" s="1"/>
      <c r="SFT7" s="1"/>
      <c r="SFU7" s="1"/>
      <c r="SFV7" s="1"/>
      <c r="SFW7" s="1"/>
      <c r="SFX7" s="1"/>
      <c r="SFY7" s="1"/>
      <c r="SFZ7" s="1"/>
      <c r="SGA7" s="1"/>
      <c r="SGB7" s="1"/>
      <c r="SGC7" s="1"/>
      <c r="SGD7" s="1"/>
      <c r="SGE7" s="1"/>
      <c r="SGF7" s="1"/>
      <c r="SGG7" s="1"/>
      <c r="SGH7" s="1"/>
      <c r="SGI7" s="1"/>
      <c r="SGJ7" s="1"/>
      <c r="SGK7" s="1"/>
      <c r="SGL7" s="1"/>
      <c r="SGM7" s="1"/>
      <c r="SGN7" s="1"/>
      <c r="SGO7" s="1"/>
      <c r="SGP7" s="1"/>
      <c r="SGQ7" s="1"/>
      <c r="SGR7" s="1"/>
      <c r="SGS7" s="1"/>
      <c r="SGT7" s="1"/>
      <c r="SGU7" s="1"/>
      <c r="SGV7" s="1"/>
      <c r="SGW7" s="1"/>
      <c r="SGX7" s="1"/>
      <c r="SGY7" s="1"/>
      <c r="SGZ7" s="1"/>
      <c r="SHA7" s="1"/>
      <c r="SHB7" s="1"/>
      <c r="SHC7" s="1"/>
      <c r="SHD7" s="1"/>
      <c r="SHE7" s="1"/>
      <c r="SHF7" s="1"/>
      <c r="SHG7" s="1"/>
      <c r="SHH7" s="1"/>
      <c r="SHI7" s="1"/>
      <c r="SHJ7" s="1"/>
      <c r="SHK7" s="1"/>
      <c r="SHL7" s="1"/>
      <c r="SHM7" s="1"/>
      <c r="SHN7" s="1"/>
      <c r="SHO7" s="1"/>
      <c r="SHP7" s="1"/>
      <c r="SHQ7" s="1"/>
      <c r="SHR7" s="1"/>
      <c r="SHS7" s="1"/>
      <c r="SHT7" s="1"/>
      <c r="SHU7" s="1"/>
      <c r="SHV7" s="1"/>
      <c r="SHW7" s="1"/>
      <c r="SHX7" s="1"/>
      <c r="SHY7" s="1"/>
      <c r="SHZ7" s="1"/>
      <c r="SIA7" s="1"/>
      <c r="SIB7" s="1"/>
      <c r="SIC7" s="1"/>
      <c r="SID7" s="1"/>
      <c r="SIE7" s="1"/>
      <c r="SIF7" s="1"/>
      <c r="SIG7" s="1"/>
      <c r="SIH7" s="1"/>
      <c r="SII7" s="1"/>
      <c r="SIJ7" s="1"/>
      <c r="SIK7" s="1"/>
      <c r="SIL7" s="1"/>
      <c r="SIM7" s="1"/>
      <c r="SIN7" s="1"/>
      <c r="SIO7" s="1"/>
      <c r="SIP7" s="1"/>
      <c r="SIQ7" s="1"/>
      <c r="SIR7" s="1"/>
      <c r="SIS7" s="1"/>
      <c r="SIT7" s="1"/>
      <c r="SIU7" s="1"/>
      <c r="SIV7" s="1"/>
      <c r="SIW7" s="1"/>
      <c r="SIX7" s="1"/>
      <c r="SIY7" s="1"/>
      <c r="SIZ7" s="1"/>
      <c r="SJA7" s="1"/>
      <c r="SJB7" s="1"/>
      <c r="SJC7" s="1"/>
      <c r="SJD7" s="1"/>
      <c r="SJE7" s="1"/>
      <c r="SJF7" s="1"/>
      <c r="SJG7" s="1"/>
      <c r="SJH7" s="1"/>
      <c r="SJI7" s="1"/>
      <c r="SJJ7" s="1"/>
      <c r="SJK7" s="1"/>
      <c r="SJL7" s="1"/>
      <c r="SJM7" s="1"/>
      <c r="SJN7" s="1"/>
      <c r="SJO7" s="1"/>
      <c r="SJP7" s="1"/>
      <c r="SJQ7" s="1"/>
      <c r="SJR7" s="1"/>
      <c r="SJS7" s="1"/>
      <c r="SJT7" s="1"/>
      <c r="SJU7" s="1"/>
      <c r="SJV7" s="1"/>
      <c r="SJW7" s="1"/>
      <c r="SJX7" s="1"/>
      <c r="SJY7" s="1"/>
      <c r="SJZ7" s="1"/>
      <c r="SKA7" s="1"/>
      <c r="SKB7" s="1"/>
      <c r="SKC7" s="1"/>
      <c r="SKD7" s="1"/>
      <c r="SKE7" s="1"/>
      <c r="SKF7" s="1"/>
      <c r="SKG7" s="1"/>
      <c r="SKH7" s="1"/>
      <c r="SKI7" s="1"/>
      <c r="SKJ7" s="1"/>
      <c r="SKK7" s="1"/>
      <c r="SKL7" s="1"/>
      <c r="SKM7" s="1"/>
      <c r="SKN7" s="1"/>
      <c r="SKO7" s="1"/>
      <c r="SKP7" s="1"/>
      <c r="SKQ7" s="1"/>
      <c r="SKR7" s="1"/>
      <c r="SKS7" s="1"/>
      <c r="SKT7" s="1"/>
      <c r="SKU7" s="1"/>
      <c r="SKV7" s="1"/>
      <c r="SKW7" s="1"/>
      <c r="SKX7" s="1"/>
      <c r="SKY7" s="1"/>
      <c r="SKZ7" s="1"/>
      <c r="SLA7" s="1"/>
      <c r="SLB7" s="1"/>
      <c r="SLC7" s="1"/>
      <c r="SLD7" s="1"/>
      <c r="SLE7" s="1"/>
      <c r="SLF7" s="1"/>
      <c r="SLG7" s="1"/>
      <c r="SLH7" s="1"/>
      <c r="SLI7" s="1"/>
      <c r="SLJ7" s="1"/>
      <c r="SLK7" s="1"/>
      <c r="SLL7" s="1"/>
      <c r="SLM7" s="1"/>
      <c r="SLN7" s="1"/>
      <c r="SLO7" s="1"/>
      <c r="SLP7" s="1"/>
      <c r="SLQ7" s="1"/>
      <c r="SLR7" s="1"/>
      <c r="SLS7" s="1"/>
      <c r="SLT7" s="1"/>
      <c r="SLU7" s="1"/>
      <c r="SLV7" s="1"/>
      <c r="SLW7" s="1"/>
      <c r="SLX7" s="1"/>
      <c r="SLY7" s="1"/>
      <c r="SLZ7" s="1"/>
      <c r="SMA7" s="1"/>
      <c r="SMB7" s="1"/>
      <c r="SMC7" s="1"/>
      <c r="SMD7" s="1"/>
      <c r="SME7" s="1"/>
      <c r="SMF7" s="1"/>
      <c r="SMG7" s="1"/>
      <c r="SMH7" s="1"/>
      <c r="SMI7" s="1"/>
      <c r="SMJ7" s="1"/>
      <c r="SMK7" s="1"/>
      <c r="SML7" s="1"/>
      <c r="SMM7" s="1"/>
      <c r="SMN7" s="1"/>
      <c r="SMO7" s="1"/>
      <c r="SMP7" s="1"/>
      <c r="SMQ7" s="1"/>
      <c r="SMR7" s="1"/>
      <c r="SMS7" s="1"/>
      <c r="SMT7" s="1"/>
      <c r="SMU7" s="1"/>
      <c r="SMV7" s="1"/>
      <c r="SMW7" s="1"/>
      <c r="SMX7" s="1"/>
      <c r="SMY7" s="1"/>
      <c r="SMZ7" s="1"/>
      <c r="SNA7" s="1"/>
      <c r="SNB7" s="1"/>
      <c r="SNC7" s="1"/>
      <c r="SND7" s="1"/>
      <c r="SNE7" s="1"/>
      <c r="SNF7" s="1"/>
      <c r="SNG7" s="1"/>
      <c r="SNH7" s="1"/>
      <c r="SNI7" s="1"/>
      <c r="SNJ7" s="1"/>
      <c r="SNK7" s="1"/>
      <c r="SNL7" s="1"/>
      <c r="SNM7" s="1"/>
      <c r="SNN7" s="1"/>
      <c r="SNO7" s="1"/>
      <c r="SNP7" s="1"/>
      <c r="SNQ7" s="1"/>
      <c r="SNR7" s="1"/>
      <c r="SNS7" s="1"/>
      <c r="SNT7" s="1"/>
      <c r="SNU7" s="1"/>
      <c r="SNV7" s="1"/>
      <c r="SNW7" s="1"/>
      <c r="SNX7" s="1"/>
      <c r="SNY7" s="1"/>
      <c r="SNZ7" s="1"/>
      <c r="SOA7" s="1"/>
      <c r="SOB7" s="1"/>
      <c r="SOC7" s="1"/>
      <c r="SOD7" s="1"/>
      <c r="SOE7" s="1"/>
      <c r="SOF7" s="1"/>
      <c r="SOG7" s="1"/>
      <c r="SOH7" s="1"/>
      <c r="SOI7" s="1"/>
      <c r="SOJ7" s="1"/>
      <c r="SOK7" s="1"/>
      <c r="SOL7" s="1"/>
      <c r="SOM7" s="1"/>
      <c r="SON7" s="1"/>
      <c r="SOO7" s="1"/>
      <c r="SOP7" s="1"/>
      <c r="SOQ7" s="1"/>
      <c r="SOR7" s="1"/>
      <c r="SOS7" s="1"/>
      <c r="SOT7" s="1"/>
      <c r="SOU7" s="1"/>
      <c r="SOV7" s="1"/>
      <c r="SOW7" s="1"/>
      <c r="SOX7" s="1"/>
      <c r="SOY7" s="1"/>
      <c r="SOZ7" s="1"/>
      <c r="SPA7" s="1"/>
      <c r="SPB7" s="1"/>
      <c r="SPC7" s="1"/>
      <c r="SPD7" s="1"/>
      <c r="SPE7" s="1"/>
      <c r="SPF7" s="1"/>
      <c r="SPG7" s="1"/>
      <c r="SPH7" s="1"/>
      <c r="SPI7" s="1"/>
      <c r="SPJ7" s="1"/>
      <c r="SPK7" s="1"/>
      <c r="SPL7" s="1"/>
      <c r="SPM7" s="1"/>
      <c r="SPN7" s="1"/>
      <c r="SPO7" s="1"/>
      <c r="SPP7" s="1"/>
      <c r="SPQ7" s="1"/>
      <c r="SPR7" s="1"/>
      <c r="SPS7" s="1"/>
      <c r="SPT7" s="1"/>
      <c r="SPU7" s="1"/>
      <c r="SPV7" s="1"/>
      <c r="SPW7" s="1"/>
      <c r="SPX7" s="1"/>
      <c r="SPY7" s="1"/>
      <c r="SPZ7" s="1"/>
      <c r="SQA7" s="1"/>
      <c r="SQB7" s="1"/>
      <c r="SQC7" s="1"/>
      <c r="SQD7" s="1"/>
      <c r="SQE7" s="1"/>
      <c r="SQF7" s="1"/>
      <c r="SQG7" s="1"/>
      <c r="SQH7" s="1"/>
      <c r="SQI7" s="1"/>
      <c r="SQJ7" s="1"/>
      <c r="SQK7" s="1"/>
      <c r="SQL7" s="1"/>
      <c r="SQM7" s="1"/>
      <c r="SQN7" s="1"/>
      <c r="SQO7" s="1"/>
      <c r="SQP7" s="1"/>
      <c r="SQQ7" s="1"/>
      <c r="SQR7" s="1"/>
      <c r="SQS7" s="1"/>
      <c r="SQT7" s="1"/>
      <c r="SQU7" s="1"/>
      <c r="SQV7" s="1"/>
      <c r="SQW7" s="1"/>
      <c r="SQX7" s="1"/>
      <c r="SQY7" s="1"/>
      <c r="SQZ7" s="1"/>
      <c r="SRA7" s="1"/>
      <c r="SRB7" s="1"/>
      <c r="SRC7" s="1"/>
      <c r="SRD7" s="1"/>
      <c r="SRE7" s="1"/>
      <c r="SRF7" s="1"/>
      <c r="SRG7" s="1"/>
      <c r="SRH7" s="1"/>
      <c r="SRI7" s="1"/>
      <c r="SRJ7" s="1"/>
      <c r="SRK7" s="1"/>
      <c r="SRL7" s="1"/>
      <c r="SRM7" s="1"/>
      <c r="SRN7" s="1"/>
      <c r="SRO7" s="1"/>
      <c r="SRP7" s="1"/>
      <c r="SRQ7" s="1"/>
      <c r="SRR7" s="1"/>
      <c r="SRS7" s="1"/>
      <c r="SRT7" s="1"/>
      <c r="SRU7" s="1"/>
      <c r="SRV7" s="1"/>
      <c r="SRW7" s="1"/>
      <c r="SRX7" s="1"/>
      <c r="SRY7" s="1"/>
      <c r="SRZ7" s="1"/>
      <c r="SSA7" s="1"/>
      <c r="SSB7" s="1"/>
      <c r="SSC7" s="1"/>
      <c r="SSD7" s="1"/>
      <c r="SSE7" s="1"/>
      <c r="SSF7" s="1"/>
      <c r="SSG7" s="1"/>
      <c r="SSH7" s="1"/>
      <c r="SSI7" s="1"/>
      <c r="SSJ7" s="1"/>
      <c r="SSK7" s="1"/>
      <c r="SSL7" s="1"/>
      <c r="SSM7" s="1"/>
      <c r="SSN7" s="1"/>
      <c r="SSO7" s="1"/>
      <c r="SSP7" s="1"/>
      <c r="SSQ7" s="1"/>
      <c r="SSR7" s="1"/>
      <c r="SSS7" s="1"/>
      <c r="SST7" s="1"/>
      <c r="SSU7" s="1"/>
      <c r="SSV7" s="1"/>
      <c r="SSW7" s="1"/>
      <c r="SSX7" s="1"/>
      <c r="SSY7" s="1"/>
      <c r="SSZ7" s="1"/>
      <c r="STA7" s="1"/>
      <c r="STB7" s="1"/>
      <c r="STC7" s="1"/>
      <c r="STD7" s="1"/>
      <c r="STE7" s="1"/>
      <c r="STF7" s="1"/>
      <c r="STG7" s="1"/>
      <c r="STH7" s="1"/>
      <c r="STI7" s="1"/>
      <c r="STJ7" s="1"/>
      <c r="STK7" s="1"/>
      <c r="STL7" s="1"/>
      <c r="STM7" s="1"/>
      <c r="STN7" s="1"/>
      <c r="STO7" s="1"/>
      <c r="STP7" s="1"/>
      <c r="STQ7" s="1"/>
      <c r="STR7" s="1"/>
      <c r="STS7" s="1"/>
      <c r="STT7" s="1"/>
      <c r="STU7" s="1"/>
      <c r="STV7" s="1"/>
      <c r="STW7" s="1"/>
      <c r="STX7" s="1"/>
      <c r="STY7" s="1"/>
      <c r="STZ7" s="1"/>
      <c r="SUA7" s="1"/>
      <c r="SUB7" s="1"/>
      <c r="SUC7" s="1"/>
      <c r="SUD7" s="1"/>
      <c r="SUE7" s="1"/>
      <c r="SUF7" s="1"/>
      <c r="SUG7" s="1"/>
      <c r="SUH7" s="1"/>
      <c r="SUI7" s="1"/>
      <c r="SUJ7" s="1"/>
      <c r="SUK7" s="1"/>
      <c r="SUL7" s="1"/>
      <c r="SUM7" s="1"/>
      <c r="SUN7" s="1"/>
      <c r="SUO7" s="1"/>
      <c r="SUP7" s="1"/>
      <c r="SUQ7" s="1"/>
      <c r="SUR7" s="1"/>
      <c r="SUS7" s="1"/>
      <c r="SUT7" s="1"/>
      <c r="SUU7" s="1"/>
      <c r="SUV7" s="1"/>
      <c r="SUW7" s="1"/>
      <c r="SUX7" s="1"/>
      <c r="SUY7" s="1"/>
      <c r="SUZ7" s="1"/>
      <c r="SVA7" s="1"/>
      <c r="SVB7" s="1"/>
      <c r="SVC7" s="1"/>
      <c r="SVD7" s="1"/>
      <c r="SVE7" s="1"/>
      <c r="SVF7" s="1"/>
      <c r="SVG7" s="1"/>
      <c r="SVH7" s="1"/>
      <c r="SVI7" s="1"/>
      <c r="SVJ7" s="1"/>
      <c r="SVK7" s="1"/>
      <c r="SVL7" s="1"/>
      <c r="SVM7" s="1"/>
      <c r="SVN7" s="1"/>
      <c r="SVO7" s="1"/>
      <c r="SVP7" s="1"/>
      <c r="SVQ7" s="1"/>
      <c r="SVR7" s="1"/>
      <c r="SVS7" s="1"/>
      <c r="SVT7" s="1"/>
      <c r="SVU7" s="1"/>
      <c r="SVV7" s="1"/>
      <c r="SVW7" s="1"/>
      <c r="SVX7" s="1"/>
      <c r="SVY7" s="1"/>
      <c r="SVZ7" s="1"/>
      <c r="SWA7" s="1"/>
      <c r="SWB7" s="1"/>
      <c r="SWC7" s="1"/>
      <c r="SWD7" s="1"/>
      <c r="SWE7" s="1"/>
      <c r="SWF7" s="1"/>
      <c r="SWG7" s="1"/>
      <c r="SWH7" s="1"/>
      <c r="SWI7" s="1"/>
      <c r="SWJ7" s="1"/>
      <c r="SWK7" s="1"/>
      <c r="SWL7" s="1"/>
      <c r="SWM7" s="1"/>
      <c r="SWN7" s="1"/>
      <c r="SWO7" s="1"/>
      <c r="SWP7" s="1"/>
      <c r="SWQ7" s="1"/>
      <c r="SWR7" s="1"/>
      <c r="SWS7" s="1"/>
      <c r="SWT7" s="1"/>
      <c r="SWU7" s="1"/>
      <c r="SWV7" s="1"/>
      <c r="SWW7" s="1"/>
      <c r="SWX7" s="1"/>
      <c r="SWY7" s="1"/>
      <c r="SWZ7" s="1"/>
      <c r="SXA7" s="1"/>
      <c r="SXB7" s="1"/>
      <c r="SXC7" s="1"/>
      <c r="SXD7" s="1"/>
      <c r="SXE7" s="1"/>
      <c r="SXF7" s="1"/>
      <c r="SXG7" s="1"/>
      <c r="SXH7" s="1"/>
      <c r="SXI7" s="1"/>
      <c r="SXJ7" s="1"/>
      <c r="SXK7" s="1"/>
      <c r="SXL7" s="1"/>
      <c r="SXM7" s="1"/>
      <c r="SXN7" s="1"/>
      <c r="SXO7" s="1"/>
      <c r="SXP7" s="1"/>
      <c r="SXQ7" s="1"/>
      <c r="SXR7" s="1"/>
      <c r="SXS7" s="1"/>
      <c r="SXT7" s="1"/>
      <c r="SXU7" s="1"/>
      <c r="SXV7" s="1"/>
      <c r="SXW7" s="1"/>
      <c r="SXX7" s="1"/>
      <c r="SXY7" s="1"/>
      <c r="SXZ7" s="1"/>
      <c r="SYA7" s="1"/>
      <c r="SYB7" s="1"/>
      <c r="SYC7" s="1"/>
      <c r="SYD7" s="1"/>
      <c r="SYE7" s="1"/>
      <c r="SYF7" s="1"/>
      <c r="SYG7" s="1"/>
      <c r="SYH7" s="1"/>
      <c r="SYI7" s="1"/>
      <c r="SYJ7" s="1"/>
      <c r="SYK7" s="1"/>
      <c r="SYL7" s="1"/>
      <c r="SYM7" s="1"/>
      <c r="SYN7" s="1"/>
      <c r="SYO7" s="1"/>
      <c r="SYP7" s="1"/>
      <c r="SYQ7" s="1"/>
      <c r="SYR7" s="1"/>
      <c r="SYS7" s="1"/>
      <c r="SYT7" s="1"/>
      <c r="SYU7" s="1"/>
      <c r="SYV7" s="1"/>
      <c r="SYW7" s="1"/>
      <c r="SYX7" s="1"/>
      <c r="SYY7" s="1"/>
      <c r="SYZ7" s="1"/>
      <c r="SZA7" s="1"/>
      <c r="SZB7" s="1"/>
      <c r="SZC7" s="1"/>
      <c r="SZD7" s="1"/>
      <c r="SZE7" s="1"/>
      <c r="SZF7" s="1"/>
      <c r="SZG7" s="1"/>
      <c r="SZH7" s="1"/>
      <c r="SZI7" s="1"/>
      <c r="SZJ7" s="1"/>
      <c r="SZK7" s="1"/>
      <c r="SZL7" s="1"/>
      <c r="SZM7" s="1"/>
      <c r="SZN7" s="1"/>
      <c r="SZO7" s="1"/>
      <c r="SZP7" s="1"/>
      <c r="SZQ7" s="1"/>
      <c r="SZR7" s="1"/>
      <c r="SZS7" s="1"/>
      <c r="SZT7" s="1"/>
      <c r="SZU7" s="1"/>
      <c r="SZV7" s="1"/>
      <c r="SZW7" s="1"/>
      <c r="SZX7" s="1"/>
      <c r="SZY7" s="1"/>
      <c r="SZZ7" s="1"/>
      <c r="TAA7" s="1"/>
      <c r="TAB7" s="1"/>
      <c r="TAC7" s="1"/>
      <c r="TAD7" s="1"/>
      <c r="TAE7" s="1"/>
      <c r="TAF7" s="1"/>
      <c r="TAG7" s="1"/>
      <c r="TAH7" s="1"/>
      <c r="TAI7" s="1"/>
      <c r="TAJ7" s="1"/>
      <c r="TAK7" s="1"/>
      <c r="TAL7" s="1"/>
      <c r="TAM7" s="1"/>
      <c r="TAN7" s="1"/>
      <c r="TAO7" s="1"/>
      <c r="TAP7" s="1"/>
      <c r="TAQ7" s="1"/>
      <c r="TAR7" s="1"/>
      <c r="TAS7" s="1"/>
      <c r="TAT7" s="1"/>
      <c r="TAU7" s="1"/>
      <c r="TAV7" s="1"/>
      <c r="TAW7" s="1"/>
      <c r="TAX7" s="1"/>
      <c r="TAY7" s="1"/>
      <c r="TAZ7" s="1"/>
      <c r="TBA7" s="1"/>
      <c r="TBB7" s="1"/>
      <c r="TBC7" s="1"/>
      <c r="TBD7" s="1"/>
      <c r="TBE7" s="1"/>
      <c r="TBF7" s="1"/>
      <c r="TBG7" s="1"/>
      <c r="TBH7" s="1"/>
      <c r="TBI7" s="1"/>
      <c r="TBJ7" s="1"/>
      <c r="TBK7" s="1"/>
      <c r="TBL7" s="1"/>
      <c r="TBM7" s="1"/>
      <c r="TBN7" s="1"/>
      <c r="TBO7" s="1"/>
      <c r="TBP7" s="1"/>
      <c r="TBQ7" s="1"/>
      <c r="TBR7" s="1"/>
      <c r="TBS7" s="1"/>
      <c r="TBT7" s="1"/>
      <c r="TBU7" s="1"/>
      <c r="TBV7" s="1"/>
      <c r="TBW7" s="1"/>
      <c r="TBX7" s="1"/>
      <c r="TBY7" s="1"/>
      <c r="TBZ7" s="1"/>
      <c r="TCA7" s="1"/>
      <c r="TCB7" s="1"/>
      <c r="TCC7" s="1"/>
      <c r="TCD7" s="1"/>
      <c r="TCE7" s="1"/>
      <c r="TCF7" s="1"/>
      <c r="TCG7" s="1"/>
      <c r="TCH7" s="1"/>
      <c r="TCI7" s="1"/>
      <c r="TCJ7" s="1"/>
      <c r="TCK7" s="1"/>
      <c r="TCL7" s="1"/>
      <c r="TCM7" s="1"/>
      <c r="TCN7" s="1"/>
      <c r="TCO7" s="1"/>
      <c r="TCP7" s="1"/>
      <c r="TCQ7" s="1"/>
      <c r="TCR7" s="1"/>
      <c r="TCS7" s="1"/>
      <c r="TCT7" s="1"/>
      <c r="TCU7" s="1"/>
      <c r="TCV7" s="1"/>
      <c r="TCW7" s="1"/>
      <c r="TCX7" s="1"/>
      <c r="TCY7" s="1"/>
      <c r="TCZ7" s="1"/>
      <c r="TDA7" s="1"/>
      <c r="TDB7" s="1"/>
      <c r="TDC7" s="1"/>
      <c r="TDD7" s="1"/>
      <c r="TDE7" s="1"/>
      <c r="TDF7" s="1"/>
      <c r="TDG7" s="1"/>
      <c r="TDH7" s="1"/>
      <c r="TDI7" s="1"/>
      <c r="TDJ7" s="1"/>
      <c r="TDK7" s="1"/>
      <c r="TDL7" s="1"/>
      <c r="TDM7" s="1"/>
      <c r="TDN7" s="1"/>
      <c r="TDO7" s="1"/>
      <c r="TDP7" s="1"/>
      <c r="TDQ7" s="1"/>
      <c r="TDR7" s="1"/>
      <c r="TDS7" s="1"/>
      <c r="TDT7" s="1"/>
      <c r="TDU7" s="1"/>
      <c r="TDV7" s="1"/>
      <c r="TDW7" s="1"/>
      <c r="TDX7" s="1"/>
      <c r="TDY7" s="1"/>
      <c r="TDZ7" s="1"/>
      <c r="TEA7" s="1"/>
      <c r="TEB7" s="1"/>
      <c r="TEC7" s="1"/>
      <c r="TED7" s="1"/>
      <c r="TEE7" s="1"/>
      <c r="TEF7" s="1"/>
      <c r="TEG7" s="1"/>
      <c r="TEH7" s="1"/>
      <c r="TEI7" s="1"/>
      <c r="TEJ7" s="1"/>
      <c r="TEK7" s="1"/>
      <c r="TEL7" s="1"/>
      <c r="TEM7" s="1"/>
      <c r="TEN7" s="1"/>
      <c r="TEO7" s="1"/>
      <c r="TEP7" s="1"/>
      <c r="TEQ7" s="1"/>
      <c r="TER7" s="1"/>
      <c r="TES7" s="1"/>
      <c r="TET7" s="1"/>
      <c r="TEU7" s="1"/>
      <c r="TEV7" s="1"/>
      <c r="TEW7" s="1"/>
      <c r="TEX7" s="1"/>
      <c r="TEY7" s="1"/>
      <c r="TEZ7" s="1"/>
      <c r="TFA7" s="1"/>
      <c r="TFB7" s="1"/>
      <c r="TFC7" s="1"/>
      <c r="TFD7" s="1"/>
      <c r="TFE7" s="1"/>
      <c r="TFF7" s="1"/>
      <c r="TFG7" s="1"/>
      <c r="TFH7" s="1"/>
      <c r="TFI7" s="1"/>
      <c r="TFJ7" s="1"/>
      <c r="TFK7" s="1"/>
      <c r="TFL7" s="1"/>
      <c r="TFM7" s="1"/>
      <c r="TFN7" s="1"/>
      <c r="TFO7" s="1"/>
      <c r="TFP7" s="1"/>
      <c r="TFQ7" s="1"/>
      <c r="TFR7" s="1"/>
      <c r="TFS7" s="1"/>
      <c r="TFT7" s="1"/>
      <c r="TFU7" s="1"/>
      <c r="TFV7" s="1"/>
      <c r="TFW7" s="1"/>
      <c r="TFX7" s="1"/>
      <c r="TFY7" s="1"/>
      <c r="TFZ7" s="1"/>
      <c r="TGA7" s="1"/>
      <c r="TGB7" s="1"/>
      <c r="TGC7" s="1"/>
      <c r="TGD7" s="1"/>
      <c r="TGE7" s="1"/>
      <c r="TGF7" s="1"/>
      <c r="TGG7" s="1"/>
      <c r="TGH7" s="1"/>
      <c r="TGI7" s="1"/>
      <c r="TGJ7" s="1"/>
      <c r="TGK7" s="1"/>
      <c r="TGL7" s="1"/>
      <c r="TGM7" s="1"/>
      <c r="TGN7" s="1"/>
      <c r="TGO7" s="1"/>
      <c r="TGP7" s="1"/>
      <c r="TGQ7" s="1"/>
      <c r="TGR7" s="1"/>
      <c r="TGS7" s="1"/>
      <c r="TGT7" s="1"/>
      <c r="TGU7" s="1"/>
      <c r="TGV7" s="1"/>
      <c r="TGW7" s="1"/>
      <c r="TGX7" s="1"/>
      <c r="TGY7" s="1"/>
      <c r="TGZ7" s="1"/>
      <c r="THA7" s="1"/>
      <c r="THB7" s="1"/>
      <c r="THC7" s="1"/>
      <c r="THD7" s="1"/>
      <c r="THE7" s="1"/>
      <c r="THF7" s="1"/>
      <c r="THG7" s="1"/>
      <c r="THH7" s="1"/>
      <c r="THI7" s="1"/>
      <c r="THJ7" s="1"/>
      <c r="THK7" s="1"/>
      <c r="THL7" s="1"/>
      <c r="THM7" s="1"/>
      <c r="THN7" s="1"/>
      <c r="THO7" s="1"/>
      <c r="THP7" s="1"/>
      <c r="THQ7" s="1"/>
      <c r="THR7" s="1"/>
      <c r="THS7" s="1"/>
      <c r="THT7" s="1"/>
      <c r="THU7" s="1"/>
      <c r="THV7" s="1"/>
      <c r="THW7" s="1"/>
      <c r="THX7" s="1"/>
      <c r="THY7" s="1"/>
      <c r="THZ7" s="1"/>
      <c r="TIA7" s="1"/>
      <c r="TIB7" s="1"/>
      <c r="TIC7" s="1"/>
      <c r="TID7" s="1"/>
      <c r="TIE7" s="1"/>
      <c r="TIF7" s="1"/>
      <c r="TIG7" s="1"/>
      <c r="TIH7" s="1"/>
      <c r="TII7" s="1"/>
      <c r="TIJ7" s="1"/>
      <c r="TIK7" s="1"/>
      <c r="TIL7" s="1"/>
      <c r="TIM7" s="1"/>
      <c r="TIN7" s="1"/>
      <c r="TIO7" s="1"/>
      <c r="TIP7" s="1"/>
      <c r="TIQ7" s="1"/>
      <c r="TIR7" s="1"/>
      <c r="TIS7" s="1"/>
      <c r="TIT7" s="1"/>
      <c r="TIU7" s="1"/>
      <c r="TIV7" s="1"/>
      <c r="TIW7" s="1"/>
      <c r="TIX7" s="1"/>
      <c r="TIY7" s="1"/>
      <c r="TIZ7" s="1"/>
      <c r="TJA7" s="1"/>
      <c r="TJB7" s="1"/>
      <c r="TJC7" s="1"/>
      <c r="TJD7" s="1"/>
      <c r="TJE7" s="1"/>
      <c r="TJF7" s="1"/>
      <c r="TJG7" s="1"/>
      <c r="TJH7" s="1"/>
      <c r="TJI7" s="1"/>
      <c r="TJJ7" s="1"/>
      <c r="TJK7" s="1"/>
      <c r="TJL7" s="1"/>
      <c r="TJM7" s="1"/>
      <c r="TJN7" s="1"/>
      <c r="TJO7" s="1"/>
      <c r="TJP7" s="1"/>
      <c r="TJQ7" s="1"/>
      <c r="TJR7" s="1"/>
      <c r="TJS7" s="1"/>
      <c r="TJT7" s="1"/>
      <c r="TJU7" s="1"/>
      <c r="TJV7" s="1"/>
      <c r="TJW7" s="1"/>
      <c r="TJX7" s="1"/>
      <c r="TJY7" s="1"/>
      <c r="TJZ7" s="1"/>
      <c r="TKA7" s="1"/>
      <c r="TKB7" s="1"/>
      <c r="TKC7" s="1"/>
      <c r="TKD7" s="1"/>
      <c r="TKE7" s="1"/>
      <c r="TKF7" s="1"/>
      <c r="TKG7" s="1"/>
      <c r="TKH7" s="1"/>
      <c r="TKI7" s="1"/>
      <c r="TKJ7" s="1"/>
      <c r="TKK7" s="1"/>
      <c r="TKL7" s="1"/>
      <c r="TKM7" s="1"/>
      <c r="TKN7" s="1"/>
      <c r="TKO7" s="1"/>
      <c r="TKP7" s="1"/>
      <c r="TKQ7" s="1"/>
      <c r="TKR7" s="1"/>
      <c r="TKS7" s="1"/>
      <c r="TKT7" s="1"/>
      <c r="TKU7" s="1"/>
      <c r="TKV7" s="1"/>
      <c r="TKW7" s="1"/>
      <c r="TKX7" s="1"/>
      <c r="TKY7" s="1"/>
      <c r="TKZ7" s="1"/>
      <c r="TLA7" s="1"/>
      <c r="TLB7" s="1"/>
      <c r="TLC7" s="1"/>
      <c r="TLD7" s="1"/>
      <c r="TLE7" s="1"/>
      <c r="TLF7" s="1"/>
      <c r="TLG7" s="1"/>
      <c r="TLH7" s="1"/>
      <c r="TLI7" s="1"/>
      <c r="TLJ7" s="1"/>
      <c r="TLK7" s="1"/>
      <c r="TLL7" s="1"/>
      <c r="TLM7" s="1"/>
      <c r="TLN7" s="1"/>
      <c r="TLO7" s="1"/>
      <c r="TLP7" s="1"/>
      <c r="TLQ7" s="1"/>
      <c r="TLR7" s="1"/>
      <c r="TLS7" s="1"/>
      <c r="TLT7" s="1"/>
      <c r="TLU7" s="1"/>
      <c r="TLV7" s="1"/>
      <c r="TLW7" s="1"/>
      <c r="TLX7" s="1"/>
      <c r="TLY7" s="1"/>
      <c r="TLZ7" s="1"/>
      <c r="TMA7" s="1"/>
      <c r="TMB7" s="1"/>
      <c r="TMC7" s="1"/>
      <c r="TMD7" s="1"/>
      <c r="TME7" s="1"/>
      <c r="TMF7" s="1"/>
      <c r="TMG7" s="1"/>
      <c r="TMH7" s="1"/>
      <c r="TMI7" s="1"/>
      <c r="TMJ7" s="1"/>
      <c r="TMK7" s="1"/>
      <c r="TML7" s="1"/>
      <c r="TMM7" s="1"/>
      <c r="TMN7" s="1"/>
      <c r="TMO7" s="1"/>
      <c r="TMP7" s="1"/>
      <c r="TMQ7" s="1"/>
      <c r="TMR7" s="1"/>
      <c r="TMS7" s="1"/>
      <c r="TMT7" s="1"/>
      <c r="TMU7" s="1"/>
      <c r="TMV7" s="1"/>
      <c r="TMW7" s="1"/>
      <c r="TMX7" s="1"/>
      <c r="TMY7" s="1"/>
      <c r="TMZ7" s="1"/>
      <c r="TNA7" s="1"/>
      <c r="TNB7" s="1"/>
      <c r="TNC7" s="1"/>
      <c r="TND7" s="1"/>
      <c r="TNE7" s="1"/>
      <c r="TNF7" s="1"/>
      <c r="TNG7" s="1"/>
      <c r="TNH7" s="1"/>
      <c r="TNI7" s="1"/>
      <c r="TNJ7" s="1"/>
      <c r="TNK7" s="1"/>
      <c r="TNL7" s="1"/>
      <c r="TNM7" s="1"/>
      <c r="TNN7" s="1"/>
      <c r="TNO7" s="1"/>
      <c r="TNP7" s="1"/>
      <c r="TNQ7" s="1"/>
      <c r="TNR7" s="1"/>
      <c r="TNS7" s="1"/>
      <c r="TNT7" s="1"/>
      <c r="TNU7" s="1"/>
      <c r="TNV7" s="1"/>
      <c r="TNW7" s="1"/>
      <c r="TNX7" s="1"/>
      <c r="TNY7" s="1"/>
      <c r="TNZ7" s="1"/>
      <c r="TOA7" s="1"/>
      <c r="TOB7" s="1"/>
      <c r="TOC7" s="1"/>
      <c r="TOD7" s="1"/>
      <c r="TOE7" s="1"/>
      <c r="TOF7" s="1"/>
      <c r="TOG7" s="1"/>
      <c r="TOH7" s="1"/>
      <c r="TOI7" s="1"/>
      <c r="TOJ7" s="1"/>
      <c r="TOK7" s="1"/>
      <c r="TOL7" s="1"/>
      <c r="TOM7" s="1"/>
      <c r="TON7" s="1"/>
      <c r="TOO7" s="1"/>
      <c r="TOP7" s="1"/>
      <c r="TOQ7" s="1"/>
      <c r="TOR7" s="1"/>
      <c r="TOS7" s="1"/>
      <c r="TOT7" s="1"/>
      <c r="TOU7" s="1"/>
      <c r="TOV7" s="1"/>
      <c r="TOW7" s="1"/>
      <c r="TOX7" s="1"/>
      <c r="TOY7" s="1"/>
      <c r="TOZ7" s="1"/>
      <c r="TPA7" s="1"/>
      <c r="TPB7" s="1"/>
      <c r="TPC7" s="1"/>
      <c r="TPD7" s="1"/>
      <c r="TPE7" s="1"/>
      <c r="TPF7" s="1"/>
      <c r="TPG7" s="1"/>
      <c r="TPH7" s="1"/>
      <c r="TPI7" s="1"/>
      <c r="TPJ7" s="1"/>
      <c r="TPK7" s="1"/>
      <c r="TPL7" s="1"/>
      <c r="TPM7" s="1"/>
      <c r="TPN7" s="1"/>
      <c r="TPO7" s="1"/>
      <c r="TPP7" s="1"/>
      <c r="TPQ7" s="1"/>
      <c r="TPR7" s="1"/>
      <c r="TPS7" s="1"/>
      <c r="TPT7" s="1"/>
      <c r="TPU7" s="1"/>
      <c r="TPV7" s="1"/>
      <c r="TPW7" s="1"/>
      <c r="TPX7" s="1"/>
      <c r="TPY7" s="1"/>
      <c r="TPZ7" s="1"/>
      <c r="TQA7" s="1"/>
      <c r="TQB7" s="1"/>
      <c r="TQC7" s="1"/>
      <c r="TQD7" s="1"/>
      <c r="TQE7" s="1"/>
      <c r="TQF7" s="1"/>
      <c r="TQG7" s="1"/>
      <c r="TQH7" s="1"/>
      <c r="TQI7" s="1"/>
      <c r="TQJ7" s="1"/>
      <c r="TQK7" s="1"/>
      <c r="TQL7" s="1"/>
      <c r="TQM7" s="1"/>
      <c r="TQN7" s="1"/>
      <c r="TQO7" s="1"/>
      <c r="TQP7" s="1"/>
      <c r="TQQ7" s="1"/>
      <c r="TQR7" s="1"/>
      <c r="TQS7" s="1"/>
      <c r="TQT7" s="1"/>
      <c r="TQU7" s="1"/>
      <c r="TQV7" s="1"/>
      <c r="TQW7" s="1"/>
      <c r="TQX7" s="1"/>
      <c r="TQY7" s="1"/>
      <c r="TQZ7" s="1"/>
      <c r="TRA7" s="1"/>
      <c r="TRB7" s="1"/>
      <c r="TRC7" s="1"/>
      <c r="TRD7" s="1"/>
      <c r="TRE7" s="1"/>
      <c r="TRF7" s="1"/>
      <c r="TRG7" s="1"/>
      <c r="TRH7" s="1"/>
      <c r="TRI7" s="1"/>
      <c r="TRJ7" s="1"/>
      <c r="TRK7" s="1"/>
      <c r="TRL7" s="1"/>
      <c r="TRM7" s="1"/>
      <c r="TRN7" s="1"/>
      <c r="TRO7" s="1"/>
      <c r="TRP7" s="1"/>
      <c r="TRQ7" s="1"/>
      <c r="TRR7" s="1"/>
      <c r="TRS7" s="1"/>
      <c r="TRT7" s="1"/>
      <c r="TRU7" s="1"/>
      <c r="TRV7" s="1"/>
      <c r="TRW7" s="1"/>
      <c r="TRX7" s="1"/>
      <c r="TRY7" s="1"/>
      <c r="TRZ7" s="1"/>
      <c r="TSA7" s="1"/>
      <c r="TSB7" s="1"/>
      <c r="TSC7" s="1"/>
      <c r="TSD7" s="1"/>
      <c r="TSE7" s="1"/>
      <c r="TSF7" s="1"/>
      <c r="TSG7" s="1"/>
      <c r="TSH7" s="1"/>
      <c r="TSI7" s="1"/>
      <c r="TSJ7" s="1"/>
      <c r="TSK7" s="1"/>
      <c r="TSL7" s="1"/>
      <c r="TSM7" s="1"/>
      <c r="TSN7" s="1"/>
      <c r="TSO7" s="1"/>
      <c r="TSP7" s="1"/>
      <c r="TSQ7" s="1"/>
      <c r="TSR7" s="1"/>
      <c r="TSS7" s="1"/>
      <c r="TST7" s="1"/>
      <c r="TSU7" s="1"/>
      <c r="TSV7" s="1"/>
      <c r="TSW7" s="1"/>
      <c r="TSX7" s="1"/>
      <c r="TSY7" s="1"/>
      <c r="TSZ7" s="1"/>
      <c r="TTA7" s="1"/>
      <c r="TTB7" s="1"/>
      <c r="TTC7" s="1"/>
      <c r="TTD7" s="1"/>
      <c r="TTE7" s="1"/>
      <c r="TTF7" s="1"/>
      <c r="TTG7" s="1"/>
      <c r="TTH7" s="1"/>
      <c r="TTI7" s="1"/>
      <c r="TTJ7" s="1"/>
      <c r="TTK7" s="1"/>
      <c r="TTL7" s="1"/>
      <c r="TTM7" s="1"/>
      <c r="TTN7" s="1"/>
      <c r="TTO7" s="1"/>
      <c r="TTP7" s="1"/>
      <c r="TTQ7" s="1"/>
      <c r="TTR7" s="1"/>
      <c r="TTS7" s="1"/>
      <c r="TTT7" s="1"/>
      <c r="TTU7" s="1"/>
      <c r="TTV7" s="1"/>
      <c r="TTW7" s="1"/>
      <c r="TTX7" s="1"/>
      <c r="TTY7" s="1"/>
      <c r="TTZ7" s="1"/>
      <c r="TUA7" s="1"/>
      <c r="TUB7" s="1"/>
      <c r="TUC7" s="1"/>
      <c r="TUD7" s="1"/>
      <c r="TUE7" s="1"/>
      <c r="TUF7" s="1"/>
      <c r="TUG7" s="1"/>
      <c r="TUH7" s="1"/>
      <c r="TUI7" s="1"/>
      <c r="TUJ7" s="1"/>
      <c r="TUK7" s="1"/>
      <c r="TUL7" s="1"/>
      <c r="TUM7" s="1"/>
      <c r="TUN7" s="1"/>
      <c r="TUO7" s="1"/>
      <c r="TUP7" s="1"/>
      <c r="TUQ7" s="1"/>
      <c r="TUR7" s="1"/>
      <c r="TUS7" s="1"/>
      <c r="TUT7" s="1"/>
      <c r="TUU7" s="1"/>
      <c r="TUV7" s="1"/>
      <c r="TUW7" s="1"/>
      <c r="TUX7" s="1"/>
      <c r="TUY7" s="1"/>
      <c r="TUZ7" s="1"/>
      <c r="TVA7" s="1"/>
      <c r="TVB7" s="1"/>
      <c r="TVC7" s="1"/>
      <c r="TVD7" s="1"/>
      <c r="TVE7" s="1"/>
      <c r="TVF7" s="1"/>
      <c r="TVG7" s="1"/>
      <c r="TVH7" s="1"/>
      <c r="TVI7" s="1"/>
      <c r="TVJ7" s="1"/>
      <c r="TVK7" s="1"/>
      <c r="TVL7" s="1"/>
      <c r="TVM7" s="1"/>
      <c r="TVN7" s="1"/>
      <c r="TVO7" s="1"/>
      <c r="TVP7" s="1"/>
      <c r="TVQ7" s="1"/>
      <c r="TVR7" s="1"/>
      <c r="TVS7" s="1"/>
      <c r="TVT7" s="1"/>
      <c r="TVU7" s="1"/>
      <c r="TVV7" s="1"/>
      <c r="TVW7" s="1"/>
      <c r="TVX7" s="1"/>
      <c r="TVY7" s="1"/>
      <c r="TVZ7" s="1"/>
      <c r="TWA7" s="1"/>
      <c r="TWB7" s="1"/>
      <c r="TWC7" s="1"/>
      <c r="TWD7" s="1"/>
      <c r="TWE7" s="1"/>
      <c r="TWF7" s="1"/>
      <c r="TWG7" s="1"/>
      <c r="TWH7" s="1"/>
      <c r="TWI7" s="1"/>
      <c r="TWJ7" s="1"/>
      <c r="TWK7" s="1"/>
      <c r="TWL7" s="1"/>
      <c r="TWM7" s="1"/>
      <c r="TWN7" s="1"/>
      <c r="TWO7" s="1"/>
      <c r="TWP7" s="1"/>
      <c r="TWQ7" s="1"/>
      <c r="TWR7" s="1"/>
      <c r="TWS7" s="1"/>
      <c r="TWT7" s="1"/>
      <c r="TWU7" s="1"/>
      <c r="TWV7" s="1"/>
      <c r="TWW7" s="1"/>
      <c r="TWX7" s="1"/>
      <c r="TWY7" s="1"/>
      <c r="TWZ7" s="1"/>
      <c r="TXA7" s="1"/>
      <c r="TXB7" s="1"/>
      <c r="TXC7" s="1"/>
      <c r="TXD7" s="1"/>
      <c r="TXE7" s="1"/>
      <c r="TXF7" s="1"/>
      <c r="TXG7" s="1"/>
      <c r="TXH7" s="1"/>
      <c r="TXI7" s="1"/>
      <c r="TXJ7" s="1"/>
      <c r="TXK7" s="1"/>
      <c r="TXL7" s="1"/>
      <c r="TXM7" s="1"/>
      <c r="TXN7" s="1"/>
      <c r="TXO7" s="1"/>
      <c r="TXP7" s="1"/>
      <c r="TXQ7" s="1"/>
      <c r="TXR7" s="1"/>
      <c r="TXS7" s="1"/>
      <c r="TXT7" s="1"/>
      <c r="TXU7" s="1"/>
      <c r="TXV7" s="1"/>
      <c r="TXW7" s="1"/>
      <c r="TXX7" s="1"/>
      <c r="TXY7" s="1"/>
      <c r="TXZ7" s="1"/>
      <c r="TYA7" s="1"/>
      <c r="TYB7" s="1"/>
      <c r="TYC7" s="1"/>
      <c r="TYD7" s="1"/>
      <c r="TYE7" s="1"/>
      <c r="TYF7" s="1"/>
      <c r="TYG7" s="1"/>
      <c r="TYH7" s="1"/>
      <c r="TYI7" s="1"/>
      <c r="TYJ7" s="1"/>
      <c r="TYK7" s="1"/>
      <c r="TYL7" s="1"/>
      <c r="TYM7" s="1"/>
      <c r="TYN7" s="1"/>
      <c r="TYO7" s="1"/>
      <c r="TYP7" s="1"/>
      <c r="TYQ7" s="1"/>
      <c r="TYR7" s="1"/>
      <c r="TYS7" s="1"/>
      <c r="TYT7" s="1"/>
      <c r="TYU7" s="1"/>
      <c r="TYV7" s="1"/>
      <c r="TYW7" s="1"/>
      <c r="TYX7" s="1"/>
      <c r="TYY7" s="1"/>
      <c r="TYZ7" s="1"/>
      <c r="TZA7" s="1"/>
      <c r="TZB7" s="1"/>
      <c r="TZC7" s="1"/>
      <c r="TZD7" s="1"/>
      <c r="TZE7" s="1"/>
      <c r="TZF7" s="1"/>
      <c r="TZG7" s="1"/>
      <c r="TZH7" s="1"/>
      <c r="TZI7" s="1"/>
      <c r="TZJ7" s="1"/>
      <c r="TZK7" s="1"/>
      <c r="TZL7" s="1"/>
      <c r="TZM7" s="1"/>
      <c r="TZN7" s="1"/>
      <c r="TZO7" s="1"/>
      <c r="TZP7" s="1"/>
      <c r="TZQ7" s="1"/>
      <c r="TZR7" s="1"/>
      <c r="TZS7" s="1"/>
      <c r="TZT7" s="1"/>
      <c r="TZU7" s="1"/>
      <c r="TZV7" s="1"/>
      <c r="TZW7" s="1"/>
      <c r="TZX7" s="1"/>
      <c r="TZY7" s="1"/>
      <c r="TZZ7" s="1"/>
      <c r="UAA7" s="1"/>
      <c r="UAB7" s="1"/>
      <c r="UAC7" s="1"/>
      <c r="UAD7" s="1"/>
      <c r="UAE7" s="1"/>
      <c r="UAF7" s="1"/>
      <c r="UAG7" s="1"/>
      <c r="UAH7" s="1"/>
      <c r="UAI7" s="1"/>
      <c r="UAJ7" s="1"/>
      <c r="UAK7" s="1"/>
      <c r="UAL7" s="1"/>
      <c r="UAM7" s="1"/>
      <c r="UAN7" s="1"/>
      <c r="UAO7" s="1"/>
      <c r="UAP7" s="1"/>
      <c r="UAQ7" s="1"/>
      <c r="UAR7" s="1"/>
      <c r="UAS7" s="1"/>
      <c r="UAT7" s="1"/>
      <c r="UAU7" s="1"/>
      <c r="UAV7" s="1"/>
      <c r="UAW7" s="1"/>
      <c r="UAX7" s="1"/>
      <c r="UAY7" s="1"/>
      <c r="UAZ7" s="1"/>
      <c r="UBA7" s="1"/>
      <c r="UBB7" s="1"/>
      <c r="UBC7" s="1"/>
      <c r="UBD7" s="1"/>
      <c r="UBE7" s="1"/>
      <c r="UBF7" s="1"/>
      <c r="UBG7" s="1"/>
      <c r="UBH7" s="1"/>
      <c r="UBI7" s="1"/>
      <c r="UBJ7" s="1"/>
      <c r="UBK7" s="1"/>
      <c r="UBL7" s="1"/>
      <c r="UBM7" s="1"/>
      <c r="UBN7" s="1"/>
      <c r="UBO7" s="1"/>
      <c r="UBP7" s="1"/>
      <c r="UBQ7" s="1"/>
      <c r="UBR7" s="1"/>
      <c r="UBS7" s="1"/>
      <c r="UBT7" s="1"/>
      <c r="UBU7" s="1"/>
      <c r="UBV7" s="1"/>
      <c r="UBW7" s="1"/>
      <c r="UBX7" s="1"/>
      <c r="UBY7" s="1"/>
      <c r="UBZ7" s="1"/>
      <c r="UCA7" s="1"/>
      <c r="UCB7" s="1"/>
      <c r="UCC7" s="1"/>
      <c r="UCD7" s="1"/>
      <c r="UCE7" s="1"/>
      <c r="UCF7" s="1"/>
      <c r="UCG7" s="1"/>
      <c r="UCH7" s="1"/>
      <c r="UCI7" s="1"/>
      <c r="UCJ7" s="1"/>
      <c r="UCK7" s="1"/>
      <c r="UCL7" s="1"/>
      <c r="UCM7" s="1"/>
      <c r="UCN7" s="1"/>
      <c r="UCO7" s="1"/>
      <c r="UCP7" s="1"/>
      <c r="UCQ7" s="1"/>
      <c r="UCR7" s="1"/>
      <c r="UCS7" s="1"/>
      <c r="UCT7" s="1"/>
      <c r="UCU7" s="1"/>
      <c r="UCV7" s="1"/>
      <c r="UCW7" s="1"/>
      <c r="UCX7" s="1"/>
      <c r="UCY7" s="1"/>
      <c r="UCZ7" s="1"/>
      <c r="UDA7" s="1"/>
      <c r="UDB7" s="1"/>
      <c r="UDC7" s="1"/>
      <c r="UDD7" s="1"/>
      <c r="UDE7" s="1"/>
      <c r="UDF7" s="1"/>
      <c r="UDG7" s="1"/>
      <c r="UDH7" s="1"/>
      <c r="UDI7" s="1"/>
      <c r="UDJ7" s="1"/>
      <c r="UDK7" s="1"/>
      <c r="UDL7" s="1"/>
      <c r="UDM7" s="1"/>
      <c r="UDN7" s="1"/>
      <c r="UDO7" s="1"/>
      <c r="UDP7" s="1"/>
      <c r="UDQ7" s="1"/>
      <c r="UDR7" s="1"/>
      <c r="UDS7" s="1"/>
      <c r="UDT7" s="1"/>
      <c r="UDU7" s="1"/>
      <c r="UDV7" s="1"/>
      <c r="UDW7" s="1"/>
      <c r="UDX7" s="1"/>
      <c r="UDY7" s="1"/>
      <c r="UDZ7" s="1"/>
      <c r="UEA7" s="1"/>
      <c r="UEB7" s="1"/>
      <c r="UEC7" s="1"/>
      <c r="UED7" s="1"/>
      <c r="UEE7" s="1"/>
      <c r="UEF7" s="1"/>
      <c r="UEG7" s="1"/>
      <c r="UEH7" s="1"/>
      <c r="UEI7" s="1"/>
      <c r="UEJ7" s="1"/>
      <c r="UEK7" s="1"/>
      <c r="UEL7" s="1"/>
      <c r="UEM7" s="1"/>
      <c r="UEN7" s="1"/>
      <c r="UEO7" s="1"/>
      <c r="UEP7" s="1"/>
      <c r="UEQ7" s="1"/>
      <c r="UER7" s="1"/>
      <c r="UES7" s="1"/>
      <c r="UET7" s="1"/>
      <c r="UEU7" s="1"/>
      <c r="UEV7" s="1"/>
      <c r="UEW7" s="1"/>
      <c r="UEX7" s="1"/>
      <c r="UEY7" s="1"/>
      <c r="UEZ7" s="1"/>
      <c r="UFA7" s="1"/>
      <c r="UFB7" s="1"/>
      <c r="UFC7" s="1"/>
      <c r="UFD7" s="1"/>
      <c r="UFE7" s="1"/>
      <c r="UFF7" s="1"/>
      <c r="UFG7" s="1"/>
      <c r="UFH7" s="1"/>
      <c r="UFI7" s="1"/>
      <c r="UFJ7" s="1"/>
      <c r="UFK7" s="1"/>
      <c r="UFL7" s="1"/>
      <c r="UFM7" s="1"/>
      <c r="UFN7" s="1"/>
      <c r="UFO7" s="1"/>
      <c r="UFP7" s="1"/>
      <c r="UFQ7" s="1"/>
      <c r="UFR7" s="1"/>
      <c r="UFS7" s="1"/>
      <c r="UFT7" s="1"/>
      <c r="UFU7" s="1"/>
      <c r="UFV7" s="1"/>
      <c r="UFW7" s="1"/>
      <c r="UFX7" s="1"/>
      <c r="UFY7" s="1"/>
      <c r="UFZ7" s="1"/>
      <c r="UGA7" s="1"/>
      <c r="UGB7" s="1"/>
      <c r="UGC7" s="1"/>
      <c r="UGD7" s="1"/>
      <c r="UGE7" s="1"/>
      <c r="UGF7" s="1"/>
      <c r="UGG7" s="1"/>
      <c r="UGH7" s="1"/>
      <c r="UGI7" s="1"/>
      <c r="UGJ7" s="1"/>
      <c r="UGK7" s="1"/>
      <c r="UGL7" s="1"/>
      <c r="UGM7" s="1"/>
      <c r="UGN7" s="1"/>
      <c r="UGO7" s="1"/>
      <c r="UGP7" s="1"/>
      <c r="UGQ7" s="1"/>
      <c r="UGR7" s="1"/>
      <c r="UGS7" s="1"/>
      <c r="UGT7" s="1"/>
      <c r="UGU7" s="1"/>
      <c r="UGV7" s="1"/>
      <c r="UGW7" s="1"/>
      <c r="UGX7" s="1"/>
      <c r="UGY7" s="1"/>
      <c r="UGZ7" s="1"/>
      <c r="UHA7" s="1"/>
      <c r="UHB7" s="1"/>
      <c r="UHC7" s="1"/>
      <c r="UHD7" s="1"/>
      <c r="UHE7" s="1"/>
      <c r="UHF7" s="1"/>
      <c r="UHG7" s="1"/>
      <c r="UHH7" s="1"/>
      <c r="UHI7" s="1"/>
      <c r="UHJ7" s="1"/>
      <c r="UHK7" s="1"/>
      <c r="UHL7" s="1"/>
      <c r="UHM7" s="1"/>
      <c r="UHN7" s="1"/>
      <c r="UHO7" s="1"/>
      <c r="UHP7" s="1"/>
      <c r="UHQ7" s="1"/>
      <c r="UHR7" s="1"/>
      <c r="UHS7" s="1"/>
      <c r="UHT7" s="1"/>
      <c r="UHU7" s="1"/>
      <c r="UHV7" s="1"/>
      <c r="UHW7" s="1"/>
      <c r="UHX7" s="1"/>
      <c r="UHY7" s="1"/>
      <c r="UHZ7" s="1"/>
      <c r="UIA7" s="1"/>
      <c r="UIB7" s="1"/>
      <c r="UIC7" s="1"/>
      <c r="UID7" s="1"/>
      <c r="UIE7" s="1"/>
      <c r="UIF7" s="1"/>
      <c r="UIG7" s="1"/>
      <c r="UIH7" s="1"/>
      <c r="UII7" s="1"/>
      <c r="UIJ7" s="1"/>
      <c r="UIK7" s="1"/>
      <c r="UIL7" s="1"/>
      <c r="UIM7" s="1"/>
      <c r="UIN7" s="1"/>
      <c r="UIO7" s="1"/>
      <c r="UIP7" s="1"/>
      <c r="UIQ7" s="1"/>
      <c r="UIR7" s="1"/>
      <c r="UIS7" s="1"/>
      <c r="UIT7" s="1"/>
      <c r="UIU7" s="1"/>
      <c r="UIV7" s="1"/>
      <c r="UIW7" s="1"/>
      <c r="UIX7" s="1"/>
      <c r="UIY7" s="1"/>
      <c r="UIZ7" s="1"/>
      <c r="UJA7" s="1"/>
      <c r="UJB7" s="1"/>
      <c r="UJC7" s="1"/>
      <c r="UJD7" s="1"/>
      <c r="UJE7" s="1"/>
      <c r="UJF7" s="1"/>
      <c r="UJG7" s="1"/>
      <c r="UJH7" s="1"/>
      <c r="UJI7" s="1"/>
      <c r="UJJ7" s="1"/>
      <c r="UJK7" s="1"/>
      <c r="UJL7" s="1"/>
      <c r="UJM7" s="1"/>
      <c r="UJN7" s="1"/>
      <c r="UJO7" s="1"/>
      <c r="UJP7" s="1"/>
      <c r="UJQ7" s="1"/>
      <c r="UJR7" s="1"/>
      <c r="UJS7" s="1"/>
      <c r="UJT7" s="1"/>
      <c r="UJU7" s="1"/>
      <c r="UJV7" s="1"/>
      <c r="UJW7" s="1"/>
      <c r="UJX7" s="1"/>
      <c r="UJY7" s="1"/>
      <c r="UJZ7" s="1"/>
      <c r="UKA7" s="1"/>
      <c r="UKB7" s="1"/>
      <c r="UKC7" s="1"/>
      <c r="UKD7" s="1"/>
      <c r="UKE7" s="1"/>
      <c r="UKF7" s="1"/>
      <c r="UKG7" s="1"/>
      <c r="UKH7" s="1"/>
      <c r="UKI7" s="1"/>
      <c r="UKJ7" s="1"/>
      <c r="UKK7" s="1"/>
      <c r="UKL7" s="1"/>
      <c r="UKM7" s="1"/>
      <c r="UKN7" s="1"/>
      <c r="UKO7" s="1"/>
      <c r="UKP7" s="1"/>
      <c r="UKQ7" s="1"/>
      <c r="UKR7" s="1"/>
      <c r="UKS7" s="1"/>
      <c r="UKT7" s="1"/>
      <c r="UKU7" s="1"/>
      <c r="UKV7" s="1"/>
      <c r="UKW7" s="1"/>
      <c r="UKX7" s="1"/>
      <c r="UKY7" s="1"/>
      <c r="UKZ7" s="1"/>
      <c r="ULA7" s="1"/>
      <c r="ULB7" s="1"/>
      <c r="ULC7" s="1"/>
      <c r="ULD7" s="1"/>
      <c r="ULE7" s="1"/>
      <c r="ULF7" s="1"/>
      <c r="ULG7" s="1"/>
      <c r="ULH7" s="1"/>
      <c r="ULI7" s="1"/>
      <c r="ULJ7" s="1"/>
      <c r="ULK7" s="1"/>
      <c r="ULL7" s="1"/>
      <c r="ULM7" s="1"/>
      <c r="ULN7" s="1"/>
      <c r="ULO7" s="1"/>
      <c r="ULP7" s="1"/>
      <c r="ULQ7" s="1"/>
      <c r="ULR7" s="1"/>
      <c r="ULS7" s="1"/>
      <c r="ULT7" s="1"/>
      <c r="ULU7" s="1"/>
      <c r="ULV7" s="1"/>
      <c r="ULW7" s="1"/>
      <c r="ULX7" s="1"/>
      <c r="ULY7" s="1"/>
      <c r="ULZ7" s="1"/>
      <c r="UMA7" s="1"/>
      <c r="UMB7" s="1"/>
      <c r="UMC7" s="1"/>
      <c r="UMD7" s="1"/>
      <c r="UME7" s="1"/>
      <c r="UMF7" s="1"/>
      <c r="UMG7" s="1"/>
      <c r="UMH7" s="1"/>
      <c r="UMI7" s="1"/>
      <c r="UMJ7" s="1"/>
      <c r="UMK7" s="1"/>
      <c r="UML7" s="1"/>
      <c r="UMM7" s="1"/>
      <c r="UMN7" s="1"/>
      <c r="UMO7" s="1"/>
      <c r="UMP7" s="1"/>
      <c r="UMQ7" s="1"/>
      <c r="UMR7" s="1"/>
      <c r="UMS7" s="1"/>
      <c r="UMT7" s="1"/>
      <c r="UMU7" s="1"/>
      <c r="UMV7" s="1"/>
      <c r="UMW7" s="1"/>
      <c r="UMX7" s="1"/>
      <c r="UMY7" s="1"/>
      <c r="UMZ7" s="1"/>
      <c r="UNA7" s="1"/>
      <c r="UNB7" s="1"/>
      <c r="UNC7" s="1"/>
      <c r="UND7" s="1"/>
      <c r="UNE7" s="1"/>
      <c r="UNF7" s="1"/>
      <c r="UNG7" s="1"/>
      <c r="UNH7" s="1"/>
      <c r="UNI7" s="1"/>
      <c r="UNJ7" s="1"/>
      <c r="UNK7" s="1"/>
      <c r="UNL7" s="1"/>
      <c r="UNM7" s="1"/>
      <c r="UNN7" s="1"/>
      <c r="UNO7" s="1"/>
      <c r="UNP7" s="1"/>
      <c r="UNQ7" s="1"/>
      <c r="UNR7" s="1"/>
      <c r="UNS7" s="1"/>
      <c r="UNT7" s="1"/>
      <c r="UNU7" s="1"/>
      <c r="UNV7" s="1"/>
      <c r="UNW7" s="1"/>
      <c r="UNX7" s="1"/>
      <c r="UNY7" s="1"/>
      <c r="UNZ7" s="1"/>
      <c r="UOA7" s="1"/>
      <c r="UOB7" s="1"/>
      <c r="UOC7" s="1"/>
      <c r="UOD7" s="1"/>
      <c r="UOE7" s="1"/>
      <c r="UOF7" s="1"/>
      <c r="UOG7" s="1"/>
      <c r="UOH7" s="1"/>
      <c r="UOI7" s="1"/>
      <c r="UOJ7" s="1"/>
      <c r="UOK7" s="1"/>
      <c r="UOL7" s="1"/>
      <c r="UOM7" s="1"/>
      <c r="UON7" s="1"/>
      <c r="UOO7" s="1"/>
      <c r="UOP7" s="1"/>
      <c r="UOQ7" s="1"/>
      <c r="UOR7" s="1"/>
      <c r="UOS7" s="1"/>
      <c r="UOT7" s="1"/>
      <c r="UOU7" s="1"/>
      <c r="UOV7" s="1"/>
      <c r="UOW7" s="1"/>
      <c r="UOX7" s="1"/>
      <c r="UOY7" s="1"/>
      <c r="UOZ7" s="1"/>
      <c r="UPA7" s="1"/>
      <c r="UPB7" s="1"/>
      <c r="UPC7" s="1"/>
      <c r="UPD7" s="1"/>
      <c r="UPE7" s="1"/>
      <c r="UPF7" s="1"/>
      <c r="UPG7" s="1"/>
      <c r="UPH7" s="1"/>
      <c r="UPI7" s="1"/>
      <c r="UPJ7" s="1"/>
      <c r="UPK7" s="1"/>
      <c r="UPL7" s="1"/>
      <c r="UPM7" s="1"/>
      <c r="UPN7" s="1"/>
      <c r="UPO7" s="1"/>
      <c r="UPP7" s="1"/>
      <c r="UPQ7" s="1"/>
      <c r="UPR7" s="1"/>
      <c r="UPS7" s="1"/>
      <c r="UPT7" s="1"/>
      <c r="UPU7" s="1"/>
      <c r="UPV7" s="1"/>
      <c r="UPW7" s="1"/>
      <c r="UPX7" s="1"/>
      <c r="UPY7" s="1"/>
      <c r="UPZ7" s="1"/>
      <c r="UQA7" s="1"/>
      <c r="UQB7" s="1"/>
      <c r="UQC7" s="1"/>
      <c r="UQD7" s="1"/>
      <c r="UQE7" s="1"/>
      <c r="UQF7" s="1"/>
      <c r="UQG7" s="1"/>
      <c r="UQH7" s="1"/>
      <c r="UQI7" s="1"/>
      <c r="UQJ7" s="1"/>
      <c r="UQK7" s="1"/>
      <c r="UQL7" s="1"/>
      <c r="UQM7" s="1"/>
      <c r="UQN7" s="1"/>
      <c r="UQO7" s="1"/>
      <c r="UQP7" s="1"/>
      <c r="UQQ7" s="1"/>
      <c r="UQR7" s="1"/>
      <c r="UQS7" s="1"/>
      <c r="UQT7" s="1"/>
      <c r="UQU7" s="1"/>
      <c r="UQV7" s="1"/>
      <c r="UQW7" s="1"/>
      <c r="UQX7" s="1"/>
      <c r="UQY7" s="1"/>
      <c r="UQZ7" s="1"/>
      <c r="URA7" s="1"/>
      <c r="URB7" s="1"/>
      <c r="URC7" s="1"/>
      <c r="URD7" s="1"/>
      <c r="URE7" s="1"/>
      <c r="URF7" s="1"/>
      <c r="URG7" s="1"/>
      <c r="URH7" s="1"/>
      <c r="URI7" s="1"/>
      <c r="URJ7" s="1"/>
      <c r="URK7" s="1"/>
      <c r="URL7" s="1"/>
      <c r="URM7" s="1"/>
      <c r="URN7" s="1"/>
      <c r="URO7" s="1"/>
      <c r="URP7" s="1"/>
      <c r="URQ7" s="1"/>
      <c r="URR7" s="1"/>
      <c r="URS7" s="1"/>
      <c r="URT7" s="1"/>
      <c r="URU7" s="1"/>
      <c r="URV7" s="1"/>
      <c r="URW7" s="1"/>
      <c r="URX7" s="1"/>
      <c r="URY7" s="1"/>
      <c r="URZ7" s="1"/>
      <c r="USA7" s="1"/>
      <c r="USB7" s="1"/>
      <c r="USC7" s="1"/>
      <c r="USD7" s="1"/>
      <c r="USE7" s="1"/>
      <c r="USF7" s="1"/>
      <c r="USG7" s="1"/>
      <c r="USH7" s="1"/>
      <c r="USI7" s="1"/>
      <c r="USJ7" s="1"/>
      <c r="USK7" s="1"/>
      <c r="USL7" s="1"/>
      <c r="USM7" s="1"/>
      <c r="USN7" s="1"/>
      <c r="USO7" s="1"/>
      <c r="USP7" s="1"/>
      <c r="USQ7" s="1"/>
      <c r="USR7" s="1"/>
      <c r="USS7" s="1"/>
      <c r="UST7" s="1"/>
      <c r="USU7" s="1"/>
      <c r="USV7" s="1"/>
      <c r="USW7" s="1"/>
      <c r="USX7" s="1"/>
      <c r="USY7" s="1"/>
      <c r="USZ7" s="1"/>
      <c r="UTA7" s="1"/>
      <c r="UTB7" s="1"/>
      <c r="UTC7" s="1"/>
      <c r="UTD7" s="1"/>
      <c r="UTE7" s="1"/>
      <c r="UTF7" s="1"/>
      <c r="UTG7" s="1"/>
      <c r="UTH7" s="1"/>
      <c r="UTI7" s="1"/>
      <c r="UTJ7" s="1"/>
      <c r="UTK7" s="1"/>
      <c r="UTL7" s="1"/>
      <c r="UTM7" s="1"/>
      <c r="UTN7" s="1"/>
      <c r="UTO7" s="1"/>
      <c r="UTP7" s="1"/>
      <c r="UTQ7" s="1"/>
      <c r="UTR7" s="1"/>
      <c r="UTS7" s="1"/>
      <c r="UTT7" s="1"/>
      <c r="UTU7" s="1"/>
      <c r="UTV7" s="1"/>
      <c r="UTW7" s="1"/>
      <c r="UTX7" s="1"/>
      <c r="UTY7" s="1"/>
      <c r="UTZ7" s="1"/>
      <c r="UUA7" s="1"/>
      <c r="UUB7" s="1"/>
      <c r="UUC7" s="1"/>
      <c r="UUD7" s="1"/>
      <c r="UUE7" s="1"/>
      <c r="UUF7" s="1"/>
      <c r="UUG7" s="1"/>
      <c r="UUH7" s="1"/>
      <c r="UUI7" s="1"/>
      <c r="UUJ7" s="1"/>
      <c r="UUK7" s="1"/>
      <c r="UUL7" s="1"/>
      <c r="UUM7" s="1"/>
      <c r="UUN7" s="1"/>
      <c r="UUO7" s="1"/>
      <c r="UUP7" s="1"/>
      <c r="UUQ7" s="1"/>
      <c r="UUR7" s="1"/>
      <c r="UUS7" s="1"/>
      <c r="UUT7" s="1"/>
      <c r="UUU7" s="1"/>
      <c r="UUV7" s="1"/>
      <c r="UUW7" s="1"/>
      <c r="UUX7" s="1"/>
      <c r="UUY7" s="1"/>
      <c r="UUZ7" s="1"/>
      <c r="UVA7" s="1"/>
      <c r="UVB7" s="1"/>
      <c r="UVC7" s="1"/>
      <c r="UVD7" s="1"/>
      <c r="UVE7" s="1"/>
      <c r="UVF7" s="1"/>
      <c r="UVG7" s="1"/>
      <c r="UVH7" s="1"/>
      <c r="UVI7" s="1"/>
      <c r="UVJ7" s="1"/>
      <c r="UVK7" s="1"/>
      <c r="UVL7" s="1"/>
      <c r="UVM7" s="1"/>
      <c r="UVN7" s="1"/>
      <c r="UVO7" s="1"/>
      <c r="UVP7" s="1"/>
      <c r="UVQ7" s="1"/>
      <c r="UVR7" s="1"/>
      <c r="UVS7" s="1"/>
      <c r="UVT7" s="1"/>
      <c r="UVU7" s="1"/>
      <c r="UVV7" s="1"/>
      <c r="UVW7" s="1"/>
      <c r="UVX7" s="1"/>
      <c r="UVY7" s="1"/>
      <c r="UVZ7" s="1"/>
      <c r="UWA7" s="1"/>
      <c r="UWB7" s="1"/>
      <c r="UWC7" s="1"/>
      <c r="UWD7" s="1"/>
      <c r="UWE7" s="1"/>
      <c r="UWF7" s="1"/>
      <c r="UWG7" s="1"/>
      <c r="UWH7" s="1"/>
      <c r="UWI7" s="1"/>
      <c r="UWJ7" s="1"/>
      <c r="UWK7" s="1"/>
      <c r="UWL7" s="1"/>
      <c r="UWM7" s="1"/>
      <c r="UWN7" s="1"/>
      <c r="UWO7" s="1"/>
      <c r="UWP7" s="1"/>
      <c r="UWQ7" s="1"/>
      <c r="UWR7" s="1"/>
      <c r="UWS7" s="1"/>
      <c r="UWT7" s="1"/>
      <c r="UWU7" s="1"/>
      <c r="UWV7" s="1"/>
      <c r="UWW7" s="1"/>
      <c r="UWX7" s="1"/>
      <c r="UWY7" s="1"/>
      <c r="UWZ7" s="1"/>
      <c r="UXA7" s="1"/>
      <c r="UXB7" s="1"/>
      <c r="UXC7" s="1"/>
      <c r="UXD7" s="1"/>
      <c r="UXE7" s="1"/>
      <c r="UXF7" s="1"/>
      <c r="UXG7" s="1"/>
      <c r="UXH7" s="1"/>
      <c r="UXI7" s="1"/>
      <c r="UXJ7" s="1"/>
      <c r="UXK7" s="1"/>
      <c r="UXL7" s="1"/>
      <c r="UXM7" s="1"/>
      <c r="UXN7" s="1"/>
      <c r="UXO7" s="1"/>
      <c r="UXP7" s="1"/>
      <c r="UXQ7" s="1"/>
      <c r="UXR7" s="1"/>
      <c r="UXS7" s="1"/>
      <c r="UXT7" s="1"/>
      <c r="UXU7" s="1"/>
      <c r="UXV7" s="1"/>
      <c r="UXW7" s="1"/>
      <c r="UXX7" s="1"/>
      <c r="UXY7" s="1"/>
      <c r="UXZ7" s="1"/>
      <c r="UYA7" s="1"/>
      <c r="UYB7" s="1"/>
      <c r="UYC7" s="1"/>
      <c r="UYD7" s="1"/>
      <c r="UYE7" s="1"/>
      <c r="UYF7" s="1"/>
      <c r="UYG7" s="1"/>
      <c r="UYH7" s="1"/>
      <c r="UYI7" s="1"/>
      <c r="UYJ7" s="1"/>
      <c r="UYK7" s="1"/>
      <c r="UYL7" s="1"/>
      <c r="UYM7" s="1"/>
      <c r="UYN7" s="1"/>
      <c r="UYO7" s="1"/>
      <c r="UYP7" s="1"/>
      <c r="UYQ7" s="1"/>
      <c r="UYR7" s="1"/>
      <c r="UYS7" s="1"/>
      <c r="UYT7" s="1"/>
      <c r="UYU7" s="1"/>
      <c r="UYV7" s="1"/>
      <c r="UYW7" s="1"/>
      <c r="UYX7" s="1"/>
      <c r="UYY7" s="1"/>
      <c r="UYZ7" s="1"/>
      <c r="UZA7" s="1"/>
      <c r="UZB7" s="1"/>
      <c r="UZC7" s="1"/>
      <c r="UZD7" s="1"/>
      <c r="UZE7" s="1"/>
      <c r="UZF7" s="1"/>
      <c r="UZG7" s="1"/>
      <c r="UZH7" s="1"/>
      <c r="UZI7" s="1"/>
      <c r="UZJ7" s="1"/>
      <c r="UZK7" s="1"/>
      <c r="UZL7" s="1"/>
      <c r="UZM7" s="1"/>
      <c r="UZN7" s="1"/>
      <c r="UZO7" s="1"/>
      <c r="UZP7" s="1"/>
      <c r="UZQ7" s="1"/>
      <c r="UZR7" s="1"/>
      <c r="UZS7" s="1"/>
      <c r="UZT7" s="1"/>
      <c r="UZU7" s="1"/>
      <c r="UZV7" s="1"/>
      <c r="UZW7" s="1"/>
      <c r="UZX7" s="1"/>
      <c r="UZY7" s="1"/>
      <c r="UZZ7" s="1"/>
      <c r="VAA7" s="1"/>
      <c r="VAB7" s="1"/>
      <c r="VAC7" s="1"/>
      <c r="VAD7" s="1"/>
      <c r="VAE7" s="1"/>
      <c r="VAF7" s="1"/>
      <c r="VAG7" s="1"/>
      <c r="VAH7" s="1"/>
      <c r="VAI7" s="1"/>
      <c r="VAJ7" s="1"/>
      <c r="VAK7" s="1"/>
      <c r="VAL7" s="1"/>
      <c r="VAM7" s="1"/>
      <c r="VAN7" s="1"/>
      <c r="VAO7" s="1"/>
      <c r="VAP7" s="1"/>
      <c r="VAQ7" s="1"/>
      <c r="VAR7" s="1"/>
      <c r="VAS7" s="1"/>
      <c r="VAT7" s="1"/>
      <c r="VAU7" s="1"/>
      <c r="VAV7" s="1"/>
      <c r="VAW7" s="1"/>
      <c r="VAX7" s="1"/>
      <c r="VAY7" s="1"/>
      <c r="VAZ7" s="1"/>
      <c r="VBA7" s="1"/>
      <c r="VBB7" s="1"/>
      <c r="VBC7" s="1"/>
      <c r="VBD7" s="1"/>
      <c r="VBE7" s="1"/>
      <c r="VBF7" s="1"/>
      <c r="VBG7" s="1"/>
      <c r="VBH7" s="1"/>
      <c r="VBI7" s="1"/>
      <c r="VBJ7" s="1"/>
      <c r="VBK7" s="1"/>
      <c r="VBL7" s="1"/>
      <c r="VBM7" s="1"/>
      <c r="VBN7" s="1"/>
      <c r="VBO7" s="1"/>
      <c r="VBP7" s="1"/>
      <c r="VBQ7" s="1"/>
      <c r="VBR7" s="1"/>
      <c r="VBS7" s="1"/>
      <c r="VBT7" s="1"/>
      <c r="VBU7" s="1"/>
      <c r="VBV7" s="1"/>
      <c r="VBW7" s="1"/>
      <c r="VBX7" s="1"/>
      <c r="VBY7" s="1"/>
      <c r="VBZ7" s="1"/>
      <c r="VCA7" s="1"/>
      <c r="VCB7" s="1"/>
      <c r="VCC7" s="1"/>
      <c r="VCD7" s="1"/>
      <c r="VCE7" s="1"/>
      <c r="VCF7" s="1"/>
      <c r="VCG7" s="1"/>
      <c r="VCH7" s="1"/>
      <c r="VCI7" s="1"/>
      <c r="VCJ7" s="1"/>
      <c r="VCK7" s="1"/>
      <c r="VCL7" s="1"/>
      <c r="VCM7" s="1"/>
      <c r="VCN7" s="1"/>
      <c r="VCO7" s="1"/>
      <c r="VCP7" s="1"/>
      <c r="VCQ7" s="1"/>
      <c r="VCR7" s="1"/>
      <c r="VCS7" s="1"/>
      <c r="VCT7" s="1"/>
      <c r="VCU7" s="1"/>
      <c r="VCV7" s="1"/>
      <c r="VCW7" s="1"/>
      <c r="VCX7" s="1"/>
      <c r="VCY7" s="1"/>
      <c r="VCZ7" s="1"/>
      <c r="VDA7" s="1"/>
      <c r="VDB7" s="1"/>
      <c r="VDC7" s="1"/>
      <c r="VDD7" s="1"/>
      <c r="VDE7" s="1"/>
      <c r="VDF7" s="1"/>
      <c r="VDG7" s="1"/>
      <c r="VDH7" s="1"/>
      <c r="VDI7" s="1"/>
      <c r="VDJ7" s="1"/>
      <c r="VDK7" s="1"/>
      <c r="VDL7" s="1"/>
      <c r="VDM7" s="1"/>
      <c r="VDN7" s="1"/>
      <c r="VDO7" s="1"/>
      <c r="VDP7" s="1"/>
      <c r="VDQ7" s="1"/>
      <c r="VDR7" s="1"/>
      <c r="VDS7" s="1"/>
      <c r="VDT7" s="1"/>
      <c r="VDU7" s="1"/>
      <c r="VDV7" s="1"/>
      <c r="VDW7" s="1"/>
      <c r="VDX7" s="1"/>
      <c r="VDY7" s="1"/>
      <c r="VDZ7" s="1"/>
      <c r="VEA7" s="1"/>
      <c r="VEB7" s="1"/>
      <c r="VEC7" s="1"/>
      <c r="VED7" s="1"/>
      <c r="VEE7" s="1"/>
      <c r="VEF7" s="1"/>
      <c r="VEG7" s="1"/>
      <c r="VEH7" s="1"/>
      <c r="VEI7" s="1"/>
      <c r="VEJ7" s="1"/>
      <c r="VEK7" s="1"/>
      <c r="VEL7" s="1"/>
      <c r="VEM7" s="1"/>
      <c r="VEN7" s="1"/>
      <c r="VEO7" s="1"/>
      <c r="VEP7" s="1"/>
      <c r="VEQ7" s="1"/>
      <c r="VER7" s="1"/>
      <c r="VES7" s="1"/>
      <c r="VET7" s="1"/>
      <c r="VEU7" s="1"/>
      <c r="VEV7" s="1"/>
      <c r="VEW7" s="1"/>
      <c r="VEX7" s="1"/>
      <c r="VEY7" s="1"/>
      <c r="VEZ7" s="1"/>
      <c r="VFA7" s="1"/>
      <c r="VFB7" s="1"/>
      <c r="VFC7" s="1"/>
      <c r="VFD7" s="1"/>
      <c r="VFE7" s="1"/>
      <c r="VFF7" s="1"/>
      <c r="VFG7" s="1"/>
      <c r="VFH7" s="1"/>
      <c r="VFI7" s="1"/>
      <c r="VFJ7" s="1"/>
      <c r="VFK7" s="1"/>
      <c r="VFL7" s="1"/>
      <c r="VFM7" s="1"/>
      <c r="VFN7" s="1"/>
      <c r="VFO7" s="1"/>
      <c r="VFP7" s="1"/>
      <c r="VFQ7" s="1"/>
      <c r="VFR7" s="1"/>
      <c r="VFS7" s="1"/>
      <c r="VFT7" s="1"/>
      <c r="VFU7" s="1"/>
      <c r="VFV7" s="1"/>
      <c r="VFW7" s="1"/>
      <c r="VFX7" s="1"/>
      <c r="VFY7" s="1"/>
      <c r="VFZ7" s="1"/>
      <c r="VGA7" s="1"/>
      <c r="VGB7" s="1"/>
      <c r="VGC7" s="1"/>
      <c r="VGD7" s="1"/>
      <c r="VGE7" s="1"/>
      <c r="VGF7" s="1"/>
      <c r="VGG7" s="1"/>
      <c r="VGH7" s="1"/>
      <c r="VGI7" s="1"/>
      <c r="VGJ7" s="1"/>
      <c r="VGK7" s="1"/>
      <c r="VGL7" s="1"/>
      <c r="VGM7" s="1"/>
      <c r="VGN7" s="1"/>
      <c r="VGO7" s="1"/>
      <c r="VGP7" s="1"/>
      <c r="VGQ7" s="1"/>
      <c r="VGR7" s="1"/>
      <c r="VGS7" s="1"/>
      <c r="VGT7" s="1"/>
      <c r="VGU7" s="1"/>
      <c r="VGV7" s="1"/>
      <c r="VGW7" s="1"/>
      <c r="VGX7" s="1"/>
      <c r="VGY7" s="1"/>
      <c r="VGZ7" s="1"/>
      <c r="VHA7" s="1"/>
      <c r="VHB7" s="1"/>
      <c r="VHC7" s="1"/>
      <c r="VHD7" s="1"/>
      <c r="VHE7" s="1"/>
      <c r="VHF7" s="1"/>
      <c r="VHG7" s="1"/>
      <c r="VHH7" s="1"/>
      <c r="VHI7" s="1"/>
      <c r="VHJ7" s="1"/>
      <c r="VHK7" s="1"/>
      <c r="VHL7" s="1"/>
      <c r="VHM7" s="1"/>
      <c r="VHN7" s="1"/>
      <c r="VHO7" s="1"/>
      <c r="VHP7" s="1"/>
      <c r="VHQ7" s="1"/>
      <c r="VHR7" s="1"/>
      <c r="VHS7" s="1"/>
      <c r="VHT7" s="1"/>
      <c r="VHU7" s="1"/>
      <c r="VHV7" s="1"/>
      <c r="VHW7" s="1"/>
      <c r="VHX7" s="1"/>
      <c r="VHY7" s="1"/>
      <c r="VHZ7" s="1"/>
      <c r="VIA7" s="1"/>
      <c r="VIB7" s="1"/>
      <c r="VIC7" s="1"/>
      <c r="VID7" s="1"/>
      <c r="VIE7" s="1"/>
      <c r="VIF7" s="1"/>
      <c r="VIG7" s="1"/>
      <c r="VIH7" s="1"/>
      <c r="VII7" s="1"/>
      <c r="VIJ7" s="1"/>
      <c r="VIK7" s="1"/>
      <c r="VIL7" s="1"/>
      <c r="VIM7" s="1"/>
      <c r="VIN7" s="1"/>
      <c r="VIO7" s="1"/>
      <c r="VIP7" s="1"/>
      <c r="VIQ7" s="1"/>
      <c r="VIR7" s="1"/>
      <c r="VIS7" s="1"/>
      <c r="VIT7" s="1"/>
      <c r="VIU7" s="1"/>
      <c r="VIV7" s="1"/>
      <c r="VIW7" s="1"/>
      <c r="VIX7" s="1"/>
      <c r="VIY7" s="1"/>
      <c r="VIZ7" s="1"/>
      <c r="VJA7" s="1"/>
      <c r="VJB7" s="1"/>
      <c r="VJC7" s="1"/>
      <c r="VJD7" s="1"/>
      <c r="VJE7" s="1"/>
      <c r="VJF7" s="1"/>
      <c r="VJG7" s="1"/>
      <c r="VJH7" s="1"/>
      <c r="VJI7" s="1"/>
      <c r="VJJ7" s="1"/>
      <c r="VJK7" s="1"/>
      <c r="VJL7" s="1"/>
      <c r="VJM7" s="1"/>
      <c r="VJN7" s="1"/>
      <c r="VJO7" s="1"/>
      <c r="VJP7" s="1"/>
      <c r="VJQ7" s="1"/>
      <c r="VJR7" s="1"/>
      <c r="VJS7" s="1"/>
      <c r="VJT7" s="1"/>
      <c r="VJU7" s="1"/>
      <c r="VJV7" s="1"/>
      <c r="VJW7" s="1"/>
      <c r="VJX7" s="1"/>
      <c r="VJY7" s="1"/>
      <c r="VJZ7" s="1"/>
      <c r="VKA7" s="1"/>
      <c r="VKB7" s="1"/>
      <c r="VKC7" s="1"/>
      <c r="VKD7" s="1"/>
      <c r="VKE7" s="1"/>
      <c r="VKF7" s="1"/>
      <c r="VKG7" s="1"/>
      <c r="VKH7" s="1"/>
      <c r="VKI7" s="1"/>
      <c r="VKJ7" s="1"/>
      <c r="VKK7" s="1"/>
      <c r="VKL7" s="1"/>
      <c r="VKM7" s="1"/>
      <c r="VKN7" s="1"/>
      <c r="VKO7" s="1"/>
      <c r="VKP7" s="1"/>
      <c r="VKQ7" s="1"/>
      <c r="VKR7" s="1"/>
      <c r="VKS7" s="1"/>
      <c r="VKT7" s="1"/>
      <c r="VKU7" s="1"/>
      <c r="VKV7" s="1"/>
      <c r="VKW7" s="1"/>
      <c r="VKX7" s="1"/>
      <c r="VKY7" s="1"/>
      <c r="VKZ7" s="1"/>
      <c r="VLA7" s="1"/>
      <c r="VLB7" s="1"/>
      <c r="VLC7" s="1"/>
      <c r="VLD7" s="1"/>
      <c r="VLE7" s="1"/>
      <c r="VLF7" s="1"/>
      <c r="VLG7" s="1"/>
      <c r="VLH7" s="1"/>
      <c r="VLI7" s="1"/>
      <c r="VLJ7" s="1"/>
      <c r="VLK7" s="1"/>
      <c r="VLL7" s="1"/>
      <c r="VLM7" s="1"/>
      <c r="VLN7" s="1"/>
      <c r="VLO7" s="1"/>
      <c r="VLP7" s="1"/>
      <c r="VLQ7" s="1"/>
      <c r="VLR7" s="1"/>
      <c r="VLS7" s="1"/>
      <c r="VLT7" s="1"/>
      <c r="VLU7" s="1"/>
      <c r="VLV7" s="1"/>
      <c r="VLW7" s="1"/>
      <c r="VLX7" s="1"/>
      <c r="VLY7" s="1"/>
      <c r="VLZ7" s="1"/>
      <c r="VMA7" s="1"/>
      <c r="VMB7" s="1"/>
      <c r="VMC7" s="1"/>
      <c r="VMD7" s="1"/>
      <c r="VME7" s="1"/>
      <c r="VMF7" s="1"/>
      <c r="VMG7" s="1"/>
      <c r="VMH7" s="1"/>
      <c r="VMI7" s="1"/>
      <c r="VMJ7" s="1"/>
      <c r="VMK7" s="1"/>
      <c r="VML7" s="1"/>
      <c r="VMM7" s="1"/>
      <c r="VMN7" s="1"/>
      <c r="VMO7" s="1"/>
      <c r="VMP7" s="1"/>
      <c r="VMQ7" s="1"/>
      <c r="VMR7" s="1"/>
      <c r="VMS7" s="1"/>
      <c r="VMT7" s="1"/>
      <c r="VMU7" s="1"/>
      <c r="VMV7" s="1"/>
      <c r="VMW7" s="1"/>
      <c r="VMX7" s="1"/>
      <c r="VMY7" s="1"/>
      <c r="VMZ7" s="1"/>
      <c r="VNA7" s="1"/>
      <c r="VNB7" s="1"/>
      <c r="VNC7" s="1"/>
      <c r="VND7" s="1"/>
      <c r="VNE7" s="1"/>
      <c r="VNF7" s="1"/>
      <c r="VNG7" s="1"/>
      <c r="VNH7" s="1"/>
      <c r="VNI7" s="1"/>
      <c r="VNJ7" s="1"/>
      <c r="VNK7" s="1"/>
      <c r="VNL7" s="1"/>
      <c r="VNM7" s="1"/>
      <c r="VNN7" s="1"/>
      <c r="VNO7" s="1"/>
      <c r="VNP7" s="1"/>
      <c r="VNQ7" s="1"/>
      <c r="VNR7" s="1"/>
      <c r="VNS7" s="1"/>
      <c r="VNT7" s="1"/>
      <c r="VNU7" s="1"/>
      <c r="VNV7" s="1"/>
      <c r="VNW7" s="1"/>
      <c r="VNX7" s="1"/>
      <c r="VNY7" s="1"/>
      <c r="VNZ7" s="1"/>
      <c r="VOA7" s="1"/>
      <c r="VOB7" s="1"/>
      <c r="VOC7" s="1"/>
      <c r="VOD7" s="1"/>
      <c r="VOE7" s="1"/>
      <c r="VOF7" s="1"/>
      <c r="VOG7" s="1"/>
      <c r="VOH7" s="1"/>
      <c r="VOI7" s="1"/>
      <c r="VOJ7" s="1"/>
      <c r="VOK7" s="1"/>
      <c r="VOL7" s="1"/>
      <c r="VOM7" s="1"/>
      <c r="VON7" s="1"/>
      <c r="VOO7" s="1"/>
      <c r="VOP7" s="1"/>
      <c r="VOQ7" s="1"/>
      <c r="VOR7" s="1"/>
      <c r="VOS7" s="1"/>
      <c r="VOT7" s="1"/>
      <c r="VOU7" s="1"/>
      <c r="VOV7" s="1"/>
      <c r="VOW7" s="1"/>
      <c r="VOX7" s="1"/>
      <c r="VOY7" s="1"/>
      <c r="VOZ7" s="1"/>
      <c r="VPA7" s="1"/>
      <c r="VPB7" s="1"/>
      <c r="VPC7" s="1"/>
      <c r="VPD7" s="1"/>
      <c r="VPE7" s="1"/>
      <c r="VPF7" s="1"/>
      <c r="VPG7" s="1"/>
      <c r="VPH7" s="1"/>
      <c r="VPI7" s="1"/>
      <c r="VPJ7" s="1"/>
      <c r="VPK7" s="1"/>
      <c r="VPL7" s="1"/>
      <c r="VPM7" s="1"/>
      <c r="VPN7" s="1"/>
      <c r="VPO7" s="1"/>
      <c r="VPP7" s="1"/>
      <c r="VPQ7" s="1"/>
      <c r="VPR7" s="1"/>
      <c r="VPS7" s="1"/>
      <c r="VPT7" s="1"/>
      <c r="VPU7" s="1"/>
      <c r="VPV7" s="1"/>
      <c r="VPW7" s="1"/>
      <c r="VPX7" s="1"/>
      <c r="VPY7" s="1"/>
      <c r="VPZ7" s="1"/>
      <c r="VQA7" s="1"/>
      <c r="VQB7" s="1"/>
      <c r="VQC7" s="1"/>
      <c r="VQD7" s="1"/>
      <c r="VQE7" s="1"/>
      <c r="VQF7" s="1"/>
      <c r="VQG7" s="1"/>
      <c r="VQH7" s="1"/>
      <c r="VQI7" s="1"/>
      <c r="VQJ7" s="1"/>
      <c r="VQK7" s="1"/>
      <c r="VQL7" s="1"/>
      <c r="VQM7" s="1"/>
      <c r="VQN7" s="1"/>
      <c r="VQO7" s="1"/>
      <c r="VQP7" s="1"/>
      <c r="VQQ7" s="1"/>
      <c r="VQR7" s="1"/>
      <c r="VQS7" s="1"/>
      <c r="VQT7" s="1"/>
      <c r="VQU7" s="1"/>
      <c r="VQV7" s="1"/>
      <c r="VQW7" s="1"/>
      <c r="VQX7" s="1"/>
      <c r="VQY7" s="1"/>
      <c r="VQZ7" s="1"/>
      <c r="VRA7" s="1"/>
      <c r="VRB7" s="1"/>
      <c r="VRC7" s="1"/>
      <c r="VRD7" s="1"/>
      <c r="VRE7" s="1"/>
      <c r="VRF7" s="1"/>
      <c r="VRG7" s="1"/>
      <c r="VRH7" s="1"/>
      <c r="VRI7" s="1"/>
      <c r="VRJ7" s="1"/>
      <c r="VRK7" s="1"/>
      <c r="VRL7" s="1"/>
      <c r="VRM7" s="1"/>
      <c r="VRN7" s="1"/>
      <c r="VRO7" s="1"/>
      <c r="VRP7" s="1"/>
      <c r="VRQ7" s="1"/>
      <c r="VRR7" s="1"/>
      <c r="VRS7" s="1"/>
      <c r="VRT7" s="1"/>
      <c r="VRU7" s="1"/>
      <c r="VRV7" s="1"/>
      <c r="VRW7" s="1"/>
      <c r="VRX7" s="1"/>
      <c r="VRY7" s="1"/>
      <c r="VRZ7" s="1"/>
      <c r="VSA7" s="1"/>
      <c r="VSB7" s="1"/>
      <c r="VSC7" s="1"/>
      <c r="VSD7" s="1"/>
      <c r="VSE7" s="1"/>
      <c r="VSF7" s="1"/>
      <c r="VSG7" s="1"/>
      <c r="VSH7" s="1"/>
      <c r="VSI7" s="1"/>
      <c r="VSJ7" s="1"/>
      <c r="VSK7" s="1"/>
      <c r="VSL7" s="1"/>
      <c r="VSM7" s="1"/>
      <c r="VSN7" s="1"/>
      <c r="VSO7" s="1"/>
      <c r="VSP7" s="1"/>
      <c r="VSQ7" s="1"/>
      <c r="VSR7" s="1"/>
      <c r="VSS7" s="1"/>
      <c r="VST7" s="1"/>
      <c r="VSU7" s="1"/>
      <c r="VSV7" s="1"/>
      <c r="VSW7" s="1"/>
      <c r="VSX7" s="1"/>
      <c r="VSY7" s="1"/>
      <c r="VSZ7" s="1"/>
      <c r="VTA7" s="1"/>
      <c r="VTB7" s="1"/>
      <c r="VTC7" s="1"/>
      <c r="VTD7" s="1"/>
      <c r="VTE7" s="1"/>
      <c r="VTF7" s="1"/>
      <c r="VTG7" s="1"/>
      <c r="VTH7" s="1"/>
      <c r="VTI7" s="1"/>
      <c r="VTJ7" s="1"/>
      <c r="VTK7" s="1"/>
      <c r="VTL7" s="1"/>
      <c r="VTM7" s="1"/>
      <c r="VTN7" s="1"/>
      <c r="VTO7" s="1"/>
      <c r="VTP7" s="1"/>
      <c r="VTQ7" s="1"/>
      <c r="VTR7" s="1"/>
      <c r="VTS7" s="1"/>
      <c r="VTT7" s="1"/>
      <c r="VTU7" s="1"/>
      <c r="VTV7" s="1"/>
      <c r="VTW7" s="1"/>
      <c r="VTX7" s="1"/>
      <c r="VTY7" s="1"/>
      <c r="VTZ7" s="1"/>
      <c r="VUA7" s="1"/>
      <c r="VUB7" s="1"/>
      <c r="VUC7" s="1"/>
      <c r="VUD7" s="1"/>
      <c r="VUE7" s="1"/>
      <c r="VUF7" s="1"/>
      <c r="VUG7" s="1"/>
      <c r="VUH7" s="1"/>
      <c r="VUI7" s="1"/>
      <c r="VUJ7" s="1"/>
      <c r="VUK7" s="1"/>
      <c r="VUL7" s="1"/>
      <c r="VUM7" s="1"/>
      <c r="VUN7" s="1"/>
      <c r="VUO7" s="1"/>
      <c r="VUP7" s="1"/>
      <c r="VUQ7" s="1"/>
      <c r="VUR7" s="1"/>
      <c r="VUS7" s="1"/>
      <c r="VUT7" s="1"/>
      <c r="VUU7" s="1"/>
      <c r="VUV7" s="1"/>
      <c r="VUW7" s="1"/>
      <c r="VUX7" s="1"/>
      <c r="VUY7" s="1"/>
      <c r="VUZ7" s="1"/>
      <c r="VVA7" s="1"/>
      <c r="VVB7" s="1"/>
      <c r="VVC7" s="1"/>
      <c r="VVD7" s="1"/>
      <c r="VVE7" s="1"/>
      <c r="VVF7" s="1"/>
      <c r="VVG7" s="1"/>
      <c r="VVH7" s="1"/>
      <c r="VVI7" s="1"/>
      <c r="VVJ7" s="1"/>
      <c r="VVK7" s="1"/>
      <c r="VVL7" s="1"/>
      <c r="VVM7" s="1"/>
      <c r="VVN7" s="1"/>
      <c r="VVO7" s="1"/>
      <c r="VVP7" s="1"/>
      <c r="VVQ7" s="1"/>
      <c r="VVR7" s="1"/>
      <c r="VVS7" s="1"/>
      <c r="VVT7" s="1"/>
      <c r="VVU7" s="1"/>
      <c r="VVV7" s="1"/>
      <c r="VVW7" s="1"/>
      <c r="VVX7" s="1"/>
      <c r="VVY7" s="1"/>
      <c r="VVZ7" s="1"/>
      <c r="VWA7" s="1"/>
      <c r="VWB7" s="1"/>
      <c r="VWC7" s="1"/>
      <c r="VWD7" s="1"/>
      <c r="VWE7" s="1"/>
      <c r="VWF7" s="1"/>
      <c r="VWG7" s="1"/>
      <c r="VWH7" s="1"/>
      <c r="VWI7" s="1"/>
      <c r="VWJ7" s="1"/>
      <c r="VWK7" s="1"/>
      <c r="VWL7" s="1"/>
      <c r="VWM7" s="1"/>
      <c r="VWN7" s="1"/>
      <c r="VWO7" s="1"/>
      <c r="VWP7" s="1"/>
      <c r="VWQ7" s="1"/>
      <c r="VWR7" s="1"/>
      <c r="VWS7" s="1"/>
      <c r="VWT7" s="1"/>
      <c r="VWU7" s="1"/>
      <c r="VWV7" s="1"/>
      <c r="VWW7" s="1"/>
      <c r="VWX7" s="1"/>
      <c r="VWY7" s="1"/>
      <c r="VWZ7" s="1"/>
      <c r="VXA7" s="1"/>
      <c r="VXB7" s="1"/>
      <c r="VXC7" s="1"/>
      <c r="VXD7" s="1"/>
      <c r="VXE7" s="1"/>
      <c r="VXF7" s="1"/>
      <c r="VXG7" s="1"/>
      <c r="VXH7" s="1"/>
      <c r="VXI7" s="1"/>
      <c r="VXJ7" s="1"/>
      <c r="VXK7" s="1"/>
      <c r="VXL7" s="1"/>
      <c r="VXM7" s="1"/>
      <c r="VXN7" s="1"/>
      <c r="VXO7" s="1"/>
      <c r="VXP7" s="1"/>
      <c r="VXQ7" s="1"/>
      <c r="VXR7" s="1"/>
      <c r="VXS7" s="1"/>
      <c r="VXT7" s="1"/>
      <c r="VXU7" s="1"/>
      <c r="VXV7" s="1"/>
      <c r="VXW7" s="1"/>
      <c r="VXX7" s="1"/>
      <c r="VXY7" s="1"/>
      <c r="VXZ7" s="1"/>
      <c r="VYA7" s="1"/>
      <c r="VYB7" s="1"/>
      <c r="VYC7" s="1"/>
      <c r="VYD7" s="1"/>
      <c r="VYE7" s="1"/>
      <c r="VYF7" s="1"/>
      <c r="VYG7" s="1"/>
      <c r="VYH7" s="1"/>
      <c r="VYI7" s="1"/>
      <c r="VYJ7" s="1"/>
      <c r="VYK7" s="1"/>
      <c r="VYL7" s="1"/>
      <c r="VYM7" s="1"/>
      <c r="VYN7" s="1"/>
      <c r="VYO7" s="1"/>
      <c r="VYP7" s="1"/>
      <c r="VYQ7" s="1"/>
      <c r="VYR7" s="1"/>
      <c r="VYS7" s="1"/>
      <c r="VYT7" s="1"/>
      <c r="VYU7" s="1"/>
      <c r="VYV7" s="1"/>
      <c r="VYW7" s="1"/>
      <c r="VYX7" s="1"/>
      <c r="VYY7" s="1"/>
      <c r="VYZ7" s="1"/>
      <c r="VZA7" s="1"/>
      <c r="VZB7" s="1"/>
      <c r="VZC7" s="1"/>
      <c r="VZD7" s="1"/>
      <c r="VZE7" s="1"/>
      <c r="VZF7" s="1"/>
      <c r="VZG7" s="1"/>
      <c r="VZH7" s="1"/>
      <c r="VZI7" s="1"/>
      <c r="VZJ7" s="1"/>
      <c r="VZK7" s="1"/>
      <c r="VZL7" s="1"/>
      <c r="VZM7" s="1"/>
      <c r="VZN7" s="1"/>
      <c r="VZO7" s="1"/>
      <c r="VZP7" s="1"/>
      <c r="VZQ7" s="1"/>
      <c r="VZR7" s="1"/>
      <c r="VZS7" s="1"/>
      <c r="VZT7" s="1"/>
      <c r="VZU7" s="1"/>
      <c r="VZV7" s="1"/>
      <c r="VZW7" s="1"/>
      <c r="VZX7" s="1"/>
      <c r="VZY7" s="1"/>
      <c r="VZZ7" s="1"/>
      <c r="WAA7" s="1"/>
      <c r="WAB7" s="1"/>
      <c r="WAC7" s="1"/>
      <c r="WAD7" s="1"/>
      <c r="WAE7" s="1"/>
      <c r="WAF7" s="1"/>
      <c r="WAG7" s="1"/>
      <c r="WAH7" s="1"/>
      <c r="WAI7" s="1"/>
      <c r="WAJ7" s="1"/>
      <c r="WAK7" s="1"/>
      <c r="WAL7" s="1"/>
      <c r="WAM7" s="1"/>
      <c r="WAN7" s="1"/>
      <c r="WAO7" s="1"/>
      <c r="WAP7" s="1"/>
      <c r="WAQ7" s="1"/>
      <c r="WAR7" s="1"/>
      <c r="WAS7" s="1"/>
      <c r="WAT7" s="1"/>
      <c r="WAU7" s="1"/>
      <c r="WAV7" s="1"/>
      <c r="WAW7" s="1"/>
      <c r="WAX7" s="1"/>
      <c r="WAY7" s="1"/>
      <c r="WAZ7" s="1"/>
      <c r="WBA7" s="1"/>
      <c r="WBB7" s="1"/>
      <c r="WBC7" s="1"/>
      <c r="WBD7" s="1"/>
      <c r="WBE7" s="1"/>
      <c r="WBF7" s="1"/>
      <c r="WBG7" s="1"/>
      <c r="WBH7" s="1"/>
      <c r="WBI7" s="1"/>
      <c r="WBJ7" s="1"/>
      <c r="WBK7" s="1"/>
      <c r="WBL7" s="1"/>
      <c r="WBM7" s="1"/>
      <c r="WBN7" s="1"/>
      <c r="WBO7" s="1"/>
      <c r="WBP7" s="1"/>
      <c r="WBQ7" s="1"/>
      <c r="WBR7" s="1"/>
      <c r="WBS7" s="1"/>
      <c r="WBT7" s="1"/>
      <c r="WBU7" s="1"/>
      <c r="WBV7" s="1"/>
      <c r="WBW7" s="1"/>
      <c r="WBX7" s="1"/>
      <c r="WBY7" s="1"/>
      <c r="WBZ7" s="1"/>
      <c r="WCA7" s="1"/>
      <c r="WCB7" s="1"/>
      <c r="WCC7" s="1"/>
      <c r="WCD7" s="1"/>
      <c r="WCE7" s="1"/>
      <c r="WCF7" s="1"/>
      <c r="WCG7" s="1"/>
      <c r="WCH7" s="1"/>
      <c r="WCI7" s="1"/>
      <c r="WCJ7" s="1"/>
      <c r="WCK7" s="1"/>
      <c r="WCL7" s="1"/>
      <c r="WCM7" s="1"/>
      <c r="WCN7" s="1"/>
      <c r="WCO7" s="1"/>
      <c r="WCP7" s="1"/>
      <c r="WCQ7" s="1"/>
      <c r="WCR7" s="1"/>
      <c r="WCS7" s="1"/>
      <c r="WCT7" s="1"/>
      <c r="WCU7" s="1"/>
      <c r="WCV7" s="1"/>
      <c r="WCW7" s="1"/>
      <c r="WCX7" s="1"/>
      <c r="WCY7" s="1"/>
      <c r="WCZ7" s="1"/>
      <c r="WDA7" s="1"/>
      <c r="WDB7" s="1"/>
      <c r="WDC7" s="1"/>
      <c r="WDD7" s="1"/>
      <c r="WDE7" s="1"/>
      <c r="WDF7" s="1"/>
      <c r="WDG7" s="1"/>
      <c r="WDH7" s="1"/>
      <c r="WDI7" s="1"/>
      <c r="WDJ7" s="1"/>
      <c r="WDK7" s="1"/>
      <c r="WDL7" s="1"/>
      <c r="WDM7" s="1"/>
      <c r="WDN7" s="1"/>
      <c r="WDO7" s="1"/>
      <c r="WDP7" s="1"/>
      <c r="WDQ7" s="1"/>
      <c r="WDR7" s="1"/>
      <c r="WDS7" s="1"/>
      <c r="WDT7" s="1"/>
      <c r="WDU7" s="1"/>
      <c r="WDV7" s="1"/>
      <c r="WDW7" s="1"/>
      <c r="WDX7" s="1"/>
      <c r="WDY7" s="1"/>
      <c r="WDZ7" s="1"/>
      <c r="WEA7" s="1"/>
      <c r="WEB7" s="1"/>
      <c r="WEC7" s="1"/>
      <c r="WED7" s="1"/>
      <c r="WEE7" s="1"/>
      <c r="WEF7" s="1"/>
      <c r="WEG7" s="1"/>
      <c r="WEH7" s="1"/>
      <c r="WEI7" s="1"/>
      <c r="WEJ7" s="1"/>
      <c r="WEK7" s="1"/>
      <c r="WEL7" s="1"/>
      <c r="WEM7" s="1"/>
      <c r="WEN7" s="1"/>
      <c r="WEO7" s="1"/>
      <c r="WEP7" s="1"/>
      <c r="WEQ7" s="1"/>
      <c r="WER7" s="1"/>
      <c r="WES7" s="1"/>
      <c r="WET7" s="1"/>
      <c r="WEU7" s="1"/>
      <c r="WEV7" s="1"/>
      <c r="WEW7" s="1"/>
      <c r="WEX7" s="1"/>
      <c r="WEY7" s="1"/>
      <c r="WEZ7" s="1"/>
      <c r="WFA7" s="1"/>
      <c r="WFB7" s="1"/>
      <c r="WFC7" s="1"/>
      <c r="WFD7" s="1"/>
      <c r="WFE7" s="1"/>
      <c r="WFF7" s="1"/>
      <c r="WFG7" s="1"/>
      <c r="WFH7" s="1"/>
      <c r="WFI7" s="1"/>
      <c r="WFJ7" s="1"/>
      <c r="WFK7" s="1"/>
      <c r="WFL7" s="1"/>
      <c r="WFM7" s="1"/>
      <c r="WFN7" s="1"/>
      <c r="WFO7" s="1"/>
      <c r="WFP7" s="1"/>
      <c r="WFQ7" s="1"/>
      <c r="WFR7" s="1"/>
      <c r="WFS7" s="1"/>
      <c r="WFT7" s="1"/>
      <c r="WFU7" s="1"/>
      <c r="WFV7" s="1"/>
      <c r="WFW7" s="1"/>
      <c r="WFX7" s="1"/>
      <c r="WFY7" s="1"/>
      <c r="WFZ7" s="1"/>
      <c r="WGA7" s="1"/>
      <c r="WGB7" s="1"/>
      <c r="WGC7" s="1"/>
      <c r="WGD7" s="1"/>
      <c r="WGE7" s="1"/>
      <c r="WGF7" s="1"/>
      <c r="WGG7" s="1"/>
      <c r="WGH7" s="1"/>
      <c r="WGI7" s="1"/>
      <c r="WGJ7" s="1"/>
      <c r="WGK7" s="1"/>
      <c r="WGL7" s="1"/>
      <c r="WGM7" s="1"/>
      <c r="WGN7" s="1"/>
      <c r="WGO7" s="1"/>
      <c r="WGP7" s="1"/>
      <c r="WGQ7" s="1"/>
      <c r="WGR7" s="1"/>
      <c r="WGS7" s="1"/>
      <c r="WGT7" s="1"/>
      <c r="WGU7" s="1"/>
      <c r="WGV7" s="1"/>
      <c r="WGW7" s="1"/>
      <c r="WGX7" s="1"/>
      <c r="WGY7" s="1"/>
      <c r="WGZ7" s="1"/>
      <c r="WHA7" s="1"/>
      <c r="WHB7" s="1"/>
      <c r="WHC7" s="1"/>
      <c r="WHD7" s="1"/>
      <c r="WHE7" s="1"/>
      <c r="WHF7" s="1"/>
      <c r="WHG7" s="1"/>
      <c r="WHH7" s="1"/>
      <c r="WHI7" s="1"/>
      <c r="WHJ7" s="1"/>
      <c r="WHK7" s="1"/>
      <c r="WHL7" s="1"/>
      <c r="WHM7" s="1"/>
      <c r="WHN7" s="1"/>
      <c r="WHO7" s="1"/>
      <c r="WHP7" s="1"/>
      <c r="WHQ7" s="1"/>
      <c r="WHR7" s="1"/>
      <c r="WHS7" s="1"/>
      <c r="WHT7" s="1"/>
      <c r="WHU7" s="1"/>
      <c r="WHV7" s="1"/>
      <c r="WHW7" s="1"/>
      <c r="WHX7" s="1"/>
      <c r="WHY7" s="1"/>
      <c r="WHZ7" s="1"/>
      <c r="WIA7" s="1"/>
      <c r="WIB7" s="1"/>
      <c r="WIC7" s="1"/>
      <c r="WID7" s="1"/>
      <c r="WIE7" s="1"/>
      <c r="WIF7" s="1"/>
      <c r="WIG7" s="1"/>
      <c r="WIH7" s="1"/>
      <c r="WII7" s="1"/>
      <c r="WIJ7" s="1"/>
      <c r="WIK7" s="1"/>
      <c r="WIL7" s="1"/>
      <c r="WIM7" s="1"/>
      <c r="WIN7" s="1"/>
      <c r="WIO7" s="1"/>
      <c r="WIP7" s="1"/>
      <c r="WIQ7" s="1"/>
      <c r="WIR7" s="1"/>
      <c r="WIS7" s="1"/>
      <c r="WIT7" s="1"/>
      <c r="WIU7" s="1"/>
      <c r="WIV7" s="1"/>
      <c r="WIW7" s="1"/>
      <c r="WIX7" s="1"/>
      <c r="WIY7" s="1"/>
      <c r="WIZ7" s="1"/>
      <c r="WJA7" s="1"/>
      <c r="WJB7" s="1"/>
      <c r="WJC7" s="1"/>
      <c r="WJD7" s="1"/>
      <c r="WJE7" s="1"/>
      <c r="WJF7" s="1"/>
      <c r="WJG7" s="1"/>
      <c r="WJH7" s="1"/>
      <c r="WJI7" s="1"/>
      <c r="WJJ7" s="1"/>
      <c r="WJK7" s="1"/>
      <c r="WJL7" s="1"/>
      <c r="WJM7" s="1"/>
      <c r="WJN7" s="1"/>
      <c r="WJO7" s="1"/>
      <c r="WJP7" s="1"/>
      <c r="WJQ7" s="1"/>
      <c r="WJR7" s="1"/>
      <c r="WJS7" s="1"/>
      <c r="WJT7" s="1"/>
      <c r="WJU7" s="1"/>
      <c r="WJV7" s="1"/>
      <c r="WJW7" s="1"/>
      <c r="WJX7" s="1"/>
      <c r="WJY7" s="1"/>
      <c r="WJZ7" s="1"/>
      <c r="WKA7" s="1"/>
      <c r="WKB7" s="1"/>
      <c r="WKC7" s="1"/>
      <c r="WKD7" s="1"/>
      <c r="WKE7" s="1"/>
      <c r="WKF7" s="1"/>
      <c r="WKG7" s="1"/>
      <c r="WKH7" s="1"/>
      <c r="WKI7" s="1"/>
      <c r="WKJ7" s="1"/>
      <c r="WKK7" s="1"/>
      <c r="WKL7" s="1"/>
      <c r="WKM7" s="1"/>
      <c r="WKN7" s="1"/>
      <c r="WKO7" s="1"/>
      <c r="WKP7" s="1"/>
      <c r="WKQ7" s="1"/>
      <c r="WKR7" s="1"/>
      <c r="WKS7" s="1"/>
      <c r="WKT7" s="1"/>
      <c r="WKU7" s="1"/>
      <c r="WKV7" s="1"/>
      <c r="WKW7" s="1"/>
      <c r="WKX7" s="1"/>
      <c r="WKY7" s="1"/>
      <c r="WKZ7" s="1"/>
      <c r="WLA7" s="1"/>
      <c r="WLB7" s="1"/>
      <c r="WLC7" s="1"/>
      <c r="WLD7" s="1"/>
      <c r="WLE7" s="1"/>
      <c r="WLF7" s="1"/>
      <c r="WLG7" s="1"/>
      <c r="WLH7" s="1"/>
      <c r="WLI7" s="1"/>
      <c r="WLJ7" s="1"/>
      <c r="WLK7" s="1"/>
      <c r="WLL7" s="1"/>
      <c r="WLM7" s="1"/>
      <c r="WLN7" s="1"/>
      <c r="WLO7" s="1"/>
      <c r="WLP7" s="1"/>
      <c r="WLQ7" s="1"/>
      <c r="WLR7" s="1"/>
      <c r="WLS7" s="1"/>
      <c r="WLT7" s="1"/>
      <c r="WLU7" s="1"/>
      <c r="WLV7" s="1"/>
      <c r="WLW7" s="1"/>
      <c r="WLX7" s="1"/>
      <c r="WLY7" s="1"/>
      <c r="WLZ7" s="1"/>
      <c r="WMA7" s="1"/>
      <c r="WMB7" s="1"/>
      <c r="WMC7" s="1"/>
      <c r="WMD7" s="1"/>
      <c r="WME7" s="1"/>
      <c r="WMF7" s="1"/>
      <c r="WMG7" s="1"/>
      <c r="WMH7" s="1"/>
      <c r="WMI7" s="1"/>
      <c r="WMJ7" s="1"/>
      <c r="WMK7" s="1"/>
      <c r="WML7" s="1"/>
      <c r="WMM7" s="1"/>
      <c r="WMN7" s="1"/>
      <c r="WMO7" s="1"/>
      <c r="WMP7" s="1"/>
      <c r="WMQ7" s="1"/>
      <c r="WMR7" s="1"/>
      <c r="WMS7" s="1"/>
      <c r="WMT7" s="1"/>
      <c r="WMU7" s="1"/>
      <c r="WMV7" s="1"/>
      <c r="WMW7" s="1"/>
      <c r="WMX7" s="1"/>
      <c r="WMY7" s="1"/>
      <c r="WMZ7" s="1"/>
      <c r="WNA7" s="1"/>
      <c r="WNB7" s="1"/>
      <c r="WNC7" s="1"/>
      <c r="WND7" s="1"/>
      <c r="WNE7" s="1"/>
      <c r="WNF7" s="1"/>
      <c r="WNG7" s="1"/>
      <c r="WNH7" s="1"/>
      <c r="WNI7" s="1"/>
      <c r="WNJ7" s="1"/>
      <c r="WNK7" s="1"/>
      <c r="WNL7" s="1"/>
      <c r="WNM7" s="1"/>
      <c r="WNN7" s="1"/>
      <c r="WNO7" s="1"/>
      <c r="WNP7" s="1"/>
      <c r="WNQ7" s="1"/>
      <c r="WNR7" s="1"/>
      <c r="WNS7" s="1"/>
      <c r="WNT7" s="1"/>
      <c r="WNU7" s="1"/>
      <c r="WNV7" s="1"/>
      <c r="WNW7" s="1"/>
      <c r="WNX7" s="1"/>
      <c r="WNY7" s="1"/>
      <c r="WNZ7" s="1"/>
      <c r="WOA7" s="1"/>
      <c r="WOB7" s="1"/>
      <c r="WOC7" s="1"/>
      <c r="WOD7" s="1"/>
      <c r="WOE7" s="1"/>
      <c r="WOF7" s="1"/>
      <c r="WOG7" s="1"/>
      <c r="WOH7" s="1"/>
      <c r="WOI7" s="1"/>
      <c r="WOJ7" s="1"/>
      <c r="WOK7" s="1"/>
      <c r="WOL7" s="1"/>
      <c r="WOM7" s="1"/>
      <c r="WON7" s="1"/>
      <c r="WOO7" s="1"/>
      <c r="WOP7" s="1"/>
      <c r="WOQ7" s="1"/>
      <c r="WOR7" s="1"/>
      <c r="WOS7" s="1"/>
      <c r="WOT7" s="1"/>
      <c r="WOU7" s="1"/>
      <c r="WOV7" s="1"/>
      <c r="WOW7" s="1"/>
      <c r="WOX7" s="1"/>
      <c r="WOY7" s="1"/>
      <c r="WOZ7" s="1"/>
      <c r="WPA7" s="1"/>
      <c r="WPB7" s="1"/>
      <c r="WPC7" s="1"/>
      <c r="WPD7" s="1"/>
      <c r="WPE7" s="1"/>
      <c r="WPF7" s="1"/>
      <c r="WPG7" s="1"/>
      <c r="WPH7" s="1"/>
      <c r="WPI7" s="1"/>
      <c r="WPJ7" s="1"/>
      <c r="WPK7" s="1"/>
      <c r="WPL7" s="1"/>
      <c r="WPM7" s="1"/>
      <c r="WPN7" s="1"/>
      <c r="WPO7" s="1"/>
      <c r="WPP7" s="1"/>
      <c r="WPQ7" s="1"/>
      <c r="WPR7" s="1"/>
      <c r="WPS7" s="1"/>
      <c r="WPT7" s="1"/>
      <c r="WPU7" s="1"/>
      <c r="WPV7" s="1"/>
      <c r="WPW7" s="1"/>
      <c r="WPX7" s="1"/>
      <c r="WPY7" s="1"/>
      <c r="WPZ7" s="1"/>
      <c r="WQA7" s="1"/>
      <c r="WQB7" s="1"/>
      <c r="WQC7" s="1"/>
      <c r="WQD7" s="1"/>
      <c r="WQE7" s="1"/>
      <c r="WQF7" s="1"/>
      <c r="WQG7" s="1"/>
      <c r="WQH7" s="1"/>
      <c r="WQI7" s="1"/>
      <c r="WQJ7" s="1"/>
      <c r="WQK7" s="1"/>
      <c r="WQL7" s="1"/>
      <c r="WQM7" s="1"/>
      <c r="WQN7" s="1"/>
      <c r="WQO7" s="1"/>
      <c r="WQP7" s="1"/>
      <c r="WQQ7" s="1"/>
      <c r="WQR7" s="1"/>
      <c r="WQS7" s="1"/>
      <c r="WQT7" s="1"/>
      <c r="WQU7" s="1"/>
      <c r="WQV7" s="1"/>
      <c r="WQW7" s="1"/>
      <c r="WQX7" s="1"/>
      <c r="WQY7" s="1"/>
      <c r="WQZ7" s="1"/>
      <c r="WRA7" s="1"/>
      <c r="WRB7" s="1"/>
      <c r="WRC7" s="1"/>
      <c r="WRD7" s="1"/>
      <c r="WRE7" s="1"/>
      <c r="WRF7" s="1"/>
      <c r="WRG7" s="1"/>
      <c r="WRH7" s="1"/>
      <c r="WRI7" s="1"/>
      <c r="WRJ7" s="1"/>
      <c r="WRK7" s="1"/>
      <c r="WRL7" s="1"/>
      <c r="WRM7" s="1"/>
      <c r="WRN7" s="1"/>
      <c r="WRO7" s="1"/>
      <c r="WRP7" s="1"/>
      <c r="WRQ7" s="1"/>
      <c r="WRR7" s="1"/>
      <c r="WRS7" s="1"/>
      <c r="WRT7" s="1"/>
      <c r="WRU7" s="1"/>
      <c r="WRV7" s="1"/>
      <c r="WRW7" s="1"/>
      <c r="WRX7" s="1"/>
      <c r="WRY7" s="1"/>
      <c r="WRZ7" s="1"/>
      <c r="WSA7" s="1"/>
      <c r="WSB7" s="1"/>
      <c r="WSC7" s="1"/>
      <c r="WSD7" s="1"/>
      <c r="WSE7" s="1"/>
      <c r="WSF7" s="1"/>
      <c r="WSG7" s="1"/>
      <c r="WSH7" s="1"/>
      <c r="WSI7" s="1"/>
      <c r="WSJ7" s="1"/>
      <c r="WSK7" s="1"/>
      <c r="WSL7" s="1"/>
      <c r="WSM7" s="1"/>
      <c r="WSN7" s="1"/>
      <c r="WSO7" s="1"/>
      <c r="WSP7" s="1"/>
      <c r="WSQ7" s="1"/>
      <c r="WSR7" s="1"/>
      <c r="WSS7" s="1"/>
      <c r="WST7" s="1"/>
      <c r="WSU7" s="1"/>
      <c r="WSV7" s="1"/>
      <c r="WSW7" s="1"/>
      <c r="WSX7" s="1"/>
      <c r="WSY7" s="1"/>
      <c r="WSZ7" s="1"/>
      <c r="WTA7" s="1"/>
      <c r="WTB7" s="1"/>
      <c r="WTC7" s="1"/>
      <c r="WTD7" s="1"/>
      <c r="WTE7" s="1"/>
      <c r="WTF7" s="1"/>
      <c r="WTG7" s="1"/>
      <c r="WTH7" s="1"/>
      <c r="WTI7" s="1"/>
      <c r="WTJ7" s="1"/>
      <c r="WTK7" s="1"/>
      <c r="WTL7" s="1"/>
      <c r="WTM7" s="1"/>
      <c r="WTN7" s="1"/>
      <c r="WTO7" s="1"/>
      <c r="WTP7" s="1"/>
      <c r="WTQ7" s="1"/>
      <c r="WTR7" s="1"/>
      <c r="WTS7" s="1"/>
      <c r="WTT7" s="1"/>
      <c r="WTU7" s="1"/>
      <c r="WTV7" s="1"/>
      <c r="WTW7" s="1"/>
      <c r="WTX7" s="1"/>
      <c r="WTY7" s="1"/>
      <c r="WTZ7" s="1"/>
      <c r="WUA7" s="1"/>
      <c r="WUB7" s="1"/>
      <c r="WUC7" s="1"/>
      <c r="WUD7" s="1"/>
      <c r="WUE7" s="1"/>
      <c r="WUF7" s="1"/>
      <c r="WUG7" s="1"/>
      <c r="WUH7" s="1"/>
      <c r="WUI7" s="1"/>
      <c r="WUJ7" s="1"/>
      <c r="WUK7" s="1"/>
      <c r="WUL7" s="1"/>
      <c r="WUM7" s="1"/>
      <c r="WUN7" s="1"/>
      <c r="WUO7" s="1"/>
      <c r="WUP7" s="1"/>
      <c r="WUQ7" s="1"/>
      <c r="WUR7" s="1"/>
      <c r="WUS7" s="1"/>
      <c r="WUT7" s="1"/>
      <c r="WUU7" s="1"/>
      <c r="WUV7" s="1"/>
      <c r="WUW7" s="1"/>
      <c r="WUX7" s="1"/>
      <c r="WUY7" s="1"/>
      <c r="WUZ7" s="1"/>
      <c r="WVA7" s="1"/>
      <c r="WVB7" s="1"/>
      <c r="WVC7" s="1"/>
      <c r="WVD7" s="1"/>
      <c r="WVE7" s="1"/>
      <c r="WVF7" s="1"/>
      <c r="WVG7" s="1"/>
      <c r="WVH7" s="1"/>
      <c r="WVI7" s="1"/>
      <c r="WVJ7" s="1"/>
      <c r="WVK7" s="1"/>
      <c r="WVL7" s="1"/>
      <c r="WVM7" s="1"/>
      <c r="WVN7" s="1"/>
      <c r="WVO7" s="1"/>
      <c r="WVP7" s="1"/>
      <c r="WVQ7" s="1"/>
      <c r="WVR7" s="1"/>
      <c r="WVS7" s="1"/>
      <c r="WVT7" s="1"/>
      <c r="WVU7" s="1"/>
      <c r="WVV7" s="1"/>
      <c r="WVW7" s="1"/>
      <c r="WVX7" s="1"/>
      <c r="WVY7" s="1"/>
      <c r="WVZ7" s="1"/>
      <c r="WWA7" s="1"/>
      <c r="WWB7" s="1"/>
      <c r="WWC7" s="1"/>
      <c r="WWD7" s="1"/>
      <c r="WWE7" s="1"/>
      <c r="WWF7" s="1"/>
      <c r="WWG7" s="1"/>
      <c r="WWH7" s="1"/>
      <c r="WWI7" s="1"/>
      <c r="WWJ7" s="1"/>
      <c r="WWK7" s="1"/>
      <c r="WWL7" s="1"/>
      <c r="WWM7" s="1"/>
      <c r="WWN7" s="1"/>
      <c r="WWO7" s="1"/>
      <c r="WWP7" s="1"/>
      <c r="WWQ7" s="1"/>
      <c r="WWR7" s="1"/>
      <c r="WWS7" s="1"/>
      <c r="WWT7" s="1"/>
      <c r="WWU7" s="1"/>
      <c r="WWV7" s="1"/>
      <c r="WWW7" s="1"/>
      <c r="WWX7" s="1"/>
      <c r="WWY7" s="1"/>
      <c r="WWZ7" s="1"/>
      <c r="WXA7" s="1"/>
      <c r="WXB7" s="1"/>
      <c r="WXC7" s="1"/>
      <c r="WXD7" s="1"/>
      <c r="WXE7" s="1"/>
      <c r="WXF7" s="1"/>
      <c r="WXG7" s="1"/>
      <c r="WXH7" s="1"/>
      <c r="WXI7" s="1"/>
      <c r="WXJ7" s="1"/>
      <c r="WXK7" s="1"/>
      <c r="WXL7" s="1"/>
      <c r="WXM7" s="1"/>
      <c r="WXN7" s="1"/>
      <c r="WXO7" s="1"/>
      <c r="WXP7" s="1"/>
      <c r="WXQ7" s="1"/>
      <c r="WXR7" s="1"/>
      <c r="WXS7" s="1"/>
      <c r="WXT7" s="1"/>
      <c r="WXU7" s="1"/>
      <c r="WXV7" s="1"/>
      <c r="WXW7" s="1"/>
      <c r="WXX7" s="1"/>
      <c r="WXY7" s="1"/>
      <c r="WXZ7" s="1"/>
      <c r="WYA7" s="1"/>
      <c r="WYB7" s="1"/>
      <c r="WYC7" s="1"/>
      <c r="WYD7" s="1"/>
      <c r="WYE7" s="1"/>
      <c r="WYF7" s="1"/>
      <c r="WYG7" s="1"/>
      <c r="WYH7" s="1"/>
      <c r="WYI7" s="1"/>
      <c r="WYJ7" s="1"/>
      <c r="WYK7" s="1"/>
      <c r="WYL7" s="1"/>
      <c r="WYM7" s="1"/>
      <c r="WYN7" s="1"/>
      <c r="WYO7" s="1"/>
      <c r="WYP7" s="1"/>
      <c r="WYQ7" s="1"/>
      <c r="WYR7" s="1"/>
      <c r="WYS7" s="1"/>
      <c r="WYT7" s="1"/>
      <c r="WYU7" s="1"/>
      <c r="WYV7" s="1"/>
      <c r="WYW7" s="1"/>
      <c r="WYX7" s="1"/>
      <c r="WYY7" s="1"/>
      <c r="WYZ7" s="1"/>
      <c r="WZA7" s="1"/>
      <c r="WZB7" s="1"/>
      <c r="WZC7" s="1"/>
      <c r="WZD7" s="1"/>
      <c r="WZE7" s="1"/>
      <c r="WZF7" s="1"/>
      <c r="WZG7" s="1"/>
      <c r="WZH7" s="1"/>
      <c r="WZI7" s="1"/>
      <c r="WZJ7" s="1"/>
      <c r="WZK7" s="1"/>
      <c r="WZL7" s="1"/>
      <c r="WZM7" s="1"/>
      <c r="WZN7" s="1"/>
      <c r="WZO7" s="1"/>
      <c r="WZP7" s="1"/>
      <c r="WZQ7" s="1"/>
      <c r="WZR7" s="1"/>
      <c r="WZS7" s="1"/>
      <c r="WZT7" s="1"/>
      <c r="WZU7" s="1"/>
      <c r="WZV7" s="1"/>
      <c r="WZW7" s="1"/>
      <c r="WZX7" s="1"/>
      <c r="WZY7" s="1"/>
      <c r="WZZ7" s="1"/>
      <c r="XAA7" s="1"/>
      <c r="XAB7" s="1"/>
      <c r="XAC7" s="1"/>
      <c r="XAD7" s="1"/>
      <c r="XAE7" s="1"/>
      <c r="XAF7" s="1"/>
      <c r="XAG7" s="1"/>
      <c r="XAH7" s="1"/>
      <c r="XAI7" s="1"/>
      <c r="XAJ7" s="1"/>
      <c r="XAK7" s="1"/>
      <c r="XAL7" s="1"/>
      <c r="XAM7" s="1"/>
      <c r="XAN7" s="1"/>
      <c r="XAO7" s="1"/>
      <c r="XAP7" s="1"/>
      <c r="XAQ7" s="1"/>
      <c r="XAR7" s="1"/>
      <c r="XAS7" s="1"/>
      <c r="XAT7" s="1"/>
      <c r="XAU7" s="1"/>
      <c r="XAV7" s="1"/>
      <c r="XAW7" s="1"/>
      <c r="XAX7" s="1"/>
      <c r="XAY7" s="1"/>
      <c r="XAZ7" s="1"/>
      <c r="XBA7" s="1"/>
      <c r="XBB7" s="1"/>
      <c r="XBC7" s="1"/>
      <c r="XBD7" s="1"/>
      <c r="XBE7" s="1"/>
      <c r="XBF7" s="1"/>
      <c r="XBG7" s="1"/>
      <c r="XBH7" s="1"/>
      <c r="XBI7" s="1"/>
      <c r="XBJ7" s="1"/>
      <c r="XBK7" s="1"/>
      <c r="XBL7" s="1"/>
      <c r="XBM7" s="1"/>
      <c r="XBN7" s="1"/>
      <c r="XBO7" s="1"/>
      <c r="XBP7" s="1"/>
      <c r="XBQ7" s="1"/>
      <c r="XBR7" s="1"/>
      <c r="XBS7" s="1"/>
      <c r="XBT7" s="1"/>
      <c r="XBU7" s="1"/>
      <c r="XBV7" s="1"/>
      <c r="XBW7" s="1"/>
      <c r="XBX7" s="1"/>
      <c r="XBY7" s="1"/>
      <c r="XBZ7" s="1"/>
      <c r="XCA7" s="1"/>
      <c r="XCB7" s="1"/>
      <c r="XCC7" s="1"/>
      <c r="XCD7" s="1"/>
      <c r="XCE7" s="1"/>
      <c r="XCF7" s="1"/>
      <c r="XCG7" s="1"/>
      <c r="XCH7" s="1"/>
      <c r="XCI7" s="1"/>
      <c r="XCJ7" s="1"/>
      <c r="XCK7" s="1"/>
      <c r="XCL7" s="1"/>
      <c r="XCM7" s="1"/>
      <c r="XCN7" s="1"/>
      <c r="XCO7" s="1"/>
      <c r="XCP7" s="1"/>
      <c r="XCQ7" s="1"/>
      <c r="XCR7" s="1"/>
      <c r="XCS7" s="1"/>
      <c r="XCT7" s="1"/>
      <c r="XCU7" s="1"/>
      <c r="XCV7" s="1"/>
      <c r="XCW7" s="1"/>
      <c r="XCX7" s="1"/>
      <c r="XCY7" s="1"/>
      <c r="XCZ7" s="1"/>
      <c r="XDA7" s="1"/>
      <c r="XDB7" s="1"/>
      <c r="XDC7" s="1"/>
      <c r="XDD7" s="1"/>
      <c r="XDE7" s="1"/>
      <c r="XDF7" s="1"/>
      <c r="XDG7" s="1"/>
      <c r="XDH7" s="1"/>
      <c r="XDI7" s="1"/>
      <c r="XDJ7" s="1"/>
      <c r="XDK7" s="1"/>
      <c r="XDL7" s="1"/>
      <c r="XDM7" s="1"/>
      <c r="XDN7" s="1"/>
      <c r="XDO7" s="1"/>
      <c r="XDP7" s="1"/>
      <c r="XDQ7" s="1"/>
    </row>
    <row r="8" spans="1:16345" s="1" customFormat="1" ht="12.75" customHeight="1">
      <c r="A8" s="504" t="s">
        <v>85</v>
      </c>
      <c r="B8" s="368"/>
      <c r="C8" s="18"/>
      <c r="D8" s="18"/>
      <c r="E8" s="18"/>
      <c r="F8" s="60"/>
      <c r="G8" s="18"/>
      <c r="H8" s="18"/>
      <c r="I8" s="18"/>
      <c r="J8" s="18"/>
      <c r="K8" s="60"/>
      <c r="L8" s="18"/>
      <c r="M8" s="18"/>
      <c r="N8" s="18"/>
      <c r="O8" s="18"/>
      <c r="P8" s="60"/>
      <c r="Q8" s="18"/>
      <c r="R8" s="18"/>
      <c r="S8" s="18"/>
      <c r="T8" s="18"/>
      <c r="U8" s="60"/>
      <c r="V8" s="18">
        <f t="shared" ref="V8" si="25">+V7/Q7-1</f>
        <v>-0.26256646178211851</v>
      </c>
      <c r="W8" s="18">
        <f t="shared" ref="W8" si="26">+W7/R7-1</f>
        <v>-0.25942570135148535</v>
      </c>
      <c r="X8" s="18">
        <f t="shared" ref="X8" si="27">+X7/S7-1</f>
        <v>3.4982636123235711E-2</v>
      </c>
      <c r="Y8" s="18">
        <f t="shared" ref="Y8" si="28">+Y7/T7-1</f>
        <v>0.54461028192371463</v>
      </c>
      <c r="Z8" s="2122">
        <f t="shared" ref="Z8" si="29">+Z7/U7-1</f>
        <v>-5.1652432562404593E-3</v>
      </c>
      <c r="AA8" s="18">
        <f t="shared" ref="AA8" si="30">+AA7/V7-1</f>
        <v>0.81770300674984675</v>
      </c>
      <c r="AB8" s="18">
        <f t="shared" ref="AB8" si="31">+AB7/W7-1</f>
        <v>1.0430572907371052</v>
      </c>
      <c r="AC8" s="18">
        <f t="shared" ref="AC8" si="32">+AC7/X7-1</f>
        <v>0.49330460212405747</v>
      </c>
      <c r="AD8" s="18">
        <f t="shared" ref="AD8" si="33">+AD7/Y7-1</f>
        <v>0.16587932145157835</v>
      </c>
      <c r="AE8" s="450">
        <f t="shared" ref="AE8" si="34">+AE7/Z7-1</f>
        <v>0.55119104100833427</v>
      </c>
      <c r="AF8" s="18">
        <f t="shared" ref="AF8" si="35">+AF7/AA7-1</f>
        <v>0.335330688947028</v>
      </c>
      <c r="AG8" s="18">
        <f t="shared" ref="AG8" si="36">+AG7/AB7-1</f>
        <v>0.15326825220031015</v>
      </c>
      <c r="AH8" s="18">
        <f t="shared" ref="AH8" si="37">+AH7/AC7-1</f>
        <v>0.13551844980416394</v>
      </c>
      <c r="AI8" s="18">
        <f t="shared" ref="AI8" si="38">+AI7/AD7-1</f>
        <v>0.12680725665346726</v>
      </c>
      <c r="AJ8" s="450">
        <f t="shared" ref="AJ8" si="39">+AJ7/AE7-1</f>
        <v>0.17901455431031499</v>
      </c>
      <c r="AK8" s="18">
        <f t="shared" ref="AK8" si="40">+AK7/AF7-1</f>
        <v>0.11167758653380244</v>
      </c>
      <c r="AL8" s="18">
        <f t="shared" ref="AL8" si="41">+AL7/AG7-1</f>
        <v>0.23731702236445917</v>
      </c>
      <c r="AM8" s="18">
        <f t="shared" ref="AM8" si="42">+AM7/AH7-1</f>
        <v>0.44649989107544807</v>
      </c>
      <c r="AN8" s="18">
        <f t="shared" ref="AN8" si="43">+AN7/AI7-1</f>
        <v>1.3567750898986599</v>
      </c>
      <c r="AO8" s="450">
        <f t="shared" ref="AO8" si="44">+AO7/AJ7-1</f>
        <v>0.53271137825376158</v>
      </c>
      <c r="AP8" s="18">
        <f t="shared" ref="AP8" si="45">+AP7/AK7-1</f>
        <v>1.3874317768344451</v>
      </c>
      <c r="AQ8" s="18">
        <f t="shared" ref="AQ8" si="46">+AQ7/AL7-1</f>
        <v>1.2689358576041876</v>
      </c>
      <c r="AR8" s="18">
        <f t="shared" ref="AR8" si="47">+AR7/AM7-1</f>
        <v>0.96140764818835622</v>
      </c>
      <c r="AS8" s="18">
        <f t="shared" ref="AS8" si="48">+AS7/AN7-1</f>
        <v>0.51315994798439513</v>
      </c>
      <c r="AT8" s="450">
        <f>+AT7/AO7-1</f>
        <v>0.93224669153339113</v>
      </c>
      <c r="AU8" s="18">
        <f t="shared" ref="AU8" si="49">+AU7/AP7-1</f>
        <v>0.68443403714875362</v>
      </c>
      <c r="AV8" s="472">
        <f t="shared" ref="AV8" si="50">+AV7/AQ7-1</f>
        <v>2.1025564924114666</v>
      </c>
      <c r="AW8" s="18">
        <f t="shared" ref="AW8" si="51">+AW7/AR7-1</f>
        <v>1.9960008446216153</v>
      </c>
      <c r="AX8" s="18">
        <f t="shared" ref="AX8" si="52">+AX7/AS7-1</f>
        <v>1.9270724119557934</v>
      </c>
      <c r="AY8" s="581">
        <f>+AY7/AT7-1</f>
        <v>1.7291407737465621</v>
      </c>
      <c r="AZ8" s="368">
        <f t="shared" ref="AZ8" si="53">+AZ7/AU7-1</f>
        <v>1.6493249452180674</v>
      </c>
      <c r="BA8" s="472">
        <f t="shared" ref="BA8" si="54">+BA7/AV7-1</f>
        <v>0.87236114915839424</v>
      </c>
      <c r="BB8" s="472">
        <f t="shared" ref="BB8" si="55">+BB7/AW7-1</f>
        <v>1.9831875341716789</v>
      </c>
      <c r="BC8" s="18">
        <f t="shared" ref="BC8" si="56">+BC7/AX7-1</f>
        <v>2.0236836954394213</v>
      </c>
      <c r="BD8" s="1938">
        <f>+BD7/AY7-1</f>
        <v>1.6456397843373911</v>
      </c>
      <c r="BE8" s="368">
        <f t="shared" ref="BE8" si="57">+BE7/AZ7-1</f>
        <v>1.6092138029171119</v>
      </c>
      <c r="BF8" s="472">
        <f t="shared" ref="BF8" si="58">+BF7/BA7-1</f>
        <v>0.78982814677194635</v>
      </c>
      <c r="BG8" s="472">
        <f t="shared" ref="BG8" si="59">+BG7/BB7-1</f>
        <v>9.2210767468499322E-2</v>
      </c>
      <c r="BH8" s="18">
        <f t="shared" ref="BH8" si="60">+BH7/BC7-1</f>
        <v>-4.3177110305541055E-2</v>
      </c>
      <c r="BI8" s="1938">
        <f>+BI7/BD7-1</f>
        <v>0.37615308901961675</v>
      </c>
      <c r="BJ8" s="368">
        <f t="shared" ref="BJ8:BL8" si="61">+BJ7/BE7-1</f>
        <v>-4.6969800259049732E-2</v>
      </c>
      <c r="BK8" s="472">
        <f t="shared" si="61"/>
        <v>-5.3393019333073832E-2</v>
      </c>
      <c r="BL8" s="472">
        <f t="shared" si="61"/>
        <v>1.0291033036182506E-2</v>
      </c>
      <c r="BM8" s="18">
        <f t="shared" ref="BM8" si="62">+BM7/BH7-1</f>
        <v>0.20485758744333893</v>
      </c>
      <c r="BN8" s="1938">
        <f>+BN7/BI7-1</f>
        <v>2.7827677977378507E-2</v>
      </c>
      <c r="BO8" s="368">
        <f t="shared" ref="BO8" si="63">+BO7/BJ7-1</f>
        <v>0.1717247466319527</v>
      </c>
      <c r="BP8" s="18">
        <f t="shared" ref="BP8" si="64">+BP7/BK7-1</f>
        <v>0.16875224966283797</v>
      </c>
      <c r="BQ8" s="18">
        <f t="shared" ref="BQ8:BR8" si="65">+BQ7/BL7-1</f>
        <v>0.11868566338961872</v>
      </c>
      <c r="BR8" s="2162">
        <f t="shared" si="65"/>
        <v>1.8447694382940139E-2</v>
      </c>
      <c r="BS8" s="1936">
        <f>+BS7/BN7-1</f>
        <v>0.11361826018861598</v>
      </c>
      <c r="BT8" s="20"/>
      <c r="BU8" s="20"/>
      <c r="BV8" s="20"/>
      <c r="BW8" s="20"/>
      <c r="BX8" s="450">
        <f>(BX7-BS7)/BS7</f>
        <v>8.2325748140303009E-2</v>
      </c>
      <c r="BY8" s="20"/>
      <c r="BZ8" s="20"/>
      <c r="CA8" s="20"/>
      <c r="CB8" s="20"/>
      <c r="CC8" s="450">
        <f>(CC7-BX7)/BX7</f>
        <v>8.4908617182482812E-2</v>
      </c>
      <c r="CD8" s="191"/>
      <c r="CE8" s="263"/>
      <c r="CF8" s="173"/>
      <c r="CG8" s="173"/>
      <c r="CH8" s="173"/>
      <c r="CI8" s="239"/>
      <c r="CJ8" s="177"/>
      <c r="CK8" s="2070"/>
      <c r="CL8" s="472">
        <f t="shared" si="4"/>
        <v>0.20485758744333893</v>
      </c>
      <c r="CM8" s="472">
        <f t="shared" si="5"/>
        <v>-4.3177110305541055E-2</v>
      </c>
      <c r="CN8" s="18">
        <v>7.42901026608207E-2</v>
      </c>
      <c r="CO8" s="2108">
        <f>IFERROR(($CL8-CM8)*10000,"")</f>
        <v>2480.3469774887999</v>
      </c>
      <c r="CP8" s="2108">
        <f>IFERROR(($CL8-CN8)*10000,"")</f>
        <v>1305.6748478251823</v>
      </c>
      <c r="CQ8" s="476"/>
      <c r="CR8" s="452"/>
      <c r="CS8" s="2298" t="s">
        <v>207</v>
      </c>
      <c r="CT8" s="2298" t="s">
        <v>206</v>
      </c>
      <c r="CU8" s="2298" t="s">
        <v>205</v>
      </c>
      <c r="CV8" s="2287" t="s">
        <v>608</v>
      </c>
      <c r="CW8" s="453">
        <v>1180</v>
      </c>
      <c r="CX8" s="2288">
        <f>+CW8/$BI$9</f>
        <v>0.54771630152246553</v>
      </c>
      <c r="CY8" s="139"/>
      <c r="CZ8"/>
      <c r="DA8"/>
      <c r="DB8"/>
      <c r="DC8"/>
      <c r="DD8"/>
      <c r="DE8"/>
      <c r="DF8" s="3"/>
      <c r="DG8" s="3"/>
      <c r="DH8" s="3"/>
      <c r="DI8" s="3"/>
      <c r="DJ8" s="3"/>
    </row>
    <row r="9" spans="1:16345" s="657" customFormat="1" ht="12.75" customHeight="1" collapsed="1">
      <c r="A9" s="2228" t="s">
        <v>604</v>
      </c>
      <c r="B9" s="656"/>
      <c r="F9" s="658">
        <f>+F12+F14</f>
        <v>39.847999999999999</v>
      </c>
      <c r="G9" s="657">
        <f>+G12+G14</f>
        <v>9.5549999999999997</v>
      </c>
      <c r="H9" s="657">
        <f t="shared" ref="H9:BD9" si="66">+H12+H14</f>
        <v>11.120000000000001</v>
      </c>
      <c r="I9" s="657">
        <f t="shared" si="66"/>
        <v>10.850999999999999</v>
      </c>
      <c r="J9" s="657">
        <f t="shared" si="66"/>
        <v>10.664999999999996</v>
      </c>
      <c r="K9" s="658">
        <f t="shared" si="66"/>
        <v>42.190999999999995</v>
      </c>
      <c r="L9" s="657">
        <f t="shared" si="66"/>
        <v>11.493</v>
      </c>
      <c r="M9" s="657">
        <f t="shared" si="66"/>
        <v>13.841999999999999</v>
      </c>
      <c r="N9" s="657">
        <f t="shared" si="66"/>
        <v>13.359</v>
      </c>
      <c r="O9" s="657">
        <f t="shared" si="66"/>
        <v>12.811</v>
      </c>
      <c r="P9" s="658">
        <f t="shared" si="66"/>
        <v>51.505000000000003</v>
      </c>
      <c r="Q9" s="657">
        <f t="shared" si="66"/>
        <v>13.350999999999999</v>
      </c>
      <c r="R9" s="657">
        <f t="shared" si="66"/>
        <v>15.654</v>
      </c>
      <c r="S9" s="657">
        <f t="shared" si="66"/>
        <v>17.2</v>
      </c>
      <c r="T9" s="657">
        <f t="shared" si="66"/>
        <v>13.445</v>
      </c>
      <c r="U9" s="658">
        <f t="shared" si="66"/>
        <v>59.649999999999991</v>
      </c>
      <c r="V9" s="657">
        <f t="shared" si="66"/>
        <v>10.667999999999999</v>
      </c>
      <c r="W9" s="657">
        <f t="shared" si="66"/>
        <v>12.321999999999999</v>
      </c>
      <c r="X9" s="657">
        <f t="shared" si="66"/>
        <v>17.780999999999999</v>
      </c>
      <c r="Y9" s="657">
        <f t="shared" si="66"/>
        <v>20.295999999999999</v>
      </c>
      <c r="Z9" s="658">
        <f t="shared" si="66"/>
        <v>61.067000000000007</v>
      </c>
      <c r="AA9" s="657">
        <f t="shared" si="66"/>
        <v>19.335000000000001</v>
      </c>
      <c r="AB9" s="657">
        <f t="shared" si="66"/>
        <v>25.231999999999999</v>
      </c>
      <c r="AC9" s="657">
        <f t="shared" si="66"/>
        <v>27.103000000000002</v>
      </c>
      <c r="AD9" s="657">
        <f t="shared" si="66"/>
        <v>24.968</v>
      </c>
      <c r="AE9" s="658">
        <f t="shared" si="66"/>
        <v>96.638000000000005</v>
      </c>
      <c r="AF9" s="659">
        <f t="shared" si="66"/>
        <v>26.725000000000001</v>
      </c>
      <c r="AG9" s="659">
        <f t="shared" si="66"/>
        <v>29.747</v>
      </c>
      <c r="AH9" s="659">
        <f t="shared" si="66"/>
        <v>31.664999999999999</v>
      </c>
      <c r="AI9" s="659">
        <f t="shared" si="66"/>
        <v>28.606999999999999</v>
      </c>
      <c r="AJ9" s="658">
        <f t="shared" si="66"/>
        <v>116.744</v>
      </c>
      <c r="AK9" s="659">
        <f t="shared" si="66"/>
        <v>30.348000000000003</v>
      </c>
      <c r="AL9" s="659">
        <f t="shared" si="66"/>
        <v>39.608000000000004</v>
      </c>
      <c r="AM9" s="659">
        <f t="shared" si="66"/>
        <v>55.923999999999992</v>
      </c>
      <c r="AN9" s="659">
        <f t="shared" si="66"/>
        <v>93.248000000000005</v>
      </c>
      <c r="AO9" s="658">
        <f t="shared" si="66"/>
        <v>219.12800000000001</v>
      </c>
      <c r="AP9" s="659">
        <f t="shared" si="66"/>
        <v>102.105</v>
      </c>
      <c r="AQ9" s="659">
        <f t="shared" si="66"/>
        <v>121.80500000000001</v>
      </c>
      <c r="AR9" s="659">
        <f t="shared" si="66"/>
        <v>131.18200000000002</v>
      </c>
      <c r="AS9" s="659">
        <f t="shared" si="66"/>
        <v>148.14599999999999</v>
      </c>
      <c r="AT9" s="658">
        <f t="shared" si="66"/>
        <v>503.23800000000006</v>
      </c>
      <c r="AU9" s="659">
        <f t="shared" si="66"/>
        <v>178.39499999999998</v>
      </c>
      <c r="AV9" s="659">
        <f t="shared" si="66"/>
        <v>423.72299999999996</v>
      </c>
      <c r="AW9" s="659">
        <f t="shared" si="66"/>
        <v>431.73499999999996</v>
      </c>
      <c r="AX9" s="659">
        <f t="shared" si="66"/>
        <v>468.9</v>
      </c>
      <c r="AY9" s="660">
        <f t="shared" si="66"/>
        <v>1502.7529999999999</v>
      </c>
      <c r="AZ9" s="660">
        <v>386.2</v>
      </c>
      <c r="BA9" s="659">
        <f t="shared" si="66"/>
        <v>465.3</v>
      </c>
      <c r="BB9" s="659">
        <f t="shared" si="66"/>
        <v>511.2</v>
      </c>
      <c r="BC9" s="659">
        <f t="shared" si="66"/>
        <v>571.1</v>
      </c>
      <c r="BD9" s="1937">
        <f t="shared" si="66"/>
        <v>1937.5</v>
      </c>
      <c r="BE9" s="660">
        <v>512.70000000000005</v>
      </c>
      <c r="BF9" s="659">
        <v>519.1</v>
      </c>
      <c r="BG9" s="659">
        <v>544.4</v>
      </c>
      <c r="BH9" s="659">
        <v>578.20000000000005</v>
      </c>
      <c r="BI9" s="1937">
        <f>+SUM(BE9:BH9)</f>
        <v>2154.4000000000005</v>
      </c>
      <c r="BJ9" s="660">
        <v>548</v>
      </c>
      <c r="BK9" s="659">
        <v>572.29999999999995</v>
      </c>
      <c r="BL9" s="659">
        <v>628.6</v>
      </c>
      <c r="BM9" s="659">
        <v>767.3</v>
      </c>
      <c r="BN9" s="1937">
        <f>+SUM(BJ9:BM9)</f>
        <v>2516.1999999999998</v>
      </c>
      <c r="BO9" s="2337">
        <f>+BM9*(1+BO11)</f>
        <v>705.91599999999994</v>
      </c>
      <c r="BP9" s="661">
        <f t="shared" ref="BP9" si="67">+BO9*(1+BP11)</f>
        <v>720.03431999999998</v>
      </c>
      <c r="BQ9" s="661">
        <f t="shared" ref="BQ9:BR9" si="68">+BP9*(1+BQ11)</f>
        <v>756.03603599999997</v>
      </c>
      <c r="BR9" s="2175">
        <f t="shared" si="68"/>
        <v>793.83783779999999</v>
      </c>
      <c r="BS9" s="1937">
        <f>SUM(BO9:BR9)</f>
        <v>2975.8241938000001</v>
      </c>
      <c r="BT9" s="659"/>
      <c r="BU9" s="659"/>
      <c r="BV9" s="659"/>
      <c r="BW9" s="659"/>
      <c r="BX9" s="664">
        <f>+BS9*(1+BX10)</f>
        <v>3347.802218025</v>
      </c>
      <c r="BY9" s="659"/>
      <c r="BZ9" s="659"/>
      <c r="CA9" s="659"/>
      <c r="CB9" s="659"/>
      <c r="CC9" s="664">
        <f>+BX9*(1+CC10)</f>
        <v>3766.2774952781251</v>
      </c>
      <c r="CD9" s="262"/>
      <c r="CE9" s="263"/>
      <c r="CF9" s="2224">
        <f>+BI9/$BI$45</f>
        <v>0.1473658289669891</v>
      </c>
      <c r="CG9" s="173"/>
      <c r="CH9" s="173"/>
      <c r="CI9" s="239"/>
      <c r="CJ9" s="177"/>
      <c r="CK9" s="2070"/>
      <c r="CL9" s="659">
        <f t="shared" si="4"/>
        <v>767.3</v>
      </c>
      <c r="CM9" s="659">
        <f t="shared" si="5"/>
        <v>578.20000000000005</v>
      </c>
      <c r="CN9" s="661">
        <v>672.60200000000009</v>
      </c>
      <c r="CO9" s="2086"/>
      <c r="CP9" s="2086"/>
      <c r="CQ9" s="476"/>
      <c r="CR9" s="452"/>
      <c r="CS9" s="2297">
        <f>+BF9*1.07+7</f>
        <v>562.43700000000001</v>
      </c>
      <c r="CT9" s="2297">
        <f>+BG9*1.05+55/4</f>
        <v>585.37</v>
      </c>
      <c r="CU9" s="2297">
        <f>+BH9*1.05+55/4</f>
        <v>620.86000000000013</v>
      </c>
      <c r="CV9" s="2287" t="s">
        <v>609</v>
      </c>
      <c r="CW9" s="453">
        <v>880</v>
      </c>
      <c r="CX9" s="2288">
        <f t="shared" ref="CX9:CX10" si="69">+CW9/$BI$9</f>
        <v>0.40846639435573701</v>
      </c>
      <c r="CY9" s="139"/>
      <c r="CZ9"/>
      <c r="DA9"/>
      <c r="DB9"/>
      <c r="DC9"/>
      <c r="DD9"/>
      <c r="DE9"/>
      <c r="DF9" s="3"/>
      <c r="DG9" s="3"/>
      <c r="DH9" s="3"/>
      <c r="DI9" s="3"/>
      <c r="DJ9" s="3"/>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c r="IW9" s="1"/>
      <c r="IX9" s="1"/>
      <c r="IY9" s="1"/>
      <c r="IZ9" s="1"/>
      <c r="JA9" s="1"/>
      <c r="JB9" s="1"/>
      <c r="JC9" s="1"/>
      <c r="JD9" s="1"/>
      <c r="JE9" s="1"/>
      <c r="JF9" s="1"/>
      <c r="JG9" s="1"/>
      <c r="JH9" s="1"/>
      <c r="JI9" s="1"/>
      <c r="JJ9" s="1"/>
      <c r="JK9" s="1"/>
      <c r="JL9" s="1"/>
      <c r="JM9" s="1"/>
      <c r="JN9" s="1"/>
      <c r="JO9" s="1"/>
      <c r="JP9" s="1"/>
      <c r="JQ9" s="1"/>
      <c r="JR9" s="1"/>
      <c r="JS9" s="1"/>
      <c r="JT9" s="1"/>
      <c r="JU9" s="1"/>
      <c r="JV9" s="1"/>
      <c r="JW9" s="1"/>
      <c r="JX9" s="1"/>
      <c r="JY9" s="1"/>
      <c r="JZ9" s="1"/>
      <c r="KA9" s="1"/>
      <c r="KB9" s="1"/>
      <c r="KC9" s="1"/>
      <c r="KD9" s="1"/>
      <c r="KE9" s="1"/>
      <c r="KF9" s="1"/>
      <c r="KG9" s="1"/>
      <c r="KH9" s="1"/>
      <c r="KI9" s="1"/>
      <c r="KJ9" s="1"/>
      <c r="KK9" s="1"/>
      <c r="KL9" s="1"/>
      <c r="KM9" s="1"/>
      <c r="KN9" s="1"/>
      <c r="KO9" s="1"/>
      <c r="KP9" s="1"/>
      <c r="KQ9" s="1"/>
      <c r="KR9" s="1"/>
      <c r="KS9" s="1"/>
      <c r="KT9" s="1"/>
      <c r="KU9" s="1"/>
      <c r="KV9" s="1"/>
      <c r="KW9" s="1"/>
      <c r="KX9" s="1"/>
      <c r="KY9" s="1"/>
      <c r="KZ9" s="1"/>
      <c r="LA9" s="1"/>
      <c r="LB9" s="1"/>
      <c r="LC9" s="1"/>
      <c r="LD9" s="1"/>
      <c r="LE9" s="1"/>
      <c r="LF9" s="1"/>
      <c r="LG9" s="1"/>
      <c r="LH9" s="1"/>
      <c r="LI9" s="1"/>
      <c r="LJ9" s="1"/>
      <c r="LK9" s="1"/>
      <c r="LL9" s="1"/>
      <c r="LM9" s="1"/>
      <c r="LN9" s="1"/>
      <c r="LO9" s="1"/>
      <c r="LP9" s="1"/>
      <c r="LQ9" s="1"/>
      <c r="LR9" s="1"/>
      <c r="LS9" s="1"/>
      <c r="LT9" s="1"/>
      <c r="LU9" s="1"/>
      <c r="LV9" s="1"/>
      <c r="LW9" s="1"/>
      <c r="LX9" s="1"/>
      <c r="LY9" s="1"/>
      <c r="LZ9" s="1"/>
      <c r="MA9" s="1"/>
      <c r="MB9" s="1"/>
      <c r="MC9" s="1"/>
      <c r="MD9" s="1"/>
      <c r="ME9" s="1"/>
      <c r="MF9" s="1"/>
      <c r="MG9" s="1"/>
      <c r="MH9" s="1"/>
      <c r="MI9" s="1"/>
      <c r="MJ9" s="1"/>
      <c r="MK9" s="1"/>
      <c r="ML9" s="1"/>
      <c r="MM9" s="1"/>
      <c r="MN9" s="1"/>
      <c r="MO9" s="1"/>
      <c r="MP9" s="1"/>
      <c r="MQ9" s="1"/>
      <c r="MR9" s="1"/>
      <c r="MS9" s="1"/>
      <c r="MT9" s="1"/>
      <c r="MU9" s="1"/>
      <c r="MV9" s="1"/>
      <c r="MW9" s="1"/>
      <c r="MX9" s="1"/>
      <c r="MY9" s="1"/>
      <c r="MZ9" s="1"/>
      <c r="NA9" s="1"/>
      <c r="NB9" s="1"/>
      <c r="NC9" s="1"/>
      <c r="ND9" s="1"/>
      <c r="NE9" s="1"/>
      <c r="NF9" s="1"/>
      <c r="NG9" s="1"/>
      <c r="NH9" s="1"/>
      <c r="NI9" s="1"/>
      <c r="NJ9" s="1"/>
      <c r="NK9" s="1"/>
      <c r="NL9" s="1"/>
      <c r="NM9" s="1"/>
      <c r="NN9" s="1"/>
      <c r="NO9" s="1"/>
      <c r="NP9" s="1"/>
      <c r="NQ9" s="1"/>
      <c r="NR9" s="1"/>
      <c r="NS9" s="1"/>
      <c r="NT9" s="1"/>
      <c r="NU9" s="1"/>
      <c r="NV9" s="1"/>
      <c r="NW9" s="1"/>
      <c r="NX9" s="1"/>
      <c r="NY9" s="1"/>
      <c r="NZ9" s="1"/>
      <c r="OA9" s="1"/>
      <c r="OB9" s="1"/>
      <c r="OC9" s="1"/>
      <c r="OD9" s="1"/>
      <c r="OE9" s="1"/>
      <c r="OF9" s="1"/>
      <c r="OG9" s="1"/>
      <c r="OH9" s="1"/>
      <c r="OI9" s="1"/>
      <c r="OJ9" s="1"/>
      <c r="OK9" s="1"/>
      <c r="OL9" s="1"/>
      <c r="OM9" s="1"/>
      <c r="ON9" s="1"/>
      <c r="OO9" s="1"/>
      <c r="OP9" s="1"/>
      <c r="OQ9" s="1"/>
      <c r="OR9" s="1"/>
      <c r="OS9" s="1"/>
      <c r="OT9" s="1"/>
      <c r="OU9" s="1"/>
      <c r="OV9" s="1"/>
      <c r="OW9" s="1"/>
      <c r="OX9" s="1"/>
      <c r="OY9" s="1"/>
      <c r="OZ9" s="1"/>
      <c r="PA9" s="1"/>
      <c r="PB9" s="1"/>
      <c r="PC9" s="1"/>
      <c r="PD9" s="1"/>
      <c r="PE9" s="1"/>
      <c r="PF9" s="1"/>
      <c r="PG9" s="1"/>
      <c r="PH9" s="1"/>
      <c r="PI9" s="1"/>
      <c r="PJ9" s="1"/>
      <c r="PK9" s="1"/>
      <c r="PL9" s="1"/>
      <c r="PM9" s="1"/>
      <c r="PN9" s="1"/>
      <c r="PO9" s="1"/>
      <c r="PP9" s="1"/>
      <c r="PQ9" s="1"/>
      <c r="PR9" s="1"/>
      <c r="PS9" s="1"/>
      <c r="PT9" s="1"/>
      <c r="PU9" s="1"/>
      <c r="PV9" s="1"/>
      <c r="PW9" s="1"/>
      <c r="PX9" s="1"/>
      <c r="PY9" s="1"/>
      <c r="PZ9" s="1"/>
      <c r="QA9" s="1"/>
      <c r="QB9" s="1"/>
      <c r="QC9" s="1"/>
      <c r="QD9" s="1"/>
      <c r="QE9" s="1"/>
      <c r="QF9" s="1"/>
      <c r="QG9" s="1"/>
      <c r="QH9" s="1"/>
      <c r="QI9" s="1"/>
      <c r="QJ9" s="1"/>
      <c r="QK9" s="1"/>
      <c r="QL9" s="1"/>
      <c r="QM9" s="1"/>
      <c r="QN9" s="1"/>
      <c r="QO9" s="1"/>
      <c r="QP9" s="1"/>
      <c r="QQ9" s="1"/>
      <c r="QR9" s="1"/>
      <c r="QS9" s="1"/>
      <c r="QT9" s="1"/>
      <c r="QU9" s="1"/>
      <c r="QV9" s="1"/>
      <c r="QW9" s="1"/>
      <c r="QX9" s="1"/>
      <c r="QY9" s="1"/>
      <c r="QZ9" s="1"/>
      <c r="RA9" s="1"/>
      <c r="RB9" s="1"/>
      <c r="RC9" s="1"/>
      <c r="RD9" s="1"/>
      <c r="RE9" s="1"/>
      <c r="RF9" s="1"/>
      <c r="RG9" s="1"/>
      <c r="RH9" s="1"/>
      <c r="RI9" s="1"/>
      <c r="RJ9" s="1"/>
      <c r="RK9" s="1"/>
      <c r="RL9" s="1"/>
      <c r="RM9" s="1"/>
      <c r="RN9" s="1"/>
      <c r="RO9" s="1"/>
      <c r="RP9" s="1"/>
      <c r="RQ9" s="1"/>
      <c r="RR9" s="1"/>
      <c r="RS9" s="1"/>
      <c r="RT9" s="1"/>
      <c r="RU9" s="1"/>
      <c r="RV9" s="1"/>
      <c r="RW9" s="1"/>
      <c r="RX9" s="1"/>
      <c r="RY9" s="1"/>
      <c r="RZ9" s="1"/>
      <c r="SA9" s="1"/>
      <c r="SB9" s="1"/>
      <c r="SC9" s="1"/>
      <c r="SD9" s="1"/>
      <c r="SE9" s="1"/>
      <c r="SF9" s="1"/>
      <c r="SG9" s="1"/>
      <c r="SH9" s="1"/>
      <c r="SI9" s="1"/>
      <c r="SJ9" s="1"/>
      <c r="SK9" s="1"/>
      <c r="SL9" s="1"/>
      <c r="SM9" s="1"/>
      <c r="SN9" s="1"/>
      <c r="SO9" s="1"/>
      <c r="SP9" s="1"/>
      <c r="SQ9" s="1"/>
      <c r="SR9" s="1"/>
      <c r="SS9" s="1"/>
      <c r="ST9" s="1"/>
      <c r="SU9" s="1"/>
      <c r="SV9" s="1"/>
      <c r="SW9" s="1"/>
      <c r="SX9" s="1"/>
      <c r="SY9" s="1"/>
      <c r="SZ9" s="1"/>
      <c r="TA9" s="1"/>
      <c r="TB9" s="1"/>
      <c r="TC9" s="1"/>
      <c r="TD9" s="1"/>
      <c r="TE9" s="1"/>
      <c r="TF9" s="1"/>
      <c r="TG9" s="1"/>
      <c r="TH9" s="1"/>
      <c r="TI9" s="1"/>
      <c r="TJ9" s="1"/>
      <c r="TK9" s="1"/>
      <c r="TL9" s="1"/>
      <c r="TM9" s="1"/>
      <c r="TN9" s="1"/>
      <c r="TO9" s="1"/>
      <c r="TP9" s="1"/>
      <c r="TQ9" s="1"/>
      <c r="TR9" s="1"/>
      <c r="TS9" s="1"/>
      <c r="TT9" s="1"/>
      <c r="TU9" s="1"/>
      <c r="TV9" s="1"/>
      <c r="TW9" s="1"/>
      <c r="TX9" s="1"/>
      <c r="TY9" s="1"/>
      <c r="TZ9" s="1"/>
      <c r="UA9" s="1"/>
      <c r="UB9" s="1"/>
      <c r="UC9" s="1"/>
      <c r="UD9" s="1"/>
      <c r="UE9" s="1"/>
      <c r="UF9" s="1"/>
      <c r="UG9" s="1"/>
      <c r="UH9" s="1"/>
      <c r="UI9" s="1"/>
      <c r="UJ9" s="1"/>
      <c r="UK9" s="1"/>
      <c r="UL9" s="1"/>
      <c r="UM9" s="1"/>
      <c r="UN9" s="1"/>
      <c r="UO9" s="1"/>
      <c r="UP9" s="1"/>
      <c r="UQ9" s="1"/>
      <c r="UR9" s="1"/>
      <c r="US9" s="1"/>
      <c r="UT9" s="1"/>
      <c r="UU9" s="1"/>
      <c r="UV9" s="1"/>
      <c r="UW9" s="1"/>
      <c r="UX9" s="1"/>
      <c r="UY9" s="1"/>
      <c r="UZ9" s="1"/>
      <c r="VA9" s="1"/>
      <c r="VB9" s="1"/>
      <c r="VC9" s="1"/>
      <c r="VD9" s="1"/>
      <c r="VE9" s="1"/>
      <c r="VF9" s="1"/>
      <c r="VG9" s="1"/>
      <c r="VH9" s="1"/>
      <c r="VI9" s="1"/>
      <c r="VJ9" s="1"/>
      <c r="VK9" s="1"/>
      <c r="VL9" s="1"/>
      <c r="VM9" s="1"/>
      <c r="VN9" s="1"/>
      <c r="VO9" s="1"/>
      <c r="VP9" s="1"/>
      <c r="VQ9" s="1"/>
      <c r="VR9" s="1"/>
      <c r="VS9" s="1"/>
      <c r="VT9" s="1"/>
      <c r="VU9" s="1"/>
      <c r="VV9" s="1"/>
      <c r="VW9" s="1"/>
      <c r="VX9" s="1"/>
      <c r="VY9" s="1"/>
      <c r="VZ9" s="1"/>
      <c r="WA9" s="1"/>
      <c r="WB9" s="1"/>
      <c r="WC9" s="1"/>
      <c r="WD9" s="1"/>
      <c r="WE9" s="1"/>
      <c r="WF9" s="1"/>
      <c r="WG9" s="1"/>
      <c r="WH9" s="1"/>
      <c r="WI9" s="1"/>
      <c r="WJ9" s="1"/>
      <c r="WK9" s="1"/>
      <c r="WL9" s="1"/>
      <c r="WM9" s="1"/>
      <c r="WN9" s="1"/>
      <c r="WO9" s="1"/>
      <c r="WP9" s="1"/>
      <c r="WQ9" s="1"/>
      <c r="WR9" s="1"/>
      <c r="WS9" s="1"/>
      <c r="WT9" s="1"/>
      <c r="WU9" s="1"/>
      <c r="WV9" s="1"/>
      <c r="WW9" s="1"/>
      <c r="WX9" s="1"/>
      <c r="WY9" s="1"/>
      <c r="WZ9" s="1"/>
      <c r="XA9" s="1"/>
      <c r="XB9" s="1"/>
      <c r="XC9" s="1"/>
      <c r="XD9" s="1"/>
      <c r="XE9" s="1"/>
      <c r="XF9" s="1"/>
      <c r="XG9" s="1"/>
      <c r="XH9" s="1"/>
      <c r="XI9" s="1"/>
      <c r="XJ9" s="1"/>
      <c r="XK9" s="1"/>
      <c r="XL9" s="1"/>
      <c r="XM9" s="1"/>
      <c r="XN9" s="1"/>
      <c r="XO9" s="1"/>
      <c r="XP9" s="1"/>
      <c r="XQ9" s="1"/>
      <c r="XR9" s="1"/>
      <c r="XS9" s="1"/>
      <c r="XT9" s="1"/>
      <c r="XU9" s="1"/>
      <c r="XV9" s="1"/>
      <c r="XW9" s="1"/>
      <c r="XX9" s="1"/>
      <c r="XY9" s="1"/>
      <c r="XZ9" s="1"/>
      <c r="YA9" s="1"/>
      <c r="YB9" s="1"/>
      <c r="YC9" s="1"/>
      <c r="YD9" s="1"/>
      <c r="YE9" s="1"/>
      <c r="YF9" s="1"/>
      <c r="YG9" s="1"/>
      <c r="YH9" s="1"/>
      <c r="YI9" s="1"/>
      <c r="YJ9" s="1"/>
      <c r="YK9" s="1"/>
      <c r="YL9" s="1"/>
      <c r="YM9" s="1"/>
      <c r="YN9" s="1"/>
      <c r="YO9" s="1"/>
      <c r="YP9" s="1"/>
      <c r="YQ9" s="1"/>
      <c r="YR9" s="1"/>
      <c r="YS9" s="1"/>
      <c r="YT9" s="1"/>
      <c r="YU9" s="1"/>
      <c r="YV9" s="1"/>
      <c r="YW9" s="1"/>
      <c r="YX9" s="1"/>
      <c r="YY9" s="1"/>
      <c r="YZ9" s="1"/>
      <c r="ZA9" s="1"/>
      <c r="ZB9" s="1"/>
      <c r="ZC9" s="1"/>
      <c r="ZD9" s="1"/>
      <c r="ZE9" s="1"/>
      <c r="ZF9" s="1"/>
      <c r="ZG9" s="1"/>
      <c r="ZH9" s="1"/>
      <c r="ZI9" s="1"/>
      <c r="ZJ9" s="1"/>
      <c r="ZK9" s="1"/>
      <c r="ZL9" s="1"/>
      <c r="ZM9" s="1"/>
      <c r="ZN9" s="1"/>
      <c r="ZO9" s="1"/>
      <c r="ZP9" s="1"/>
      <c r="ZQ9" s="1"/>
      <c r="ZR9" s="1"/>
      <c r="ZS9" s="1"/>
      <c r="ZT9" s="1"/>
      <c r="ZU9" s="1"/>
      <c r="ZV9" s="1"/>
      <c r="ZW9" s="1"/>
      <c r="ZX9" s="1"/>
      <c r="ZY9" s="1"/>
      <c r="ZZ9" s="1"/>
      <c r="AAA9" s="1"/>
      <c r="AAB9" s="1"/>
      <c r="AAC9" s="1"/>
      <c r="AAD9" s="1"/>
      <c r="AAE9" s="1"/>
      <c r="AAF9" s="1"/>
      <c r="AAG9" s="1"/>
      <c r="AAH9" s="1"/>
      <c r="AAI9" s="1"/>
      <c r="AAJ9" s="1"/>
      <c r="AAK9" s="1"/>
      <c r="AAL9" s="1"/>
      <c r="AAM9" s="1"/>
      <c r="AAN9" s="1"/>
      <c r="AAO9" s="1"/>
      <c r="AAP9" s="1"/>
      <c r="AAQ9" s="1"/>
      <c r="AAR9" s="1"/>
      <c r="AAS9" s="1"/>
      <c r="AAT9" s="1"/>
      <c r="AAU9" s="1"/>
      <c r="AAV9" s="1"/>
      <c r="AAW9" s="1"/>
      <c r="AAX9" s="1"/>
      <c r="AAY9" s="1"/>
      <c r="AAZ9" s="1"/>
      <c r="ABA9" s="1"/>
      <c r="ABB9" s="1"/>
      <c r="ABC9" s="1"/>
      <c r="ABD9" s="1"/>
      <c r="ABE9" s="1"/>
      <c r="ABF9" s="1"/>
      <c r="ABG9" s="1"/>
      <c r="ABH9" s="1"/>
      <c r="ABI9" s="1"/>
      <c r="ABJ9" s="1"/>
      <c r="ABK9" s="1"/>
      <c r="ABL9" s="1"/>
      <c r="ABM9" s="1"/>
      <c r="ABN9" s="1"/>
      <c r="ABO9" s="1"/>
      <c r="ABP9" s="1"/>
      <c r="ABQ9" s="1"/>
      <c r="ABR9" s="1"/>
      <c r="ABS9" s="1"/>
      <c r="ABT9" s="1"/>
      <c r="ABU9" s="1"/>
      <c r="ABV9" s="1"/>
      <c r="ABW9" s="1"/>
      <c r="ABX9" s="1"/>
      <c r="ABY9" s="1"/>
      <c r="ABZ9" s="1"/>
      <c r="ACA9" s="1"/>
      <c r="ACB9" s="1"/>
      <c r="ACC9" s="1"/>
      <c r="ACD9" s="1"/>
      <c r="ACE9" s="1"/>
      <c r="ACF9" s="1"/>
      <c r="ACG9" s="1"/>
      <c r="ACH9" s="1"/>
      <c r="ACI9" s="1"/>
      <c r="ACJ9" s="1"/>
      <c r="ACK9" s="1"/>
      <c r="ACL9" s="1"/>
      <c r="ACM9" s="1"/>
      <c r="ACN9" s="1"/>
      <c r="ACO9" s="1"/>
      <c r="ACP9" s="1"/>
      <c r="ACQ9" s="1"/>
      <c r="ACR9" s="1"/>
      <c r="ACS9" s="1"/>
      <c r="ACT9" s="1"/>
      <c r="ACU9" s="1"/>
      <c r="ACV9" s="1"/>
      <c r="ACW9" s="1"/>
      <c r="ACX9" s="1"/>
      <c r="ACY9" s="1"/>
      <c r="ACZ9" s="1"/>
      <c r="ADA9" s="1"/>
      <c r="ADB9" s="1"/>
      <c r="ADC9" s="1"/>
      <c r="ADD9" s="1"/>
      <c r="ADE9" s="1"/>
      <c r="ADF9" s="1"/>
      <c r="ADG9" s="1"/>
      <c r="ADH9" s="1"/>
      <c r="ADI9" s="1"/>
      <c r="ADJ9" s="1"/>
      <c r="ADK9" s="1"/>
      <c r="ADL9" s="1"/>
      <c r="ADM9" s="1"/>
      <c r="ADN9" s="1"/>
      <c r="ADO9" s="1"/>
      <c r="ADP9" s="1"/>
      <c r="ADQ9" s="1"/>
      <c r="ADR9" s="1"/>
      <c r="ADS9" s="1"/>
      <c r="ADT9" s="1"/>
      <c r="ADU9" s="1"/>
      <c r="ADV9" s="1"/>
      <c r="ADW9" s="1"/>
      <c r="ADX9" s="1"/>
      <c r="ADY9" s="1"/>
      <c r="ADZ9" s="1"/>
      <c r="AEA9" s="1"/>
      <c r="AEB9" s="1"/>
      <c r="AEC9" s="1"/>
      <c r="AED9" s="1"/>
      <c r="AEE9" s="1"/>
      <c r="AEF9" s="1"/>
      <c r="AEG9" s="1"/>
      <c r="AEH9" s="1"/>
      <c r="AEI9" s="1"/>
      <c r="AEJ9" s="1"/>
      <c r="AEK9" s="1"/>
      <c r="AEL9" s="1"/>
      <c r="AEM9" s="1"/>
      <c r="AEN9" s="1"/>
      <c r="AEO9" s="1"/>
      <c r="AEP9" s="1"/>
      <c r="AEQ9" s="1"/>
      <c r="AER9" s="1"/>
      <c r="AES9" s="1"/>
      <c r="AET9" s="1"/>
      <c r="AEU9" s="1"/>
      <c r="AEV9" s="1"/>
      <c r="AEW9" s="1"/>
      <c r="AEX9" s="1"/>
      <c r="AEY9" s="1"/>
      <c r="AEZ9" s="1"/>
      <c r="AFA9" s="1"/>
      <c r="AFB9" s="1"/>
      <c r="AFC9" s="1"/>
      <c r="AFD9" s="1"/>
      <c r="AFE9" s="1"/>
      <c r="AFF9" s="1"/>
      <c r="AFG9" s="1"/>
      <c r="AFH9" s="1"/>
      <c r="AFI9" s="1"/>
      <c r="AFJ9" s="1"/>
      <c r="AFK9" s="1"/>
      <c r="AFL9" s="1"/>
      <c r="AFM9" s="1"/>
      <c r="AFN9" s="1"/>
      <c r="AFO9" s="1"/>
      <c r="AFP9" s="1"/>
      <c r="AFQ9" s="1"/>
      <c r="AFR9" s="1"/>
      <c r="AFS9" s="1"/>
      <c r="AFT9" s="1"/>
      <c r="AFU9" s="1"/>
      <c r="AFV9" s="1"/>
      <c r="AFW9" s="1"/>
      <c r="AFX9" s="1"/>
      <c r="AFY9" s="1"/>
      <c r="AFZ9" s="1"/>
      <c r="AGA9" s="1"/>
      <c r="AGB9" s="1"/>
      <c r="AGC9" s="1"/>
      <c r="AGD9" s="1"/>
      <c r="AGE9" s="1"/>
      <c r="AGF9" s="1"/>
      <c r="AGG9" s="1"/>
      <c r="AGH9" s="1"/>
      <c r="AGI9" s="1"/>
      <c r="AGJ9" s="1"/>
      <c r="AGK9" s="1"/>
      <c r="AGL9" s="1"/>
      <c r="AGM9" s="1"/>
      <c r="AGN9" s="1"/>
      <c r="AGO9" s="1"/>
      <c r="AGP9" s="1"/>
      <c r="AGQ9" s="1"/>
      <c r="AGR9" s="1"/>
      <c r="AGS9" s="1"/>
      <c r="AGT9" s="1"/>
      <c r="AGU9" s="1"/>
      <c r="AGV9" s="1"/>
      <c r="AGW9" s="1"/>
      <c r="AGX9" s="1"/>
      <c r="AGY9" s="1"/>
      <c r="AGZ9" s="1"/>
      <c r="AHA9" s="1"/>
      <c r="AHB9" s="1"/>
      <c r="AHC9" s="1"/>
      <c r="AHD9" s="1"/>
      <c r="AHE9" s="1"/>
      <c r="AHF9" s="1"/>
      <c r="AHG9" s="1"/>
      <c r="AHH9" s="1"/>
      <c r="AHI9" s="1"/>
      <c r="AHJ9" s="1"/>
      <c r="AHK9" s="1"/>
      <c r="AHL9" s="1"/>
      <c r="AHM9" s="1"/>
      <c r="AHN9" s="1"/>
      <c r="AHO9" s="1"/>
      <c r="AHP9" s="1"/>
      <c r="AHQ9" s="1"/>
      <c r="AHR9" s="1"/>
      <c r="AHS9" s="1"/>
      <c r="AHT9" s="1"/>
      <c r="AHU9" s="1"/>
      <c r="AHV9" s="1"/>
      <c r="AHW9" s="1"/>
      <c r="AHX9" s="1"/>
      <c r="AHY9" s="1"/>
      <c r="AHZ9" s="1"/>
      <c r="AIA9" s="1"/>
      <c r="AIB9" s="1"/>
      <c r="AIC9" s="1"/>
      <c r="AID9" s="1"/>
      <c r="AIE9" s="1"/>
      <c r="AIF9" s="1"/>
      <c r="AIG9" s="1"/>
      <c r="AIH9" s="1"/>
      <c r="AII9" s="1"/>
      <c r="AIJ9" s="1"/>
      <c r="AIK9" s="1"/>
      <c r="AIL9" s="1"/>
      <c r="AIM9" s="1"/>
      <c r="AIN9" s="1"/>
      <c r="AIO9" s="1"/>
      <c r="AIP9" s="1"/>
      <c r="AIQ9" s="1"/>
      <c r="AIR9" s="1"/>
      <c r="AIS9" s="1"/>
      <c r="AIT9" s="1"/>
      <c r="AIU9" s="1"/>
      <c r="AIV9" s="1"/>
      <c r="AIW9" s="1"/>
      <c r="AIX9" s="1"/>
      <c r="AIY9" s="1"/>
      <c r="AIZ9" s="1"/>
      <c r="AJA9" s="1"/>
      <c r="AJB9" s="1"/>
      <c r="AJC9" s="1"/>
      <c r="AJD9" s="1"/>
      <c r="AJE9" s="1"/>
      <c r="AJF9" s="1"/>
      <c r="AJG9" s="1"/>
      <c r="AJH9" s="1"/>
      <c r="AJI9" s="1"/>
      <c r="AJJ9" s="1"/>
      <c r="AJK9" s="1"/>
      <c r="AJL9" s="1"/>
      <c r="AJM9" s="1"/>
      <c r="AJN9" s="1"/>
      <c r="AJO9" s="1"/>
      <c r="AJP9" s="1"/>
      <c r="AJQ9" s="1"/>
      <c r="AJR9" s="1"/>
      <c r="AJS9" s="1"/>
      <c r="AJT9" s="1"/>
      <c r="AJU9" s="1"/>
      <c r="AJV9" s="1"/>
      <c r="AJW9" s="1"/>
      <c r="AJX9" s="1"/>
      <c r="AJY9" s="1"/>
      <c r="AJZ9" s="1"/>
      <c r="AKA9" s="1"/>
      <c r="AKB9" s="1"/>
      <c r="AKC9" s="1"/>
      <c r="AKD9" s="1"/>
      <c r="AKE9" s="1"/>
      <c r="AKF9" s="1"/>
      <c r="AKG9" s="1"/>
      <c r="AKH9" s="1"/>
      <c r="AKI9" s="1"/>
      <c r="AKJ9" s="1"/>
      <c r="AKK9" s="1"/>
      <c r="AKL9" s="1"/>
      <c r="AKM9" s="1"/>
      <c r="AKN9" s="1"/>
      <c r="AKO9" s="1"/>
      <c r="AKP9" s="1"/>
      <c r="AKQ9" s="1"/>
      <c r="AKR9" s="1"/>
      <c r="AKS9" s="1"/>
      <c r="AKT9" s="1"/>
      <c r="AKU9" s="1"/>
      <c r="AKV9" s="1"/>
      <c r="AKW9" s="1"/>
      <c r="AKX9" s="1"/>
      <c r="AKY9" s="1"/>
      <c r="AKZ9" s="1"/>
      <c r="ALA9" s="1"/>
      <c r="ALB9" s="1"/>
      <c r="ALC9" s="1"/>
      <c r="ALD9" s="1"/>
      <c r="ALE9" s="1"/>
      <c r="ALF9" s="1"/>
      <c r="ALG9" s="1"/>
      <c r="ALH9" s="1"/>
      <c r="ALI9" s="1"/>
      <c r="ALJ9" s="1"/>
      <c r="ALK9" s="1"/>
      <c r="ALL9" s="1"/>
      <c r="ALM9" s="1"/>
      <c r="ALN9" s="1"/>
      <c r="ALO9" s="1"/>
      <c r="ALP9" s="1"/>
      <c r="ALQ9" s="1"/>
      <c r="ALR9" s="1"/>
      <c r="ALS9" s="1"/>
      <c r="ALT9" s="1"/>
      <c r="ALU9" s="1"/>
      <c r="ALV9" s="1"/>
      <c r="ALW9" s="1"/>
      <c r="ALX9" s="1"/>
      <c r="ALY9" s="1"/>
      <c r="ALZ9" s="1"/>
      <c r="AMA9" s="1"/>
      <c r="AMB9" s="1"/>
      <c r="AMC9" s="1"/>
      <c r="AMD9" s="1"/>
      <c r="AME9" s="1"/>
      <c r="AMF9" s="1"/>
      <c r="AMG9" s="1"/>
      <c r="AMH9" s="1"/>
      <c r="AMI9" s="1"/>
      <c r="AMJ9" s="1"/>
      <c r="AMK9" s="1"/>
      <c r="AML9" s="1"/>
      <c r="AMM9" s="1"/>
      <c r="AMN9" s="1"/>
      <c r="AMO9" s="1"/>
      <c r="AMP9" s="1"/>
      <c r="AMQ9" s="1"/>
      <c r="AMR9" s="1"/>
      <c r="AMS9" s="1"/>
      <c r="AMT9" s="1"/>
      <c r="AMU9" s="1"/>
      <c r="AMV9" s="1"/>
      <c r="AMW9" s="1"/>
      <c r="AMX9" s="1"/>
      <c r="AMY9" s="1"/>
      <c r="AMZ9" s="1"/>
      <c r="ANA9" s="1"/>
      <c r="ANB9" s="1"/>
      <c r="ANC9" s="1"/>
      <c r="AND9" s="1"/>
      <c r="ANE9" s="1"/>
      <c r="ANF9" s="1"/>
      <c r="ANG9" s="1"/>
      <c r="ANH9" s="1"/>
      <c r="ANI9" s="1"/>
      <c r="ANJ9" s="1"/>
      <c r="ANK9" s="1"/>
      <c r="ANL9" s="1"/>
      <c r="ANM9" s="1"/>
      <c r="ANN9" s="1"/>
      <c r="ANO9" s="1"/>
      <c r="ANP9" s="1"/>
      <c r="ANQ9" s="1"/>
      <c r="ANR9" s="1"/>
      <c r="ANS9" s="1"/>
      <c r="ANT9" s="1"/>
      <c r="ANU9" s="1"/>
      <c r="ANV9" s="1"/>
      <c r="ANW9" s="1"/>
      <c r="ANX9" s="1"/>
      <c r="ANY9" s="1"/>
      <c r="ANZ9" s="1"/>
      <c r="AOA9" s="1"/>
      <c r="AOB9" s="1"/>
      <c r="AOC9" s="1"/>
      <c r="AOD9" s="1"/>
      <c r="AOE9" s="1"/>
      <c r="AOF9" s="1"/>
      <c r="AOG9" s="1"/>
      <c r="AOH9" s="1"/>
      <c r="AOI9" s="1"/>
      <c r="AOJ9" s="1"/>
      <c r="AOK9" s="1"/>
      <c r="AOL9" s="1"/>
      <c r="AOM9" s="1"/>
      <c r="AON9" s="1"/>
      <c r="AOO9" s="1"/>
      <c r="AOP9" s="1"/>
      <c r="AOQ9" s="1"/>
      <c r="AOR9" s="1"/>
      <c r="AOS9" s="1"/>
      <c r="AOT9" s="1"/>
      <c r="AOU9" s="1"/>
      <c r="AOV9" s="1"/>
      <c r="AOW9" s="1"/>
      <c r="AOX9" s="1"/>
      <c r="AOY9" s="1"/>
      <c r="AOZ9" s="1"/>
      <c r="APA9" s="1"/>
      <c r="APB9" s="1"/>
      <c r="APC9" s="1"/>
      <c r="APD9" s="1"/>
      <c r="APE9" s="1"/>
      <c r="APF9" s="1"/>
      <c r="APG9" s="1"/>
      <c r="APH9" s="1"/>
      <c r="API9" s="1"/>
      <c r="APJ9" s="1"/>
      <c r="APK9" s="1"/>
      <c r="APL9" s="1"/>
      <c r="APM9" s="1"/>
      <c r="APN9" s="1"/>
      <c r="APO9" s="1"/>
      <c r="APP9" s="1"/>
      <c r="APQ9" s="1"/>
      <c r="APR9" s="1"/>
      <c r="APS9" s="1"/>
      <c r="APT9" s="1"/>
      <c r="APU9" s="1"/>
      <c r="APV9" s="1"/>
      <c r="APW9" s="1"/>
      <c r="APX9" s="1"/>
      <c r="APY9" s="1"/>
      <c r="APZ9" s="1"/>
      <c r="AQA9" s="1"/>
      <c r="AQB9" s="1"/>
      <c r="AQC9" s="1"/>
      <c r="AQD9" s="1"/>
      <c r="AQE9" s="1"/>
      <c r="AQF9" s="1"/>
      <c r="AQG9" s="1"/>
      <c r="AQH9" s="1"/>
      <c r="AQI9" s="1"/>
      <c r="AQJ9" s="1"/>
      <c r="AQK9" s="1"/>
      <c r="AQL9" s="1"/>
      <c r="AQM9" s="1"/>
      <c r="AQN9" s="1"/>
      <c r="AQO9" s="1"/>
      <c r="AQP9" s="1"/>
      <c r="AQQ9" s="1"/>
      <c r="AQR9" s="1"/>
      <c r="AQS9" s="1"/>
      <c r="AQT9" s="1"/>
      <c r="AQU9" s="1"/>
      <c r="AQV9" s="1"/>
      <c r="AQW9" s="1"/>
      <c r="AQX9" s="1"/>
      <c r="AQY9" s="1"/>
      <c r="AQZ9" s="1"/>
      <c r="ARA9" s="1"/>
      <c r="ARB9" s="1"/>
      <c r="ARC9" s="1"/>
      <c r="ARD9" s="1"/>
      <c r="ARE9" s="1"/>
      <c r="ARF9" s="1"/>
      <c r="ARG9" s="1"/>
      <c r="ARH9" s="1"/>
      <c r="ARI9" s="1"/>
      <c r="ARJ9" s="1"/>
      <c r="ARK9" s="1"/>
      <c r="ARL9" s="1"/>
      <c r="ARM9" s="1"/>
      <c r="ARN9" s="1"/>
      <c r="ARO9" s="1"/>
      <c r="ARP9" s="1"/>
      <c r="ARQ9" s="1"/>
      <c r="ARR9" s="1"/>
      <c r="ARS9" s="1"/>
      <c r="ART9" s="1"/>
      <c r="ARU9" s="1"/>
      <c r="ARV9" s="1"/>
      <c r="ARW9" s="1"/>
      <c r="ARX9" s="1"/>
      <c r="ARY9" s="1"/>
      <c r="ARZ9" s="1"/>
      <c r="ASA9" s="1"/>
      <c r="ASB9" s="1"/>
      <c r="ASC9" s="1"/>
      <c r="ASD9" s="1"/>
      <c r="ASE9" s="1"/>
      <c r="ASF9" s="1"/>
      <c r="ASG9" s="1"/>
      <c r="ASH9" s="1"/>
      <c r="ASI9" s="1"/>
      <c r="ASJ9" s="1"/>
      <c r="ASK9" s="1"/>
      <c r="ASL9" s="1"/>
      <c r="ASM9" s="1"/>
      <c r="ASN9" s="1"/>
      <c r="ASO9" s="1"/>
      <c r="ASP9" s="1"/>
      <c r="ASQ9" s="1"/>
      <c r="ASR9" s="1"/>
      <c r="ASS9" s="1"/>
      <c r="AST9" s="1"/>
      <c r="ASU9" s="1"/>
      <c r="ASV9" s="1"/>
      <c r="ASW9" s="1"/>
      <c r="ASX9" s="1"/>
      <c r="ASY9" s="1"/>
      <c r="ASZ9" s="1"/>
      <c r="ATA9" s="1"/>
      <c r="ATB9" s="1"/>
      <c r="ATC9" s="1"/>
      <c r="ATD9" s="1"/>
      <c r="ATE9" s="1"/>
      <c r="ATF9" s="1"/>
      <c r="ATG9" s="1"/>
      <c r="ATH9" s="1"/>
      <c r="ATI9" s="1"/>
      <c r="ATJ9" s="1"/>
      <c r="ATK9" s="1"/>
      <c r="ATL9" s="1"/>
      <c r="ATM9" s="1"/>
      <c r="ATN9" s="1"/>
      <c r="ATO9" s="1"/>
      <c r="ATP9" s="1"/>
      <c r="ATQ9" s="1"/>
      <c r="ATR9" s="1"/>
      <c r="ATS9" s="1"/>
      <c r="ATT9" s="1"/>
      <c r="ATU9" s="1"/>
      <c r="ATV9" s="1"/>
      <c r="ATW9" s="1"/>
      <c r="ATX9" s="1"/>
      <c r="ATY9" s="1"/>
      <c r="ATZ9" s="1"/>
      <c r="AUA9" s="1"/>
      <c r="AUB9" s="1"/>
      <c r="AUC9" s="1"/>
      <c r="AUD9" s="1"/>
      <c r="AUE9" s="1"/>
      <c r="AUF9" s="1"/>
      <c r="AUG9" s="1"/>
      <c r="AUH9" s="1"/>
      <c r="AUI9" s="1"/>
      <c r="AUJ9" s="1"/>
      <c r="AUK9" s="1"/>
      <c r="AUL9" s="1"/>
      <c r="AUM9" s="1"/>
      <c r="AUN9" s="1"/>
      <c r="AUO9" s="1"/>
      <c r="AUP9" s="1"/>
      <c r="AUQ9" s="1"/>
      <c r="AUR9" s="1"/>
      <c r="AUS9" s="1"/>
      <c r="AUT9" s="1"/>
      <c r="AUU9" s="1"/>
      <c r="AUV9" s="1"/>
      <c r="AUW9" s="1"/>
      <c r="AUX9" s="1"/>
      <c r="AUY9" s="1"/>
      <c r="AUZ9" s="1"/>
      <c r="AVA9" s="1"/>
      <c r="AVB9" s="1"/>
      <c r="AVC9" s="1"/>
      <c r="AVD9" s="1"/>
      <c r="AVE9" s="1"/>
      <c r="AVF9" s="1"/>
      <c r="AVG9" s="1"/>
      <c r="AVH9" s="1"/>
      <c r="AVI9" s="1"/>
      <c r="AVJ9" s="1"/>
      <c r="AVK9" s="1"/>
      <c r="AVL9" s="1"/>
      <c r="AVM9" s="1"/>
      <c r="AVN9" s="1"/>
      <c r="AVO9" s="1"/>
      <c r="AVP9" s="1"/>
      <c r="AVQ9" s="1"/>
      <c r="AVR9" s="1"/>
      <c r="AVS9" s="1"/>
      <c r="AVT9" s="1"/>
      <c r="AVU9" s="1"/>
      <c r="AVV9" s="1"/>
      <c r="AVW9" s="1"/>
      <c r="AVX9" s="1"/>
      <c r="AVY9" s="1"/>
      <c r="AVZ9" s="1"/>
      <c r="AWA9" s="1"/>
      <c r="AWB9" s="1"/>
      <c r="AWC9" s="1"/>
      <c r="AWD9" s="1"/>
      <c r="AWE9" s="1"/>
      <c r="AWF9" s="1"/>
      <c r="AWG9" s="1"/>
      <c r="AWH9" s="1"/>
      <c r="AWI9" s="1"/>
      <c r="AWJ9" s="1"/>
      <c r="AWK9" s="1"/>
      <c r="AWL9" s="1"/>
      <c r="AWM9" s="1"/>
      <c r="AWN9" s="1"/>
      <c r="AWO9" s="1"/>
      <c r="AWP9" s="1"/>
      <c r="AWQ9" s="1"/>
      <c r="AWR9" s="1"/>
      <c r="AWS9" s="1"/>
      <c r="AWT9" s="1"/>
      <c r="AWU9" s="1"/>
      <c r="AWV9" s="1"/>
      <c r="AWW9" s="1"/>
      <c r="AWX9" s="1"/>
      <c r="AWY9" s="1"/>
      <c r="AWZ9" s="1"/>
      <c r="AXA9" s="1"/>
      <c r="AXB9" s="1"/>
      <c r="AXC9" s="1"/>
      <c r="AXD9" s="1"/>
      <c r="AXE9" s="1"/>
      <c r="AXF9" s="1"/>
      <c r="AXG9" s="1"/>
      <c r="AXH9" s="1"/>
      <c r="AXI9" s="1"/>
      <c r="AXJ9" s="1"/>
      <c r="AXK9" s="1"/>
      <c r="AXL9" s="1"/>
      <c r="AXM9" s="1"/>
      <c r="AXN9" s="1"/>
      <c r="AXO9" s="1"/>
      <c r="AXP9" s="1"/>
      <c r="AXQ9" s="1"/>
      <c r="AXR9" s="1"/>
      <c r="AXS9" s="1"/>
      <c r="AXT9" s="1"/>
      <c r="AXU9" s="1"/>
      <c r="AXV9" s="1"/>
      <c r="AXW9" s="1"/>
      <c r="AXX9" s="1"/>
      <c r="AXY9" s="1"/>
      <c r="AXZ9" s="1"/>
      <c r="AYA9" s="1"/>
      <c r="AYB9" s="1"/>
      <c r="AYC9" s="1"/>
      <c r="AYD9" s="1"/>
      <c r="AYE9" s="1"/>
      <c r="AYF9" s="1"/>
      <c r="AYG9" s="1"/>
      <c r="AYH9" s="1"/>
      <c r="AYI9" s="1"/>
      <c r="AYJ9" s="1"/>
      <c r="AYK9" s="1"/>
      <c r="AYL9" s="1"/>
      <c r="AYM9" s="1"/>
      <c r="AYN9" s="1"/>
      <c r="AYO9" s="1"/>
      <c r="AYP9" s="1"/>
      <c r="AYQ9" s="1"/>
      <c r="AYR9" s="1"/>
      <c r="AYS9" s="1"/>
      <c r="AYT9" s="1"/>
      <c r="AYU9" s="1"/>
      <c r="AYV9" s="1"/>
      <c r="AYW9" s="1"/>
      <c r="AYX9" s="1"/>
      <c r="AYY9" s="1"/>
      <c r="AYZ9" s="1"/>
      <c r="AZA9" s="1"/>
      <c r="AZB9" s="1"/>
      <c r="AZC9" s="1"/>
      <c r="AZD9" s="1"/>
      <c r="AZE9" s="1"/>
      <c r="AZF9" s="1"/>
      <c r="AZG9" s="1"/>
      <c r="AZH9" s="1"/>
      <c r="AZI9" s="1"/>
      <c r="AZJ9" s="1"/>
      <c r="AZK9" s="1"/>
      <c r="AZL9" s="1"/>
      <c r="AZM9" s="1"/>
      <c r="AZN9" s="1"/>
      <c r="AZO9" s="1"/>
      <c r="AZP9" s="1"/>
      <c r="AZQ9" s="1"/>
      <c r="AZR9" s="1"/>
      <c r="AZS9" s="1"/>
      <c r="AZT9" s="1"/>
      <c r="AZU9" s="1"/>
      <c r="AZV9" s="1"/>
      <c r="AZW9" s="1"/>
      <c r="AZX9" s="1"/>
      <c r="AZY9" s="1"/>
      <c r="AZZ9" s="1"/>
      <c r="BAA9" s="1"/>
      <c r="BAB9" s="1"/>
      <c r="BAC9" s="1"/>
      <c r="BAD9" s="1"/>
      <c r="BAE9" s="1"/>
      <c r="BAF9" s="1"/>
      <c r="BAG9" s="1"/>
      <c r="BAH9" s="1"/>
      <c r="BAI9" s="1"/>
      <c r="BAJ9" s="1"/>
      <c r="BAK9" s="1"/>
      <c r="BAL9" s="1"/>
      <c r="BAM9" s="1"/>
      <c r="BAN9" s="1"/>
      <c r="BAO9" s="1"/>
      <c r="BAP9" s="1"/>
      <c r="BAQ9" s="1"/>
      <c r="BAR9" s="1"/>
      <c r="BAS9" s="1"/>
      <c r="BAT9" s="1"/>
      <c r="BAU9" s="1"/>
      <c r="BAV9" s="1"/>
      <c r="BAW9" s="1"/>
      <c r="BAX9" s="1"/>
      <c r="BAY9" s="1"/>
      <c r="BAZ9" s="1"/>
      <c r="BBA9" s="1"/>
      <c r="BBB9" s="1"/>
      <c r="BBC9" s="1"/>
      <c r="BBD9" s="1"/>
      <c r="BBE9" s="1"/>
      <c r="BBF9" s="1"/>
      <c r="BBG9" s="1"/>
      <c r="BBH9" s="1"/>
      <c r="BBI9" s="1"/>
      <c r="BBJ9" s="1"/>
      <c r="BBK9" s="1"/>
      <c r="BBL9" s="1"/>
      <c r="BBM9" s="1"/>
      <c r="BBN9" s="1"/>
      <c r="BBO9" s="1"/>
      <c r="BBP9" s="1"/>
      <c r="BBQ9" s="1"/>
      <c r="BBR9" s="1"/>
      <c r="BBS9" s="1"/>
      <c r="BBT9" s="1"/>
      <c r="BBU9" s="1"/>
      <c r="BBV9" s="1"/>
      <c r="BBW9" s="1"/>
      <c r="BBX9" s="1"/>
      <c r="BBY9" s="1"/>
      <c r="BBZ9" s="1"/>
      <c r="BCA9" s="1"/>
      <c r="BCB9" s="1"/>
      <c r="BCC9" s="1"/>
      <c r="BCD9" s="1"/>
      <c r="BCE9" s="1"/>
      <c r="BCF9" s="1"/>
      <c r="BCG9" s="1"/>
      <c r="BCH9" s="1"/>
      <c r="BCI9" s="1"/>
      <c r="BCJ9" s="1"/>
      <c r="BCK9" s="1"/>
      <c r="BCL9" s="1"/>
      <c r="BCM9" s="1"/>
      <c r="BCN9" s="1"/>
      <c r="BCO9" s="1"/>
      <c r="BCP9" s="1"/>
      <c r="BCQ9" s="1"/>
      <c r="BCR9" s="1"/>
      <c r="BCS9" s="1"/>
      <c r="BCT9" s="1"/>
      <c r="BCU9" s="1"/>
      <c r="BCV9" s="1"/>
      <c r="BCW9" s="1"/>
      <c r="BCX9" s="1"/>
      <c r="BCY9" s="1"/>
      <c r="BCZ9" s="1"/>
      <c r="BDA9" s="1"/>
      <c r="BDB9" s="1"/>
      <c r="BDC9" s="1"/>
      <c r="BDD9" s="1"/>
      <c r="BDE9" s="1"/>
      <c r="BDF9" s="1"/>
      <c r="BDG9" s="1"/>
      <c r="BDH9" s="1"/>
      <c r="BDI9" s="1"/>
      <c r="BDJ9" s="1"/>
      <c r="BDK9" s="1"/>
      <c r="BDL9" s="1"/>
      <c r="BDM9" s="1"/>
      <c r="BDN9" s="1"/>
      <c r="BDO9" s="1"/>
      <c r="BDP9" s="1"/>
      <c r="BDQ9" s="1"/>
      <c r="BDR9" s="1"/>
      <c r="BDS9" s="1"/>
      <c r="BDT9" s="1"/>
      <c r="BDU9" s="1"/>
      <c r="BDV9" s="1"/>
      <c r="BDW9" s="1"/>
      <c r="BDX9" s="1"/>
      <c r="BDY9" s="1"/>
      <c r="BDZ9" s="1"/>
      <c r="BEA9" s="1"/>
      <c r="BEB9" s="1"/>
      <c r="BEC9" s="1"/>
      <c r="BED9" s="1"/>
      <c r="BEE9" s="1"/>
      <c r="BEF9" s="1"/>
      <c r="BEG9" s="1"/>
      <c r="BEH9" s="1"/>
      <c r="BEI9" s="1"/>
      <c r="BEJ9" s="1"/>
      <c r="BEK9" s="1"/>
      <c r="BEL9" s="1"/>
      <c r="BEM9" s="1"/>
      <c r="BEN9" s="1"/>
      <c r="BEO9" s="1"/>
      <c r="BEP9" s="1"/>
      <c r="BEQ9" s="1"/>
      <c r="BER9" s="1"/>
      <c r="BES9" s="1"/>
      <c r="BET9" s="1"/>
      <c r="BEU9" s="1"/>
      <c r="BEV9" s="1"/>
      <c r="BEW9" s="1"/>
      <c r="BEX9" s="1"/>
      <c r="BEY9" s="1"/>
      <c r="BEZ9" s="1"/>
      <c r="BFA9" s="1"/>
      <c r="BFB9" s="1"/>
      <c r="BFC9" s="1"/>
      <c r="BFD9" s="1"/>
      <c r="BFE9" s="1"/>
      <c r="BFF9" s="1"/>
      <c r="BFG9" s="1"/>
      <c r="BFH9" s="1"/>
      <c r="BFI9" s="1"/>
      <c r="BFJ9" s="1"/>
      <c r="BFK9" s="1"/>
      <c r="BFL9" s="1"/>
      <c r="BFM9" s="1"/>
      <c r="BFN9" s="1"/>
      <c r="BFO9" s="1"/>
      <c r="BFP9" s="1"/>
      <c r="BFQ9" s="1"/>
      <c r="BFR9" s="1"/>
      <c r="BFS9" s="1"/>
      <c r="BFT9" s="1"/>
      <c r="BFU9" s="1"/>
      <c r="BFV9" s="1"/>
      <c r="BFW9" s="1"/>
      <c r="BFX9" s="1"/>
      <c r="BFY9" s="1"/>
      <c r="BFZ9" s="1"/>
      <c r="BGA9" s="1"/>
      <c r="BGB9" s="1"/>
      <c r="BGC9" s="1"/>
      <c r="BGD9" s="1"/>
      <c r="BGE9" s="1"/>
      <c r="BGF9" s="1"/>
      <c r="BGG9" s="1"/>
      <c r="BGH9" s="1"/>
      <c r="BGI9" s="1"/>
      <c r="BGJ9" s="1"/>
      <c r="BGK9" s="1"/>
      <c r="BGL9" s="1"/>
      <c r="BGM9" s="1"/>
      <c r="BGN9" s="1"/>
      <c r="BGO9" s="1"/>
      <c r="BGP9" s="1"/>
      <c r="BGQ9" s="1"/>
      <c r="BGR9" s="1"/>
      <c r="BGS9" s="1"/>
      <c r="BGT9" s="1"/>
      <c r="BGU9" s="1"/>
      <c r="BGV9" s="1"/>
      <c r="BGW9" s="1"/>
      <c r="BGX9" s="1"/>
      <c r="BGY9" s="1"/>
      <c r="BGZ9" s="1"/>
      <c r="BHA9" s="1"/>
      <c r="BHB9" s="1"/>
      <c r="BHC9" s="1"/>
      <c r="BHD9" s="1"/>
      <c r="BHE9" s="1"/>
      <c r="BHF9" s="1"/>
      <c r="BHG9" s="1"/>
      <c r="BHH9" s="1"/>
      <c r="BHI9" s="1"/>
      <c r="BHJ9" s="1"/>
      <c r="BHK9" s="1"/>
      <c r="BHL9" s="1"/>
      <c r="BHM9" s="1"/>
      <c r="BHN9" s="1"/>
      <c r="BHO9" s="1"/>
      <c r="BHP9" s="1"/>
      <c r="BHQ9" s="1"/>
      <c r="BHR9" s="1"/>
      <c r="BHS9" s="1"/>
      <c r="BHT9" s="1"/>
      <c r="BHU9" s="1"/>
      <c r="BHV9" s="1"/>
      <c r="BHW9" s="1"/>
      <c r="BHX9" s="1"/>
      <c r="BHY9" s="1"/>
      <c r="BHZ9" s="1"/>
      <c r="BIA9" s="1"/>
      <c r="BIB9" s="1"/>
      <c r="BIC9" s="1"/>
      <c r="BID9" s="1"/>
      <c r="BIE9" s="1"/>
      <c r="BIF9" s="1"/>
      <c r="BIG9" s="1"/>
      <c r="BIH9" s="1"/>
      <c r="BII9" s="1"/>
      <c r="BIJ9" s="1"/>
      <c r="BIK9" s="1"/>
      <c r="BIL9" s="1"/>
      <c r="BIM9" s="1"/>
      <c r="BIN9" s="1"/>
      <c r="BIO9" s="1"/>
      <c r="BIP9" s="1"/>
      <c r="BIQ9" s="1"/>
      <c r="BIR9" s="1"/>
      <c r="BIS9" s="1"/>
      <c r="BIT9" s="1"/>
      <c r="BIU9" s="1"/>
      <c r="BIV9" s="1"/>
      <c r="BIW9" s="1"/>
      <c r="BIX9" s="1"/>
      <c r="BIY9" s="1"/>
      <c r="BIZ9" s="1"/>
      <c r="BJA9" s="1"/>
      <c r="BJB9" s="1"/>
      <c r="BJC9" s="1"/>
      <c r="BJD9" s="1"/>
      <c r="BJE9" s="1"/>
      <c r="BJF9" s="1"/>
      <c r="BJG9" s="1"/>
      <c r="BJH9" s="1"/>
      <c r="BJI9" s="1"/>
      <c r="BJJ9" s="1"/>
      <c r="BJK9" s="1"/>
      <c r="BJL9" s="1"/>
      <c r="BJM9" s="1"/>
      <c r="BJN9" s="1"/>
      <c r="BJO9" s="1"/>
      <c r="BJP9" s="1"/>
      <c r="BJQ9" s="1"/>
      <c r="BJR9" s="1"/>
      <c r="BJS9" s="1"/>
      <c r="BJT9" s="1"/>
      <c r="BJU9" s="1"/>
      <c r="BJV9" s="1"/>
      <c r="BJW9" s="1"/>
      <c r="BJX9" s="1"/>
      <c r="BJY9" s="1"/>
      <c r="BJZ9" s="1"/>
      <c r="BKA9" s="1"/>
      <c r="BKB9" s="1"/>
      <c r="BKC9" s="1"/>
      <c r="BKD9" s="1"/>
      <c r="BKE9" s="1"/>
      <c r="BKF9" s="1"/>
      <c r="BKG9" s="1"/>
      <c r="BKH9" s="1"/>
      <c r="BKI9" s="1"/>
      <c r="BKJ9" s="1"/>
      <c r="BKK9" s="1"/>
      <c r="BKL9" s="1"/>
      <c r="BKM9" s="1"/>
      <c r="BKN9" s="1"/>
      <c r="BKO9" s="1"/>
      <c r="BKP9" s="1"/>
      <c r="BKQ9" s="1"/>
      <c r="BKR9" s="1"/>
      <c r="BKS9" s="1"/>
      <c r="BKT9" s="1"/>
      <c r="BKU9" s="1"/>
      <c r="BKV9" s="1"/>
      <c r="BKW9" s="1"/>
      <c r="BKX9" s="1"/>
      <c r="BKY9" s="1"/>
      <c r="BKZ9" s="1"/>
      <c r="BLA9" s="1"/>
      <c r="BLB9" s="1"/>
      <c r="BLC9" s="1"/>
      <c r="BLD9" s="1"/>
      <c r="BLE9" s="1"/>
      <c r="BLF9" s="1"/>
      <c r="BLG9" s="1"/>
      <c r="BLH9" s="1"/>
      <c r="BLI9" s="1"/>
      <c r="BLJ9" s="1"/>
      <c r="BLK9" s="1"/>
      <c r="BLL9" s="1"/>
      <c r="BLM9" s="1"/>
      <c r="BLN9" s="1"/>
      <c r="BLO9" s="1"/>
      <c r="BLP9" s="1"/>
      <c r="BLQ9" s="1"/>
      <c r="BLR9" s="1"/>
      <c r="BLS9" s="1"/>
      <c r="BLT9" s="1"/>
      <c r="BLU9" s="1"/>
      <c r="BLV9" s="1"/>
      <c r="BLW9" s="1"/>
      <c r="BLX9" s="1"/>
      <c r="BLY9" s="1"/>
      <c r="BLZ9" s="1"/>
      <c r="BMA9" s="1"/>
      <c r="BMB9" s="1"/>
      <c r="BMC9" s="1"/>
      <c r="BMD9" s="1"/>
      <c r="BME9" s="1"/>
      <c r="BMF9" s="1"/>
      <c r="BMG9" s="1"/>
      <c r="BMH9" s="1"/>
      <c r="BMI9" s="1"/>
      <c r="BMJ9" s="1"/>
      <c r="BMK9" s="1"/>
      <c r="BML9" s="1"/>
      <c r="BMM9" s="1"/>
      <c r="BMN9" s="1"/>
      <c r="BMO9" s="1"/>
      <c r="BMP9" s="1"/>
      <c r="BMQ9" s="1"/>
      <c r="BMR9" s="1"/>
      <c r="BMS9" s="1"/>
      <c r="BMT9" s="1"/>
      <c r="BMU9" s="1"/>
      <c r="BMV9" s="1"/>
      <c r="BMW9" s="1"/>
      <c r="BMX9" s="1"/>
      <c r="BMY9" s="1"/>
      <c r="BMZ9" s="1"/>
      <c r="BNA9" s="1"/>
      <c r="BNB9" s="1"/>
      <c r="BNC9" s="1"/>
      <c r="BND9" s="1"/>
      <c r="BNE9" s="1"/>
      <c r="BNF9" s="1"/>
      <c r="BNG9" s="1"/>
      <c r="BNH9" s="1"/>
      <c r="BNI9" s="1"/>
      <c r="BNJ9" s="1"/>
      <c r="BNK9" s="1"/>
      <c r="BNL9" s="1"/>
      <c r="BNM9" s="1"/>
      <c r="BNN9" s="1"/>
      <c r="BNO9" s="1"/>
      <c r="BNP9" s="1"/>
      <c r="BNQ9" s="1"/>
      <c r="BNR9" s="1"/>
      <c r="BNS9" s="1"/>
      <c r="BNT9" s="1"/>
      <c r="BNU9" s="1"/>
      <c r="BNV9" s="1"/>
      <c r="BNW9" s="1"/>
      <c r="BNX9" s="1"/>
      <c r="BNY9" s="1"/>
      <c r="BNZ9" s="1"/>
      <c r="BOA9" s="1"/>
      <c r="BOB9" s="1"/>
      <c r="BOC9" s="1"/>
      <c r="BOD9" s="1"/>
      <c r="BOE9" s="1"/>
      <c r="BOF9" s="1"/>
      <c r="BOG9" s="1"/>
      <c r="BOH9" s="1"/>
      <c r="BOI9" s="1"/>
      <c r="BOJ9" s="1"/>
      <c r="BOK9" s="1"/>
      <c r="BOL9" s="1"/>
      <c r="BOM9" s="1"/>
      <c r="BON9" s="1"/>
      <c r="BOO9" s="1"/>
      <c r="BOP9" s="1"/>
      <c r="BOQ9" s="1"/>
      <c r="BOR9" s="1"/>
      <c r="BOS9" s="1"/>
      <c r="BOT9" s="1"/>
      <c r="BOU9" s="1"/>
      <c r="BOV9" s="1"/>
      <c r="BOW9" s="1"/>
      <c r="BOX9" s="1"/>
      <c r="BOY9" s="1"/>
      <c r="BOZ9" s="1"/>
      <c r="BPA9" s="1"/>
      <c r="BPB9" s="1"/>
      <c r="BPC9" s="1"/>
      <c r="BPD9" s="1"/>
      <c r="BPE9" s="1"/>
      <c r="BPF9" s="1"/>
      <c r="BPG9" s="1"/>
      <c r="BPH9" s="1"/>
      <c r="BPI9" s="1"/>
      <c r="BPJ9" s="1"/>
      <c r="BPK9" s="1"/>
      <c r="BPL9" s="1"/>
      <c r="BPM9" s="1"/>
      <c r="BPN9" s="1"/>
      <c r="BPO9" s="1"/>
      <c r="BPP9" s="1"/>
      <c r="BPQ9" s="1"/>
      <c r="BPR9" s="1"/>
      <c r="BPS9" s="1"/>
      <c r="BPT9" s="1"/>
      <c r="BPU9" s="1"/>
      <c r="BPV9" s="1"/>
      <c r="BPW9" s="1"/>
      <c r="BPX9" s="1"/>
      <c r="BPY9" s="1"/>
      <c r="BPZ9" s="1"/>
      <c r="BQA9" s="1"/>
      <c r="BQB9" s="1"/>
      <c r="BQC9" s="1"/>
      <c r="BQD9" s="1"/>
      <c r="BQE9" s="1"/>
      <c r="BQF9" s="1"/>
      <c r="BQG9" s="1"/>
      <c r="BQH9" s="1"/>
      <c r="BQI9" s="1"/>
      <c r="BQJ9" s="1"/>
      <c r="BQK9" s="1"/>
      <c r="BQL9" s="1"/>
      <c r="BQM9" s="1"/>
      <c r="BQN9" s="1"/>
      <c r="BQO9" s="1"/>
      <c r="BQP9" s="1"/>
      <c r="BQQ9" s="1"/>
      <c r="BQR9" s="1"/>
      <c r="BQS9" s="1"/>
      <c r="BQT9" s="1"/>
      <c r="BQU9" s="1"/>
      <c r="BQV9" s="1"/>
      <c r="BQW9" s="1"/>
      <c r="BQX9" s="1"/>
      <c r="BQY9" s="1"/>
      <c r="BQZ9" s="1"/>
      <c r="BRA9" s="1"/>
      <c r="BRB9" s="1"/>
      <c r="BRC9" s="1"/>
      <c r="BRD9" s="1"/>
      <c r="BRE9" s="1"/>
      <c r="BRF9" s="1"/>
      <c r="BRG9" s="1"/>
      <c r="BRH9" s="1"/>
      <c r="BRI9" s="1"/>
      <c r="BRJ9" s="1"/>
      <c r="BRK9" s="1"/>
      <c r="BRL9" s="1"/>
      <c r="BRM9" s="1"/>
      <c r="BRN9" s="1"/>
      <c r="BRO9" s="1"/>
      <c r="BRP9" s="1"/>
      <c r="BRQ9" s="1"/>
      <c r="BRR9" s="1"/>
      <c r="BRS9" s="1"/>
      <c r="BRT9" s="1"/>
      <c r="BRU9" s="1"/>
      <c r="BRV9" s="1"/>
      <c r="BRW9" s="1"/>
      <c r="BRX9" s="1"/>
      <c r="BRY9" s="1"/>
      <c r="BRZ9" s="1"/>
      <c r="BSA9" s="1"/>
      <c r="BSB9" s="1"/>
      <c r="BSC9" s="1"/>
      <c r="BSD9" s="1"/>
      <c r="BSE9" s="1"/>
      <c r="BSF9" s="1"/>
      <c r="BSG9" s="1"/>
      <c r="BSH9" s="1"/>
      <c r="BSI9" s="1"/>
      <c r="BSJ9" s="1"/>
      <c r="BSK9" s="1"/>
      <c r="BSL9" s="1"/>
      <c r="BSM9" s="1"/>
      <c r="BSN9" s="1"/>
      <c r="BSO9" s="1"/>
      <c r="BSP9" s="1"/>
      <c r="BSQ9" s="1"/>
      <c r="BSR9" s="1"/>
      <c r="BSS9" s="1"/>
      <c r="BST9" s="1"/>
      <c r="BSU9" s="1"/>
      <c r="BSV9" s="1"/>
      <c r="BSW9" s="1"/>
      <c r="BSX9" s="1"/>
      <c r="BSY9" s="1"/>
      <c r="BSZ9" s="1"/>
      <c r="BTA9" s="1"/>
      <c r="BTB9" s="1"/>
      <c r="BTC9" s="1"/>
      <c r="BTD9" s="1"/>
      <c r="BTE9" s="1"/>
      <c r="BTF9" s="1"/>
      <c r="BTG9" s="1"/>
      <c r="BTH9" s="1"/>
      <c r="BTI9" s="1"/>
      <c r="BTJ9" s="1"/>
      <c r="BTK9" s="1"/>
      <c r="BTL9" s="1"/>
      <c r="BTM9" s="1"/>
      <c r="BTN9" s="1"/>
      <c r="BTO9" s="1"/>
      <c r="BTP9" s="1"/>
      <c r="BTQ9" s="1"/>
      <c r="BTR9" s="1"/>
      <c r="BTS9" s="1"/>
      <c r="BTT9" s="1"/>
      <c r="BTU9" s="1"/>
      <c r="BTV9" s="1"/>
      <c r="BTW9" s="1"/>
      <c r="BTX9" s="1"/>
      <c r="BTY9" s="1"/>
      <c r="BTZ9" s="1"/>
      <c r="BUA9" s="1"/>
      <c r="BUB9" s="1"/>
      <c r="BUC9" s="1"/>
      <c r="BUD9" s="1"/>
      <c r="BUE9" s="1"/>
      <c r="BUF9" s="1"/>
      <c r="BUG9" s="1"/>
      <c r="BUH9" s="1"/>
      <c r="BUI9" s="1"/>
      <c r="BUJ9" s="1"/>
      <c r="BUK9" s="1"/>
      <c r="BUL9" s="1"/>
      <c r="BUM9" s="1"/>
      <c r="BUN9" s="1"/>
      <c r="BUO9" s="1"/>
      <c r="BUP9" s="1"/>
      <c r="BUQ9" s="1"/>
      <c r="BUR9" s="1"/>
      <c r="BUS9" s="1"/>
      <c r="BUT9" s="1"/>
      <c r="BUU9" s="1"/>
      <c r="BUV9" s="1"/>
      <c r="BUW9" s="1"/>
      <c r="BUX9" s="1"/>
      <c r="BUY9" s="1"/>
      <c r="BUZ9" s="1"/>
      <c r="BVA9" s="1"/>
      <c r="BVB9" s="1"/>
      <c r="BVC9" s="1"/>
      <c r="BVD9" s="1"/>
      <c r="BVE9" s="1"/>
      <c r="BVF9" s="1"/>
      <c r="BVG9" s="1"/>
      <c r="BVH9" s="1"/>
      <c r="BVI9" s="1"/>
      <c r="BVJ9" s="1"/>
      <c r="BVK9" s="1"/>
      <c r="BVL9" s="1"/>
      <c r="BVM9" s="1"/>
      <c r="BVN9" s="1"/>
      <c r="BVO9" s="1"/>
      <c r="BVP9" s="1"/>
      <c r="BVQ9" s="1"/>
      <c r="BVR9" s="1"/>
      <c r="BVS9" s="1"/>
      <c r="BVT9" s="1"/>
      <c r="BVU9" s="1"/>
      <c r="BVV9" s="1"/>
      <c r="BVW9" s="1"/>
      <c r="BVX9" s="1"/>
      <c r="BVY9" s="1"/>
      <c r="BVZ9" s="1"/>
      <c r="BWA9" s="1"/>
      <c r="BWB9" s="1"/>
      <c r="BWC9" s="1"/>
      <c r="BWD9" s="1"/>
      <c r="BWE9" s="1"/>
      <c r="BWF9" s="1"/>
      <c r="BWG9" s="1"/>
      <c r="BWH9" s="1"/>
      <c r="BWI9" s="1"/>
      <c r="BWJ9" s="1"/>
      <c r="BWK9" s="1"/>
      <c r="BWL9" s="1"/>
      <c r="BWM9" s="1"/>
      <c r="BWN9" s="1"/>
      <c r="BWO9" s="1"/>
      <c r="BWP9" s="1"/>
      <c r="BWQ9" s="1"/>
      <c r="BWR9" s="1"/>
      <c r="BWS9" s="1"/>
      <c r="BWT9" s="1"/>
      <c r="BWU9" s="1"/>
      <c r="BWV9" s="1"/>
      <c r="BWW9" s="1"/>
      <c r="BWX9" s="1"/>
      <c r="BWY9" s="1"/>
      <c r="BWZ9" s="1"/>
      <c r="BXA9" s="1"/>
      <c r="BXB9" s="1"/>
      <c r="BXC9" s="1"/>
      <c r="BXD9" s="1"/>
      <c r="BXE9" s="1"/>
      <c r="BXF9" s="1"/>
      <c r="BXG9" s="1"/>
      <c r="BXH9" s="1"/>
      <c r="BXI9" s="1"/>
      <c r="BXJ9" s="1"/>
      <c r="BXK9" s="1"/>
      <c r="BXL9" s="1"/>
      <c r="BXM9" s="1"/>
      <c r="BXN9" s="1"/>
      <c r="BXO9" s="1"/>
      <c r="BXP9" s="1"/>
      <c r="BXQ9" s="1"/>
      <c r="BXR9" s="1"/>
      <c r="BXS9" s="1"/>
      <c r="BXT9" s="1"/>
      <c r="BXU9" s="1"/>
      <c r="BXV9" s="1"/>
      <c r="BXW9" s="1"/>
      <c r="BXX9" s="1"/>
      <c r="BXY9" s="1"/>
      <c r="BXZ9" s="1"/>
      <c r="BYA9" s="1"/>
      <c r="BYB9" s="1"/>
      <c r="BYC9" s="1"/>
      <c r="BYD9" s="1"/>
      <c r="BYE9" s="1"/>
      <c r="BYF9" s="1"/>
      <c r="BYG9" s="1"/>
      <c r="BYH9" s="1"/>
      <c r="BYI9" s="1"/>
      <c r="BYJ9" s="1"/>
      <c r="BYK9" s="1"/>
      <c r="BYL9" s="1"/>
      <c r="BYM9" s="1"/>
      <c r="BYN9" s="1"/>
      <c r="BYO9" s="1"/>
      <c r="BYP9" s="1"/>
      <c r="BYQ9" s="1"/>
      <c r="BYR9" s="1"/>
      <c r="BYS9" s="1"/>
      <c r="BYT9" s="1"/>
      <c r="BYU9" s="1"/>
      <c r="BYV9" s="1"/>
      <c r="BYW9" s="1"/>
      <c r="BYX9" s="1"/>
      <c r="BYY9" s="1"/>
      <c r="BYZ9" s="1"/>
      <c r="BZA9" s="1"/>
      <c r="BZB9" s="1"/>
      <c r="BZC9" s="1"/>
      <c r="BZD9" s="1"/>
      <c r="BZE9" s="1"/>
      <c r="BZF9" s="1"/>
      <c r="BZG9" s="1"/>
      <c r="BZH9" s="1"/>
      <c r="BZI9" s="1"/>
      <c r="BZJ9" s="1"/>
      <c r="BZK9" s="1"/>
      <c r="BZL9" s="1"/>
      <c r="BZM9" s="1"/>
      <c r="BZN9" s="1"/>
      <c r="BZO9" s="1"/>
      <c r="BZP9" s="1"/>
      <c r="BZQ9" s="1"/>
      <c r="BZR9" s="1"/>
      <c r="BZS9" s="1"/>
      <c r="BZT9" s="1"/>
      <c r="BZU9" s="1"/>
      <c r="BZV9" s="1"/>
      <c r="BZW9" s="1"/>
      <c r="BZX9" s="1"/>
      <c r="BZY9" s="1"/>
      <c r="BZZ9" s="1"/>
      <c r="CAA9" s="1"/>
      <c r="CAB9" s="1"/>
      <c r="CAC9" s="1"/>
      <c r="CAD9" s="1"/>
      <c r="CAE9" s="1"/>
      <c r="CAF9" s="1"/>
      <c r="CAG9" s="1"/>
      <c r="CAH9" s="1"/>
      <c r="CAI9" s="1"/>
      <c r="CAJ9" s="1"/>
      <c r="CAK9" s="1"/>
      <c r="CAL9" s="1"/>
      <c r="CAM9" s="1"/>
      <c r="CAN9" s="1"/>
      <c r="CAO9" s="1"/>
      <c r="CAP9" s="1"/>
      <c r="CAQ9" s="1"/>
      <c r="CAR9" s="1"/>
      <c r="CAS9" s="1"/>
      <c r="CAT9" s="1"/>
      <c r="CAU9" s="1"/>
      <c r="CAV9" s="1"/>
      <c r="CAW9" s="1"/>
      <c r="CAX9" s="1"/>
      <c r="CAY9" s="1"/>
      <c r="CAZ9" s="1"/>
      <c r="CBA9" s="1"/>
      <c r="CBB9" s="1"/>
      <c r="CBC9" s="1"/>
      <c r="CBD9" s="1"/>
      <c r="CBE9" s="1"/>
      <c r="CBF9" s="1"/>
      <c r="CBG9" s="1"/>
      <c r="CBH9" s="1"/>
      <c r="CBI9" s="1"/>
      <c r="CBJ9" s="1"/>
      <c r="CBK9" s="1"/>
      <c r="CBL9" s="1"/>
      <c r="CBM9" s="1"/>
      <c r="CBN9" s="1"/>
      <c r="CBO9" s="1"/>
      <c r="CBP9" s="1"/>
      <c r="CBQ9" s="1"/>
      <c r="CBR9" s="1"/>
      <c r="CBS9" s="1"/>
      <c r="CBT9" s="1"/>
      <c r="CBU9" s="1"/>
      <c r="CBV9" s="1"/>
      <c r="CBW9" s="1"/>
      <c r="CBX9" s="1"/>
      <c r="CBY9" s="1"/>
      <c r="CBZ9" s="1"/>
      <c r="CCA9" s="1"/>
      <c r="CCB9" s="1"/>
      <c r="CCC9" s="1"/>
      <c r="CCD9" s="1"/>
      <c r="CCE9" s="1"/>
      <c r="CCF9" s="1"/>
      <c r="CCG9" s="1"/>
      <c r="CCH9" s="1"/>
      <c r="CCI9" s="1"/>
      <c r="CCJ9" s="1"/>
      <c r="CCK9" s="1"/>
      <c r="CCL9" s="1"/>
      <c r="CCM9" s="1"/>
      <c r="CCN9" s="1"/>
      <c r="CCO9" s="1"/>
      <c r="CCP9" s="1"/>
      <c r="CCQ9" s="1"/>
      <c r="CCR9" s="1"/>
      <c r="CCS9" s="1"/>
      <c r="CCT9" s="1"/>
      <c r="CCU9" s="1"/>
      <c r="CCV9" s="1"/>
      <c r="CCW9" s="1"/>
      <c r="CCX9" s="1"/>
      <c r="CCY9" s="1"/>
      <c r="CCZ9" s="1"/>
      <c r="CDA9" s="1"/>
      <c r="CDB9" s="1"/>
      <c r="CDC9" s="1"/>
      <c r="CDD9" s="1"/>
      <c r="CDE9" s="1"/>
      <c r="CDF9" s="1"/>
      <c r="CDG9" s="1"/>
      <c r="CDH9" s="1"/>
      <c r="CDI9" s="1"/>
      <c r="CDJ9" s="1"/>
      <c r="CDK9" s="1"/>
      <c r="CDL9" s="1"/>
      <c r="CDM9" s="1"/>
      <c r="CDN9" s="1"/>
      <c r="CDO9" s="1"/>
      <c r="CDP9" s="1"/>
      <c r="CDQ9" s="1"/>
      <c r="CDR9" s="1"/>
      <c r="CDS9" s="1"/>
      <c r="CDT9" s="1"/>
      <c r="CDU9" s="1"/>
      <c r="CDV9" s="1"/>
      <c r="CDW9" s="1"/>
      <c r="CDX9" s="1"/>
      <c r="CDY9" s="1"/>
      <c r="CDZ9" s="1"/>
      <c r="CEA9" s="1"/>
      <c r="CEB9" s="1"/>
      <c r="CEC9" s="1"/>
      <c r="CED9" s="1"/>
      <c r="CEE9" s="1"/>
      <c r="CEF9" s="1"/>
      <c r="CEG9" s="1"/>
      <c r="CEH9" s="1"/>
      <c r="CEI9" s="1"/>
      <c r="CEJ9" s="1"/>
      <c r="CEK9" s="1"/>
      <c r="CEL9" s="1"/>
      <c r="CEM9" s="1"/>
      <c r="CEN9" s="1"/>
      <c r="CEO9" s="1"/>
      <c r="CEP9" s="1"/>
      <c r="CEQ9" s="1"/>
      <c r="CER9" s="1"/>
      <c r="CES9" s="1"/>
      <c r="CET9" s="1"/>
      <c r="CEU9" s="1"/>
      <c r="CEV9" s="1"/>
      <c r="CEW9" s="1"/>
      <c r="CEX9" s="1"/>
      <c r="CEY9" s="1"/>
      <c r="CEZ9" s="1"/>
      <c r="CFA9" s="1"/>
      <c r="CFB9" s="1"/>
      <c r="CFC9" s="1"/>
      <c r="CFD9" s="1"/>
      <c r="CFE9" s="1"/>
      <c r="CFF9" s="1"/>
      <c r="CFG9" s="1"/>
      <c r="CFH9" s="1"/>
      <c r="CFI9" s="1"/>
      <c r="CFJ9" s="1"/>
      <c r="CFK9" s="1"/>
      <c r="CFL9" s="1"/>
      <c r="CFM9" s="1"/>
      <c r="CFN9" s="1"/>
      <c r="CFO9" s="1"/>
      <c r="CFP9" s="1"/>
      <c r="CFQ9" s="1"/>
      <c r="CFR9" s="1"/>
      <c r="CFS9" s="1"/>
      <c r="CFT9" s="1"/>
      <c r="CFU9" s="1"/>
      <c r="CFV9" s="1"/>
      <c r="CFW9" s="1"/>
      <c r="CFX9" s="1"/>
      <c r="CFY9" s="1"/>
      <c r="CFZ9" s="1"/>
      <c r="CGA9" s="1"/>
      <c r="CGB9" s="1"/>
      <c r="CGC9" s="1"/>
      <c r="CGD9" s="1"/>
      <c r="CGE9" s="1"/>
      <c r="CGF9" s="1"/>
      <c r="CGG9" s="1"/>
      <c r="CGH9" s="1"/>
      <c r="CGI9" s="1"/>
      <c r="CGJ9" s="1"/>
      <c r="CGK9" s="1"/>
      <c r="CGL9" s="1"/>
      <c r="CGM9" s="1"/>
      <c r="CGN9" s="1"/>
      <c r="CGO9" s="1"/>
      <c r="CGP9" s="1"/>
      <c r="CGQ9" s="1"/>
      <c r="CGR9" s="1"/>
      <c r="CGS9" s="1"/>
      <c r="CGT9" s="1"/>
      <c r="CGU9" s="1"/>
      <c r="CGV9" s="1"/>
      <c r="CGW9" s="1"/>
      <c r="CGX9" s="1"/>
      <c r="CGY9" s="1"/>
      <c r="CGZ9" s="1"/>
      <c r="CHA9" s="1"/>
      <c r="CHB9" s="1"/>
      <c r="CHC9" s="1"/>
      <c r="CHD9" s="1"/>
      <c r="CHE9" s="1"/>
      <c r="CHF9" s="1"/>
      <c r="CHG9" s="1"/>
      <c r="CHH9" s="1"/>
      <c r="CHI9" s="1"/>
      <c r="CHJ9" s="1"/>
      <c r="CHK9" s="1"/>
      <c r="CHL9" s="1"/>
      <c r="CHM9" s="1"/>
      <c r="CHN9" s="1"/>
      <c r="CHO9" s="1"/>
      <c r="CHP9" s="1"/>
      <c r="CHQ9" s="1"/>
      <c r="CHR9" s="1"/>
      <c r="CHS9" s="1"/>
      <c r="CHT9" s="1"/>
      <c r="CHU9" s="1"/>
      <c r="CHV9" s="1"/>
      <c r="CHW9" s="1"/>
      <c r="CHX9" s="1"/>
      <c r="CHY9" s="1"/>
      <c r="CHZ9" s="1"/>
      <c r="CIA9" s="1"/>
      <c r="CIB9" s="1"/>
      <c r="CIC9" s="1"/>
      <c r="CID9" s="1"/>
      <c r="CIE9" s="1"/>
      <c r="CIF9" s="1"/>
      <c r="CIG9" s="1"/>
      <c r="CIH9" s="1"/>
      <c r="CII9" s="1"/>
      <c r="CIJ9" s="1"/>
      <c r="CIK9" s="1"/>
      <c r="CIL9" s="1"/>
      <c r="CIM9" s="1"/>
      <c r="CIN9" s="1"/>
      <c r="CIO9" s="1"/>
      <c r="CIP9" s="1"/>
      <c r="CIQ9" s="1"/>
      <c r="CIR9" s="1"/>
      <c r="CIS9" s="1"/>
      <c r="CIT9" s="1"/>
      <c r="CIU9" s="1"/>
      <c r="CIV9" s="1"/>
      <c r="CIW9" s="1"/>
      <c r="CIX9" s="1"/>
      <c r="CIY9" s="1"/>
      <c r="CIZ9" s="1"/>
      <c r="CJA9" s="1"/>
      <c r="CJB9" s="1"/>
      <c r="CJC9" s="1"/>
      <c r="CJD9" s="1"/>
      <c r="CJE9" s="1"/>
      <c r="CJF9" s="1"/>
      <c r="CJG9" s="1"/>
      <c r="CJH9" s="1"/>
      <c r="CJI9" s="1"/>
      <c r="CJJ9" s="1"/>
      <c r="CJK9" s="1"/>
      <c r="CJL9" s="1"/>
      <c r="CJM9" s="1"/>
      <c r="CJN9" s="1"/>
      <c r="CJO9" s="1"/>
      <c r="CJP9" s="1"/>
      <c r="CJQ9" s="1"/>
      <c r="CJR9" s="1"/>
      <c r="CJS9" s="1"/>
      <c r="CJT9" s="1"/>
      <c r="CJU9" s="1"/>
      <c r="CJV9" s="1"/>
      <c r="CJW9" s="1"/>
      <c r="CJX9" s="1"/>
      <c r="CJY9" s="1"/>
      <c r="CJZ9" s="1"/>
      <c r="CKA9" s="1"/>
      <c r="CKB9" s="1"/>
      <c r="CKC9" s="1"/>
      <c r="CKD9" s="1"/>
      <c r="CKE9" s="1"/>
      <c r="CKF9" s="1"/>
      <c r="CKG9" s="1"/>
      <c r="CKH9" s="1"/>
      <c r="CKI9" s="1"/>
      <c r="CKJ9" s="1"/>
      <c r="CKK9" s="1"/>
      <c r="CKL9" s="1"/>
      <c r="CKM9" s="1"/>
      <c r="CKN9" s="1"/>
      <c r="CKO9" s="1"/>
      <c r="CKP9" s="1"/>
      <c r="CKQ9" s="1"/>
      <c r="CKR9" s="1"/>
      <c r="CKS9" s="1"/>
      <c r="CKT9" s="1"/>
      <c r="CKU9" s="1"/>
      <c r="CKV9" s="1"/>
      <c r="CKW9" s="1"/>
      <c r="CKX9" s="1"/>
      <c r="CKY9" s="1"/>
      <c r="CKZ9" s="1"/>
      <c r="CLA9" s="1"/>
      <c r="CLB9" s="1"/>
      <c r="CLC9" s="1"/>
      <c r="CLD9" s="1"/>
      <c r="CLE9" s="1"/>
      <c r="CLF9" s="1"/>
      <c r="CLG9" s="1"/>
      <c r="CLH9" s="1"/>
      <c r="CLI9" s="1"/>
      <c r="CLJ9" s="1"/>
      <c r="CLK9" s="1"/>
      <c r="CLL9" s="1"/>
      <c r="CLM9" s="1"/>
      <c r="CLN9" s="1"/>
      <c r="CLO9" s="1"/>
      <c r="CLP9" s="1"/>
      <c r="CLQ9" s="1"/>
      <c r="CLR9" s="1"/>
      <c r="CLS9" s="1"/>
      <c r="CLT9" s="1"/>
      <c r="CLU9" s="1"/>
      <c r="CLV9" s="1"/>
      <c r="CLW9" s="1"/>
      <c r="CLX9" s="1"/>
      <c r="CLY9" s="1"/>
      <c r="CLZ9" s="1"/>
      <c r="CMA9" s="1"/>
      <c r="CMB9" s="1"/>
      <c r="CMC9" s="1"/>
      <c r="CMD9" s="1"/>
      <c r="CME9" s="1"/>
      <c r="CMF9" s="1"/>
      <c r="CMG9" s="1"/>
      <c r="CMH9" s="1"/>
      <c r="CMI9" s="1"/>
      <c r="CMJ9" s="1"/>
      <c r="CMK9" s="1"/>
      <c r="CML9" s="1"/>
      <c r="CMM9" s="1"/>
      <c r="CMN9" s="1"/>
      <c r="CMO9" s="1"/>
      <c r="CMP9" s="1"/>
      <c r="CMQ9" s="1"/>
      <c r="CMR9" s="1"/>
      <c r="CMS9" s="1"/>
      <c r="CMT9" s="1"/>
      <c r="CMU9" s="1"/>
      <c r="CMV9" s="1"/>
      <c r="CMW9" s="1"/>
      <c r="CMX9" s="1"/>
      <c r="CMY9" s="1"/>
      <c r="CMZ9" s="1"/>
      <c r="CNA9" s="1"/>
      <c r="CNB9" s="1"/>
      <c r="CNC9" s="1"/>
      <c r="CND9" s="1"/>
      <c r="CNE9" s="1"/>
      <c r="CNF9" s="1"/>
      <c r="CNG9" s="1"/>
      <c r="CNH9" s="1"/>
      <c r="CNI9" s="1"/>
      <c r="CNJ9" s="1"/>
      <c r="CNK9" s="1"/>
      <c r="CNL9" s="1"/>
      <c r="CNM9" s="1"/>
      <c r="CNN9" s="1"/>
      <c r="CNO9" s="1"/>
      <c r="CNP9" s="1"/>
      <c r="CNQ9" s="1"/>
      <c r="CNR9" s="1"/>
      <c r="CNS9" s="1"/>
      <c r="CNT9" s="1"/>
      <c r="CNU9" s="1"/>
      <c r="CNV9" s="1"/>
      <c r="CNW9" s="1"/>
      <c r="CNX9" s="1"/>
      <c r="CNY9" s="1"/>
      <c r="CNZ9" s="1"/>
      <c r="COA9" s="1"/>
      <c r="COB9" s="1"/>
      <c r="COC9" s="1"/>
      <c r="COD9" s="1"/>
      <c r="COE9" s="1"/>
      <c r="COF9" s="1"/>
      <c r="COG9" s="1"/>
      <c r="COH9" s="1"/>
      <c r="COI9" s="1"/>
      <c r="COJ9" s="1"/>
      <c r="COK9" s="1"/>
      <c r="COL9" s="1"/>
      <c r="COM9" s="1"/>
      <c r="CON9" s="1"/>
      <c r="COO9" s="1"/>
      <c r="COP9" s="1"/>
      <c r="COQ9" s="1"/>
      <c r="COR9" s="1"/>
      <c r="COS9" s="1"/>
      <c r="COT9" s="1"/>
      <c r="COU9" s="1"/>
      <c r="COV9" s="1"/>
      <c r="COW9" s="1"/>
      <c r="COX9" s="1"/>
      <c r="COY9" s="1"/>
      <c r="COZ9" s="1"/>
      <c r="CPA9" s="1"/>
      <c r="CPB9" s="1"/>
      <c r="CPC9" s="1"/>
      <c r="CPD9" s="1"/>
      <c r="CPE9" s="1"/>
      <c r="CPF9" s="1"/>
      <c r="CPG9" s="1"/>
      <c r="CPH9" s="1"/>
      <c r="CPI9" s="1"/>
      <c r="CPJ9" s="1"/>
      <c r="CPK9" s="1"/>
      <c r="CPL9" s="1"/>
      <c r="CPM9" s="1"/>
      <c r="CPN9" s="1"/>
      <c r="CPO9" s="1"/>
      <c r="CPP9" s="1"/>
      <c r="CPQ9" s="1"/>
      <c r="CPR9" s="1"/>
      <c r="CPS9" s="1"/>
      <c r="CPT9" s="1"/>
      <c r="CPU9" s="1"/>
      <c r="CPV9" s="1"/>
      <c r="CPW9" s="1"/>
      <c r="CPX9" s="1"/>
      <c r="CPY9" s="1"/>
      <c r="CPZ9" s="1"/>
      <c r="CQA9" s="1"/>
      <c r="CQB9" s="1"/>
      <c r="CQC9" s="1"/>
      <c r="CQD9" s="1"/>
      <c r="CQE9" s="1"/>
      <c r="CQF9" s="1"/>
      <c r="CQG9" s="1"/>
      <c r="CQH9" s="1"/>
      <c r="CQI9" s="1"/>
      <c r="CQJ9" s="1"/>
      <c r="CQK9" s="1"/>
      <c r="CQL9" s="1"/>
      <c r="CQM9" s="1"/>
      <c r="CQN9" s="1"/>
      <c r="CQO9" s="1"/>
      <c r="CQP9" s="1"/>
      <c r="CQQ9" s="1"/>
      <c r="CQR9" s="1"/>
      <c r="CQS9" s="1"/>
      <c r="CQT9" s="1"/>
      <c r="CQU9" s="1"/>
      <c r="CQV9" s="1"/>
      <c r="CQW9" s="1"/>
      <c r="CQX9" s="1"/>
      <c r="CQY9" s="1"/>
      <c r="CQZ9" s="1"/>
      <c r="CRA9" s="1"/>
      <c r="CRB9" s="1"/>
      <c r="CRC9" s="1"/>
      <c r="CRD9" s="1"/>
      <c r="CRE9" s="1"/>
      <c r="CRF9" s="1"/>
      <c r="CRG9" s="1"/>
      <c r="CRH9" s="1"/>
      <c r="CRI9" s="1"/>
      <c r="CRJ9" s="1"/>
      <c r="CRK9" s="1"/>
      <c r="CRL9" s="1"/>
      <c r="CRM9" s="1"/>
      <c r="CRN9" s="1"/>
      <c r="CRO9" s="1"/>
      <c r="CRP9" s="1"/>
      <c r="CRQ9" s="1"/>
      <c r="CRR9" s="1"/>
      <c r="CRS9" s="1"/>
      <c r="CRT9" s="1"/>
      <c r="CRU9" s="1"/>
      <c r="CRV9" s="1"/>
      <c r="CRW9" s="1"/>
      <c r="CRX9" s="1"/>
      <c r="CRY9" s="1"/>
      <c r="CRZ9" s="1"/>
      <c r="CSA9" s="1"/>
      <c r="CSB9" s="1"/>
      <c r="CSC9" s="1"/>
      <c r="CSD9" s="1"/>
      <c r="CSE9" s="1"/>
      <c r="CSF9" s="1"/>
      <c r="CSG9" s="1"/>
      <c r="CSH9" s="1"/>
      <c r="CSI9" s="1"/>
      <c r="CSJ9" s="1"/>
      <c r="CSK9" s="1"/>
      <c r="CSL9" s="1"/>
      <c r="CSM9" s="1"/>
      <c r="CSN9" s="1"/>
      <c r="CSO9" s="1"/>
      <c r="CSP9" s="1"/>
      <c r="CSQ9" s="1"/>
      <c r="CSR9" s="1"/>
      <c r="CSS9" s="1"/>
      <c r="CST9" s="1"/>
      <c r="CSU9" s="1"/>
      <c r="CSV9" s="1"/>
      <c r="CSW9" s="1"/>
      <c r="CSX9" s="1"/>
      <c r="CSY9" s="1"/>
      <c r="CSZ9" s="1"/>
      <c r="CTA9" s="1"/>
      <c r="CTB9" s="1"/>
      <c r="CTC9" s="1"/>
      <c r="CTD9" s="1"/>
      <c r="CTE9" s="1"/>
      <c r="CTF9" s="1"/>
      <c r="CTG9" s="1"/>
      <c r="CTH9" s="1"/>
      <c r="CTI9" s="1"/>
      <c r="CTJ9" s="1"/>
      <c r="CTK9" s="1"/>
      <c r="CTL9" s="1"/>
      <c r="CTM9" s="1"/>
      <c r="CTN9" s="1"/>
      <c r="CTO9" s="1"/>
      <c r="CTP9" s="1"/>
      <c r="CTQ9" s="1"/>
      <c r="CTR9" s="1"/>
      <c r="CTS9" s="1"/>
      <c r="CTT9" s="1"/>
      <c r="CTU9" s="1"/>
      <c r="CTV9" s="1"/>
      <c r="CTW9" s="1"/>
      <c r="CTX9" s="1"/>
      <c r="CTY9" s="1"/>
      <c r="CTZ9" s="1"/>
      <c r="CUA9" s="1"/>
      <c r="CUB9" s="1"/>
      <c r="CUC9" s="1"/>
      <c r="CUD9" s="1"/>
      <c r="CUE9" s="1"/>
      <c r="CUF9" s="1"/>
      <c r="CUG9" s="1"/>
      <c r="CUH9" s="1"/>
      <c r="CUI9" s="1"/>
      <c r="CUJ9" s="1"/>
      <c r="CUK9" s="1"/>
      <c r="CUL9" s="1"/>
      <c r="CUM9" s="1"/>
      <c r="CUN9" s="1"/>
      <c r="CUO9" s="1"/>
      <c r="CUP9" s="1"/>
      <c r="CUQ9" s="1"/>
      <c r="CUR9" s="1"/>
      <c r="CUS9" s="1"/>
      <c r="CUT9" s="1"/>
      <c r="CUU9" s="1"/>
      <c r="CUV9" s="1"/>
      <c r="CUW9" s="1"/>
      <c r="CUX9" s="1"/>
      <c r="CUY9" s="1"/>
      <c r="CUZ9" s="1"/>
      <c r="CVA9" s="1"/>
      <c r="CVB9" s="1"/>
      <c r="CVC9" s="1"/>
      <c r="CVD9" s="1"/>
      <c r="CVE9" s="1"/>
      <c r="CVF9" s="1"/>
      <c r="CVG9" s="1"/>
      <c r="CVH9" s="1"/>
      <c r="CVI9" s="1"/>
      <c r="CVJ9" s="1"/>
      <c r="CVK9" s="1"/>
      <c r="CVL9" s="1"/>
      <c r="CVM9" s="1"/>
      <c r="CVN9" s="1"/>
      <c r="CVO9" s="1"/>
      <c r="CVP9" s="1"/>
      <c r="CVQ9" s="1"/>
      <c r="CVR9" s="1"/>
      <c r="CVS9" s="1"/>
      <c r="CVT9" s="1"/>
      <c r="CVU9" s="1"/>
      <c r="CVV9" s="1"/>
      <c r="CVW9" s="1"/>
      <c r="CVX9" s="1"/>
      <c r="CVY9" s="1"/>
      <c r="CVZ9" s="1"/>
      <c r="CWA9" s="1"/>
      <c r="CWB9" s="1"/>
      <c r="CWC9" s="1"/>
      <c r="CWD9" s="1"/>
      <c r="CWE9" s="1"/>
      <c r="CWF9" s="1"/>
      <c r="CWG9" s="1"/>
      <c r="CWH9" s="1"/>
      <c r="CWI9" s="1"/>
      <c r="CWJ9" s="1"/>
      <c r="CWK9" s="1"/>
      <c r="CWL9" s="1"/>
      <c r="CWM9" s="1"/>
      <c r="CWN9" s="1"/>
      <c r="CWO9" s="1"/>
      <c r="CWP9" s="1"/>
      <c r="CWQ9" s="1"/>
      <c r="CWR9" s="1"/>
      <c r="CWS9" s="1"/>
      <c r="CWT9" s="1"/>
      <c r="CWU9" s="1"/>
      <c r="CWV9" s="1"/>
      <c r="CWW9" s="1"/>
      <c r="CWX9" s="1"/>
      <c r="CWY9" s="1"/>
      <c r="CWZ9" s="1"/>
      <c r="CXA9" s="1"/>
      <c r="CXB9" s="1"/>
      <c r="CXC9" s="1"/>
      <c r="CXD9" s="1"/>
      <c r="CXE9" s="1"/>
      <c r="CXF9" s="1"/>
      <c r="CXG9" s="1"/>
      <c r="CXH9" s="1"/>
      <c r="CXI9" s="1"/>
      <c r="CXJ9" s="1"/>
      <c r="CXK9" s="1"/>
      <c r="CXL9" s="1"/>
      <c r="CXM9" s="1"/>
      <c r="CXN9" s="1"/>
      <c r="CXO9" s="1"/>
      <c r="CXP9" s="1"/>
      <c r="CXQ9" s="1"/>
      <c r="CXR9" s="1"/>
      <c r="CXS9" s="1"/>
      <c r="CXT9" s="1"/>
      <c r="CXU9" s="1"/>
      <c r="CXV9" s="1"/>
      <c r="CXW9" s="1"/>
      <c r="CXX9" s="1"/>
      <c r="CXY9" s="1"/>
      <c r="CXZ9" s="1"/>
      <c r="CYA9" s="1"/>
      <c r="CYB9" s="1"/>
      <c r="CYC9" s="1"/>
      <c r="CYD9" s="1"/>
      <c r="CYE9" s="1"/>
      <c r="CYF9" s="1"/>
      <c r="CYG9" s="1"/>
      <c r="CYH9" s="1"/>
      <c r="CYI9" s="1"/>
      <c r="CYJ9" s="1"/>
      <c r="CYK9" s="1"/>
      <c r="CYL9" s="1"/>
      <c r="CYM9" s="1"/>
      <c r="CYN9" s="1"/>
      <c r="CYO9" s="1"/>
      <c r="CYP9" s="1"/>
      <c r="CYQ9" s="1"/>
      <c r="CYR9" s="1"/>
      <c r="CYS9" s="1"/>
      <c r="CYT9" s="1"/>
      <c r="CYU9" s="1"/>
      <c r="CYV9" s="1"/>
      <c r="CYW9" s="1"/>
      <c r="CYX9" s="1"/>
      <c r="CYY9" s="1"/>
      <c r="CYZ9" s="1"/>
      <c r="CZA9" s="1"/>
      <c r="CZB9" s="1"/>
      <c r="CZC9" s="1"/>
      <c r="CZD9" s="1"/>
      <c r="CZE9" s="1"/>
      <c r="CZF9" s="1"/>
      <c r="CZG9" s="1"/>
      <c r="CZH9" s="1"/>
      <c r="CZI9" s="1"/>
      <c r="CZJ9" s="1"/>
      <c r="CZK9" s="1"/>
      <c r="CZL9" s="1"/>
      <c r="CZM9" s="1"/>
      <c r="CZN9" s="1"/>
      <c r="CZO9" s="1"/>
      <c r="CZP9" s="1"/>
      <c r="CZQ9" s="1"/>
      <c r="CZR9" s="1"/>
      <c r="CZS9" s="1"/>
      <c r="CZT9" s="1"/>
      <c r="CZU9" s="1"/>
      <c r="CZV9" s="1"/>
      <c r="CZW9" s="1"/>
      <c r="CZX9" s="1"/>
      <c r="CZY9" s="1"/>
      <c r="CZZ9" s="1"/>
      <c r="DAA9" s="1"/>
      <c r="DAB9" s="1"/>
      <c r="DAC9" s="1"/>
      <c r="DAD9" s="1"/>
      <c r="DAE9" s="1"/>
      <c r="DAF9" s="1"/>
      <c r="DAG9" s="1"/>
      <c r="DAH9" s="1"/>
      <c r="DAI9" s="1"/>
      <c r="DAJ9" s="1"/>
      <c r="DAK9" s="1"/>
      <c r="DAL9" s="1"/>
      <c r="DAM9" s="1"/>
      <c r="DAN9" s="1"/>
      <c r="DAO9" s="1"/>
      <c r="DAP9" s="1"/>
      <c r="DAQ9" s="1"/>
      <c r="DAR9" s="1"/>
      <c r="DAS9" s="1"/>
      <c r="DAT9" s="1"/>
      <c r="DAU9" s="1"/>
      <c r="DAV9" s="1"/>
      <c r="DAW9" s="1"/>
      <c r="DAX9" s="1"/>
      <c r="DAY9" s="1"/>
      <c r="DAZ9" s="1"/>
      <c r="DBA9" s="1"/>
      <c r="DBB9" s="1"/>
      <c r="DBC9" s="1"/>
      <c r="DBD9" s="1"/>
      <c r="DBE9" s="1"/>
      <c r="DBF9" s="1"/>
      <c r="DBG9" s="1"/>
      <c r="DBH9" s="1"/>
      <c r="DBI9" s="1"/>
      <c r="DBJ9" s="1"/>
      <c r="DBK9" s="1"/>
      <c r="DBL9" s="1"/>
      <c r="DBM9" s="1"/>
      <c r="DBN9" s="1"/>
      <c r="DBO9" s="1"/>
      <c r="DBP9" s="1"/>
      <c r="DBQ9" s="1"/>
      <c r="DBR9" s="1"/>
      <c r="DBS9" s="1"/>
      <c r="DBT9" s="1"/>
      <c r="DBU9" s="1"/>
      <c r="DBV9" s="1"/>
      <c r="DBW9" s="1"/>
      <c r="DBX9" s="1"/>
      <c r="DBY9" s="1"/>
      <c r="DBZ9" s="1"/>
      <c r="DCA9" s="1"/>
      <c r="DCB9" s="1"/>
      <c r="DCC9" s="1"/>
      <c r="DCD9" s="1"/>
      <c r="DCE9" s="1"/>
      <c r="DCF9" s="1"/>
      <c r="DCG9" s="1"/>
      <c r="DCH9" s="1"/>
      <c r="DCI9" s="1"/>
      <c r="DCJ9" s="1"/>
      <c r="DCK9" s="1"/>
      <c r="DCL9" s="1"/>
      <c r="DCM9" s="1"/>
      <c r="DCN9" s="1"/>
      <c r="DCO9" s="1"/>
      <c r="DCP9" s="1"/>
      <c r="DCQ9" s="1"/>
      <c r="DCR9" s="1"/>
      <c r="DCS9" s="1"/>
      <c r="DCT9" s="1"/>
      <c r="DCU9" s="1"/>
      <c r="DCV9" s="1"/>
      <c r="DCW9" s="1"/>
      <c r="DCX9" s="1"/>
      <c r="DCY9" s="1"/>
      <c r="DCZ9" s="1"/>
      <c r="DDA9" s="1"/>
      <c r="DDB9" s="1"/>
      <c r="DDC9" s="1"/>
      <c r="DDD9" s="1"/>
      <c r="DDE9" s="1"/>
      <c r="DDF9" s="1"/>
      <c r="DDG9" s="1"/>
      <c r="DDH9" s="1"/>
      <c r="DDI9" s="1"/>
      <c r="DDJ9" s="1"/>
      <c r="DDK9" s="1"/>
      <c r="DDL9" s="1"/>
      <c r="DDM9" s="1"/>
      <c r="DDN9" s="1"/>
      <c r="DDO9" s="1"/>
      <c r="DDP9" s="1"/>
      <c r="DDQ9" s="1"/>
      <c r="DDR9" s="1"/>
      <c r="DDS9" s="1"/>
      <c r="DDT9" s="1"/>
      <c r="DDU9" s="1"/>
      <c r="DDV9" s="1"/>
      <c r="DDW9" s="1"/>
      <c r="DDX9" s="1"/>
      <c r="DDY9" s="1"/>
      <c r="DDZ9" s="1"/>
      <c r="DEA9" s="1"/>
      <c r="DEB9" s="1"/>
      <c r="DEC9" s="1"/>
      <c r="DED9" s="1"/>
      <c r="DEE9" s="1"/>
      <c r="DEF9" s="1"/>
      <c r="DEG9" s="1"/>
      <c r="DEH9" s="1"/>
      <c r="DEI9" s="1"/>
      <c r="DEJ9" s="1"/>
      <c r="DEK9" s="1"/>
      <c r="DEL9" s="1"/>
      <c r="DEM9" s="1"/>
      <c r="DEN9" s="1"/>
      <c r="DEO9" s="1"/>
      <c r="DEP9" s="1"/>
      <c r="DEQ9" s="1"/>
      <c r="DER9" s="1"/>
      <c r="DES9" s="1"/>
      <c r="DET9" s="1"/>
      <c r="DEU9" s="1"/>
      <c r="DEV9" s="1"/>
      <c r="DEW9" s="1"/>
      <c r="DEX9" s="1"/>
      <c r="DEY9" s="1"/>
      <c r="DEZ9" s="1"/>
      <c r="DFA9" s="1"/>
      <c r="DFB9" s="1"/>
      <c r="DFC9" s="1"/>
      <c r="DFD9" s="1"/>
      <c r="DFE9" s="1"/>
      <c r="DFF9" s="1"/>
      <c r="DFG9" s="1"/>
      <c r="DFH9" s="1"/>
      <c r="DFI9" s="1"/>
      <c r="DFJ9" s="1"/>
      <c r="DFK9" s="1"/>
      <c r="DFL9" s="1"/>
      <c r="DFM9" s="1"/>
      <c r="DFN9" s="1"/>
      <c r="DFO9" s="1"/>
      <c r="DFP9" s="1"/>
      <c r="DFQ9" s="1"/>
      <c r="DFR9" s="1"/>
      <c r="DFS9" s="1"/>
      <c r="DFT9" s="1"/>
      <c r="DFU9" s="1"/>
      <c r="DFV9" s="1"/>
      <c r="DFW9" s="1"/>
      <c r="DFX9" s="1"/>
      <c r="DFY9" s="1"/>
      <c r="DFZ9" s="1"/>
      <c r="DGA9" s="1"/>
      <c r="DGB9" s="1"/>
      <c r="DGC9" s="1"/>
      <c r="DGD9" s="1"/>
      <c r="DGE9" s="1"/>
      <c r="DGF9" s="1"/>
      <c r="DGG9" s="1"/>
      <c r="DGH9" s="1"/>
      <c r="DGI9" s="1"/>
      <c r="DGJ9" s="1"/>
      <c r="DGK9" s="1"/>
      <c r="DGL9" s="1"/>
      <c r="DGM9" s="1"/>
      <c r="DGN9" s="1"/>
      <c r="DGO9" s="1"/>
      <c r="DGP9" s="1"/>
      <c r="DGQ9" s="1"/>
      <c r="DGR9" s="1"/>
      <c r="DGS9" s="1"/>
      <c r="DGT9" s="1"/>
      <c r="DGU9" s="1"/>
      <c r="DGV9" s="1"/>
      <c r="DGW9" s="1"/>
      <c r="DGX9" s="1"/>
      <c r="DGY9" s="1"/>
      <c r="DGZ9" s="1"/>
      <c r="DHA9" s="1"/>
      <c r="DHB9" s="1"/>
      <c r="DHC9" s="1"/>
      <c r="DHD9" s="1"/>
      <c r="DHE9" s="1"/>
      <c r="DHF9" s="1"/>
      <c r="DHG9" s="1"/>
      <c r="DHH9" s="1"/>
      <c r="DHI9" s="1"/>
      <c r="DHJ9" s="1"/>
      <c r="DHK9" s="1"/>
      <c r="DHL9" s="1"/>
      <c r="DHM9" s="1"/>
      <c r="DHN9" s="1"/>
      <c r="DHO9" s="1"/>
      <c r="DHP9" s="1"/>
      <c r="DHQ9" s="1"/>
      <c r="DHR9" s="1"/>
      <c r="DHS9" s="1"/>
      <c r="DHT9" s="1"/>
      <c r="DHU9" s="1"/>
      <c r="DHV9" s="1"/>
      <c r="DHW9" s="1"/>
      <c r="DHX9" s="1"/>
      <c r="DHY9" s="1"/>
      <c r="DHZ9" s="1"/>
      <c r="DIA9" s="1"/>
      <c r="DIB9" s="1"/>
      <c r="DIC9" s="1"/>
      <c r="DID9" s="1"/>
      <c r="DIE9" s="1"/>
      <c r="DIF9" s="1"/>
      <c r="DIG9" s="1"/>
      <c r="DIH9" s="1"/>
      <c r="DII9" s="1"/>
      <c r="DIJ9" s="1"/>
      <c r="DIK9" s="1"/>
      <c r="DIL9" s="1"/>
      <c r="DIM9" s="1"/>
      <c r="DIN9" s="1"/>
      <c r="DIO9" s="1"/>
      <c r="DIP9" s="1"/>
      <c r="DIQ9" s="1"/>
      <c r="DIR9" s="1"/>
      <c r="DIS9" s="1"/>
      <c r="DIT9" s="1"/>
      <c r="DIU9" s="1"/>
      <c r="DIV9" s="1"/>
      <c r="DIW9" s="1"/>
      <c r="DIX9" s="1"/>
      <c r="DIY9" s="1"/>
      <c r="DIZ9" s="1"/>
      <c r="DJA9" s="1"/>
      <c r="DJB9" s="1"/>
      <c r="DJC9" s="1"/>
      <c r="DJD9" s="1"/>
      <c r="DJE9" s="1"/>
      <c r="DJF9" s="1"/>
      <c r="DJG9" s="1"/>
      <c r="DJH9" s="1"/>
      <c r="DJI9" s="1"/>
      <c r="DJJ9" s="1"/>
      <c r="DJK9" s="1"/>
      <c r="DJL9" s="1"/>
      <c r="DJM9" s="1"/>
      <c r="DJN9" s="1"/>
      <c r="DJO9" s="1"/>
      <c r="DJP9" s="1"/>
      <c r="DJQ9" s="1"/>
      <c r="DJR9" s="1"/>
      <c r="DJS9" s="1"/>
      <c r="DJT9" s="1"/>
      <c r="DJU9" s="1"/>
      <c r="DJV9" s="1"/>
      <c r="DJW9" s="1"/>
      <c r="DJX9" s="1"/>
      <c r="DJY9" s="1"/>
      <c r="DJZ9" s="1"/>
      <c r="DKA9" s="1"/>
      <c r="DKB9" s="1"/>
      <c r="DKC9" s="1"/>
      <c r="DKD9" s="1"/>
      <c r="DKE9" s="1"/>
      <c r="DKF9" s="1"/>
      <c r="DKG9" s="1"/>
      <c r="DKH9" s="1"/>
      <c r="DKI9" s="1"/>
      <c r="DKJ9" s="1"/>
      <c r="DKK9" s="1"/>
      <c r="DKL9" s="1"/>
      <c r="DKM9" s="1"/>
      <c r="DKN9" s="1"/>
      <c r="DKO9" s="1"/>
      <c r="DKP9" s="1"/>
      <c r="DKQ9" s="1"/>
      <c r="DKR9" s="1"/>
      <c r="DKS9" s="1"/>
      <c r="DKT9" s="1"/>
      <c r="DKU9" s="1"/>
      <c r="DKV9" s="1"/>
      <c r="DKW9" s="1"/>
      <c r="DKX9" s="1"/>
      <c r="DKY9" s="1"/>
      <c r="DKZ9" s="1"/>
      <c r="DLA9" s="1"/>
      <c r="DLB9" s="1"/>
      <c r="DLC9" s="1"/>
      <c r="DLD9" s="1"/>
      <c r="DLE9" s="1"/>
      <c r="DLF9" s="1"/>
      <c r="DLG9" s="1"/>
      <c r="DLH9" s="1"/>
      <c r="DLI9" s="1"/>
      <c r="DLJ9" s="1"/>
      <c r="DLK9" s="1"/>
      <c r="DLL9" s="1"/>
      <c r="DLM9" s="1"/>
      <c r="DLN9" s="1"/>
      <c r="DLO9" s="1"/>
      <c r="DLP9" s="1"/>
      <c r="DLQ9" s="1"/>
      <c r="DLR9" s="1"/>
      <c r="DLS9" s="1"/>
      <c r="DLT9" s="1"/>
      <c r="DLU9" s="1"/>
      <c r="DLV9" s="1"/>
      <c r="DLW9" s="1"/>
      <c r="DLX9" s="1"/>
      <c r="DLY9" s="1"/>
      <c r="DLZ9" s="1"/>
      <c r="DMA9" s="1"/>
      <c r="DMB9" s="1"/>
      <c r="DMC9" s="1"/>
      <c r="DMD9" s="1"/>
      <c r="DME9" s="1"/>
      <c r="DMF9" s="1"/>
      <c r="DMG9" s="1"/>
      <c r="DMH9" s="1"/>
      <c r="DMI9" s="1"/>
      <c r="DMJ9" s="1"/>
      <c r="DMK9" s="1"/>
      <c r="DML9" s="1"/>
      <c r="DMM9" s="1"/>
      <c r="DMN9" s="1"/>
      <c r="DMO9" s="1"/>
      <c r="DMP9" s="1"/>
      <c r="DMQ9" s="1"/>
      <c r="DMR9" s="1"/>
      <c r="DMS9" s="1"/>
      <c r="DMT9" s="1"/>
      <c r="DMU9" s="1"/>
      <c r="DMV9" s="1"/>
      <c r="DMW9" s="1"/>
      <c r="DMX9" s="1"/>
      <c r="DMY9" s="1"/>
      <c r="DMZ9" s="1"/>
      <c r="DNA9" s="1"/>
      <c r="DNB9" s="1"/>
      <c r="DNC9" s="1"/>
      <c r="DND9" s="1"/>
      <c r="DNE9" s="1"/>
      <c r="DNF9" s="1"/>
      <c r="DNG9" s="1"/>
      <c r="DNH9" s="1"/>
      <c r="DNI9" s="1"/>
      <c r="DNJ9" s="1"/>
      <c r="DNK9" s="1"/>
      <c r="DNL9" s="1"/>
      <c r="DNM9" s="1"/>
      <c r="DNN9" s="1"/>
      <c r="DNO9" s="1"/>
      <c r="DNP9" s="1"/>
      <c r="DNQ9" s="1"/>
      <c r="DNR9" s="1"/>
      <c r="DNS9" s="1"/>
      <c r="DNT9" s="1"/>
      <c r="DNU9" s="1"/>
      <c r="DNV9" s="1"/>
      <c r="DNW9" s="1"/>
      <c r="DNX9" s="1"/>
      <c r="DNY9" s="1"/>
      <c r="DNZ9" s="1"/>
      <c r="DOA9" s="1"/>
      <c r="DOB9" s="1"/>
      <c r="DOC9" s="1"/>
      <c r="DOD9" s="1"/>
      <c r="DOE9" s="1"/>
      <c r="DOF9" s="1"/>
      <c r="DOG9" s="1"/>
      <c r="DOH9" s="1"/>
      <c r="DOI9" s="1"/>
      <c r="DOJ9" s="1"/>
      <c r="DOK9" s="1"/>
      <c r="DOL9" s="1"/>
      <c r="DOM9" s="1"/>
      <c r="DON9" s="1"/>
      <c r="DOO9" s="1"/>
      <c r="DOP9" s="1"/>
      <c r="DOQ9" s="1"/>
      <c r="DOR9" s="1"/>
      <c r="DOS9" s="1"/>
      <c r="DOT9" s="1"/>
      <c r="DOU9" s="1"/>
      <c r="DOV9" s="1"/>
      <c r="DOW9" s="1"/>
      <c r="DOX9" s="1"/>
      <c r="DOY9" s="1"/>
      <c r="DOZ9" s="1"/>
      <c r="DPA9" s="1"/>
      <c r="DPB9" s="1"/>
      <c r="DPC9" s="1"/>
      <c r="DPD9" s="1"/>
      <c r="DPE9" s="1"/>
      <c r="DPF9" s="1"/>
      <c r="DPG9" s="1"/>
      <c r="DPH9" s="1"/>
      <c r="DPI9" s="1"/>
      <c r="DPJ9" s="1"/>
      <c r="DPK9" s="1"/>
      <c r="DPL9" s="1"/>
      <c r="DPM9" s="1"/>
      <c r="DPN9" s="1"/>
      <c r="DPO9" s="1"/>
      <c r="DPP9" s="1"/>
      <c r="DPQ9" s="1"/>
      <c r="DPR9" s="1"/>
      <c r="DPS9" s="1"/>
      <c r="DPT9" s="1"/>
      <c r="DPU9" s="1"/>
      <c r="DPV9" s="1"/>
      <c r="DPW9" s="1"/>
      <c r="DPX9" s="1"/>
      <c r="DPY9" s="1"/>
      <c r="DPZ9" s="1"/>
      <c r="DQA9" s="1"/>
      <c r="DQB9" s="1"/>
      <c r="DQC9" s="1"/>
      <c r="DQD9" s="1"/>
      <c r="DQE9" s="1"/>
      <c r="DQF9" s="1"/>
      <c r="DQG9" s="1"/>
      <c r="DQH9" s="1"/>
      <c r="DQI9" s="1"/>
      <c r="DQJ9" s="1"/>
      <c r="DQK9" s="1"/>
      <c r="DQL9" s="1"/>
      <c r="DQM9" s="1"/>
      <c r="DQN9" s="1"/>
      <c r="DQO9" s="1"/>
      <c r="DQP9" s="1"/>
      <c r="DQQ9" s="1"/>
      <c r="DQR9" s="1"/>
      <c r="DQS9" s="1"/>
      <c r="DQT9" s="1"/>
      <c r="DQU9" s="1"/>
      <c r="DQV9" s="1"/>
      <c r="DQW9" s="1"/>
      <c r="DQX9" s="1"/>
      <c r="DQY9" s="1"/>
      <c r="DQZ9" s="1"/>
      <c r="DRA9" s="1"/>
      <c r="DRB9" s="1"/>
      <c r="DRC9" s="1"/>
      <c r="DRD9" s="1"/>
      <c r="DRE9" s="1"/>
      <c r="DRF9" s="1"/>
      <c r="DRG9" s="1"/>
      <c r="DRH9" s="1"/>
      <c r="DRI9" s="1"/>
      <c r="DRJ9" s="1"/>
      <c r="DRK9" s="1"/>
      <c r="DRL9" s="1"/>
      <c r="DRM9" s="1"/>
      <c r="DRN9" s="1"/>
      <c r="DRO9" s="1"/>
      <c r="DRP9" s="1"/>
      <c r="DRQ9" s="1"/>
      <c r="DRR9" s="1"/>
      <c r="DRS9" s="1"/>
      <c r="DRT9" s="1"/>
      <c r="DRU9" s="1"/>
      <c r="DRV9" s="1"/>
      <c r="DRW9" s="1"/>
      <c r="DRX9" s="1"/>
      <c r="DRY9" s="1"/>
      <c r="DRZ9" s="1"/>
      <c r="DSA9" s="1"/>
      <c r="DSB9" s="1"/>
      <c r="DSC9" s="1"/>
      <c r="DSD9" s="1"/>
      <c r="DSE9" s="1"/>
      <c r="DSF9" s="1"/>
      <c r="DSG9" s="1"/>
      <c r="DSH9" s="1"/>
      <c r="DSI9" s="1"/>
      <c r="DSJ9" s="1"/>
      <c r="DSK9" s="1"/>
      <c r="DSL9" s="1"/>
      <c r="DSM9" s="1"/>
      <c r="DSN9" s="1"/>
      <c r="DSO9" s="1"/>
      <c r="DSP9" s="1"/>
      <c r="DSQ9" s="1"/>
      <c r="DSR9" s="1"/>
      <c r="DSS9" s="1"/>
      <c r="DST9" s="1"/>
      <c r="DSU9" s="1"/>
      <c r="DSV9" s="1"/>
      <c r="DSW9" s="1"/>
      <c r="DSX9" s="1"/>
      <c r="DSY9" s="1"/>
      <c r="DSZ9" s="1"/>
      <c r="DTA9" s="1"/>
      <c r="DTB9" s="1"/>
      <c r="DTC9" s="1"/>
      <c r="DTD9" s="1"/>
      <c r="DTE9" s="1"/>
      <c r="DTF9" s="1"/>
      <c r="DTG9" s="1"/>
      <c r="DTH9" s="1"/>
      <c r="DTI9" s="1"/>
      <c r="DTJ9" s="1"/>
      <c r="DTK9" s="1"/>
      <c r="DTL9" s="1"/>
      <c r="DTM9" s="1"/>
      <c r="DTN9" s="1"/>
      <c r="DTO9" s="1"/>
      <c r="DTP9" s="1"/>
      <c r="DTQ9" s="1"/>
      <c r="DTR9" s="1"/>
      <c r="DTS9" s="1"/>
      <c r="DTT9" s="1"/>
      <c r="DTU9" s="1"/>
      <c r="DTV9" s="1"/>
      <c r="DTW9" s="1"/>
      <c r="DTX9" s="1"/>
      <c r="DTY9" s="1"/>
      <c r="DTZ9" s="1"/>
      <c r="DUA9" s="1"/>
      <c r="DUB9" s="1"/>
      <c r="DUC9" s="1"/>
      <c r="DUD9" s="1"/>
      <c r="DUE9" s="1"/>
      <c r="DUF9" s="1"/>
      <c r="DUG9" s="1"/>
      <c r="DUH9" s="1"/>
      <c r="DUI9" s="1"/>
      <c r="DUJ9" s="1"/>
      <c r="DUK9" s="1"/>
      <c r="DUL9" s="1"/>
      <c r="DUM9" s="1"/>
      <c r="DUN9" s="1"/>
      <c r="DUO9" s="1"/>
      <c r="DUP9" s="1"/>
      <c r="DUQ9" s="1"/>
      <c r="DUR9" s="1"/>
      <c r="DUS9" s="1"/>
      <c r="DUT9" s="1"/>
      <c r="DUU9" s="1"/>
      <c r="DUV9" s="1"/>
      <c r="DUW9" s="1"/>
      <c r="DUX9" s="1"/>
      <c r="DUY9" s="1"/>
      <c r="DUZ9" s="1"/>
      <c r="DVA9" s="1"/>
      <c r="DVB9" s="1"/>
      <c r="DVC9" s="1"/>
      <c r="DVD9" s="1"/>
      <c r="DVE9" s="1"/>
      <c r="DVF9" s="1"/>
      <c r="DVG9" s="1"/>
      <c r="DVH9" s="1"/>
      <c r="DVI9" s="1"/>
      <c r="DVJ9" s="1"/>
      <c r="DVK9" s="1"/>
      <c r="DVL9" s="1"/>
      <c r="DVM9" s="1"/>
      <c r="DVN9" s="1"/>
      <c r="DVO9" s="1"/>
      <c r="DVP9" s="1"/>
      <c r="DVQ9" s="1"/>
      <c r="DVR9" s="1"/>
      <c r="DVS9" s="1"/>
      <c r="DVT9" s="1"/>
      <c r="DVU9" s="1"/>
      <c r="DVV9" s="1"/>
      <c r="DVW9" s="1"/>
      <c r="DVX9" s="1"/>
      <c r="DVY9" s="1"/>
      <c r="DVZ9" s="1"/>
      <c r="DWA9" s="1"/>
      <c r="DWB9" s="1"/>
      <c r="DWC9" s="1"/>
      <c r="DWD9" s="1"/>
      <c r="DWE9" s="1"/>
      <c r="DWF9" s="1"/>
      <c r="DWG9" s="1"/>
      <c r="DWH9" s="1"/>
      <c r="DWI9" s="1"/>
      <c r="DWJ9" s="1"/>
      <c r="DWK9" s="1"/>
      <c r="DWL9" s="1"/>
      <c r="DWM9" s="1"/>
      <c r="DWN9" s="1"/>
      <c r="DWO9" s="1"/>
      <c r="DWP9" s="1"/>
      <c r="DWQ9" s="1"/>
      <c r="DWR9" s="1"/>
      <c r="DWS9" s="1"/>
      <c r="DWT9" s="1"/>
      <c r="DWU9" s="1"/>
      <c r="DWV9" s="1"/>
      <c r="DWW9" s="1"/>
      <c r="DWX9" s="1"/>
      <c r="DWY9" s="1"/>
      <c r="DWZ9" s="1"/>
      <c r="DXA9" s="1"/>
      <c r="DXB9" s="1"/>
      <c r="DXC9" s="1"/>
      <c r="DXD9" s="1"/>
      <c r="DXE9" s="1"/>
      <c r="DXF9" s="1"/>
      <c r="DXG9" s="1"/>
      <c r="DXH9" s="1"/>
      <c r="DXI9" s="1"/>
      <c r="DXJ9" s="1"/>
      <c r="DXK9" s="1"/>
      <c r="DXL9" s="1"/>
      <c r="DXM9" s="1"/>
      <c r="DXN9" s="1"/>
      <c r="DXO9" s="1"/>
      <c r="DXP9" s="1"/>
      <c r="DXQ9" s="1"/>
      <c r="DXR9" s="1"/>
      <c r="DXS9" s="1"/>
      <c r="DXT9" s="1"/>
      <c r="DXU9" s="1"/>
      <c r="DXV9" s="1"/>
      <c r="DXW9" s="1"/>
      <c r="DXX9" s="1"/>
      <c r="DXY9" s="1"/>
      <c r="DXZ9" s="1"/>
      <c r="DYA9" s="1"/>
      <c r="DYB9" s="1"/>
      <c r="DYC9" s="1"/>
      <c r="DYD9" s="1"/>
      <c r="DYE9" s="1"/>
      <c r="DYF9" s="1"/>
      <c r="DYG9" s="1"/>
      <c r="DYH9" s="1"/>
      <c r="DYI9" s="1"/>
      <c r="DYJ9" s="1"/>
      <c r="DYK9" s="1"/>
      <c r="DYL9" s="1"/>
      <c r="DYM9" s="1"/>
      <c r="DYN9" s="1"/>
      <c r="DYO9" s="1"/>
      <c r="DYP9" s="1"/>
      <c r="DYQ9" s="1"/>
      <c r="DYR9" s="1"/>
      <c r="DYS9" s="1"/>
      <c r="DYT9" s="1"/>
      <c r="DYU9" s="1"/>
      <c r="DYV9" s="1"/>
      <c r="DYW9" s="1"/>
      <c r="DYX9" s="1"/>
      <c r="DYY9" s="1"/>
      <c r="DYZ9" s="1"/>
      <c r="DZA9" s="1"/>
      <c r="DZB9" s="1"/>
      <c r="DZC9" s="1"/>
      <c r="DZD9" s="1"/>
      <c r="DZE9" s="1"/>
      <c r="DZF9" s="1"/>
      <c r="DZG9" s="1"/>
      <c r="DZH9" s="1"/>
      <c r="DZI9" s="1"/>
      <c r="DZJ9" s="1"/>
      <c r="DZK9" s="1"/>
      <c r="DZL9" s="1"/>
      <c r="DZM9" s="1"/>
      <c r="DZN9" s="1"/>
      <c r="DZO9" s="1"/>
      <c r="DZP9" s="1"/>
      <c r="DZQ9" s="1"/>
      <c r="DZR9" s="1"/>
      <c r="DZS9" s="1"/>
      <c r="DZT9" s="1"/>
      <c r="DZU9" s="1"/>
      <c r="DZV9" s="1"/>
      <c r="DZW9" s="1"/>
      <c r="DZX9" s="1"/>
      <c r="DZY9" s="1"/>
      <c r="DZZ9" s="1"/>
      <c r="EAA9" s="1"/>
      <c r="EAB9" s="1"/>
      <c r="EAC9" s="1"/>
      <c r="EAD9" s="1"/>
      <c r="EAE9" s="1"/>
      <c r="EAF9" s="1"/>
      <c r="EAG9" s="1"/>
      <c r="EAH9" s="1"/>
      <c r="EAI9" s="1"/>
      <c r="EAJ9" s="1"/>
      <c r="EAK9" s="1"/>
      <c r="EAL9" s="1"/>
      <c r="EAM9" s="1"/>
      <c r="EAN9" s="1"/>
      <c r="EAO9" s="1"/>
      <c r="EAP9" s="1"/>
      <c r="EAQ9" s="1"/>
      <c r="EAR9" s="1"/>
      <c r="EAS9" s="1"/>
      <c r="EAT9" s="1"/>
      <c r="EAU9" s="1"/>
      <c r="EAV9" s="1"/>
      <c r="EAW9" s="1"/>
      <c r="EAX9" s="1"/>
      <c r="EAY9" s="1"/>
      <c r="EAZ9" s="1"/>
      <c r="EBA9" s="1"/>
      <c r="EBB9" s="1"/>
      <c r="EBC9" s="1"/>
      <c r="EBD9" s="1"/>
      <c r="EBE9" s="1"/>
      <c r="EBF9" s="1"/>
      <c r="EBG9" s="1"/>
      <c r="EBH9" s="1"/>
      <c r="EBI9" s="1"/>
      <c r="EBJ9" s="1"/>
      <c r="EBK9" s="1"/>
      <c r="EBL9" s="1"/>
      <c r="EBM9" s="1"/>
      <c r="EBN9" s="1"/>
      <c r="EBO9" s="1"/>
      <c r="EBP9" s="1"/>
      <c r="EBQ9" s="1"/>
      <c r="EBR9" s="1"/>
      <c r="EBS9" s="1"/>
      <c r="EBT9" s="1"/>
      <c r="EBU9" s="1"/>
      <c r="EBV9" s="1"/>
      <c r="EBW9" s="1"/>
      <c r="EBX9" s="1"/>
      <c r="EBY9" s="1"/>
      <c r="EBZ9" s="1"/>
      <c r="ECA9" s="1"/>
      <c r="ECB9" s="1"/>
      <c r="ECC9" s="1"/>
      <c r="ECD9" s="1"/>
      <c r="ECE9" s="1"/>
      <c r="ECF9" s="1"/>
      <c r="ECG9" s="1"/>
      <c r="ECH9" s="1"/>
      <c r="ECI9" s="1"/>
      <c r="ECJ9" s="1"/>
      <c r="ECK9" s="1"/>
      <c r="ECL9" s="1"/>
      <c r="ECM9" s="1"/>
      <c r="ECN9" s="1"/>
      <c r="ECO9" s="1"/>
      <c r="ECP9" s="1"/>
      <c r="ECQ9" s="1"/>
      <c r="ECR9" s="1"/>
      <c r="ECS9" s="1"/>
      <c r="ECT9" s="1"/>
      <c r="ECU9" s="1"/>
      <c r="ECV9" s="1"/>
      <c r="ECW9" s="1"/>
      <c r="ECX9" s="1"/>
      <c r="ECY9" s="1"/>
      <c r="ECZ9" s="1"/>
      <c r="EDA9" s="1"/>
      <c r="EDB9" s="1"/>
      <c r="EDC9" s="1"/>
      <c r="EDD9" s="1"/>
      <c r="EDE9" s="1"/>
      <c r="EDF9" s="1"/>
      <c r="EDG9" s="1"/>
      <c r="EDH9" s="1"/>
      <c r="EDI9" s="1"/>
      <c r="EDJ9" s="1"/>
      <c r="EDK9" s="1"/>
      <c r="EDL9" s="1"/>
      <c r="EDM9" s="1"/>
      <c r="EDN9" s="1"/>
      <c r="EDO9" s="1"/>
      <c r="EDP9" s="1"/>
      <c r="EDQ9" s="1"/>
      <c r="EDR9" s="1"/>
      <c r="EDS9" s="1"/>
      <c r="EDT9" s="1"/>
      <c r="EDU9" s="1"/>
      <c r="EDV9" s="1"/>
      <c r="EDW9" s="1"/>
      <c r="EDX9" s="1"/>
      <c r="EDY9" s="1"/>
      <c r="EDZ9" s="1"/>
      <c r="EEA9" s="1"/>
      <c r="EEB9" s="1"/>
      <c r="EEC9" s="1"/>
      <c r="EED9" s="1"/>
      <c r="EEE9" s="1"/>
      <c r="EEF9" s="1"/>
      <c r="EEG9" s="1"/>
      <c r="EEH9" s="1"/>
      <c r="EEI9" s="1"/>
      <c r="EEJ9" s="1"/>
      <c r="EEK9" s="1"/>
      <c r="EEL9" s="1"/>
      <c r="EEM9" s="1"/>
      <c r="EEN9" s="1"/>
      <c r="EEO9" s="1"/>
      <c r="EEP9" s="1"/>
      <c r="EEQ9" s="1"/>
      <c r="EER9" s="1"/>
      <c r="EES9" s="1"/>
      <c r="EET9" s="1"/>
      <c r="EEU9" s="1"/>
      <c r="EEV9" s="1"/>
      <c r="EEW9" s="1"/>
      <c r="EEX9" s="1"/>
      <c r="EEY9" s="1"/>
      <c r="EEZ9" s="1"/>
      <c r="EFA9" s="1"/>
      <c r="EFB9" s="1"/>
      <c r="EFC9" s="1"/>
      <c r="EFD9" s="1"/>
      <c r="EFE9" s="1"/>
      <c r="EFF9" s="1"/>
      <c r="EFG9" s="1"/>
      <c r="EFH9" s="1"/>
      <c r="EFI9" s="1"/>
      <c r="EFJ9" s="1"/>
      <c r="EFK9" s="1"/>
      <c r="EFL9" s="1"/>
      <c r="EFM9" s="1"/>
      <c r="EFN9" s="1"/>
      <c r="EFO9" s="1"/>
      <c r="EFP9" s="1"/>
      <c r="EFQ9" s="1"/>
      <c r="EFR9" s="1"/>
      <c r="EFS9" s="1"/>
      <c r="EFT9" s="1"/>
      <c r="EFU9" s="1"/>
      <c r="EFV9" s="1"/>
      <c r="EFW9" s="1"/>
      <c r="EFX9" s="1"/>
      <c r="EFY9" s="1"/>
      <c r="EFZ9" s="1"/>
      <c r="EGA9" s="1"/>
      <c r="EGB9" s="1"/>
      <c r="EGC9" s="1"/>
      <c r="EGD9" s="1"/>
      <c r="EGE9" s="1"/>
      <c r="EGF9" s="1"/>
      <c r="EGG9" s="1"/>
      <c r="EGH9" s="1"/>
      <c r="EGI9" s="1"/>
      <c r="EGJ9" s="1"/>
      <c r="EGK9" s="1"/>
      <c r="EGL9" s="1"/>
      <c r="EGM9" s="1"/>
      <c r="EGN9" s="1"/>
      <c r="EGO9" s="1"/>
      <c r="EGP9" s="1"/>
      <c r="EGQ9" s="1"/>
      <c r="EGR9" s="1"/>
      <c r="EGS9" s="1"/>
      <c r="EGT9" s="1"/>
      <c r="EGU9" s="1"/>
      <c r="EGV9" s="1"/>
      <c r="EGW9" s="1"/>
      <c r="EGX9" s="1"/>
      <c r="EGY9" s="1"/>
      <c r="EGZ9" s="1"/>
      <c r="EHA9" s="1"/>
      <c r="EHB9" s="1"/>
      <c r="EHC9" s="1"/>
      <c r="EHD9" s="1"/>
      <c r="EHE9" s="1"/>
      <c r="EHF9" s="1"/>
      <c r="EHG9" s="1"/>
      <c r="EHH9" s="1"/>
      <c r="EHI9" s="1"/>
      <c r="EHJ9" s="1"/>
      <c r="EHK9" s="1"/>
      <c r="EHL9" s="1"/>
      <c r="EHM9" s="1"/>
      <c r="EHN9" s="1"/>
      <c r="EHO9" s="1"/>
      <c r="EHP9" s="1"/>
      <c r="EHQ9" s="1"/>
      <c r="EHR9" s="1"/>
      <c r="EHS9" s="1"/>
      <c r="EHT9" s="1"/>
      <c r="EHU9" s="1"/>
      <c r="EHV9" s="1"/>
      <c r="EHW9" s="1"/>
      <c r="EHX9" s="1"/>
      <c r="EHY9" s="1"/>
      <c r="EHZ9" s="1"/>
      <c r="EIA9" s="1"/>
      <c r="EIB9" s="1"/>
      <c r="EIC9" s="1"/>
      <c r="EID9" s="1"/>
      <c r="EIE9" s="1"/>
      <c r="EIF9" s="1"/>
      <c r="EIG9" s="1"/>
      <c r="EIH9" s="1"/>
      <c r="EII9" s="1"/>
      <c r="EIJ9" s="1"/>
      <c r="EIK9" s="1"/>
      <c r="EIL9" s="1"/>
      <c r="EIM9" s="1"/>
      <c r="EIN9" s="1"/>
      <c r="EIO9" s="1"/>
      <c r="EIP9" s="1"/>
      <c r="EIQ9" s="1"/>
      <c r="EIR9" s="1"/>
      <c r="EIS9" s="1"/>
      <c r="EIT9" s="1"/>
      <c r="EIU9" s="1"/>
      <c r="EIV9" s="1"/>
      <c r="EIW9" s="1"/>
      <c r="EIX9" s="1"/>
      <c r="EIY9" s="1"/>
      <c r="EIZ9" s="1"/>
      <c r="EJA9" s="1"/>
      <c r="EJB9" s="1"/>
      <c r="EJC9" s="1"/>
      <c r="EJD9" s="1"/>
      <c r="EJE9" s="1"/>
      <c r="EJF9" s="1"/>
      <c r="EJG9" s="1"/>
      <c r="EJH9" s="1"/>
      <c r="EJI9" s="1"/>
      <c r="EJJ9" s="1"/>
      <c r="EJK9" s="1"/>
      <c r="EJL9" s="1"/>
      <c r="EJM9" s="1"/>
      <c r="EJN9" s="1"/>
      <c r="EJO9" s="1"/>
      <c r="EJP9" s="1"/>
      <c r="EJQ9" s="1"/>
      <c r="EJR9" s="1"/>
      <c r="EJS9" s="1"/>
      <c r="EJT9" s="1"/>
      <c r="EJU9" s="1"/>
      <c r="EJV9" s="1"/>
      <c r="EJW9" s="1"/>
      <c r="EJX9" s="1"/>
      <c r="EJY9" s="1"/>
      <c r="EJZ9" s="1"/>
      <c r="EKA9" s="1"/>
      <c r="EKB9" s="1"/>
      <c r="EKC9" s="1"/>
      <c r="EKD9" s="1"/>
      <c r="EKE9" s="1"/>
      <c r="EKF9" s="1"/>
      <c r="EKG9" s="1"/>
      <c r="EKH9" s="1"/>
      <c r="EKI9" s="1"/>
      <c r="EKJ9" s="1"/>
      <c r="EKK9" s="1"/>
      <c r="EKL9" s="1"/>
      <c r="EKM9" s="1"/>
      <c r="EKN9" s="1"/>
      <c r="EKO9" s="1"/>
      <c r="EKP9" s="1"/>
      <c r="EKQ9" s="1"/>
      <c r="EKR9" s="1"/>
      <c r="EKS9" s="1"/>
      <c r="EKT9" s="1"/>
      <c r="EKU9" s="1"/>
      <c r="EKV9" s="1"/>
      <c r="EKW9" s="1"/>
      <c r="EKX9" s="1"/>
      <c r="EKY9" s="1"/>
      <c r="EKZ9" s="1"/>
      <c r="ELA9" s="1"/>
      <c r="ELB9" s="1"/>
      <c r="ELC9" s="1"/>
      <c r="ELD9" s="1"/>
      <c r="ELE9" s="1"/>
      <c r="ELF9" s="1"/>
      <c r="ELG9" s="1"/>
      <c r="ELH9" s="1"/>
      <c r="ELI9" s="1"/>
      <c r="ELJ9" s="1"/>
      <c r="ELK9" s="1"/>
      <c r="ELL9" s="1"/>
      <c r="ELM9" s="1"/>
      <c r="ELN9" s="1"/>
      <c r="ELO9" s="1"/>
      <c r="ELP9" s="1"/>
      <c r="ELQ9" s="1"/>
      <c r="ELR9" s="1"/>
      <c r="ELS9" s="1"/>
      <c r="ELT9" s="1"/>
      <c r="ELU9" s="1"/>
      <c r="ELV9" s="1"/>
      <c r="ELW9" s="1"/>
      <c r="ELX9" s="1"/>
      <c r="ELY9" s="1"/>
      <c r="ELZ9" s="1"/>
      <c r="EMA9" s="1"/>
      <c r="EMB9" s="1"/>
      <c r="EMC9" s="1"/>
      <c r="EMD9" s="1"/>
      <c r="EME9" s="1"/>
      <c r="EMF9" s="1"/>
      <c r="EMG9" s="1"/>
      <c r="EMH9" s="1"/>
      <c r="EMI9" s="1"/>
      <c r="EMJ9" s="1"/>
      <c r="EMK9" s="1"/>
      <c r="EML9" s="1"/>
      <c r="EMM9" s="1"/>
      <c r="EMN9" s="1"/>
      <c r="EMO9" s="1"/>
      <c r="EMP9" s="1"/>
      <c r="EMQ9" s="1"/>
      <c r="EMR9" s="1"/>
      <c r="EMS9" s="1"/>
      <c r="EMT9" s="1"/>
      <c r="EMU9" s="1"/>
      <c r="EMV9" s="1"/>
      <c r="EMW9" s="1"/>
      <c r="EMX9" s="1"/>
      <c r="EMY9" s="1"/>
      <c r="EMZ9" s="1"/>
      <c r="ENA9" s="1"/>
      <c r="ENB9" s="1"/>
      <c r="ENC9" s="1"/>
      <c r="END9" s="1"/>
      <c r="ENE9" s="1"/>
      <c r="ENF9" s="1"/>
      <c r="ENG9" s="1"/>
      <c r="ENH9" s="1"/>
      <c r="ENI9" s="1"/>
      <c r="ENJ9" s="1"/>
      <c r="ENK9" s="1"/>
      <c r="ENL9" s="1"/>
      <c r="ENM9" s="1"/>
      <c r="ENN9" s="1"/>
      <c r="ENO9" s="1"/>
      <c r="ENP9" s="1"/>
      <c r="ENQ9" s="1"/>
      <c r="ENR9" s="1"/>
      <c r="ENS9" s="1"/>
      <c r="ENT9" s="1"/>
      <c r="ENU9" s="1"/>
      <c r="ENV9" s="1"/>
      <c r="ENW9" s="1"/>
      <c r="ENX9" s="1"/>
      <c r="ENY9" s="1"/>
      <c r="ENZ9" s="1"/>
      <c r="EOA9" s="1"/>
      <c r="EOB9" s="1"/>
      <c r="EOC9" s="1"/>
      <c r="EOD9" s="1"/>
      <c r="EOE9" s="1"/>
      <c r="EOF9" s="1"/>
      <c r="EOG9" s="1"/>
      <c r="EOH9" s="1"/>
      <c r="EOI9" s="1"/>
      <c r="EOJ9" s="1"/>
      <c r="EOK9" s="1"/>
      <c r="EOL9" s="1"/>
      <c r="EOM9" s="1"/>
      <c r="EON9" s="1"/>
      <c r="EOO9" s="1"/>
      <c r="EOP9" s="1"/>
      <c r="EOQ9" s="1"/>
      <c r="EOR9" s="1"/>
      <c r="EOS9" s="1"/>
      <c r="EOT9" s="1"/>
      <c r="EOU9" s="1"/>
      <c r="EOV9" s="1"/>
      <c r="EOW9" s="1"/>
      <c r="EOX9" s="1"/>
      <c r="EOY9" s="1"/>
      <c r="EOZ9" s="1"/>
      <c r="EPA9" s="1"/>
      <c r="EPB9" s="1"/>
      <c r="EPC9" s="1"/>
      <c r="EPD9" s="1"/>
      <c r="EPE9" s="1"/>
      <c r="EPF9" s="1"/>
      <c r="EPG9" s="1"/>
      <c r="EPH9" s="1"/>
      <c r="EPI9" s="1"/>
      <c r="EPJ9" s="1"/>
      <c r="EPK9" s="1"/>
      <c r="EPL9" s="1"/>
      <c r="EPM9" s="1"/>
      <c r="EPN9" s="1"/>
      <c r="EPO9" s="1"/>
      <c r="EPP9" s="1"/>
      <c r="EPQ9" s="1"/>
      <c r="EPR9" s="1"/>
      <c r="EPS9" s="1"/>
      <c r="EPT9" s="1"/>
      <c r="EPU9" s="1"/>
      <c r="EPV9" s="1"/>
      <c r="EPW9" s="1"/>
      <c r="EPX9" s="1"/>
      <c r="EPY9" s="1"/>
      <c r="EPZ9" s="1"/>
      <c r="EQA9" s="1"/>
      <c r="EQB9" s="1"/>
      <c r="EQC9" s="1"/>
      <c r="EQD9" s="1"/>
      <c r="EQE9" s="1"/>
      <c r="EQF9" s="1"/>
      <c r="EQG9" s="1"/>
      <c r="EQH9" s="1"/>
      <c r="EQI9" s="1"/>
      <c r="EQJ9" s="1"/>
      <c r="EQK9" s="1"/>
      <c r="EQL9" s="1"/>
      <c r="EQM9" s="1"/>
      <c r="EQN9" s="1"/>
      <c r="EQO9" s="1"/>
      <c r="EQP9" s="1"/>
      <c r="EQQ9" s="1"/>
      <c r="EQR9" s="1"/>
      <c r="EQS9" s="1"/>
      <c r="EQT9" s="1"/>
      <c r="EQU9" s="1"/>
      <c r="EQV9" s="1"/>
      <c r="EQW9" s="1"/>
      <c r="EQX9" s="1"/>
      <c r="EQY9" s="1"/>
      <c r="EQZ9" s="1"/>
      <c r="ERA9" s="1"/>
      <c r="ERB9" s="1"/>
      <c r="ERC9" s="1"/>
      <c r="ERD9" s="1"/>
      <c r="ERE9" s="1"/>
      <c r="ERF9" s="1"/>
      <c r="ERG9" s="1"/>
      <c r="ERH9" s="1"/>
      <c r="ERI9" s="1"/>
      <c r="ERJ9" s="1"/>
      <c r="ERK9" s="1"/>
      <c r="ERL9" s="1"/>
      <c r="ERM9" s="1"/>
      <c r="ERN9" s="1"/>
      <c r="ERO9" s="1"/>
      <c r="ERP9" s="1"/>
      <c r="ERQ9" s="1"/>
      <c r="ERR9" s="1"/>
      <c r="ERS9" s="1"/>
      <c r="ERT9" s="1"/>
      <c r="ERU9" s="1"/>
      <c r="ERV9" s="1"/>
      <c r="ERW9" s="1"/>
      <c r="ERX9" s="1"/>
      <c r="ERY9" s="1"/>
      <c r="ERZ9" s="1"/>
      <c r="ESA9" s="1"/>
      <c r="ESB9" s="1"/>
      <c r="ESC9" s="1"/>
      <c r="ESD9" s="1"/>
      <c r="ESE9" s="1"/>
      <c r="ESF9" s="1"/>
      <c r="ESG9" s="1"/>
      <c r="ESH9" s="1"/>
      <c r="ESI9" s="1"/>
      <c r="ESJ9" s="1"/>
      <c r="ESK9" s="1"/>
      <c r="ESL9" s="1"/>
      <c r="ESM9" s="1"/>
      <c r="ESN9" s="1"/>
      <c r="ESO9" s="1"/>
      <c r="ESP9" s="1"/>
      <c r="ESQ9" s="1"/>
      <c r="ESR9" s="1"/>
      <c r="ESS9" s="1"/>
      <c r="EST9" s="1"/>
      <c r="ESU9" s="1"/>
      <c r="ESV9" s="1"/>
      <c r="ESW9" s="1"/>
      <c r="ESX9" s="1"/>
      <c r="ESY9" s="1"/>
      <c r="ESZ9" s="1"/>
      <c r="ETA9" s="1"/>
      <c r="ETB9" s="1"/>
      <c r="ETC9" s="1"/>
      <c r="ETD9" s="1"/>
      <c r="ETE9" s="1"/>
      <c r="ETF9" s="1"/>
      <c r="ETG9" s="1"/>
      <c r="ETH9" s="1"/>
      <c r="ETI9" s="1"/>
      <c r="ETJ9" s="1"/>
      <c r="ETK9" s="1"/>
      <c r="ETL9" s="1"/>
      <c r="ETM9" s="1"/>
      <c r="ETN9" s="1"/>
      <c r="ETO9" s="1"/>
      <c r="ETP9" s="1"/>
      <c r="ETQ9" s="1"/>
      <c r="ETR9" s="1"/>
      <c r="ETS9" s="1"/>
      <c r="ETT9" s="1"/>
      <c r="ETU9" s="1"/>
      <c r="ETV9" s="1"/>
      <c r="ETW9" s="1"/>
      <c r="ETX9" s="1"/>
      <c r="ETY9" s="1"/>
      <c r="ETZ9" s="1"/>
      <c r="EUA9" s="1"/>
      <c r="EUB9" s="1"/>
      <c r="EUC9" s="1"/>
      <c r="EUD9" s="1"/>
      <c r="EUE9" s="1"/>
      <c r="EUF9" s="1"/>
      <c r="EUG9" s="1"/>
      <c r="EUH9" s="1"/>
      <c r="EUI9" s="1"/>
      <c r="EUJ9" s="1"/>
      <c r="EUK9" s="1"/>
      <c r="EUL9" s="1"/>
      <c r="EUM9" s="1"/>
      <c r="EUN9" s="1"/>
      <c r="EUO9" s="1"/>
      <c r="EUP9" s="1"/>
      <c r="EUQ9" s="1"/>
      <c r="EUR9" s="1"/>
      <c r="EUS9" s="1"/>
      <c r="EUT9" s="1"/>
      <c r="EUU9" s="1"/>
      <c r="EUV9" s="1"/>
      <c r="EUW9" s="1"/>
      <c r="EUX9" s="1"/>
      <c r="EUY9" s="1"/>
      <c r="EUZ9" s="1"/>
      <c r="EVA9" s="1"/>
      <c r="EVB9" s="1"/>
      <c r="EVC9" s="1"/>
      <c r="EVD9" s="1"/>
      <c r="EVE9" s="1"/>
      <c r="EVF9" s="1"/>
      <c r="EVG9" s="1"/>
      <c r="EVH9" s="1"/>
      <c r="EVI9" s="1"/>
      <c r="EVJ9" s="1"/>
      <c r="EVK9" s="1"/>
      <c r="EVL9" s="1"/>
      <c r="EVM9" s="1"/>
      <c r="EVN9" s="1"/>
      <c r="EVO9" s="1"/>
      <c r="EVP9" s="1"/>
      <c r="EVQ9" s="1"/>
      <c r="EVR9" s="1"/>
      <c r="EVS9" s="1"/>
      <c r="EVT9" s="1"/>
      <c r="EVU9" s="1"/>
      <c r="EVV9" s="1"/>
      <c r="EVW9" s="1"/>
      <c r="EVX9" s="1"/>
      <c r="EVY9" s="1"/>
      <c r="EVZ9" s="1"/>
      <c r="EWA9" s="1"/>
      <c r="EWB9" s="1"/>
      <c r="EWC9" s="1"/>
      <c r="EWD9" s="1"/>
      <c r="EWE9" s="1"/>
      <c r="EWF9" s="1"/>
      <c r="EWG9" s="1"/>
      <c r="EWH9" s="1"/>
      <c r="EWI9" s="1"/>
      <c r="EWJ9" s="1"/>
      <c r="EWK9" s="1"/>
      <c r="EWL9" s="1"/>
      <c r="EWM9" s="1"/>
      <c r="EWN9" s="1"/>
      <c r="EWO9" s="1"/>
      <c r="EWP9" s="1"/>
      <c r="EWQ9" s="1"/>
      <c r="EWR9" s="1"/>
      <c r="EWS9" s="1"/>
      <c r="EWT9" s="1"/>
      <c r="EWU9" s="1"/>
      <c r="EWV9" s="1"/>
      <c r="EWW9" s="1"/>
      <c r="EWX9" s="1"/>
      <c r="EWY9" s="1"/>
      <c r="EWZ9" s="1"/>
      <c r="EXA9" s="1"/>
      <c r="EXB9" s="1"/>
      <c r="EXC9" s="1"/>
      <c r="EXD9" s="1"/>
      <c r="EXE9" s="1"/>
      <c r="EXF9" s="1"/>
      <c r="EXG9" s="1"/>
      <c r="EXH9" s="1"/>
      <c r="EXI9" s="1"/>
      <c r="EXJ9" s="1"/>
      <c r="EXK9" s="1"/>
      <c r="EXL9" s="1"/>
      <c r="EXM9" s="1"/>
      <c r="EXN9" s="1"/>
      <c r="EXO9" s="1"/>
      <c r="EXP9" s="1"/>
      <c r="EXQ9" s="1"/>
      <c r="EXR9" s="1"/>
      <c r="EXS9" s="1"/>
      <c r="EXT9" s="1"/>
      <c r="EXU9" s="1"/>
      <c r="EXV9" s="1"/>
      <c r="EXW9" s="1"/>
      <c r="EXX9" s="1"/>
      <c r="EXY9" s="1"/>
      <c r="EXZ9" s="1"/>
      <c r="EYA9" s="1"/>
      <c r="EYB9" s="1"/>
      <c r="EYC9" s="1"/>
      <c r="EYD9" s="1"/>
      <c r="EYE9" s="1"/>
      <c r="EYF9" s="1"/>
      <c r="EYG9" s="1"/>
      <c r="EYH9" s="1"/>
      <c r="EYI9" s="1"/>
      <c r="EYJ9" s="1"/>
      <c r="EYK9" s="1"/>
      <c r="EYL9" s="1"/>
      <c r="EYM9" s="1"/>
      <c r="EYN9" s="1"/>
      <c r="EYO9" s="1"/>
      <c r="EYP9" s="1"/>
      <c r="EYQ9" s="1"/>
      <c r="EYR9" s="1"/>
      <c r="EYS9" s="1"/>
      <c r="EYT9" s="1"/>
      <c r="EYU9" s="1"/>
      <c r="EYV9" s="1"/>
      <c r="EYW9" s="1"/>
      <c r="EYX9" s="1"/>
      <c r="EYY9" s="1"/>
      <c r="EYZ9" s="1"/>
      <c r="EZA9" s="1"/>
      <c r="EZB9" s="1"/>
      <c r="EZC9" s="1"/>
      <c r="EZD9" s="1"/>
      <c r="EZE9" s="1"/>
      <c r="EZF9" s="1"/>
      <c r="EZG9" s="1"/>
      <c r="EZH9" s="1"/>
      <c r="EZI9" s="1"/>
      <c r="EZJ9" s="1"/>
      <c r="EZK9" s="1"/>
      <c r="EZL9" s="1"/>
      <c r="EZM9" s="1"/>
      <c r="EZN9" s="1"/>
      <c r="EZO9" s="1"/>
      <c r="EZP9" s="1"/>
      <c r="EZQ9" s="1"/>
      <c r="EZR9" s="1"/>
      <c r="EZS9" s="1"/>
      <c r="EZT9" s="1"/>
      <c r="EZU9" s="1"/>
      <c r="EZV9" s="1"/>
      <c r="EZW9" s="1"/>
      <c r="EZX9" s="1"/>
      <c r="EZY9" s="1"/>
      <c r="EZZ9" s="1"/>
      <c r="FAA9" s="1"/>
      <c r="FAB9" s="1"/>
      <c r="FAC9" s="1"/>
      <c r="FAD9" s="1"/>
      <c r="FAE9" s="1"/>
      <c r="FAF9" s="1"/>
      <c r="FAG9" s="1"/>
      <c r="FAH9" s="1"/>
      <c r="FAI9" s="1"/>
      <c r="FAJ9" s="1"/>
      <c r="FAK9" s="1"/>
      <c r="FAL9" s="1"/>
      <c r="FAM9" s="1"/>
      <c r="FAN9" s="1"/>
      <c r="FAO9" s="1"/>
      <c r="FAP9" s="1"/>
      <c r="FAQ9" s="1"/>
      <c r="FAR9" s="1"/>
      <c r="FAS9" s="1"/>
      <c r="FAT9" s="1"/>
      <c r="FAU9" s="1"/>
      <c r="FAV9" s="1"/>
      <c r="FAW9" s="1"/>
      <c r="FAX9" s="1"/>
      <c r="FAY9" s="1"/>
      <c r="FAZ9" s="1"/>
      <c r="FBA9" s="1"/>
      <c r="FBB9" s="1"/>
      <c r="FBC9" s="1"/>
      <c r="FBD9" s="1"/>
      <c r="FBE9" s="1"/>
      <c r="FBF9" s="1"/>
      <c r="FBG9" s="1"/>
      <c r="FBH9" s="1"/>
      <c r="FBI9" s="1"/>
      <c r="FBJ9" s="1"/>
      <c r="FBK9" s="1"/>
      <c r="FBL9" s="1"/>
      <c r="FBM9" s="1"/>
      <c r="FBN9" s="1"/>
      <c r="FBO9" s="1"/>
      <c r="FBP9" s="1"/>
      <c r="FBQ9" s="1"/>
      <c r="FBR9" s="1"/>
      <c r="FBS9" s="1"/>
      <c r="FBT9" s="1"/>
      <c r="FBU9" s="1"/>
      <c r="FBV9" s="1"/>
      <c r="FBW9" s="1"/>
      <c r="FBX9" s="1"/>
      <c r="FBY9" s="1"/>
      <c r="FBZ9" s="1"/>
      <c r="FCA9" s="1"/>
      <c r="FCB9" s="1"/>
      <c r="FCC9" s="1"/>
      <c r="FCD9" s="1"/>
      <c r="FCE9" s="1"/>
      <c r="FCF9" s="1"/>
      <c r="FCG9" s="1"/>
      <c r="FCH9" s="1"/>
      <c r="FCI9" s="1"/>
      <c r="FCJ9" s="1"/>
      <c r="FCK9" s="1"/>
      <c r="FCL9" s="1"/>
      <c r="FCM9" s="1"/>
      <c r="FCN9" s="1"/>
      <c r="FCO9" s="1"/>
      <c r="FCP9" s="1"/>
      <c r="FCQ9" s="1"/>
      <c r="FCR9" s="1"/>
      <c r="FCS9" s="1"/>
      <c r="FCT9" s="1"/>
      <c r="FCU9" s="1"/>
      <c r="FCV9" s="1"/>
      <c r="FCW9" s="1"/>
      <c r="FCX9" s="1"/>
      <c r="FCY9" s="1"/>
      <c r="FCZ9" s="1"/>
      <c r="FDA9" s="1"/>
      <c r="FDB9" s="1"/>
      <c r="FDC9" s="1"/>
      <c r="FDD9" s="1"/>
      <c r="FDE9" s="1"/>
      <c r="FDF9" s="1"/>
      <c r="FDG9" s="1"/>
      <c r="FDH9" s="1"/>
      <c r="FDI9" s="1"/>
      <c r="FDJ9" s="1"/>
      <c r="FDK9" s="1"/>
      <c r="FDL9" s="1"/>
      <c r="FDM9" s="1"/>
      <c r="FDN9" s="1"/>
      <c r="FDO9" s="1"/>
      <c r="FDP9" s="1"/>
      <c r="FDQ9" s="1"/>
      <c r="FDR9" s="1"/>
      <c r="FDS9" s="1"/>
      <c r="FDT9" s="1"/>
      <c r="FDU9" s="1"/>
      <c r="FDV9" s="1"/>
      <c r="FDW9" s="1"/>
      <c r="FDX9" s="1"/>
      <c r="FDY9" s="1"/>
      <c r="FDZ9" s="1"/>
      <c r="FEA9" s="1"/>
      <c r="FEB9" s="1"/>
      <c r="FEC9" s="1"/>
      <c r="FED9" s="1"/>
      <c r="FEE9" s="1"/>
      <c r="FEF9" s="1"/>
      <c r="FEG9" s="1"/>
      <c r="FEH9" s="1"/>
      <c r="FEI9" s="1"/>
      <c r="FEJ9" s="1"/>
      <c r="FEK9" s="1"/>
      <c r="FEL9" s="1"/>
      <c r="FEM9" s="1"/>
      <c r="FEN9" s="1"/>
      <c r="FEO9" s="1"/>
      <c r="FEP9" s="1"/>
      <c r="FEQ9" s="1"/>
      <c r="FER9" s="1"/>
      <c r="FES9" s="1"/>
      <c r="FET9" s="1"/>
      <c r="FEU9" s="1"/>
      <c r="FEV9" s="1"/>
      <c r="FEW9" s="1"/>
      <c r="FEX9" s="1"/>
      <c r="FEY9" s="1"/>
      <c r="FEZ9" s="1"/>
      <c r="FFA9" s="1"/>
      <c r="FFB9" s="1"/>
      <c r="FFC9" s="1"/>
      <c r="FFD9" s="1"/>
      <c r="FFE9" s="1"/>
      <c r="FFF9" s="1"/>
      <c r="FFG9" s="1"/>
      <c r="FFH9" s="1"/>
      <c r="FFI9" s="1"/>
      <c r="FFJ9" s="1"/>
      <c r="FFK9" s="1"/>
      <c r="FFL9" s="1"/>
      <c r="FFM9" s="1"/>
      <c r="FFN9" s="1"/>
      <c r="FFO9" s="1"/>
      <c r="FFP9" s="1"/>
      <c r="FFQ9" s="1"/>
      <c r="FFR9" s="1"/>
      <c r="FFS9" s="1"/>
      <c r="FFT9" s="1"/>
      <c r="FFU9" s="1"/>
      <c r="FFV9" s="1"/>
      <c r="FFW9" s="1"/>
      <c r="FFX9" s="1"/>
      <c r="FFY9" s="1"/>
      <c r="FFZ9" s="1"/>
      <c r="FGA9" s="1"/>
      <c r="FGB9" s="1"/>
      <c r="FGC9" s="1"/>
      <c r="FGD9" s="1"/>
      <c r="FGE9" s="1"/>
      <c r="FGF9" s="1"/>
      <c r="FGG9" s="1"/>
      <c r="FGH9" s="1"/>
      <c r="FGI9" s="1"/>
      <c r="FGJ9" s="1"/>
      <c r="FGK9" s="1"/>
      <c r="FGL9" s="1"/>
      <c r="FGM9" s="1"/>
      <c r="FGN9" s="1"/>
      <c r="FGO9" s="1"/>
      <c r="FGP9" s="1"/>
      <c r="FGQ9" s="1"/>
      <c r="FGR9" s="1"/>
      <c r="FGS9" s="1"/>
      <c r="FGT9" s="1"/>
      <c r="FGU9" s="1"/>
      <c r="FGV9" s="1"/>
      <c r="FGW9" s="1"/>
      <c r="FGX9" s="1"/>
      <c r="FGY9" s="1"/>
      <c r="FGZ9" s="1"/>
      <c r="FHA9" s="1"/>
      <c r="FHB9" s="1"/>
      <c r="FHC9" s="1"/>
      <c r="FHD9" s="1"/>
      <c r="FHE9" s="1"/>
      <c r="FHF9" s="1"/>
      <c r="FHG9" s="1"/>
      <c r="FHH9" s="1"/>
      <c r="FHI9" s="1"/>
      <c r="FHJ9" s="1"/>
      <c r="FHK9" s="1"/>
      <c r="FHL9" s="1"/>
      <c r="FHM9" s="1"/>
      <c r="FHN9" s="1"/>
      <c r="FHO9" s="1"/>
      <c r="FHP9" s="1"/>
      <c r="FHQ9" s="1"/>
      <c r="FHR9" s="1"/>
      <c r="FHS9" s="1"/>
      <c r="FHT9" s="1"/>
      <c r="FHU9" s="1"/>
      <c r="FHV9" s="1"/>
      <c r="FHW9" s="1"/>
      <c r="FHX9" s="1"/>
      <c r="FHY9" s="1"/>
      <c r="FHZ9" s="1"/>
      <c r="FIA9" s="1"/>
      <c r="FIB9" s="1"/>
      <c r="FIC9" s="1"/>
      <c r="FID9" s="1"/>
      <c r="FIE9" s="1"/>
      <c r="FIF9" s="1"/>
      <c r="FIG9" s="1"/>
      <c r="FIH9" s="1"/>
      <c r="FII9" s="1"/>
      <c r="FIJ9" s="1"/>
      <c r="FIK9" s="1"/>
      <c r="FIL9" s="1"/>
      <c r="FIM9" s="1"/>
      <c r="FIN9" s="1"/>
      <c r="FIO9" s="1"/>
      <c r="FIP9" s="1"/>
      <c r="FIQ9" s="1"/>
      <c r="FIR9" s="1"/>
      <c r="FIS9" s="1"/>
      <c r="FIT9" s="1"/>
      <c r="FIU9" s="1"/>
      <c r="FIV9" s="1"/>
      <c r="FIW9" s="1"/>
      <c r="FIX9" s="1"/>
      <c r="FIY9" s="1"/>
      <c r="FIZ9" s="1"/>
      <c r="FJA9" s="1"/>
      <c r="FJB9" s="1"/>
      <c r="FJC9" s="1"/>
      <c r="FJD9" s="1"/>
      <c r="FJE9" s="1"/>
      <c r="FJF9" s="1"/>
      <c r="FJG9" s="1"/>
      <c r="FJH9" s="1"/>
      <c r="FJI9" s="1"/>
      <c r="FJJ9" s="1"/>
      <c r="FJK9" s="1"/>
      <c r="FJL9" s="1"/>
      <c r="FJM9" s="1"/>
      <c r="FJN9" s="1"/>
      <c r="FJO9" s="1"/>
      <c r="FJP9" s="1"/>
      <c r="FJQ9" s="1"/>
      <c r="FJR9" s="1"/>
      <c r="FJS9" s="1"/>
      <c r="FJT9" s="1"/>
      <c r="FJU9" s="1"/>
      <c r="FJV9" s="1"/>
      <c r="FJW9" s="1"/>
      <c r="FJX9" s="1"/>
      <c r="FJY9" s="1"/>
      <c r="FJZ9" s="1"/>
      <c r="FKA9" s="1"/>
      <c r="FKB9" s="1"/>
      <c r="FKC9" s="1"/>
      <c r="FKD9" s="1"/>
      <c r="FKE9" s="1"/>
      <c r="FKF9" s="1"/>
      <c r="FKG9" s="1"/>
      <c r="FKH9" s="1"/>
      <c r="FKI9" s="1"/>
      <c r="FKJ9" s="1"/>
      <c r="FKK9" s="1"/>
      <c r="FKL9" s="1"/>
      <c r="FKM9" s="1"/>
      <c r="FKN9" s="1"/>
      <c r="FKO9" s="1"/>
      <c r="FKP9" s="1"/>
      <c r="FKQ9" s="1"/>
      <c r="FKR9" s="1"/>
      <c r="FKS9" s="1"/>
      <c r="FKT9" s="1"/>
      <c r="FKU9" s="1"/>
      <c r="FKV9" s="1"/>
      <c r="FKW9" s="1"/>
      <c r="FKX9" s="1"/>
      <c r="FKY9" s="1"/>
      <c r="FKZ9" s="1"/>
      <c r="FLA9" s="1"/>
      <c r="FLB9" s="1"/>
      <c r="FLC9" s="1"/>
      <c r="FLD9" s="1"/>
      <c r="FLE9" s="1"/>
      <c r="FLF9" s="1"/>
      <c r="FLG9" s="1"/>
      <c r="FLH9" s="1"/>
      <c r="FLI9" s="1"/>
      <c r="FLJ9" s="1"/>
      <c r="FLK9" s="1"/>
      <c r="FLL9" s="1"/>
      <c r="FLM9" s="1"/>
      <c r="FLN9" s="1"/>
      <c r="FLO9" s="1"/>
      <c r="FLP9" s="1"/>
      <c r="FLQ9" s="1"/>
      <c r="FLR9" s="1"/>
      <c r="FLS9" s="1"/>
      <c r="FLT9" s="1"/>
      <c r="FLU9" s="1"/>
      <c r="FLV9" s="1"/>
      <c r="FLW9" s="1"/>
      <c r="FLX9" s="1"/>
      <c r="FLY9" s="1"/>
      <c r="FLZ9" s="1"/>
      <c r="FMA9" s="1"/>
      <c r="FMB9" s="1"/>
      <c r="FMC9" s="1"/>
      <c r="FMD9" s="1"/>
      <c r="FME9" s="1"/>
      <c r="FMF9" s="1"/>
      <c r="FMG9" s="1"/>
      <c r="FMH9" s="1"/>
      <c r="FMI9" s="1"/>
      <c r="FMJ9" s="1"/>
      <c r="FMK9" s="1"/>
      <c r="FML9" s="1"/>
      <c r="FMM9" s="1"/>
      <c r="FMN9" s="1"/>
      <c r="FMO9" s="1"/>
      <c r="FMP9" s="1"/>
      <c r="FMQ9" s="1"/>
      <c r="FMR9" s="1"/>
      <c r="FMS9" s="1"/>
      <c r="FMT9" s="1"/>
      <c r="FMU9" s="1"/>
      <c r="FMV9" s="1"/>
      <c r="FMW9" s="1"/>
      <c r="FMX9" s="1"/>
      <c r="FMY9" s="1"/>
      <c r="FMZ9" s="1"/>
      <c r="FNA9" s="1"/>
      <c r="FNB9" s="1"/>
      <c r="FNC9" s="1"/>
      <c r="FND9" s="1"/>
      <c r="FNE9" s="1"/>
      <c r="FNF9" s="1"/>
      <c r="FNG9" s="1"/>
      <c r="FNH9" s="1"/>
      <c r="FNI9" s="1"/>
      <c r="FNJ9" s="1"/>
      <c r="FNK9" s="1"/>
      <c r="FNL9" s="1"/>
      <c r="FNM9" s="1"/>
      <c r="FNN9" s="1"/>
      <c r="FNO9" s="1"/>
      <c r="FNP9" s="1"/>
      <c r="FNQ9" s="1"/>
      <c r="FNR9" s="1"/>
      <c r="FNS9" s="1"/>
      <c r="FNT9" s="1"/>
      <c r="FNU9" s="1"/>
      <c r="FNV9" s="1"/>
      <c r="FNW9" s="1"/>
      <c r="FNX9" s="1"/>
      <c r="FNY9" s="1"/>
      <c r="FNZ9" s="1"/>
      <c r="FOA9" s="1"/>
      <c r="FOB9" s="1"/>
      <c r="FOC9" s="1"/>
      <c r="FOD9" s="1"/>
      <c r="FOE9" s="1"/>
      <c r="FOF9" s="1"/>
      <c r="FOG9" s="1"/>
      <c r="FOH9" s="1"/>
      <c r="FOI9" s="1"/>
      <c r="FOJ9" s="1"/>
      <c r="FOK9" s="1"/>
      <c r="FOL9" s="1"/>
      <c r="FOM9" s="1"/>
      <c r="FON9" s="1"/>
      <c r="FOO9" s="1"/>
      <c r="FOP9" s="1"/>
      <c r="FOQ9" s="1"/>
      <c r="FOR9" s="1"/>
      <c r="FOS9" s="1"/>
      <c r="FOT9" s="1"/>
      <c r="FOU9" s="1"/>
      <c r="FOV9" s="1"/>
      <c r="FOW9" s="1"/>
      <c r="FOX9" s="1"/>
      <c r="FOY9" s="1"/>
      <c r="FOZ9" s="1"/>
      <c r="FPA9" s="1"/>
      <c r="FPB9" s="1"/>
      <c r="FPC9" s="1"/>
      <c r="FPD9" s="1"/>
      <c r="FPE9" s="1"/>
      <c r="FPF9" s="1"/>
      <c r="FPG9" s="1"/>
      <c r="FPH9" s="1"/>
      <c r="FPI9" s="1"/>
      <c r="FPJ9" s="1"/>
      <c r="FPK9" s="1"/>
      <c r="FPL9" s="1"/>
      <c r="FPM9" s="1"/>
      <c r="FPN9" s="1"/>
      <c r="FPO9" s="1"/>
      <c r="FPP9" s="1"/>
      <c r="FPQ9" s="1"/>
      <c r="FPR9" s="1"/>
      <c r="FPS9" s="1"/>
      <c r="FPT9" s="1"/>
      <c r="FPU9" s="1"/>
      <c r="FPV9" s="1"/>
      <c r="FPW9" s="1"/>
      <c r="FPX9" s="1"/>
      <c r="FPY9" s="1"/>
      <c r="FPZ9" s="1"/>
      <c r="FQA9" s="1"/>
      <c r="FQB9" s="1"/>
      <c r="FQC9" s="1"/>
      <c r="FQD9" s="1"/>
      <c r="FQE9" s="1"/>
      <c r="FQF9" s="1"/>
      <c r="FQG9" s="1"/>
      <c r="FQH9" s="1"/>
      <c r="FQI9" s="1"/>
      <c r="FQJ9" s="1"/>
      <c r="FQK9" s="1"/>
      <c r="FQL9" s="1"/>
      <c r="FQM9" s="1"/>
      <c r="FQN9" s="1"/>
      <c r="FQO9" s="1"/>
      <c r="FQP9" s="1"/>
      <c r="FQQ9" s="1"/>
      <c r="FQR9" s="1"/>
      <c r="FQS9" s="1"/>
      <c r="FQT9" s="1"/>
      <c r="FQU9" s="1"/>
      <c r="FQV9" s="1"/>
      <c r="FQW9" s="1"/>
      <c r="FQX9" s="1"/>
      <c r="FQY9" s="1"/>
      <c r="FQZ9" s="1"/>
      <c r="FRA9" s="1"/>
      <c r="FRB9" s="1"/>
      <c r="FRC9" s="1"/>
      <c r="FRD9" s="1"/>
      <c r="FRE9" s="1"/>
      <c r="FRF9" s="1"/>
      <c r="FRG9" s="1"/>
      <c r="FRH9" s="1"/>
      <c r="FRI9" s="1"/>
      <c r="FRJ9" s="1"/>
      <c r="FRK9" s="1"/>
      <c r="FRL9" s="1"/>
      <c r="FRM9" s="1"/>
      <c r="FRN9" s="1"/>
      <c r="FRO9" s="1"/>
      <c r="FRP9" s="1"/>
      <c r="FRQ9" s="1"/>
      <c r="FRR9" s="1"/>
      <c r="FRS9" s="1"/>
      <c r="FRT9" s="1"/>
      <c r="FRU9" s="1"/>
      <c r="FRV9" s="1"/>
      <c r="FRW9" s="1"/>
      <c r="FRX9" s="1"/>
      <c r="FRY9" s="1"/>
      <c r="FRZ9" s="1"/>
      <c r="FSA9" s="1"/>
      <c r="FSB9" s="1"/>
      <c r="FSC9" s="1"/>
      <c r="FSD9" s="1"/>
      <c r="FSE9" s="1"/>
      <c r="FSF9" s="1"/>
      <c r="FSG9" s="1"/>
      <c r="FSH9" s="1"/>
      <c r="FSI9" s="1"/>
      <c r="FSJ9" s="1"/>
      <c r="FSK9" s="1"/>
      <c r="FSL9" s="1"/>
      <c r="FSM9" s="1"/>
      <c r="FSN9" s="1"/>
      <c r="FSO9" s="1"/>
      <c r="FSP9" s="1"/>
      <c r="FSQ9" s="1"/>
      <c r="FSR9" s="1"/>
      <c r="FSS9" s="1"/>
      <c r="FST9" s="1"/>
      <c r="FSU9" s="1"/>
      <c r="FSV9" s="1"/>
      <c r="FSW9" s="1"/>
      <c r="FSX9" s="1"/>
      <c r="FSY9" s="1"/>
      <c r="FSZ9" s="1"/>
      <c r="FTA9" s="1"/>
      <c r="FTB9" s="1"/>
      <c r="FTC9" s="1"/>
      <c r="FTD9" s="1"/>
      <c r="FTE9" s="1"/>
      <c r="FTF9" s="1"/>
      <c r="FTG9" s="1"/>
      <c r="FTH9" s="1"/>
      <c r="FTI9" s="1"/>
      <c r="FTJ9" s="1"/>
      <c r="FTK9" s="1"/>
      <c r="FTL9" s="1"/>
      <c r="FTM9" s="1"/>
      <c r="FTN9" s="1"/>
      <c r="FTO9" s="1"/>
      <c r="FTP9" s="1"/>
      <c r="FTQ9" s="1"/>
      <c r="FTR9" s="1"/>
      <c r="FTS9" s="1"/>
      <c r="FTT9" s="1"/>
      <c r="FTU9" s="1"/>
      <c r="FTV9" s="1"/>
      <c r="FTW9" s="1"/>
      <c r="FTX9" s="1"/>
      <c r="FTY9" s="1"/>
      <c r="FTZ9" s="1"/>
      <c r="FUA9" s="1"/>
      <c r="FUB9" s="1"/>
      <c r="FUC9" s="1"/>
      <c r="FUD9" s="1"/>
      <c r="FUE9" s="1"/>
      <c r="FUF9" s="1"/>
      <c r="FUG9" s="1"/>
      <c r="FUH9" s="1"/>
      <c r="FUI9" s="1"/>
      <c r="FUJ9" s="1"/>
      <c r="FUK9" s="1"/>
      <c r="FUL9" s="1"/>
      <c r="FUM9" s="1"/>
      <c r="FUN9" s="1"/>
      <c r="FUO9" s="1"/>
      <c r="FUP9" s="1"/>
      <c r="FUQ9" s="1"/>
      <c r="FUR9" s="1"/>
      <c r="FUS9" s="1"/>
      <c r="FUT9" s="1"/>
      <c r="FUU9" s="1"/>
      <c r="FUV9" s="1"/>
      <c r="FUW9" s="1"/>
      <c r="FUX9" s="1"/>
      <c r="FUY9" s="1"/>
      <c r="FUZ9" s="1"/>
      <c r="FVA9" s="1"/>
      <c r="FVB9" s="1"/>
      <c r="FVC9" s="1"/>
      <c r="FVD9" s="1"/>
      <c r="FVE9" s="1"/>
      <c r="FVF9" s="1"/>
      <c r="FVG9" s="1"/>
      <c r="FVH9" s="1"/>
      <c r="FVI9" s="1"/>
      <c r="FVJ9" s="1"/>
      <c r="FVK9" s="1"/>
      <c r="FVL9" s="1"/>
      <c r="FVM9" s="1"/>
      <c r="FVN9" s="1"/>
      <c r="FVO9" s="1"/>
      <c r="FVP9" s="1"/>
      <c r="FVQ9" s="1"/>
      <c r="FVR9" s="1"/>
      <c r="FVS9" s="1"/>
      <c r="FVT9" s="1"/>
      <c r="FVU9" s="1"/>
      <c r="FVV9" s="1"/>
      <c r="FVW9" s="1"/>
      <c r="FVX9" s="1"/>
      <c r="FVY9" s="1"/>
      <c r="FVZ9" s="1"/>
      <c r="FWA9" s="1"/>
      <c r="FWB9" s="1"/>
      <c r="FWC9" s="1"/>
      <c r="FWD9" s="1"/>
      <c r="FWE9" s="1"/>
      <c r="FWF9" s="1"/>
      <c r="FWG9" s="1"/>
      <c r="FWH9" s="1"/>
      <c r="FWI9" s="1"/>
      <c r="FWJ9" s="1"/>
      <c r="FWK9" s="1"/>
      <c r="FWL9" s="1"/>
      <c r="FWM9" s="1"/>
      <c r="FWN9" s="1"/>
      <c r="FWO9" s="1"/>
      <c r="FWP9" s="1"/>
      <c r="FWQ9" s="1"/>
      <c r="FWR9" s="1"/>
      <c r="FWS9" s="1"/>
      <c r="FWT9" s="1"/>
      <c r="FWU9" s="1"/>
      <c r="FWV9" s="1"/>
      <c r="FWW9" s="1"/>
      <c r="FWX9" s="1"/>
      <c r="FWY9" s="1"/>
      <c r="FWZ9" s="1"/>
      <c r="FXA9" s="1"/>
      <c r="FXB9" s="1"/>
      <c r="FXC9" s="1"/>
      <c r="FXD9" s="1"/>
      <c r="FXE9" s="1"/>
      <c r="FXF9" s="1"/>
      <c r="FXG9" s="1"/>
      <c r="FXH9" s="1"/>
      <c r="FXI9" s="1"/>
      <c r="FXJ9" s="1"/>
      <c r="FXK9" s="1"/>
      <c r="FXL9" s="1"/>
      <c r="FXM9" s="1"/>
      <c r="FXN9" s="1"/>
      <c r="FXO9" s="1"/>
      <c r="FXP9" s="1"/>
      <c r="FXQ9" s="1"/>
      <c r="FXR9" s="1"/>
      <c r="FXS9" s="1"/>
      <c r="FXT9" s="1"/>
      <c r="FXU9" s="1"/>
      <c r="FXV9" s="1"/>
      <c r="FXW9" s="1"/>
      <c r="FXX9" s="1"/>
      <c r="FXY9" s="1"/>
      <c r="FXZ9" s="1"/>
      <c r="FYA9" s="1"/>
      <c r="FYB9" s="1"/>
      <c r="FYC9" s="1"/>
      <c r="FYD9" s="1"/>
      <c r="FYE9" s="1"/>
      <c r="FYF9" s="1"/>
      <c r="FYG9" s="1"/>
      <c r="FYH9" s="1"/>
      <c r="FYI9" s="1"/>
      <c r="FYJ9" s="1"/>
      <c r="FYK9" s="1"/>
      <c r="FYL9" s="1"/>
      <c r="FYM9" s="1"/>
      <c r="FYN9" s="1"/>
      <c r="FYO9" s="1"/>
      <c r="FYP9" s="1"/>
      <c r="FYQ9" s="1"/>
      <c r="FYR9" s="1"/>
      <c r="FYS9" s="1"/>
      <c r="FYT9" s="1"/>
      <c r="FYU9" s="1"/>
      <c r="FYV9" s="1"/>
      <c r="FYW9" s="1"/>
      <c r="FYX9" s="1"/>
      <c r="FYY9" s="1"/>
      <c r="FYZ9" s="1"/>
      <c r="FZA9" s="1"/>
      <c r="FZB9" s="1"/>
      <c r="FZC9" s="1"/>
      <c r="FZD9" s="1"/>
      <c r="FZE9" s="1"/>
      <c r="FZF9" s="1"/>
      <c r="FZG9" s="1"/>
      <c r="FZH9" s="1"/>
      <c r="FZI9" s="1"/>
      <c r="FZJ9" s="1"/>
      <c r="FZK9" s="1"/>
      <c r="FZL9" s="1"/>
      <c r="FZM9" s="1"/>
      <c r="FZN9" s="1"/>
      <c r="FZO9" s="1"/>
      <c r="FZP9" s="1"/>
      <c r="FZQ9" s="1"/>
      <c r="FZR9" s="1"/>
      <c r="FZS9" s="1"/>
      <c r="FZT9" s="1"/>
      <c r="FZU9" s="1"/>
      <c r="FZV9" s="1"/>
      <c r="FZW9" s="1"/>
      <c r="FZX9" s="1"/>
      <c r="FZY9" s="1"/>
      <c r="FZZ9" s="1"/>
      <c r="GAA9" s="1"/>
      <c r="GAB9" s="1"/>
      <c r="GAC9" s="1"/>
      <c r="GAD9" s="1"/>
      <c r="GAE9" s="1"/>
      <c r="GAF9" s="1"/>
      <c r="GAG9" s="1"/>
      <c r="GAH9" s="1"/>
      <c r="GAI9" s="1"/>
      <c r="GAJ9" s="1"/>
      <c r="GAK9" s="1"/>
      <c r="GAL9" s="1"/>
      <c r="GAM9" s="1"/>
      <c r="GAN9" s="1"/>
      <c r="GAO9" s="1"/>
      <c r="GAP9" s="1"/>
      <c r="GAQ9" s="1"/>
      <c r="GAR9" s="1"/>
      <c r="GAS9" s="1"/>
      <c r="GAT9" s="1"/>
      <c r="GAU9" s="1"/>
      <c r="GAV9" s="1"/>
      <c r="GAW9" s="1"/>
      <c r="GAX9" s="1"/>
      <c r="GAY9" s="1"/>
      <c r="GAZ9" s="1"/>
      <c r="GBA9" s="1"/>
      <c r="GBB9" s="1"/>
      <c r="GBC9" s="1"/>
      <c r="GBD9" s="1"/>
      <c r="GBE9" s="1"/>
      <c r="GBF9" s="1"/>
      <c r="GBG9" s="1"/>
      <c r="GBH9" s="1"/>
      <c r="GBI9" s="1"/>
      <c r="GBJ9" s="1"/>
      <c r="GBK9" s="1"/>
      <c r="GBL9" s="1"/>
      <c r="GBM9" s="1"/>
      <c r="GBN9" s="1"/>
      <c r="GBO9" s="1"/>
      <c r="GBP9" s="1"/>
      <c r="GBQ9" s="1"/>
      <c r="GBR9" s="1"/>
      <c r="GBS9" s="1"/>
      <c r="GBT9" s="1"/>
      <c r="GBU9" s="1"/>
      <c r="GBV9" s="1"/>
      <c r="GBW9" s="1"/>
      <c r="GBX9" s="1"/>
      <c r="GBY9" s="1"/>
      <c r="GBZ9" s="1"/>
      <c r="GCA9" s="1"/>
      <c r="GCB9" s="1"/>
      <c r="GCC9" s="1"/>
      <c r="GCD9" s="1"/>
      <c r="GCE9" s="1"/>
      <c r="GCF9" s="1"/>
      <c r="GCG9" s="1"/>
      <c r="GCH9" s="1"/>
      <c r="GCI9" s="1"/>
      <c r="GCJ9" s="1"/>
      <c r="GCK9" s="1"/>
      <c r="GCL9" s="1"/>
      <c r="GCM9" s="1"/>
      <c r="GCN9" s="1"/>
      <c r="GCO9" s="1"/>
      <c r="GCP9" s="1"/>
      <c r="GCQ9" s="1"/>
      <c r="GCR9" s="1"/>
      <c r="GCS9" s="1"/>
      <c r="GCT9" s="1"/>
      <c r="GCU9" s="1"/>
      <c r="GCV9" s="1"/>
      <c r="GCW9" s="1"/>
      <c r="GCX9" s="1"/>
      <c r="GCY9" s="1"/>
      <c r="GCZ9" s="1"/>
      <c r="GDA9" s="1"/>
      <c r="GDB9" s="1"/>
      <c r="GDC9" s="1"/>
      <c r="GDD9" s="1"/>
      <c r="GDE9" s="1"/>
      <c r="GDF9" s="1"/>
      <c r="GDG9" s="1"/>
      <c r="GDH9" s="1"/>
      <c r="GDI9" s="1"/>
      <c r="GDJ9" s="1"/>
      <c r="GDK9" s="1"/>
      <c r="GDL9" s="1"/>
      <c r="GDM9" s="1"/>
      <c r="GDN9" s="1"/>
      <c r="GDO9" s="1"/>
      <c r="GDP9" s="1"/>
      <c r="GDQ9" s="1"/>
      <c r="GDR9" s="1"/>
      <c r="GDS9" s="1"/>
      <c r="GDT9" s="1"/>
      <c r="GDU9" s="1"/>
      <c r="GDV9" s="1"/>
      <c r="GDW9" s="1"/>
      <c r="GDX9" s="1"/>
      <c r="GDY9" s="1"/>
      <c r="GDZ9" s="1"/>
      <c r="GEA9" s="1"/>
      <c r="GEB9" s="1"/>
      <c r="GEC9" s="1"/>
      <c r="GED9" s="1"/>
      <c r="GEE9" s="1"/>
      <c r="GEF9" s="1"/>
      <c r="GEG9" s="1"/>
      <c r="GEH9" s="1"/>
      <c r="GEI9" s="1"/>
      <c r="GEJ9" s="1"/>
      <c r="GEK9" s="1"/>
      <c r="GEL9" s="1"/>
      <c r="GEM9" s="1"/>
      <c r="GEN9" s="1"/>
      <c r="GEO9" s="1"/>
      <c r="GEP9" s="1"/>
      <c r="GEQ9" s="1"/>
      <c r="GER9" s="1"/>
      <c r="GES9" s="1"/>
      <c r="GET9" s="1"/>
      <c r="GEU9" s="1"/>
      <c r="GEV9" s="1"/>
      <c r="GEW9" s="1"/>
      <c r="GEX9" s="1"/>
      <c r="GEY9" s="1"/>
      <c r="GEZ9" s="1"/>
      <c r="GFA9" s="1"/>
      <c r="GFB9" s="1"/>
      <c r="GFC9" s="1"/>
      <c r="GFD9" s="1"/>
      <c r="GFE9" s="1"/>
      <c r="GFF9" s="1"/>
      <c r="GFG9" s="1"/>
      <c r="GFH9" s="1"/>
      <c r="GFI9" s="1"/>
      <c r="GFJ9" s="1"/>
      <c r="GFK9" s="1"/>
      <c r="GFL9" s="1"/>
      <c r="GFM9" s="1"/>
      <c r="GFN9" s="1"/>
      <c r="GFO9" s="1"/>
      <c r="GFP9" s="1"/>
      <c r="GFQ9" s="1"/>
      <c r="GFR9" s="1"/>
      <c r="GFS9" s="1"/>
      <c r="GFT9" s="1"/>
      <c r="GFU9" s="1"/>
      <c r="GFV9" s="1"/>
      <c r="GFW9" s="1"/>
      <c r="GFX9" s="1"/>
      <c r="GFY9" s="1"/>
      <c r="GFZ9" s="1"/>
      <c r="GGA9" s="1"/>
      <c r="GGB9" s="1"/>
      <c r="GGC9" s="1"/>
      <c r="GGD9" s="1"/>
      <c r="GGE9" s="1"/>
      <c r="GGF9" s="1"/>
      <c r="GGG9" s="1"/>
      <c r="GGH9" s="1"/>
      <c r="GGI9" s="1"/>
      <c r="GGJ9" s="1"/>
      <c r="GGK9" s="1"/>
      <c r="GGL9" s="1"/>
      <c r="GGM9" s="1"/>
      <c r="GGN9" s="1"/>
      <c r="GGO9" s="1"/>
      <c r="GGP9" s="1"/>
      <c r="GGQ9" s="1"/>
      <c r="GGR9" s="1"/>
      <c r="GGS9" s="1"/>
      <c r="GGT9" s="1"/>
      <c r="GGU9" s="1"/>
      <c r="GGV9" s="1"/>
      <c r="GGW9" s="1"/>
      <c r="GGX9" s="1"/>
      <c r="GGY9" s="1"/>
      <c r="GGZ9" s="1"/>
      <c r="GHA9" s="1"/>
      <c r="GHB9" s="1"/>
      <c r="GHC9" s="1"/>
      <c r="GHD9" s="1"/>
      <c r="GHE9" s="1"/>
      <c r="GHF9" s="1"/>
      <c r="GHG9" s="1"/>
      <c r="GHH9" s="1"/>
      <c r="GHI9" s="1"/>
      <c r="GHJ9" s="1"/>
      <c r="GHK9" s="1"/>
      <c r="GHL9" s="1"/>
      <c r="GHM9" s="1"/>
      <c r="GHN9" s="1"/>
      <c r="GHO9" s="1"/>
      <c r="GHP9" s="1"/>
      <c r="GHQ9" s="1"/>
      <c r="GHR9" s="1"/>
      <c r="GHS9" s="1"/>
      <c r="GHT9" s="1"/>
      <c r="GHU9" s="1"/>
      <c r="GHV9" s="1"/>
      <c r="GHW9" s="1"/>
      <c r="GHX9" s="1"/>
      <c r="GHY9" s="1"/>
      <c r="GHZ9" s="1"/>
      <c r="GIA9" s="1"/>
      <c r="GIB9" s="1"/>
      <c r="GIC9" s="1"/>
      <c r="GID9" s="1"/>
      <c r="GIE9" s="1"/>
      <c r="GIF9" s="1"/>
      <c r="GIG9" s="1"/>
      <c r="GIH9" s="1"/>
      <c r="GII9" s="1"/>
      <c r="GIJ9" s="1"/>
      <c r="GIK9" s="1"/>
      <c r="GIL9" s="1"/>
      <c r="GIM9" s="1"/>
      <c r="GIN9" s="1"/>
      <c r="GIO9" s="1"/>
      <c r="GIP9" s="1"/>
      <c r="GIQ9" s="1"/>
      <c r="GIR9" s="1"/>
      <c r="GIS9" s="1"/>
      <c r="GIT9" s="1"/>
      <c r="GIU9" s="1"/>
      <c r="GIV9" s="1"/>
      <c r="GIW9" s="1"/>
      <c r="GIX9" s="1"/>
      <c r="GIY9" s="1"/>
      <c r="GIZ9" s="1"/>
      <c r="GJA9" s="1"/>
      <c r="GJB9" s="1"/>
      <c r="GJC9" s="1"/>
      <c r="GJD9" s="1"/>
      <c r="GJE9" s="1"/>
      <c r="GJF9" s="1"/>
      <c r="GJG9" s="1"/>
      <c r="GJH9" s="1"/>
      <c r="GJI9" s="1"/>
      <c r="GJJ9" s="1"/>
      <c r="GJK9" s="1"/>
      <c r="GJL9" s="1"/>
      <c r="GJM9" s="1"/>
      <c r="GJN9" s="1"/>
      <c r="GJO9" s="1"/>
      <c r="GJP9" s="1"/>
      <c r="GJQ9" s="1"/>
      <c r="GJR9" s="1"/>
      <c r="GJS9" s="1"/>
      <c r="GJT9" s="1"/>
      <c r="GJU9" s="1"/>
      <c r="GJV9" s="1"/>
      <c r="GJW9" s="1"/>
      <c r="GJX9" s="1"/>
      <c r="GJY9" s="1"/>
      <c r="GJZ9" s="1"/>
      <c r="GKA9" s="1"/>
      <c r="GKB9" s="1"/>
      <c r="GKC9" s="1"/>
      <c r="GKD9" s="1"/>
      <c r="GKE9" s="1"/>
      <c r="GKF9" s="1"/>
      <c r="GKG9" s="1"/>
      <c r="GKH9" s="1"/>
      <c r="GKI9" s="1"/>
      <c r="GKJ9" s="1"/>
      <c r="GKK9" s="1"/>
      <c r="GKL9" s="1"/>
      <c r="GKM9" s="1"/>
      <c r="GKN9" s="1"/>
      <c r="GKO9" s="1"/>
      <c r="GKP9" s="1"/>
      <c r="GKQ9" s="1"/>
      <c r="GKR9" s="1"/>
      <c r="GKS9" s="1"/>
      <c r="GKT9" s="1"/>
      <c r="GKU9" s="1"/>
      <c r="GKV9" s="1"/>
      <c r="GKW9" s="1"/>
      <c r="GKX9" s="1"/>
      <c r="GKY9" s="1"/>
      <c r="GKZ9" s="1"/>
      <c r="GLA9" s="1"/>
      <c r="GLB9" s="1"/>
      <c r="GLC9" s="1"/>
      <c r="GLD9" s="1"/>
      <c r="GLE9" s="1"/>
      <c r="GLF9" s="1"/>
      <c r="GLG9" s="1"/>
      <c r="GLH9" s="1"/>
      <c r="GLI9" s="1"/>
      <c r="GLJ9" s="1"/>
      <c r="GLK9" s="1"/>
      <c r="GLL9" s="1"/>
      <c r="GLM9" s="1"/>
      <c r="GLN9" s="1"/>
      <c r="GLO9" s="1"/>
      <c r="GLP9" s="1"/>
      <c r="GLQ9" s="1"/>
      <c r="GLR9" s="1"/>
      <c r="GLS9" s="1"/>
      <c r="GLT9" s="1"/>
      <c r="GLU9" s="1"/>
      <c r="GLV9" s="1"/>
      <c r="GLW9" s="1"/>
      <c r="GLX9" s="1"/>
      <c r="GLY9" s="1"/>
      <c r="GLZ9" s="1"/>
      <c r="GMA9" s="1"/>
      <c r="GMB9" s="1"/>
      <c r="GMC9" s="1"/>
      <c r="GMD9" s="1"/>
      <c r="GME9" s="1"/>
      <c r="GMF9" s="1"/>
      <c r="GMG9" s="1"/>
      <c r="GMH9" s="1"/>
      <c r="GMI9" s="1"/>
      <c r="GMJ9" s="1"/>
      <c r="GMK9" s="1"/>
      <c r="GML9" s="1"/>
      <c r="GMM9" s="1"/>
      <c r="GMN9" s="1"/>
      <c r="GMO9" s="1"/>
      <c r="GMP9" s="1"/>
      <c r="GMQ9" s="1"/>
      <c r="GMR9" s="1"/>
      <c r="GMS9" s="1"/>
      <c r="GMT9" s="1"/>
      <c r="GMU9" s="1"/>
      <c r="GMV9" s="1"/>
      <c r="GMW9" s="1"/>
      <c r="GMX9" s="1"/>
      <c r="GMY9" s="1"/>
      <c r="GMZ9" s="1"/>
      <c r="GNA9" s="1"/>
      <c r="GNB9" s="1"/>
      <c r="GNC9" s="1"/>
      <c r="GND9" s="1"/>
      <c r="GNE9" s="1"/>
      <c r="GNF9" s="1"/>
      <c r="GNG9" s="1"/>
      <c r="GNH9" s="1"/>
      <c r="GNI9" s="1"/>
      <c r="GNJ9" s="1"/>
      <c r="GNK9" s="1"/>
      <c r="GNL9" s="1"/>
      <c r="GNM9" s="1"/>
      <c r="GNN9" s="1"/>
      <c r="GNO9" s="1"/>
      <c r="GNP9" s="1"/>
      <c r="GNQ9" s="1"/>
      <c r="GNR9" s="1"/>
      <c r="GNS9" s="1"/>
      <c r="GNT9" s="1"/>
      <c r="GNU9" s="1"/>
      <c r="GNV9" s="1"/>
      <c r="GNW9" s="1"/>
      <c r="GNX9" s="1"/>
      <c r="GNY9" s="1"/>
      <c r="GNZ9" s="1"/>
      <c r="GOA9" s="1"/>
      <c r="GOB9" s="1"/>
      <c r="GOC9" s="1"/>
      <c r="GOD9" s="1"/>
      <c r="GOE9" s="1"/>
      <c r="GOF9" s="1"/>
      <c r="GOG9" s="1"/>
      <c r="GOH9" s="1"/>
      <c r="GOI9" s="1"/>
      <c r="GOJ9" s="1"/>
      <c r="GOK9" s="1"/>
      <c r="GOL9" s="1"/>
      <c r="GOM9" s="1"/>
      <c r="GON9" s="1"/>
      <c r="GOO9" s="1"/>
      <c r="GOP9" s="1"/>
      <c r="GOQ9" s="1"/>
      <c r="GOR9" s="1"/>
      <c r="GOS9" s="1"/>
      <c r="GOT9" s="1"/>
      <c r="GOU9" s="1"/>
      <c r="GOV9" s="1"/>
      <c r="GOW9" s="1"/>
      <c r="GOX9" s="1"/>
      <c r="GOY9" s="1"/>
      <c r="GOZ9" s="1"/>
      <c r="GPA9" s="1"/>
      <c r="GPB9" s="1"/>
      <c r="GPC9" s="1"/>
      <c r="GPD9" s="1"/>
      <c r="GPE9" s="1"/>
      <c r="GPF9" s="1"/>
      <c r="GPG9" s="1"/>
      <c r="GPH9" s="1"/>
      <c r="GPI9" s="1"/>
      <c r="GPJ9" s="1"/>
      <c r="GPK9" s="1"/>
      <c r="GPL9" s="1"/>
      <c r="GPM9" s="1"/>
      <c r="GPN9" s="1"/>
      <c r="GPO9" s="1"/>
      <c r="GPP9" s="1"/>
      <c r="GPQ9" s="1"/>
      <c r="GPR9" s="1"/>
      <c r="GPS9" s="1"/>
      <c r="GPT9" s="1"/>
      <c r="GPU9" s="1"/>
      <c r="GPV9" s="1"/>
      <c r="GPW9" s="1"/>
      <c r="GPX9" s="1"/>
      <c r="GPY9" s="1"/>
      <c r="GPZ9" s="1"/>
      <c r="GQA9" s="1"/>
      <c r="GQB9" s="1"/>
      <c r="GQC9" s="1"/>
      <c r="GQD9" s="1"/>
      <c r="GQE9" s="1"/>
      <c r="GQF9" s="1"/>
      <c r="GQG9" s="1"/>
      <c r="GQH9" s="1"/>
      <c r="GQI9" s="1"/>
      <c r="GQJ9" s="1"/>
      <c r="GQK9" s="1"/>
      <c r="GQL9" s="1"/>
      <c r="GQM9" s="1"/>
      <c r="GQN9" s="1"/>
      <c r="GQO9" s="1"/>
      <c r="GQP9" s="1"/>
      <c r="GQQ9" s="1"/>
      <c r="GQR9" s="1"/>
      <c r="GQS9" s="1"/>
      <c r="GQT9" s="1"/>
      <c r="GQU9" s="1"/>
      <c r="GQV9" s="1"/>
      <c r="GQW9" s="1"/>
      <c r="GQX9" s="1"/>
      <c r="GQY9" s="1"/>
      <c r="GQZ9" s="1"/>
      <c r="GRA9" s="1"/>
      <c r="GRB9" s="1"/>
      <c r="GRC9" s="1"/>
      <c r="GRD9" s="1"/>
      <c r="GRE9" s="1"/>
      <c r="GRF9" s="1"/>
      <c r="GRG9" s="1"/>
      <c r="GRH9" s="1"/>
      <c r="GRI9" s="1"/>
      <c r="GRJ9" s="1"/>
      <c r="GRK9" s="1"/>
      <c r="GRL9" s="1"/>
      <c r="GRM9" s="1"/>
      <c r="GRN9" s="1"/>
      <c r="GRO9" s="1"/>
      <c r="GRP9" s="1"/>
      <c r="GRQ9" s="1"/>
      <c r="GRR9" s="1"/>
      <c r="GRS9" s="1"/>
      <c r="GRT9" s="1"/>
      <c r="GRU9" s="1"/>
      <c r="GRV9" s="1"/>
      <c r="GRW9" s="1"/>
      <c r="GRX9" s="1"/>
      <c r="GRY9" s="1"/>
      <c r="GRZ9" s="1"/>
      <c r="GSA9" s="1"/>
      <c r="GSB9" s="1"/>
      <c r="GSC9" s="1"/>
      <c r="GSD9" s="1"/>
      <c r="GSE9" s="1"/>
      <c r="GSF9" s="1"/>
      <c r="GSG9" s="1"/>
      <c r="GSH9" s="1"/>
      <c r="GSI9" s="1"/>
      <c r="GSJ9" s="1"/>
      <c r="GSK9" s="1"/>
      <c r="GSL9" s="1"/>
      <c r="GSM9" s="1"/>
      <c r="GSN9" s="1"/>
      <c r="GSO9" s="1"/>
      <c r="GSP9" s="1"/>
      <c r="GSQ9" s="1"/>
      <c r="GSR9" s="1"/>
      <c r="GSS9" s="1"/>
      <c r="GST9" s="1"/>
      <c r="GSU9" s="1"/>
      <c r="GSV9" s="1"/>
      <c r="GSW9" s="1"/>
      <c r="GSX9" s="1"/>
      <c r="GSY9" s="1"/>
      <c r="GSZ9" s="1"/>
      <c r="GTA9" s="1"/>
      <c r="GTB9" s="1"/>
      <c r="GTC9" s="1"/>
      <c r="GTD9" s="1"/>
      <c r="GTE9" s="1"/>
      <c r="GTF9" s="1"/>
      <c r="GTG9" s="1"/>
      <c r="GTH9" s="1"/>
      <c r="GTI9" s="1"/>
      <c r="GTJ9" s="1"/>
      <c r="GTK9" s="1"/>
      <c r="GTL9" s="1"/>
      <c r="GTM9" s="1"/>
      <c r="GTN9" s="1"/>
      <c r="GTO9" s="1"/>
      <c r="GTP9" s="1"/>
      <c r="GTQ9" s="1"/>
      <c r="GTR9" s="1"/>
      <c r="GTS9" s="1"/>
      <c r="GTT9" s="1"/>
      <c r="GTU9" s="1"/>
      <c r="GTV9" s="1"/>
      <c r="GTW9" s="1"/>
      <c r="GTX9" s="1"/>
      <c r="GTY9" s="1"/>
      <c r="GTZ9" s="1"/>
      <c r="GUA9" s="1"/>
      <c r="GUB9" s="1"/>
      <c r="GUC9" s="1"/>
      <c r="GUD9" s="1"/>
      <c r="GUE9" s="1"/>
      <c r="GUF9" s="1"/>
      <c r="GUG9" s="1"/>
      <c r="GUH9" s="1"/>
      <c r="GUI9" s="1"/>
      <c r="GUJ9" s="1"/>
      <c r="GUK9" s="1"/>
      <c r="GUL9" s="1"/>
      <c r="GUM9" s="1"/>
      <c r="GUN9" s="1"/>
      <c r="GUO9" s="1"/>
      <c r="GUP9" s="1"/>
      <c r="GUQ9" s="1"/>
      <c r="GUR9" s="1"/>
      <c r="GUS9" s="1"/>
      <c r="GUT9" s="1"/>
      <c r="GUU9" s="1"/>
      <c r="GUV9" s="1"/>
      <c r="GUW9" s="1"/>
      <c r="GUX9" s="1"/>
      <c r="GUY9" s="1"/>
      <c r="GUZ9" s="1"/>
      <c r="GVA9" s="1"/>
      <c r="GVB9" s="1"/>
      <c r="GVC9" s="1"/>
      <c r="GVD9" s="1"/>
      <c r="GVE9" s="1"/>
      <c r="GVF9" s="1"/>
      <c r="GVG9" s="1"/>
      <c r="GVH9" s="1"/>
      <c r="GVI9" s="1"/>
      <c r="GVJ9" s="1"/>
      <c r="GVK9" s="1"/>
      <c r="GVL9" s="1"/>
      <c r="GVM9" s="1"/>
      <c r="GVN9" s="1"/>
      <c r="GVO9" s="1"/>
      <c r="GVP9" s="1"/>
      <c r="GVQ9" s="1"/>
      <c r="GVR9" s="1"/>
      <c r="GVS9" s="1"/>
      <c r="GVT9" s="1"/>
      <c r="GVU9" s="1"/>
      <c r="GVV9" s="1"/>
      <c r="GVW9" s="1"/>
      <c r="GVX9" s="1"/>
      <c r="GVY9" s="1"/>
      <c r="GVZ9" s="1"/>
      <c r="GWA9" s="1"/>
      <c r="GWB9" s="1"/>
      <c r="GWC9" s="1"/>
      <c r="GWD9" s="1"/>
      <c r="GWE9" s="1"/>
      <c r="GWF9" s="1"/>
      <c r="GWG9" s="1"/>
      <c r="GWH9" s="1"/>
      <c r="GWI9" s="1"/>
      <c r="GWJ9" s="1"/>
      <c r="GWK9" s="1"/>
      <c r="GWL9" s="1"/>
      <c r="GWM9" s="1"/>
      <c r="GWN9" s="1"/>
      <c r="GWO9" s="1"/>
      <c r="GWP9" s="1"/>
      <c r="GWQ9" s="1"/>
      <c r="GWR9" s="1"/>
      <c r="GWS9" s="1"/>
      <c r="GWT9" s="1"/>
      <c r="GWU9" s="1"/>
      <c r="GWV9" s="1"/>
      <c r="GWW9" s="1"/>
      <c r="GWX9" s="1"/>
      <c r="GWY9" s="1"/>
      <c r="GWZ9" s="1"/>
      <c r="GXA9" s="1"/>
      <c r="GXB9" s="1"/>
      <c r="GXC9" s="1"/>
      <c r="GXD9" s="1"/>
      <c r="GXE9" s="1"/>
      <c r="GXF9" s="1"/>
      <c r="GXG9" s="1"/>
      <c r="GXH9" s="1"/>
      <c r="GXI9" s="1"/>
      <c r="GXJ9" s="1"/>
      <c r="GXK9" s="1"/>
      <c r="GXL9" s="1"/>
      <c r="GXM9" s="1"/>
      <c r="GXN9" s="1"/>
      <c r="GXO9" s="1"/>
      <c r="GXP9" s="1"/>
      <c r="GXQ9" s="1"/>
      <c r="GXR9" s="1"/>
      <c r="GXS9" s="1"/>
      <c r="GXT9" s="1"/>
      <c r="GXU9" s="1"/>
      <c r="GXV9" s="1"/>
      <c r="GXW9" s="1"/>
      <c r="GXX9" s="1"/>
      <c r="GXY9" s="1"/>
      <c r="GXZ9" s="1"/>
      <c r="GYA9" s="1"/>
      <c r="GYB9" s="1"/>
      <c r="GYC9" s="1"/>
      <c r="GYD9" s="1"/>
      <c r="GYE9" s="1"/>
      <c r="GYF9" s="1"/>
      <c r="GYG9" s="1"/>
      <c r="GYH9" s="1"/>
      <c r="GYI9" s="1"/>
      <c r="GYJ9" s="1"/>
      <c r="GYK9" s="1"/>
      <c r="GYL9" s="1"/>
      <c r="GYM9" s="1"/>
      <c r="GYN9" s="1"/>
      <c r="GYO9" s="1"/>
      <c r="GYP9" s="1"/>
      <c r="GYQ9" s="1"/>
      <c r="GYR9" s="1"/>
      <c r="GYS9" s="1"/>
      <c r="GYT9" s="1"/>
      <c r="GYU9" s="1"/>
      <c r="GYV9" s="1"/>
      <c r="GYW9" s="1"/>
      <c r="GYX9" s="1"/>
      <c r="GYY9" s="1"/>
      <c r="GYZ9" s="1"/>
      <c r="GZA9" s="1"/>
      <c r="GZB9" s="1"/>
      <c r="GZC9" s="1"/>
      <c r="GZD9" s="1"/>
      <c r="GZE9" s="1"/>
      <c r="GZF9" s="1"/>
      <c r="GZG9" s="1"/>
      <c r="GZH9" s="1"/>
      <c r="GZI9" s="1"/>
      <c r="GZJ9" s="1"/>
      <c r="GZK9" s="1"/>
      <c r="GZL9" s="1"/>
      <c r="GZM9" s="1"/>
      <c r="GZN9" s="1"/>
      <c r="GZO9" s="1"/>
      <c r="GZP9" s="1"/>
      <c r="GZQ9" s="1"/>
      <c r="GZR9" s="1"/>
      <c r="GZS9" s="1"/>
      <c r="GZT9" s="1"/>
      <c r="GZU9" s="1"/>
      <c r="GZV9" s="1"/>
      <c r="GZW9" s="1"/>
      <c r="GZX9" s="1"/>
      <c r="GZY9" s="1"/>
      <c r="GZZ9" s="1"/>
      <c r="HAA9" s="1"/>
      <c r="HAB9" s="1"/>
      <c r="HAC9" s="1"/>
      <c r="HAD9" s="1"/>
      <c r="HAE9" s="1"/>
      <c r="HAF9" s="1"/>
      <c r="HAG9" s="1"/>
      <c r="HAH9" s="1"/>
      <c r="HAI9" s="1"/>
      <c r="HAJ9" s="1"/>
      <c r="HAK9" s="1"/>
      <c r="HAL9" s="1"/>
      <c r="HAM9" s="1"/>
      <c r="HAN9" s="1"/>
      <c r="HAO9" s="1"/>
      <c r="HAP9" s="1"/>
      <c r="HAQ9" s="1"/>
      <c r="HAR9" s="1"/>
      <c r="HAS9" s="1"/>
      <c r="HAT9" s="1"/>
      <c r="HAU9" s="1"/>
      <c r="HAV9" s="1"/>
      <c r="HAW9" s="1"/>
      <c r="HAX9" s="1"/>
      <c r="HAY9" s="1"/>
      <c r="HAZ9" s="1"/>
      <c r="HBA9" s="1"/>
      <c r="HBB9" s="1"/>
      <c r="HBC9" s="1"/>
      <c r="HBD9" s="1"/>
      <c r="HBE9" s="1"/>
      <c r="HBF9" s="1"/>
      <c r="HBG9" s="1"/>
      <c r="HBH9" s="1"/>
      <c r="HBI9" s="1"/>
      <c r="HBJ9" s="1"/>
      <c r="HBK9" s="1"/>
      <c r="HBL9" s="1"/>
      <c r="HBM9" s="1"/>
      <c r="HBN9" s="1"/>
      <c r="HBO9" s="1"/>
      <c r="HBP9" s="1"/>
      <c r="HBQ9" s="1"/>
      <c r="HBR9" s="1"/>
      <c r="HBS9" s="1"/>
      <c r="HBT9" s="1"/>
      <c r="HBU9" s="1"/>
      <c r="HBV9" s="1"/>
      <c r="HBW9" s="1"/>
      <c r="HBX9" s="1"/>
      <c r="HBY9" s="1"/>
      <c r="HBZ9" s="1"/>
      <c r="HCA9" s="1"/>
      <c r="HCB9" s="1"/>
      <c r="HCC9" s="1"/>
      <c r="HCD9" s="1"/>
      <c r="HCE9" s="1"/>
      <c r="HCF9" s="1"/>
      <c r="HCG9" s="1"/>
      <c r="HCH9" s="1"/>
      <c r="HCI9" s="1"/>
      <c r="HCJ9" s="1"/>
      <c r="HCK9" s="1"/>
      <c r="HCL9" s="1"/>
      <c r="HCM9" s="1"/>
      <c r="HCN9" s="1"/>
      <c r="HCO9" s="1"/>
      <c r="HCP9" s="1"/>
      <c r="HCQ9" s="1"/>
      <c r="HCR9" s="1"/>
      <c r="HCS9" s="1"/>
      <c r="HCT9" s="1"/>
      <c r="HCU9" s="1"/>
      <c r="HCV9" s="1"/>
      <c r="HCW9" s="1"/>
      <c r="HCX9" s="1"/>
      <c r="HCY9" s="1"/>
      <c r="HCZ9" s="1"/>
      <c r="HDA9" s="1"/>
      <c r="HDB9" s="1"/>
      <c r="HDC9" s="1"/>
      <c r="HDD9" s="1"/>
      <c r="HDE9" s="1"/>
      <c r="HDF9" s="1"/>
      <c r="HDG9" s="1"/>
      <c r="HDH9" s="1"/>
      <c r="HDI9" s="1"/>
      <c r="HDJ9" s="1"/>
      <c r="HDK9" s="1"/>
      <c r="HDL9" s="1"/>
      <c r="HDM9" s="1"/>
      <c r="HDN9" s="1"/>
      <c r="HDO9" s="1"/>
      <c r="HDP9" s="1"/>
      <c r="HDQ9" s="1"/>
      <c r="HDR9" s="1"/>
      <c r="HDS9" s="1"/>
      <c r="HDT9" s="1"/>
      <c r="HDU9" s="1"/>
      <c r="HDV9" s="1"/>
      <c r="HDW9" s="1"/>
      <c r="HDX9" s="1"/>
      <c r="HDY9" s="1"/>
      <c r="HDZ9" s="1"/>
      <c r="HEA9" s="1"/>
      <c r="HEB9" s="1"/>
      <c r="HEC9" s="1"/>
      <c r="HED9" s="1"/>
      <c r="HEE9" s="1"/>
      <c r="HEF9" s="1"/>
      <c r="HEG9" s="1"/>
      <c r="HEH9" s="1"/>
      <c r="HEI9" s="1"/>
      <c r="HEJ9" s="1"/>
      <c r="HEK9" s="1"/>
      <c r="HEL9" s="1"/>
      <c r="HEM9" s="1"/>
      <c r="HEN9" s="1"/>
      <c r="HEO9" s="1"/>
      <c r="HEP9" s="1"/>
      <c r="HEQ9" s="1"/>
      <c r="HER9" s="1"/>
      <c r="HES9" s="1"/>
      <c r="HET9" s="1"/>
      <c r="HEU9" s="1"/>
      <c r="HEV9" s="1"/>
      <c r="HEW9" s="1"/>
      <c r="HEX9" s="1"/>
      <c r="HEY9" s="1"/>
      <c r="HEZ9" s="1"/>
      <c r="HFA9" s="1"/>
      <c r="HFB9" s="1"/>
      <c r="HFC9" s="1"/>
      <c r="HFD9" s="1"/>
      <c r="HFE9" s="1"/>
      <c r="HFF9" s="1"/>
      <c r="HFG9" s="1"/>
      <c r="HFH9" s="1"/>
      <c r="HFI9" s="1"/>
      <c r="HFJ9" s="1"/>
      <c r="HFK9" s="1"/>
      <c r="HFL9" s="1"/>
      <c r="HFM9" s="1"/>
      <c r="HFN9" s="1"/>
      <c r="HFO9" s="1"/>
      <c r="HFP9" s="1"/>
      <c r="HFQ9" s="1"/>
      <c r="HFR9" s="1"/>
      <c r="HFS9" s="1"/>
      <c r="HFT9" s="1"/>
      <c r="HFU9" s="1"/>
      <c r="HFV9" s="1"/>
      <c r="HFW9" s="1"/>
      <c r="HFX9" s="1"/>
      <c r="HFY9" s="1"/>
      <c r="HFZ9" s="1"/>
      <c r="HGA9" s="1"/>
      <c r="HGB9" s="1"/>
      <c r="HGC9" s="1"/>
      <c r="HGD9" s="1"/>
      <c r="HGE9" s="1"/>
      <c r="HGF9" s="1"/>
      <c r="HGG9" s="1"/>
      <c r="HGH9" s="1"/>
      <c r="HGI9" s="1"/>
      <c r="HGJ9" s="1"/>
      <c r="HGK9" s="1"/>
      <c r="HGL9" s="1"/>
      <c r="HGM9" s="1"/>
      <c r="HGN9" s="1"/>
      <c r="HGO9" s="1"/>
      <c r="HGP9" s="1"/>
      <c r="HGQ9" s="1"/>
      <c r="HGR9" s="1"/>
      <c r="HGS9" s="1"/>
      <c r="HGT9" s="1"/>
      <c r="HGU9" s="1"/>
      <c r="HGV9" s="1"/>
      <c r="HGW9" s="1"/>
      <c r="HGX9" s="1"/>
      <c r="HGY9" s="1"/>
      <c r="HGZ9" s="1"/>
      <c r="HHA9" s="1"/>
      <c r="HHB9" s="1"/>
      <c r="HHC9" s="1"/>
      <c r="HHD9" s="1"/>
      <c r="HHE9" s="1"/>
      <c r="HHF9" s="1"/>
      <c r="HHG9" s="1"/>
      <c r="HHH9" s="1"/>
      <c r="HHI9" s="1"/>
      <c r="HHJ9" s="1"/>
      <c r="HHK9" s="1"/>
      <c r="HHL9" s="1"/>
      <c r="HHM9" s="1"/>
      <c r="HHN9" s="1"/>
      <c r="HHO9" s="1"/>
      <c r="HHP9" s="1"/>
      <c r="HHQ9" s="1"/>
      <c r="HHR9" s="1"/>
      <c r="HHS9" s="1"/>
      <c r="HHT9" s="1"/>
      <c r="HHU9" s="1"/>
      <c r="HHV9" s="1"/>
      <c r="HHW9" s="1"/>
      <c r="HHX9" s="1"/>
      <c r="HHY9" s="1"/>
      <c r="HHZ9" s="1"/>
      <c r="HIA9" s="1"/>
      <c r="HIB9" s="1"/>
      <c r="HIC9" s="1"/>
      <c r="HID9" s="1"/>
      <c r="HIE9" s="1"/>
      <c r="HIF9" s="1"/>
      <c r="HIG9" s="1"/>
      <c r="HIH9" s="1"/>
      <c r="HII9" s="1"/>
      <c r="HIJ9" s="1"/>
      <c r="HIK9" s="1"/>
      <c r="HIL9" s="1"/>
      <c r="HIM9" s="1"/>
      <c r="HIN9" s="1"/>
      <c r="HIO9" s="1"/>
      <c r="HIP9" s="1"/>
      <c r="HIQ9" s="1"/>
      <c r="HIR9" s="1"/>
      <c r="HIS9" s="1"/>
      <c r="HIT9" s="1"/>
      <c r="HIU9" s="1"/>
      <c r="HIV9" s="1"/>
      <c r="HIW9" s="1"/>
      <c r="HIX9" s="1"/>
      <c r="HIY9" s="1"/>
      <c r="HIZ9" s="1"/>
      <c r="HJA9" s="1"/>
      <c r="HJB9" s="1"/>
      <c r="HJC9" s="1"/>
      <c r="HJD9" s="1"/>
      <c r="HJE9" s="1"/>
      <c r="HJF9" s="1"/>
      <c r="HJG9" s="1"/>
      <c r="HJH9" s="1"/>
      <c r="HJI9" s="1"/>
      <c r="HJJ9" s="1"/>
      <c r="HJK9" s="1"/>
      <c r="HJL9" s="1"/>
      <c r="HJM9" s="1"/>
      <c r="HJN9" s="1"/>
      <c r="HJO9" s="1"/>
      <c r="HJP9" s="1"/>
      <c r="HJQ9" s="1"/>
      <c r="HJR9" s="1"/>
      <c r="HJS9" s="1"/>
      <c r="HJT9" s="1"/>
      <c r="HJU9" s="1"/>
      <c r="HJV9" s="1"/>
      <c r="HJW9" s="1"/>
      <c r="HJX9" s="1"/>
      <c r="HJY9" s="1"/>
      <c r="HJZ9" s="1"/>
      <c r="HKA9" s="1"/>
      <c r="HKB9" s="1"/>
      <c r="HKC9" s="1"/>
      <c r="HKD9" s="1"/>
      <c r="HKE9" s="1"/>
      <c r="HKF9" s="1"/>
      <c r="HKG9" s="1"/>
      <c r="HKH9" s="1"/>
      <c r="HKI9" s="1"/>
      <c r="HKJ9" s="1"/>
      <c r="HKK9" s="1"/>
      <c r="HKL9" s="1"/>
      <c r="HKM9" s="1"/>
      <c r="HKN9" s="1"/>
      <c r="HKO9" s="1"/>
      <c r="HKP9" s="1"/>
      <c r="HKQ9" s="1"/>
      <c r="HKR9" s="1"/>
      <c r="HKS9" s="1"/>
      <c r="HKT9" s="1"/>
      <c r="HKU9" s="1"/>
      <c r="HKV9" s="1"/>
      <c r="HKW9" s="1"/>
      <c r="HKX9" s="1"/>
      <c r="HKY9" s="1"/>
      <c r="HKZ9" s="1"/>
      <c r="HLA9" s="1"/>
      <c r="HLB9" s="1"/>
      <c r="HLC9" s="1"/>
      <c r="HLD9" s="1"/>
      <c r="HLE9" s="1"/>
      <c r="HLF9" s="1"/>
      <c r="HLG9" s="1"/>
      <c r="HLH9" s="1"/>
      <c r="HLI9" s="1"/>
      <c r="HLJ9" s="1"/>
      <c r="HLK9" s="1"/>
      <c r="HLL9" s="1"/>
      <c r="HLM9" s="1"/>
      <c r="HLN9" s="1"/>
      <c r="HLO9" s="1"/>
      <c r="HLP9" s="1"/>
      <c r="HLQ9" s="1"/>
      <c r="HLR9" s="1"/>
      <c r="HLS9" s="1"/>
      <c r="HLT9" s="1"/>
      <c r="HLU9" s="1"/>
      <c r="HLV9" s="1"/>
      <c r="HLW9" s="1"/>
      <c r="HLX9" s="1"/>
      <c r="HLY9" s="1"/>
      <c r="HLZ9" s="1"/>
      <c r="HMA9" s="1"/>
      <c r="HMB9" s="1"/>
      <c r="HMC9" s="1"/>
      <c r="HMD9" s="1"/>
      <c r="HME9" s="1"/>
      <c r="HMF9" s="1"/>
      <c r="HMG9" s="1"/>
      <c r="HMH9" s="1"/>
      <c r="HMI9" s="1"/>
      <c r="HMJ9" s="1"/>
      <c r="HMK9" s="1"/>
      <c r="HML9" s="1"/>
      <c r="HMM9" s="1"/>
      <c r="HMN9" s="1"/>
      <c r="HMO9" s="1"/>
      <c r="HMP9" s="1"/>
      <c r="HMQ9" s="1"/>
      <c r="HMR9" s="1"/>
      <c r="HMS9" s="1"/>
      <c r="HMT9" s="1"/>
      <c r="HMU9" s="1"/>
      <c r="HMV9" s="1"/>
      <c r="HMW9" s="1"/>
      <c r="HMX9" s="1"/>
      <c r="HMY9" s="1"/>
      <c r="HMZ9" s="1"/>
      <c r="HNA9" s="1"/>
      <c r="HNB9" s="1"/>
      <c r="HNC9" s="1"/>
      <c r="HND9" s="1"/>
      <c r="HNE9" s="1"/>
      <c r="HNF9" s="1"/>
      <c r="HNG9" s="1"/>
      <c r="HNH9" s="1"/>
      <c r="HNI9" s="1"/>
      <c r="HNJ9" s="1"/>
      <c r="HNK9" s="1"/>
      <c r="HNL9" s="1"/>
      <c r="HNM9" s="1"/>
      <c r="HNN9" s="1"/>
      <c r="HNO9" s="1"/>
      <c r="HNP9" s="1"/>
      <c r="HNQ9" s="1"/>
      <c r="HNR9" s="1"/>
      <c r="HNS9" s="1"/>
      <c r="HNT9" s="1"/>
      <c r="HNU9" s="1"/>
      <c r="HNV9" s="1"/>
      <c r="HNW9" s="1"/>
      <c r="HNX9" s="1"/>
      <c r="HNY9" s="1"/>
      <c r="HNZ9" s="1"/>
      <c r="HOA9" s="1"/>
      <c r="HOB9" s="1"/>
      <c r="HOC9" s="1"/>
      <c r="HOD9" s="1"/>
      <c r="HOE9" s="1"/>
      <c r="HOF9" s="1"/>
      <c r="HOG9" s="1"/>
      <c r="HOH9" s="1"/>
      <c r="HOI9" s="1"/>
      <c r="HOJ9" s="1"/>
      <c r="HOK9" s="1"/>
      <c r="HOL9" s="1"/>
      <c r="HOM9" s="1"/>
      <c r="HON9" s="1"/>
      <c r="HOO9" s="1"/>
      <c r="HOP9" s="1"/>
      <c r="HOQ9" s="1"/>
      <c r="HOR9" s="1"/>
      <c r="HOS9" s="1"/>
      <c r="HOT9" s="1"/>
      <c r="HOU9" s="1"/>
      <c r="HOV9" s="1"/>
      <c r="HOW9" s="1"/>
      <c r="HOX9" s="1"/>
      <c r="HOY9" s="1"/>
      <c r="HOZ9" s="1"/>
      <c r="HPA9" s="1"/>
      <c r="HPB9" s="1"/>
      <c r="HPC9" s="1"/>
      <c r="HPD9" s="1"/>
      <c r="HPE9" s="1"/>
      <c r="HPF9" s="1"/>
      <c r="HPG9" s="1"/>
      <c r="HPH9" s="1"/>
      <c r="HPI9" s="1"/>
      <c r="HPJ9" s="1"/>
      <c r="HPK9" s="1"/>
      <c r="HPL9" s="1"/>
      <c r="HPM9" s="1"/>
      <c r="HPN9" s="1"/>
      <c r="HPO9" s="1"/>
      <c r="HPP9" s="1"/>
      <c r="HPQ9" s="1"/>
      <c r="HPR9" s="1"/>
      <c r="HPS9" s="1"/>
      <c r="HPT9" s="1"/>
      <c r="HPU9" s="1"/>
      <c r="HPV9" s="1"/>
      <c r="HPW9" s="1"/>
      <c r="HPX9" s="1"/>
      <c r="HPY9" s="1"/>
      <c r="HPZ9" s="1"/>
      <c r="HQA9" s="1"/>
      <c r="HQB9" s="1"/>
      <c r="HQC9" s="1"/>
      <c r="HQD9" s="1"/>
      <c r="HQE9" s="1"/>
      <c r="HQF9" s="1"/>
      <c r="HQG9" s="1"/>
      <c r="HQH9" s="1"/>
      <c r="HQI9" s="1"/>
      <c r="HQJ9" s="1"/>
      <c r="HQK9" s="1"/>
      <c r="HQL9" s="1"/>
      <c r="HQM9" s="1"/>
      <c r="HQN9" s="1"/>
      <c r="HQO9" s="1"/>
      <c r="HQP9" s="1"/>
      <c r="HQQ9" s="1"/>
      <c r="HQR9" s="1"/>
      <c r="HQS9" s="1"/>
      <c r="HQT9" s="1"/>
      <c r="HQU9" s="1"/>
      <c r="HQV9" s="1"/>
      <c r="HQW9" s="1"/>
      <c r="HQX9" s="1"/>
      <c r="HQY9" s="1"/>
      <c r="HQZ9" s="1"/>
      <c r="HRA9" s="1"/>
      <c r="HRB9" s="1"/>
      <c r="HRC9" s="1"/>
      <c r="HRD9" s="1"/>
      <c r="HRE9" s="1"/>
      <c r="HRF9" s="1"/>
      <c r="HRG9" s="1"/>
      <c r="HRH9" s="1"/>
      <c r="HRI9" s="1"/>
      <c r="HRJ9" s="1"/>
      <c r="HRK9" s="1"/>
      <c r="HRL9" s="1"/>
      <c r="HRM9" s="1"/>
      <c r="HRN9" s="1"/>
      <c r="HRO9" s="1"/>
      <c r="HRP9" s="1"/>
      <c r="HRQ9" s="1"/>
      <c r="HRR9" s="1"/>
      <c r="HRS9" s="1"/>
      <c r="HRT9" s="1"/>
      <c r="HRU9" s="1"/>
      <c r="HRV9" s="1"/>
      <c r="HRW9" s="1"/>
      <c r="HRX9" s="1"/>
      <c r="HRY9" s="1"/>
      <c r="HRZ9" s="1"/>
      <c r="HSA9" s="1"/>
      <c r="HSB9" s="1"/>
      <c r="HSC9" s="1"/>
      <c r="HSD9" s="1"/>
      <c r="HSE9" s="1"/>
      <c r="HSF9" s="1"/>
      <c r="HSG9" s="1"/>
      <c r="HSH9" s="1"/>
      <c r="HSI9" s="1"/>
      <c r="HSJ9" s="1"/>
      <c r="HSK9" s="1"/>
      <c r="HSL9" s="1"/>
      <c r="HSM9" s="1"/>
      <c r="HSN9" s="1"/>
      <c r="HSO9" s="1"/>
      <c r="HSP9" s="1"/>
      <c r="HSQ9" s="1"/>
      <c r="HSR9" s="1"/>
      <c r="HSS9" s="1"/>
      <c r="HST9" s="1"/>
      <c r="HSU9" s="1"/>
      <c r="HSV9" s="1"/>
      <c r="HSW9" s="1"/>
      <c r="HSX9" s="1"/>
      <c r="HSY9" s="1"/>
      <c r="HSZ9" s="1"/>
      <c r="HTA9" s="1"/>
      <c r="HTB9" s="1"/>
      <c r="HTC9" s="1"/>
      <c r="HTD9" s="1"/>
      <c r="HTE9" s="1"/>
      <c r="HTF9" s="1"/>
      <c r="HTG9" s="1"/>
      <c r="HTH9" s="1"/>
      <c r="HTI9" s="1"/>
      <c r="HTJ9" s="1"/>
      <c r="HTK9" s="1"/>
      <c r="HTL9" s="1"/>
      <c r="HTM9" s="1"/>
      <c r="HTN9" s="1"/>
      <c r="HTO9" s="1"/>
      <c r="HTP9" s="1"/>
      <c r="HTQ9" s="1"/>
      <c r="HTR9" s="1"/>
      <c r="HTS9" s="1"/>
      <c r="HTT9" s="1"/>
      <c r="HTU9" s="1"/>
      <c r="HTV9" s="1"/>
      <c r="HTW9" s="1"/>
      <c r="HTX9" s="1"/>
      <c r="HTY9" s="1"/>
      <c r="HTZ9" s="1"/>
      <c r="HUA9" s="1"/>
      <c r="HUB9" s="1"/>
      <c r="HUC9" s="1"/>
      <c r="HUD9" s="1"/>
      <c r="HUE9" s="1"/>
      <c r="HUF9" s="1"/>
      <c r="HUG9" s="1"/>
      <c r="HUH9" s="1"/>
      <c r="HUI9" s="1"/>
      <c r="HUJ9" s="1"/>
      <c r="HUK9" s="1"/>
      <c r="HUL9" s="1"/>
      <c r="HUM9" s="1"/>
      <c r="HUN9" s="1"/>
      <c r="HUO9" s="1"/>
      <c r="HUP9" s="1"/>
      <c r="HUQ9" s="1"/>
      <c r="HUR9" s="1"/>
      <c r="HUS9" s="1"/>
      <c r="HUT9" s="1"/>
      <c r="HUU9" s="1"/>
      <c r="HUV9" s="1"/>
      <c r="HUW9" s="1"/>
      <c r="HUX9" s="1"/>
      <c r="HUY9" s="1"/>
      <c r="HUZ9" s="1"/>
      <c r="HVA9" s="1"/>
      <c r="HVB9" s="1"/>
      <c r="HVC9" s="1"/>
      <c r="HVD9" s="1"/>
      <c r="HVE9" s="1"/>
      <c r="HVF9" s="1"/>
      <c r="HVG9" s="1"/>
      <c r="HVH9" s="1"/>
      <c r="HVI9" s="1"/>
      <c r="HVJ9" s="1"/>
      <c r="HVK9" s="1"/>
      <c r="HVL9" s="1"/>
      <c r="HVM9" s="1"/>
      <c r="HVN9" s="1"/>
      <c r="HVO9" s="1"/>
      <c r="HVP9" s="1"/>
      <c r="HVQ9" s="1"/>
      <c r="HVR9" s="1"/>
      <c r="HVS9" s="1"/>
      <c r="HVT9" s="1"/>
      <c r="HVU9" s="1"/>
      <c r="HVV9" s="1"/>
      <c r="HVW9" s="1"/>
      <c r="HVX9" s="1"/>
      <c r="HVY9" s="1"/>
      <c r="HVZ9" s="1"/>
      <c r="HWA9" s="1"/>
      <c r="HWB9" s="1"/>
      <c r="HWC9" s="1"/>
      <c r="HWD9" s="1"/>
      <c r="HWE9" s="1"/>
      <c r="HWF9" s="1"/>
      <c r="HWG9" s="1"/>
      <c r="HWH9" s="1"/>
      <c r="HWI9" s="1"/>
      <c r="HWJ9" s="1"/>
      <c r="HWK9" s="1"/>
      <c r="HWL9" s="1"/>
      <c r="HWM9" s="1"/>
      <c r="HWN9" s="1"/>
      <c r="HWO9" s="1"/>
      <c r="HWP9" s="1"/>
      <c r="HWQ9" s="1"/>
      <c r="HWR9" s="1"/>
      <c r="HWS9" s="1"/>
      <c r="HWT9" s="1"/>
      <c r="HWU9" s="1"/>
      <c r="HWV9" s="1"/>
      <c r="HWW9" s="1"/>
      <c r="HWX9" s="1"/>
      <c r="HWY9" s="1"/>
      <c r="HWZ9" s="1"/>
      <c r="HXA9" s="1"/>
      <c r="HXB9" s="1"/>
      <c r="HXC9" s="1"/>
      <c r="HXD9" s="1"/>
      <c r="HXE9" s="1"/>
      <c r="HXF9" s="1"/>
      <c r="HXG9" s="1"/>
      <c r="HXH9" s="1"/>
      <c r="HXI9" s="1"/>
      <c r="HXJ9" s="1"/>
      <c r="HXK9" s="1"/>
      <c r="HXL9" s="1"/>
      <c r="HXM9" s="1"/>
      <c r="HXN9" s="1"/>
      <c r="HXO9" s="1"/>
      <c r="HXP9" s="1"/>
      <c r="HXQ9" s="1"/>
      <c r="HXR9" s="1"/>
      <c r="HXS9" s="1"/>
      <c r="HXT9" s="1"/>
      <c r="HXU9" s="1"/>
      <c r="HXV9" s="1"/>
      <c r="HXW9" s="1"/>
      <c r="HXX9" s="1"/>
      <c r="HXY9" s="1"/>
      <c r="HXZ9" s="1"/>
      <c r="HYA9" s="1"/>
      <c r="HYB9" s="1"/>
      <c r="HYC9" s="1"/>
      <c r="HYD9" s="1"/>
      <c r="HYE9" s="1"/>
      <c r="HYF9" s="1"/>
      <c r="HYG9" s="1"/>
      <c r="HYH9" s="1"/>
      <c r="HYI9" s="1"/>
      <c r="HYJ9" s="1"/>
      <c r="HYK9" s="1"/>
      <c r="HYL9" s="1"/>
      <c r="HYM9" s="1"/>
      <c r="HYN9" s="1"/>
      <c r="HYO9" s="1"/>
      <c r="HYP9" s="1"/>
      <c r="HYQ9" s="1"/>
      <c r="HYR9" s="1"/>
      <c r="HYS9" s="1"/>
      <c r="HYT9" s="1"/>
      <c r="HYU9" s="1"/>
      <c r="HYV9" s="1"/>
      <c r="HYW9" s="1"/>
      <c r="HYX9" s="1"/>
      <c r="HYY9" s="1"/>
      <c r="HYZ9" s="1"/>
      <c r="HZA9" s="1"/>
      <c r="HZB9" s="1"/>
      <c r="HZC9" s="1"/>
      <c r="HZD9" s="1"/>
      <c r="HZE9" s="1"/>
      <c r="HZF9" s="1"/>
      <c r="HZG9" s="1"/>
      <c r="HZH9" s="1"/>
      <c r="HZI9" s="1"/>
      <c r="HZJ9" s="1"/>
      <c r="HZK9" s="1"/>
      <c r="HZL9" s="1"/>
      <c r="HZM9" s="1"/>
      <c r="HZN9" s="1"/>
      <c r="HZO9" s="1"/>
      <c r="HZP9" s="1"/>
      <c r="HZQ9" s="1"/>
      <c r="HZR9" s="1"/>
      <c r="HZS9" s="1"/>
      <c r="HZT9" s="1"/>
      <c r="HZU9" s="1"/>
      <c r="HZV9" s="1"/>
      <c r="HZW9" s="1"/>
      <c r="HZX9" s="1"/>
      <c r="HZY9" s="1"/>
      <c r="HZZ9" s="1"/>
      <c r="IAA9" s="1"/>
      <c r="IAB9" s="1"/>
      <c r="IAC9" s="1"/>
      <c r="IAD9" s="1"/>
      <c r="IAE9" s="1"/>
      <c r="IAF9" s="1"/>
      <c r="IAG9" s="1"/>
      <c r="IAH9" s="1"/>
      <c r="IAI9" s="1"/>
      <c r="IAJ9" s="1"/>
      <c r="IAK9" s="1"/>
      <c r="IAL9" s="1"/>
      <c r="IAM9" s="1"/>
      <c r="IAN9" s="1"/>
      <c r="IAO9" s="1"/>
      <c r="IAP9" s="1"/>
      <c r="IAQ9" s="1"/>
      <c r="IAR9" s="1"/>
      <c r="IAS9" s="1"/>
      <c r="IAT9" s="1"/>
      <c r="IAU9" s="1"/>
      <c r="IAV9" s="1"/>
      <c r="IAW9" s="1"/>
      <c r="IAX9" s="1"/>
      <c r="IAY9" s="1"/>
      <c r="IAZ9" s="1"/>
      <c r="IBA9" s="1"/>
      <c r="IBB9" s="1"/>
      <c r="IBC9" s="1"/>
      <c r="IBD9" s="1"/>
      <c r="IBE9" s="1"/>
      <c r="IBF9" s="1"/>
      <c r="IBG9" s="1"/>
      <c r="IBH9" s="1"/>
      <c r="IBI9" s="1"/>
      <c r="IBJ9" s="1"/>
      <c r="IBK9" s="1"/>
      <c r="IBL9" s="1"/>
      <c r="IBM9" s="1"/>
      <c r="IBN9" s="1"/>
      <c r="IBO9" s="1"/>
      <c r="IBP9" s="1"/>
      <c r="IBQ9" s="1"/>
      <c r="IBR9" s="1"/>
      <c r="IBS9" s="1"/>
      <c r="IBT9" s="1"/>
      <c r="IBU9" s="1"/>
      <c r="IBV9" s="1"/>
      <c r="IBW9" s="1"/>
      <c r="IBX9" s="1"/>
      <c r="IBY9" s="1"/>
      <c r="IBZ9" s="1"/>
      <c r="ICA9" s="1"/>
      <c r="ICB9" s="1"/>
      <c r="ICC9" s="1"/>
      <c r="ICD9" s="1"/>
      <c r="ICE9" s="1"/>
      <c r="ICF9" s="1"/>
      <c r="ICG9" s="1"/>
      <c r="ICH9" s="1"/>
      <c r="ICI9" s="1"/>
      <c r="ICJ9" s="1"/>
      <c r="ICK9" s="1"/>
      <c r="ICL9" s="1"/>
      <c r="ICM9" s="1"/>
      <c r="ICN9" s="1"/>
      <c r="ICO9" s="1"/>
      <c r="ICP9" s="1"/>
      <c r="ICQ9" s="1"/>
      <c r="ICR9" s="1"/>
      <c r="ICS9" s="1"/>
      <c r="ICT9" s="1"/>
      <c r="ICU9" s="1"/>
      <c r="ICV9" s="1"/>
      <c r="ICW9" s="1"/>
      <c r="ICX9" s="1"/>
      <c r="ICY9" s="1"/>
      <c r="ICZ9" s="1"/>
      <c r="IDA9" s="1"/>
      <c r="IDB9" s="1"/>
      <c r="IDC9" s="1"/>
      <c r="IDD9" s="1"/>
      <c r="IDE9" s="1"/>
      <c r="IDF9" s="1"/>
      <c r="IDG9" s="1"/>
      <c r="IDH9" s="1"/>
      <c r="IDI9" s="1"/>
      <c r="IDJ9" s="1"/>
      <c r="IDK9" s="1"/>
      <c r="IDL9" s="1"/>
      <c r="IDM9" s="1"/>
      <c r="IDN9" s="1"/>
      <c r="IDO9" s="1"/>
      <c r="IDP9" s="1"/>
      <c r="IDQ9" s="1"/>
      <c r="IDR9" s="1"/>
      <c r="IDS9" s="1"/>
      <c r="IDT9" s="1"/>
      <c r="IDU9" s="1"/>
      <c r="IDV9" s="1"/>
      <c r="IDW9" s="1"/>
      <c r="IDX9" s="1"/>
      <c r="IDY9" s="1"/>
      <c r="IDZ9" s="1"/>
      <c r="IEA9" s="1"/>
      <c r="IEB9" s="1"/>
      <c r="IEC9" s="1"/>
      <c r="IED9" s="1"/>
      <c r="IEE9" s="1"/>
      <c r="IEF9" s="1"/>
      <c r="IEG9" s="1"/>
      <c r="IEH9" s="1"/>
      <c r="IEI9" s="1"/>
      <c r="IEJ9" s="1"/>
      <c r="IEK9" s="1"/>
      <c r="IEL9" s="1"/>
      <c r="IEM9" s="1"/>
      <c r="IEN9" s="1"/>
      <c r="IEO9" s="1"/>
      <c r="IEP9" s="1"/>
      <c r="IEQ9" s="1"/>
      <c r="IER9" s="1"/>
      <c r="IES9" s="1"/>
      <c r="IET9" s="1"/>
      <c r="IEU9" s="1"/>
      <c r="IEV9" s="1"/>
      <c r="IEW9" s="1"/>
      <c r="IEX9" s="1"/>
      <c r="IEY9" s="1"/>
      <c r="IEZ9" s="1"/>
      <c r="IFA9" s="1"/>
      <c r="IFB9" s="1"/>
      <c r="IFC9" s="1"/>
      <c r="IFD9" s="1"/>
      <c r="IFE9" s="1"/>
      <c r="IFF9" s="1"/>
      <c r="IFG9" s="1"/>
      <c r="IFH9" s="1"/>
      <c r="IFI9" s="1"/>
      <c r="IFJ9" s="1"/>
      <c r="IFK9" s="1"/>
      <c r="IFL9" s="1"/>
      <c r="IFM9" s="1"/>
      <c r="IFN9" s="1"/>
      <c r="IFO9" s="1"/>
      <c r="IFP9" s="1"/>
      <c r="IFQ9" s="1"/>
      <c r="IFR9" s="1"/>
      <c r="IFS9" s="1"/>
      <c r="IFT9" s="1"/>
      <c r="IFU9" s="1"/>
      <c r="IFV9" s="1"/>
      <c r="IFW9" s="1"/>
      <c r="IFX9" s="1"/>
      <c r="IFY9" s="1"/>
      <c r="IFZ9" s="1"/>
      <c r="IGA9" s="1"/>
      <c r="IGB9" s="1"/>
      <c r="IGC9" s="1"/>
      <c r="IGD9" s="1"/>
      <c r="IGE9" s="1"/>
      <c r="IGF9" s="1"/>
      <c r="IGG9" s="1"/>
      <c r="IGH9" s="1"/>
      <c r="IGI9" s="1"/>
      <c r="IGJ9" s="1"/>
      <c r="IGK9" s="1"/>
      <c r="IGL9" s="1"/>
      <c r="IGM9" s="1"/>
      <c r="IGN9" s="1"/>
      <c r="IGO9" s="1"/>
      <c r="IGP9" s="1"/>
      <c r="IGQ9" s="1"/>
      <c r="IGR9" s="1"/>
      <c r="IGS9" s="1"/>
      <c r="IGT9" s="1"/>
      <c r="IGU9" s="1"/>
      <c r="IGV9" s="1"/>
      <c r="IGW9" s="1"/>
      <c r="IGX9" s="1"/>
      <c r="IGY9" s="1"/>
      <c r="IGZ9" s="1"/>
      <c r="IHA9" s="1"/>
      <c r="IHB9" s="1"/>
      <c r="IHC9" s="1"/>
      <c r="IHD9" s="1"/>
      <c r="IHE9" s="1"/>
      <c r="IHF9" s="1"/>
      <c r="IHG9" s="1"/>
      <c r="IHH9" s="1"/>
      <c r="IHI9" s="1"/>
      <c r="IHJ9" s="1"/>
      <c r="IHK9" s="1"/>
      <c r="IHL9" s="1"/>
      <c r="IHM9" s="1"/>
      <c r="IHN9" s="1"/>
      <c r="IHO9" s="1"/>
      <c r="IHP9" s="1"/>
      <c r="IHQ9" s="1"/>
      <c r="IHR9" s="1"/>
      <c r="IHS9" s="1"/>
      <c r="IHT9" s="1"/>
      <c r="IHU9" s="1"/>
      <c r="IHV9" s="1"/>
      <c r="IHW9" s="1"/>
      <c r="IHX9" s="1"/>
      <c r="IHY9" s="1"/>
      <c r="IHZ9" s="1"/>
      <c r="IIA9" s="1"/>
      <c r="IIB9" s="1"/>
      <c r="IIC9" s="1"/>
      <c r="IID9" s="1"/>
      <c r="IIE9" s="1"/>
      <c r="IIF9" s="1"/>
      <c r="IIG9" s="1"/>
      <c r="IIH9" s="1"/>
      <c r="III9" s="1"/>
      <c r="IIJ9" s="1"/>
      <c r="IIK9" s="1"/>
      <c r="IIL9" s="1"/>
      <c r="IIM9" s="1"/>
      <c r="IIN9" s="1"/>
      <c r="IIO9" s="1"/>
      <c r="IIP9" s="1"/>
      <c r="IIQ9" s="1"/>
      <c r="IIR9" s="1"/>
      <c r="IIS9" s="1"/>
      <c r="IIT9" s="1"/>
      <c r="IIU9" s="1"/>
      <c r="IIV9" s="1"/>
      <c r="IIW9" s="1"/>
      <c r="IIX9" s="1"/>
      <c r="IIY9" s="1"/>
      <c r="IIZ9" s="1"/>
      <c r="IJA9" s="1"/>
      <c r="IJB9" s="1"/>
      <c r="IJC9" s="1"/>
      <c r="IJD9" s="1"/>
      <c r="IJE9" s="1"/>
      <c r="IJF9" s="1"/>
      <c r="IJG9" s="1"/>
      <c r="IJH9" s="1"/>
      <c r="IJI9" s="1"/>
      <c r="IJJ9" s="1"/>
      <c r="IJK9" s="1"/>
      <c r="IJL9" s="1"/>
      <c r="IJM9" s="1"/>
      <c r="IJN9" s="1"/>
      <c r="IJO9" s="1"/>
      <c r="IJP9" s="1"/>
      <c r="IJQ9" s="1"/>
      <c r="IJR9" s="1"/>
      <c r="IJS9" s="1"/>
      <c r="IJT9" s="1"/>
      <c r="IJU9" s="1"/>
      <c r="IJV9" s="1"/>
      <c r="IJW9" s="1"/>
      <c r="IJX9" s="1"/>
      <c r="IJY9" s="1"/>
      <c r="IJZ9" s="1"/>
      <c r="IKA9" s="1"/>
      <c r="IKB9" s="1"/>
      <c r="IKC9" s="1"/>
      <c r="IKD9" s="1"/>
      <c r="IKE9" s="1"/>
      <c r="IKF9" s="1"/>
      <c r="IKG9" s="1"/>
      <c r="IKH9" s="1"/>
      <c r="IKI9" s="1"/>
      <c r="IKJ9" s="1"/>
      <c r="IKK9" s="1"/>
      <c r="IKL9" s="1"/>
      <c r="IKM9" s="1"/>
      <c r="IKN9" s="1"/>
      <c r="IKO9" s="1"/>
      <c r="IKP9" s="1"/>
      <c r="IKQ9" s="1"/>
      <c r="IKR9" s="1"/>
      <c r="IKS9" s="1"/>
      <c r="IKT9" s="1"/>
      <c r="IKU9" s="1"/>
      <c r="IKV9" s="1"/>
      <c r="IKW9" s="1"/>
      <c r="IKX9" s="1"/>
      <c r="IKY9" s="1"/>
      <c r="IKZ9" s="1"/>
      <c r="ILA9" s="1"/>
      <c r="ILB9" s="1"/>
      <c r="ILC9" s="1"/>
      <c r="ILD9" s="1"/>
      <c r="ILE9" s="1"/>
      <c r="ILF9" s="1"/>
      <c r="ILG9" s="1"/>
      <c r="ILH9" s="1"/>
      <c r="ILI9" s="1"/>
      <c r="ILJ9" s="1"/>
      <c r="ILK9" s="1"/>
      <c r="ILL9" s="1"/>
      <c r="ILM9" s="1"/>
      <c r="ILN9" s="1"/>
      <c r="ILO9" s="1"/>
      <c r="ILP9" s="1"/>
      <c r="ILQ9" s="1"/>
      <c r="ILR9" s="1"/>
      <c r="ILS9" s="1"/>
      <c r="ILT9" s="1"/>
      <c r="ILU9" s="1"/>
      <c r="ILV9" s="1"/>
      <c r="ILW9" s="1"/>
      <c r="ILX9" s="1"/>
      <c r="ILY9" s="1"/>
      <c r="ILZ9" s="1"/>
      <c r="IMA9" s="1"/>
      <c r="IMB9" s="1"/>
      <c r="IMC9" s="1"/>
      <c r="IMD9" s="1"/>
      <c r="IME9" s="1"/>
      <c r="IMF9" s="1"/>
      <c r="IMG9" s="1"/>
      <c r="IMH9" s="1"/>
      <c r="IMI9" s="1"/>
      <c r="IMJ9" s="1"/>
      <c r="IMK9" s="1"/>
      <c r="IML9" s="1"/>
      <c r="IMM9" s="1"/>
      <c r="IMN9" s="1"/>
      <c r="IMO9" s="1"/>
      <c r="IMP9" s="1"/>
      <c r="IMQ9" s="1"/>
      <c r="IMR9" s="1"/>
      <c r="IMS9" s="1"/>
      <c r="IMT9" s="1"/>
      <c r="IMU9" s="1"/>
      <c r="IMV9" s="1"/>
      <c r="IMW9" s="1"/>
      <c r="IMX9" s="1"/>
      <c r="IMY9" s="1"/>
      <c r="IMZ9" s="1"/>
      <c r="INA9" s="1"/>
      <c r="INB9" s="1"/>
      <c r="INC9" s="1"/>
      <c r="IND9" s="1"/>
      <c r="INE9" s="1"/>
      <c r="INF9" s="1"/>
      <c r="ING9" s="1"/>
      <c r="INH9" s="1"/>
      <c r="INI9" s="1"/>
      <c r="INJ9" s="1"/>
      <c r="INK9" s="1"/>
      <c r="INL9" s="1"/>
      <c r="INM9" s="1"/>
      <c r="INN9" s="1"/>
      <c r="INO9" s="1"/>
      <c r="INP9" s="1"/>
      <c r="INQ9" s="1"/>
      <c r="INR9" s="1"/>
      <c r="INS9" s="1"/>
      <c r="INT9" s="1"/>
      <c r="INU9" s="1"/>
      <c r="INV9" s="1"/>
      <c r="INW9" s="1"/>
      <c r="INX9" s="1"/>
      <c r="INY9" s="1"/>
      <c r="INZ9" s="1"/>
      <c r="IOA9" s="1"/>
      <c r="IOB9" s="1"/>
      <c r="IOC9" s="1"/>
      <c r="IOD9" s="1"/>
      <c r="IOE9" s="1"/>
      <c r="IOF9" s="1"/>
      <c r="IOG9" s="1"/>
      <c r="IOH9" s="1"/>
      <c r="IOI9" s="1"/>
      <c r="IOJ9" s="1"/>
      <c r="IOK9" s="1"/>
      <c r="IOL9" s="1"/>
      <c r="IOM9" s="1"/>
      <c r="ION9" s="1"/>
      <c r="IOO9" s="1"/>
      <c r="IOP9" s="1"/>
      <c r="IOQ9" s="1"/>
      <c r="IOR9" s="1"/>
      <c r="IOS9" s="1"/>
      <c r="IOT9" s="1"/>
      <c r="IOU9" s="1"/>
      <c r="IOV9" s="1"/>
      <c r="IOW9" s="1"/>
      <c r="IOX9" s="1"/>
      <c r="IOY9" s="1"/>
      <c r="IOZ9" s="1"/>
      <c r="IPA9" s="1"/>
      <c r="IPB9" s="1"/>
      <c r="IPC9" s="1"/>
      <c r="IPD9" s="1"/>
      <c r="IPE9" s="1"/>
      <c r="IPF9" s="1"/>
      <c r="IPG9" s="1"/>
      <c r="IPH9" s="1"/>
      <c r="IPI9" s="1"/>
      <c r="IPJ9" s="1"/>
      <c r="IPK9" s="1"/>
      <c r="IPL9" s="1"/>
      <c r="IPM9" s="1"/>
      <c r="IPN9" s="1"/>
      <c r="IPO9" s="1"/>
      <c r="IPP9" s="1"/>
      <c r="IPQ9" s="1"/>
      <c r="IPR9" s="1"/>
      <c r="IPS9" s="1"/>
      <c r="IPT9" s="1"/>
      <c r="IPU9" s="1"/>
      <c r="IPV9" s="1"/>
      <c r="IPW9" s="1"/>
      <c r="IPX9" s="1"/>
      <c r="IPY9" s="1"/>
      <c r="IPZ9" s="1"/>
      <c r="IQA9" s="1"/>
      <c r="IQB9" s="1"/>
      <c r="IQC9" s="1"/>
      <c r="IQD9" s="1"/>
      <c r="IQE9" s="1"/>
      <c r="IQF9" s="1"/>
      <c r="IQG9" s="1"/>
      <c r="IQH9" s="1"/>
      <c r="IQI9" s="1"/>
      <c r="IQJ9" s="1"/>
      <c r="IQK9" s="1"/>
      <c r="IQL9" s="1"/>
      <c r="IQM9" s="1"/>
      <c r="IQN9" s="1"/>
      <c r="IQO9" s="1"/>
      <c r="IQP9" s="1"/>
      <c r="IQQ9" s="1"/>
      <c r="IQR9" s="1"/>
      <c r="IQS9" s="1"/>
      <c r="IQT9" s="1"/>
      <c r="IQU9" s="1"/>
      <c r="IQV9" s="1"/>
      <c r="IQW9" s="1"/>
      <c r="IQX9" s="1"/>
      <c r="IQY9" s="1"/>
      <c r="IQZ9" s="1"/>
      <c r="IRA9" s="1"/>
      <c r="IRB9" s="1"/>
      <c r="IRC9" s="1"/>
      <c r="IRD9" s="1"/>
      <c r="IRE9" s="1"/>
      <c r="IRF9" s="1"/>
      <c r="IRG9" s="1"/>
      <c r="IRH9" s="1"/>
      <c r="IRI9" s="1"/>
      <c r="IRJ9" s="1"/>
      <c r="IRK9" s="1"/>
      <c r="IRL9" s="1"/>
      <c r="IRM9" s="1"/>
      <c r="IRN9" s="1"/>
      <c r="IRO9" s="1"/>
      <c r="IRP9" s="1"/>
      <c r="IRQ9" s="1"/>
      <c r="IRR9" s="1"/>
      <c r="IRS9" s="1"/>
      <c r="IRT9" s="1"/>
      <c r="IRU9" s="1"/>
      <c r="IRV9" s="1"/>
      <c r="IRW9" s="1"/>
      <c r="IRX9" s="1"/>
      <c r="IRY9" s="1"/>
      <c r="IRZ9" s="1"/>
      <c r="ISA9" s="1"/>
      <c r="ISB9" s="1"/>
      <c r="ISC9" s="1"/>
      <c r="ISD9" s="1"/>
      <c r="ISE9" s="1"/>
      <c r="ISF9" s="1"/>
      <c r="ISG9" s="1"/>
      <c r="ISH9" s="1"/>
      <c r="ISI9" s="1"/>
      <c r="ISJ9" s="1"/>
      <c r="ISK9" s="1"/>
      <c r="ISL9" s="1"/>
      <c r="ISM9" s="1"/>
      <c r="ISN9" s="1"/>
      <c r="ISO9" s="1"/>
      <c r="ISP9" s="1"/>
      <c r="ISQ9" s="1"/>
      <c r="ISR9" s="1"/>
      <c r="ISS9" s="1"/>
      <c r="IST9" s="1"/>
      <c r="ISU9" s="1"/>
      <c r="ISV9" s="1"/>
      <c r="ISW9" s="1"/>
      <c r="ISX9" s="1"/>
      <c r="ISY9" s="1"/>
      <c r="ISZ9" s="1"/>
      <c r="ITA9" s="1"/>
      <c r="ITB9" s="1"/>
      <c r="ITC9" s="1"/>
      <c r="ITD9" s="1"/>
      <c r="ITE9" s="1"/>
      <c r="ITF9" s="1"/>
      <c r="ITG9" s="1"/>
      <c r="ITH9" s="1"/>
      <c r="ITI9" s="1"/>
      <c r="ITJ9" s="1"/>
      <c r="ITK9" s="1"/>
      <c r="ITL9" s="1"/>
      <c r="ITM9" s="1"/>
      <c r="ITN9" s="1"/>
      <c r="ITO9" s="1"/>
      <c r="ITP9" s="1"/>
      <c r="ITQ9" s="1"/>
      <c r="ITR9" s="1"/>
      <c r="ITS9" s="1"/>
      <c r="ITT9" s="1"/>
      <c r="ITU9" s="1"/>
      <c r="ITV9" s="1"/>
      <c r="ITW9" s="1"/>
      <c r="ITX9" s="1"/>
      <c r="ITY9" s="1"/>
      <c r="ITZ9" s="1"/>
      <c r="IUA9" s="1"/>
      <c r="IUB9" s="1"/>
      <c r="IUC9" s="1"/>
      <c r="IUD9" s="1"/>
      <c r="IUE9" s="1"/>
      <c r="IUF9" s="1"/>
      <c r="IUG9" s="1"/>
      <c r="IUH9" s="1"/>
      <c r="IUI9" s="1"/>
      <c r="IUJ9" s="1"/>
      <c r="IUK9" s="1"/>
      <c r="IUL9" s="1"/>
      <c r="IUM9" s="1"/>
      <c r="IUN9" s="1"/>
      <c r="IUO9" s="1"/>
      <c r="IUP9" s="1"/>
      <c r="IUQ9" s="1"/>
      <c r="IUR9" s="1"/>
      <c r="IUS9" s="1"/>
      <c r="IUT9" s="1"/>
      <c r="IUU9" s="1"/>
      <c r="IUV9" s="1"/>
      <c r="IUW9" s="1"/>
      <c r="IUX9" s="1"/>
      <c r="IUY9" s="1"/>
      <c r="IUZ9" s="1"/>
      <c r="IVA9" s="1"/>
      <c r="IVB9" s="1"/>
      <c r="IVC9" s="1"/>
      <c r="IVD9" s="1"/>
      <c r="IVE9" s="1"/>
      <c r="IVF9" s="1"/>
      <c r="IVG9" s="1"/>
      <c r="IVH9" s="1"/>
      <c r="IVI9" s="1"/>
      <c r="IVJ9" s="1"/>
      <c r="IVK9" s="1"/>
      <c r="IVL9" s="1"/>
      <c r="IVM9" s="1"/>
      <c r="IVN9" s="1"/>
      <c r="IVO9" s="1"/>
      <c r="IVP9" s="1"/>
      <c r="IVQ9" s="1"/>
      <c r="IVR9" s="1"/>
      <c r="IVS9" s="1"/>
      <c r="IVT9" s="1"/>
      <c r="IVU9" s="1"/>
      <c r="IVV9" s="1"/>
      <c r="IVW9" s="1"/>
      <c r="IVX9" s="1"/>
      <c r="IVY9" s="1"/>
      <c r="IVZ9" s="1"/>
      <c r="IWA9" s="1"/>
      <c r="IWB9" s="1"/>
      <c r="IWC9" s="1"/>
      <c r="IWD9" s="1"/>
      <c r="IWE9" s="1"/>
      <c r="IWF9" s="1"/>
      <c r="IWG9" s="1"/>
      <c r="IWH9" s="1"/>
      <c r="IWI9" s="1"/>
      <c r="IWJ9" s="1"/>
      <c r="IWK9" s="1"/>
      <c r="IWL9" s="1"/>
      <c r="IWM9" s="1"/>
      <c r="IWN9" s="1"/>
      <c r="IWO9" s="1"/>
      <c r="IWP9" s="1"/>
      <c r="IWQ9" s="1"/>
      <c r="IWR9" s="1"/>
      <c r="IWS9" s="1"/>
      <c r="IWT9" s="1"/>
      <c r="IWU9" s="1"/>
      <c r="IWV9" s="1"/>
      <c r="IWW9" s="1"/>
      <c r="IWX9" s="1"/>
      <c r="IWY9" s="1"/>
      <c r="IWZ9" s="1"/>
      <c r="IXA9" s="1"/>
      <c r="IXB9" s="1"/>
      <c r="IXC9" s="1"/>
      <c r="IXD9" s="1"/>
      <c r="IXE9" s="1"/>
      <c r="IXF9" s="1"/>
      <c r="IXG9" s="1"/>
      <c r="IXH9" s="1"/>
      <c r="IXI9" s="1"/>
      <c r="IXJ9" s="1"/>
      <c r="IXK9" s="1"/>
      <c r="IXL9" s="1"/>
      <c r="IXM9" s="1"/>
      <c r="IXN9" s="1"/>
      <c r="IXO9" s="1"/>
      <c r="IXP9" s="1"/>
      <c r="IXQ9" s="1"/>
      <c r="IXR9" s="1"/>
      <c r="IXS9" s="1"/>
      <c r="IXT9" s="1"/>
      <c r="IXU9" s="1"/>
      <c r="IXV9" s="1"/>
      <c r="IXW9" s="1"/>
      <c r="IXX9" s="1"/>
      <c r="IXY9" s="1"/>
      <c r="IXZ9" s="1"/>
      <c r="IYA9" s="1"/>
      <c r="IYB9" s="1"/>
      <c r="IYC9" s="1"/>
      <c r="IYD9" s="1"/>
      <c r="IYE9" s="1"/>
      <c r="IYF9" s="1"/>
      <c r="IYG9" s="1"/>
      <c r="IYH9" s="1"/>
      <c r="IYI9" s="1"/>
      <c r="IYJ9" s="1"/>
      <c r="IYK9" s="1"/>
      <c r="IYL9" s="1"/>
      <c r="IYM9" s="1"/>
      <c r="IYN9" s="1"/>
      <c r="IYO9" s="1"/>
      <c r="IYP9" s="1"/>
      <c r="IYQ9" s="1"/>
      <c r="IYR9" s="1"/>
      <c r="IYS9" s="1"/>
      <c r="IYT9" s="1"/>
      <c r="IYU9" s="1"/>
      <c r="IYV9" s="1"/>
      <c r="IYW9" s="1"/>
      <c r="IYX9" s="1"/>
      <c r="IYY9" s="1"/>
      <c r="IYZ9" s="1"/>
      <c r="IZA9" s="1"/>
      <c r="IZB9" s="1"/>
      <c r="IZC9" s="1"/>
      <c r="IZD9" s="1"/>
      <c r="IZE9" s="1"/>
      <c r="IZF9" s="1"/>
      <c r="IZG9" s="1"/>
      <c r="IZH9" s="1"/>
      <c r="IZI9" s="1"/>
      <c r="IZJ9" s="1"/>
      <c r="IZK9" s="1"/>
      <c r="IZL9" s="1"/>
      <c r="IZM9" s="1"/>
      <c r="IZN9" s="1"/>
      <c r="IZO9" s="1"/>
      <c r="IZP9" s="1"/>
      <c r="IZQ9" s="1"/>
      <c r="IZR9" s="1"/>
      <c r="IZS9" s="1"/>
      <c r="IZT9" s="1"/>
      <c r="IZU9" s="1"/>
      <c r="IZV9" s="1"/>
      <c r="IZW9" s="1"/>
      <c r="IZX9" s="1"/>
      <c r="IZY9" s="1"/>
      <c r="IZZ9" s="1"/>
      <c r="JAA9" s="1"/>
      <c r="JAB9" s="1"/>
      <c r="JAC9" s="1"/>
      <c r="JAD9" s="1"/>
      <c r="JAE9" s="1"/>
      <c r="JAF9" s="1"/>
      <c r="JAG9" s="1"/>
      <c r="JAH9" s="1"/>
      <c r="JAI9" s="1"/>
      <c r="JAJ9" s="1"/>
      <c r="JAK9" s="1"/>
      <c r="JAL9" s="1"/>
      <c r="JAM9" s="1"/>
      <c r="JAN9" s="1"/>
      <c r="JAO9" s="1"/>
      <c r="JAP9" s="1"/>
      <c r="JAQ9" s="1"/>
      <c r="JAR9" s="1"/>
      <c r="JAS9" s="1"/>
      <c r="JAT9" s="1"/>
      <c r="JAU9" s="1"/>
      <c r="JAV9" s="1"/>
      <c r="JAW9" s="1"/>
      <c r="JAX9" s="1"/>
      <c r="JAY9" s="1"/>
      <c r="JAZ9" s="1"/>
      <c r="JBA9" s="1"/>
      <c r="JBB9" s="1"/>
      <c r="JBC9" s="1"/>
      <c r="JBD9" s="1"/>
      <c r="JBE9" s="1"/>
      <c r="JBF9" s="1"/>
      <c r="JBG9" s="1"/>
      <c r="JBH9" s="1"/>
      <c r="JBI9" s="1"/>
      <c r="JBJ9" s="1"/>
      <c r="JBK9" s="1"/>
      <c r="JBL9" s="1"/>
      <c r="JBM9" s="1"/>
      <c r="JBN9" s="1"/>
      <c r="JBO9" s="1"/>
      <c r="JBP9" s="1"/>
      <c r="JBQ9" s="1"/>
      <c r="JBR9" s="1"/>
      <c r="JBS9" s="1"/>
      <c r="JBT9" s="1"/>
      <c r="JBU9" s="1"/>
      <c r="JBV9" s="1"/>
      <c r="JBW9" s="1"/>
      <c r="JBX9" s="1"/>
      <c r="JBY9" s="1"/>
      <c r="JBZ9" s="1"/>
      <c r="JCA9" s="1"/>
      <c r="JCB9" s="1"/>
      <c r="JCC9" s="1"/>
      <c r="JCD9" s="1"/>
      <c r="JCE9" s="1"/>
      <c r="JCF9" s="1"/>
      <c r="JCG9" s="1"/>
      <c r="JCH9" s="1"/>
      <c r="JCI9" s="1"/>
      <c r="JCJ9" s="1"/>
      <c r="JCK9" s="1"/>
      <c r="JCL9" s="1"/>
      <c r="JCM9" s="1"/>
      <c r="JCN9" s="1"/>
      <c r="JCO9" s="1"/>
      <c r="JCP9" s="1"/>
      <c r="JCQ9" s="1"/>
      <c r="JCR9" s="1"/>
      <c r="JCS9" s="1"/>
      <c r="JCT9" s="1"/>
      <c r="JCU9" s="1"/>
      <c r="JCV9" s="1"/>
      <c r="JCW9" s="1"/>
      <c r="JCX9" s="1"/>
      <c r="JCY9" s="1"/>
      <c r="JCZ9" s="1"/>
      <c r="JDA9" s="1"/>
      <c r="JDB9" s="1"/>
      <c r="JDC9" s="1"/>
      <c r="JDD9" s="1"/>
      <c r="JDE9" s="1"/>
      <c r="JDF9" s="1"/>
      <c r="JDG9" s="1"/>
      <c r="JDH9" s="1"/>
      <c r="JDI9" s="1"/>
      <c r="JDJ9" s="1"/>
      <c r="JDK9" s="1"/>
      <c r="JDL9" s="1"/>
      <c r="JDM9" s="1"/>
      <c r="JDN9" s="1"/>
      <c r="JDO9" s="1"/>
      <c r="JDP9" s="1"/>
      <c r="JDQ9" s="1"/>
      <c r="JDR9" s="1"/>
      <c r="JDS9" s="1"/>
      <c r="JDT9" s="1"/>
      <c r="JDU9" s="1"/>
      <c r="JDV9" s="1"/>
      <c r="JDW9" s="1"/>
      <c r="JDX9" s="1"/>
      <c r="JDY9" s="1"/>
      <c r="JDZ9" s="1"/>
      <c r="JEA9" s="1"/>
      <c r="JEB9" s="1"/>
      <c r="JEC9" s="1"/>
      <c r="JED9" s="1"/>
      <c r="JEE9" s="1"/>
      <c r="JEF9" s="1"/>
      <c r="JEG9" s="1"/>
      <c r="JEH9" s="1"/>
      <c r="JEI9" s="1"/>
      <c r="JEJ9" s="1"/>
      <c r="JEK9" s="1"/>
      <c r="JEL9" s="1"/>
      <c r="JEM9" s="1"/>
      <c r="JEN9" s="1"/>
      <c r="JEO9" s="1"/>
      <c r="JEP9" s="1"/>
      <c r="JEQ9" s="1"/>
      <c r="JER9" s="1"/>
      <c r="JES9" s="1"/>
      <c r="JET9" s="1"/>
      <c r="JEU9" s="1"/>
      <c r="JEV9" s="1"/>
      <c r="JEW9" s="1"/>
      <c r="JEX9" s="1"/>
      <c r="JEY9" s="1"/>
      <c r="JEZ9" s="1"/>
      <c r="JFA9" s="1"/>
      <c r="JFB9" s="1"/>
      <c r="JFC9" s="1"/>
      <c r="JFD9" s="1"/>
      <c r="JFE9" s="1"/>
      <c r="JFF9" s="1"/>
      <c r="JFG9" s="1"/>
      <c r="JFH9" s="1"/>
      <c r="JFI9" s="1"/>
      <c r="JFJ9" s="1"/>
      <c r="JFK9" s="1"/>
      <c r="JFL9" s="1"/>
      <c r="JFM9" s="1"/>
      <c r="JFN9" s="1"/>
      <c r="JFO9" s="1"/>
      <c r="JFP9" s="1"/>
      <c r="JFQ9" s="1"/>
      <c r="JFR9" s="1"/>
      <c r="JFS9" s="1"/>
      <c r="JFT9" s="1"/>
      <c r="JFU9" s="1"/>
      <c r="JFV9" s="1"/>
      <c r="JFW9" s="1"/>
      <c r="JFX9" s="1"/>
      <c r="JFY9" s="1"/>
      <c r="JFZ9" s="1"/>
      <c r="JGA9" s="1"/>
      <c r="JGB9" s="1"/>
      <c r="JGC9" s="1"/>
      <c r="JGD9" s="1"/>
      <c r="JGE9" s="1"/>
      <c r="JGF9" s="1"/>
      <c r="JGG9" s="1"/>
      <c r="JGH9" s="1"/>
      <c r="JGI9" s="1"/>
      <c r="JGJ9" s="1"/>
      <c r="JGK9" s="1"/>
      <c r="JGL9" s="1"/>
      <c r="JGM9" s="1"/>
      <c r="JGN9" s="1"/>
      <c r="JGO9" s="1"/>
      <c r="JGP9" s="1"/>
      <c r="JGQ9" s="1"/>
      <c r="JGR9" s="1"/>
      <c r="JGS9" s="1"/>
      <c r="JGT9" s="1"/>
      <c r="JGU9" s="1"/>
      <c r="JGV9" s="1"/>
      <c r="JGW9" s="1"/>
      <c r="JGX9" s="1"/>
      <c r="JGY9" s="1"/>
      <c r="JGZ9" s="1"/>
      <c r="JHA9" s="1"/>
      <c r="JHB9" s="1"/>
      <c r="JHC9" s="1"/>
      <c r="JHD9" s="1"/>
      <c r="JHE9" s="1"/>
      <c r="JHF9" s="1"/>
      <c r="JHG9" s="1"/>
      <c r="JHH9" s="1"/>
      <c r="JHI9" s="1"/>
      <c r="JHJ9" s="1"/>
      <c r="JHK9" s="1"/>
      <c r="JHL9" s="1"/>
      <c r="JHM9" s="1"/>
      <c r="JHN9" s="1"/>
      <c r="JHO9" s="1"/>
      <c r="JHP9" s="1"/>
      <c r="JHQ9" s="1"/>
      <c r="JHR9" s="1"/>
      <c r="JHS9" s="1"/>
      <c r="JHT9" s="1"/>
      <c r="JHU9" s="1"/>
      <c r="JHV9" s="1"/>
      <c r="JHW9" s="1"/>
      <c r="JHX9" s="1"/>
      <c r="JHY9" s="1"/>
      <c r="JHZ9" s="1"/>
      <c r="JIA9" s="1"/>
      <c r="JIB9" s="1"/>
      <c r="JIC9" s="1"/>
      <c r="JID9" s="1"/>
      <c r="JIE9" s="1"/>
      <c r="JIF9" s="1"/>
      <c r="JIG9" s="1"/>
      <c r="JIH9" s="1"/>
      <c r="JII9" s="1"/>
      <c r="JIJ9" s="1"/>
      <c r="JIK9" s="1"/>
      <c r="JIL9" s="1"/>
      <c r="JIM9" s="1"/>
      <c r="JIN9" s="1"/>
      <c r="JIO9" s="1"/>
      <c r="JIP9" s="1"/>
      <c r="JIQ9" s="1"/>
      <c r="JIR9" s="1"/>
      <c r="JIS9" s="1"/>
      <c r="JIT9" s="1"/>
      <c r="JIU9" s="1"/>
      <c r="JIV9" s="1"/>
      <c r="JIW9" s="1"/>
      <c r="JIX9" s="1"/>
      <c r="JIY9" s="1"/>
      <c r="JIZ9" s="1"/>
      <c r="JJA9" s="1"/>
      <c r="JJB9" s="1"/>
      <c r="JJC9" s="1"/>
      <c r="JJD9" s="1"/>
      <c r="JJE9" s="1"/>
      <c r="JJF9" s="1"/>
      <c r="JJG9" s="1"/>
      <c r="JJH9" s="1"/>
      <c r="JJI9" s="1"/>
      <c r="JJJ9" s="1"/>
      <c r="JJK9" s="1"/>
      <c r="JJL9" s="1"/>
      <c r="JJM9" s="1"/>
      <c r="JJN9" s="1"/>
      <c r="JJO9" s="1"/>
      <c r="JJP9" s="1"/>
      <c r="JJQ9" s="1"/>
      <c r="JJR9" s="1"/>
      <c r="JJS9" s="1"/>
      <c r="JJT9" s="1"/>
      <c r="JJU9" s="1"/>
      <c r="JJV9" s="1"/>
      <c r="JJW9" s="1"/>
      <c r="JJX9" s="1"/>
      <c r="JJY9" s="1"/>
      <c r="JJZ9" s="1"/>
      <c r="JKA9" s="1"/>
      <c r="JKB9" s="1"/>
      <c r="JKC9" s="1"/>
      <c r="JKD9" s="1"/>
      <c r="JKE9" s="1"/>
      <c r="JKF9" s="1"/>
      <c r="JKG9" s="1"/>
      <c r="JKH9" s="1"/>
      <c r="JKI9" s="1"/>
      <c r="JKJ9" s="1"/>
      <c r="JKK9" s="1"/>
      <c r="JKL9" s="1"/>
      <c r="JKM9" s="1"/>
      <c r="JKN9" s="1"/>
      <c r="JKO9" s="1"/>
      <c r="JKP9" s="1"/>
      <c r="JKQ9" s="1"/>
      <c r="JKR9" s="1"/>
      <c r="JKS9" s="1"/>
      <c r="JKT9" s="1"/>
      <c r="JKU9" s="1"/>
      <c r="JKV9" s="1"/>
      <c r="JKW9" s="1"/>
      <c r="JKX9" s="1"/>
      <c r="JKY9" s="1"/>
      <c r="JKZ9" s="1"/>
      <c r="JLA9" s="1"/>
      <c r="JLB9" s="1"/>
      <c r="JLC9" s="1"/>
      <c r="JLD9" s="1"/>
      <c r="JLE9" s="1"/>
      <c r="JLF9" s="1"/>
      <c r="JLG9" s="1"/>
      <c r="JLH9" s="1"/>
      <c r="JLI9" s="1"/>
      <c r="JLJ9" s="1"/>
      <c r="JLK9" s="1"/>
      <c r="JLL9" s="1"/>
      <c r="JLM9" s="1"/>
      <c r="JLN9" s="1"/>
      <c r="JLO9" s="1"/>
      <c r="JLP9" s="1"/>
      <c r="JLQ9" s="1"/>
      <c r="JLR9" s="1"/>
      <c r="JLS9" s="1"/>
      <c r="JLT9" s="1"/>
      <c r="JLU9" s="1"/>
      <c r="JLV9" s="1"/>
      <c r="JLW9" s="1"/>
      <c r="JLX9" s="1"/>
      <c r="JLY9" s="1"/>
      <c r="JLZ9" s="1"/>
      <c r="JMA9" s="1"/>
      <c r="JMB9" s="1"/>
      <c r="JMC9" s="1"/>
      <c r="JMD9" s="1"/>
      <c r="JME9" s="1"/>
      <c r="JMF9" s="1"/>
      <c r="JMG9" s="1"/>
      <c r="JMH9" s="1"/>
      <c r="JMI9" s="1"/>
      <c r="JMJ9" s="1"/>
      <c r="JMK9" s="1"/>
      <c r="JML9" s="1"/>
      <c r="JMM9" s="1"/>
      <c r="JMN9" s="1"/>
      <c r="JMO9" s="1"/>
      <c r="JMP9" s="1"/>
      <c r="JMQ9" s="1"/>
      <c r="JMR9" s="1"/>
      <c r="JMS9" s="1"/>
      <c r="JMT9" s="1"/>
      <c r="JMU9" s="1"/>
      <c r="JMV9" s="1"/>
      <c r="JMW9" s="1"/>
      <c r="JMX9" s="1"/>
      <c r="JMY9" s="1"/>
      <c r="JMZ9" s="1"/>
      <c r="JNA9" s="1"/>
      <c r="JNB9" s="1"/>
      <c r="JNC9" s="1"/>
      <c r="JND9" s="1"/>
      <c r="JNE9" s="1"/>
      <c r="JNF9" s="1"/>
      <c r="JNG9" s="1"/>
      <c r="JNH9" s="1"/>
      <c r="JNI9" s="1"/>
      <c r="JNJ9" s="1"/>
      <c r="JNK9" s="1"/>
      <c r="JNL9" s="1"/>
      <c r="JNM9" s="1"/>
      <c r="JNN9" s="1"/>
      <c r="JNO9" s="1"/>
      <c r="JNP9" s="1"/>
      <c r="JNQ9" s="1"/>
      <c r="JNR9" s="1"/>
      <c r="JNS9" s="1"/>
      <c r="JNT9" s="1"/>
      <c r="JNU9" s="1"/>
      <c r="JNV9" s="1"/>
      <c r="JNW9" s="1"/>
      <c r="JNX9" s="1"/>
      <c r="JNY9" s="1"/>
      <c r="JNZ9" s="1"/>
      <c r="JOA9" s="1"/>
      <c r="JOB9" s="1"/>
      <c r="JOC9" s="1"/>
      <c r="JOD9" s="1"/>
      <c r="JOE9" s="1"/>
      <c r="JOF9" s="1"/>
      <c r="JOG9" s="1"/>
      <c r="JOH9" s="1"/>
      <c r="JOI9" s="1"/>
      <c r="JOJ9" s="1"/>
      <c r="JOK9" s="1"/>
      <c r="JOL9" s="1"/>
      <c r="JOM9" s="1"/>
      <c r="JON9" s="1"/>
      <c r="JOO9" s="1"/>
      <c r="JOP9" s="1"/>
      <c r="JOQ9" s="1"/>
      <c r="JOR9" s="1"/>
      <c r="JOS9" s="1"/>
      <c r="JOT9" s="1"/>
      <c r="JOU9" s="1"/>
      <c r="JOV9" s="1"/>
      <c r="JOW9" s="1"/>
      <c r="JOX9" s="1"/>
      <c r="JOY9" s="1"/>
      <c r="JOZ9" s="1"/>
      <c r="JPA9" s="1"/>
      <c r="JPB9" s="1"/>
      <c r="JPC9" s="1"/>
      <c r="JPD9" s="1"/>
      <c r="JPE9" s="1"/>
      <c r="JPF9" s="1"/>
      <c r="JPG9" s="1"/>
      <c r="JPH9" s="1"/>
      <c r="JPI9" s="1"/>
      <c r="JPJ9" s="1"/>
      <c r="JPK9" s="1"/>
      <c r="JPL9" s="1"/>
      <c r="JPM9" s="1"/>
      <c r="JPN9" s="1"/>
      <c r="JPO9" s="1"/>
      <c r="JPP9" s="1"/>
      <c r="JPQ9" s="1"/>
      <c r="JPR9" s="1"/>
      <c r="JPS9" s="1"/>
      <c r="JPT9" s="1"/>
      <c r="JPU9" s="1"/>
      <c r="JPV9" s="1"/>
      <c r="JPW9" s="1"/>
      <c r="JPX9" s="1"/>
      <c r="JPY9" s="1"/>
      <c r="JPZ9" s="1"/>
      <c r="JQA9" s="1"/>
      <c r="JQB9" s="1"/>
      <c r="JQC9" s="1"/>
      <c r="JQD9" s="1"/>
      <c r="JQE9" s="1"/>
      <c r="JQF9" s="1"/>
      <c r="JQG9" s="1"/>
      <c r="JQH9" s="1"/>
      <c r="JQI9" s="1"/>
      <c r="JQJ9" s="1"/>
      <c r="JQK9" s="1"/>
      <c r="JQL9" s="1"/>
      <c r="JQM9" s="1"/>
      <c r="JQN9" s="1"/>
      <c r="JQO9" s="1"/>
      <c r="JQP9" s="1"/>
      <c r="JQQ9" s="1"/>
      <c r="JQR9" s="1"/>
      <c r="JQS9" s="1"/>
      <c r="JQT9" s="1"/>
      <c r="JQU9" s="1"/>
      <c r="JQV9" s="1"/>
      <c r="JQW9" s="1"/>
      <c r="JQX9" s="1"/>
      <c r="JQY9" s="1"/>
      <c r="JQZ9" s="1"/>
      <c r="JRA9" s="1"/>
      <c r="JRB9" s="1"/>
      <c r="JRC9" s="1"/>
      <c r="JRD9" s="1"/>
      <c r="JRE9" s="1"/>
      <c r="JRF9" s="1"/>
      <c r="JRG9" s="1"/>
      <c r="JRH9" s="1"/>
      <c r="JRI9" s="1"/>
      <c r="JRJ9" s="1"/>
      <c r="JRK9" s="1"/>
      <c r="JRL9" s="1"/>
      <c r="JRM9" s="1"/>
      <c r="JRN9" s="1"/>
      <c r="JRO9" s="1"/>
      <c r="JRP9" s="1"/>
      <c r="JRQ9" s="1"/>
      <c r="JRR9" s="1"/>
      <c r="JRS9" s="1"/>
      <c r="JRT9" s="1"/>
      <c r="JRU9" s="1"/>
      <c r="JRV9" s="1"/>
      <c r="JRW9" s="1"/>
      <c r="JRX9" s="1"/>
      <c r="JRY9" s="1"/>
      <c r="JRZ9" s="1"/>
      <c r="JSA9" s="1"/>
      <c r="JSB9" s="1"/>
      <c r="JSC9" s="1"/>
      <c r="JSD9" s="1"/>
      <c r="JSE9" s="1"/>
      <c r="JSF9" s="1"/>
      <c r="JSG9" s="1"/>
      <c r="JSH9" s="1"/>
      <c r="JSI9" s="1"/>
      <c r="JSJ9" s="1"/>
      <c r="JSK9" s="1"/>
      <c r="JSL9" s="1"/>
      <c r="JSM9" s="1"/>
      <c r="JSN9" s="1"/>
      <c r="JSO9" s="1"/>
      <c r="JSP9" s="1"/>
      <c r="JSQ9" s="1"/>
      <c r="JSR9" s="1"/>
      <c r="JSS9" s="1"/>
      <c r="JST9" s="1"/>
      <c r="JSU9" s="1"/>
      <c r="JSV9" s="1"/>
      <c r="JSW9" s="1"/>
      <c r="JSX9" s="1"/>
      <c r="JSY9" s="1"/>
      <c r="JSZ9" s="1"/>
      <c r="JTA9" s="1"/>
      <c r="JTB9" s="1"/>
      <c r="JTC9" s="1"/>
      <c r="JTD9" s="1"/>
      <c r="JTE9" s="1"/>
      <c r="JTF9" s="1"/>
      <c r="JTG9" s="1"/>
      <c r="JTH9" s="1"/>
      <c r="JTI9" s="1"/>
      <c r="JTJ9" s="1"/>
      <c r="JTK9" s="1"/>
      <c r="JTL9" s="1"/>
      <c r="JTM9" s="1"/>
      <c r="JTN9" s="1"/>
      <c r="JTO9" s="1"/>
      <c r="JTP9" s="1"/>
      <c r="JTQ9" s="1"/>
      <c r="JTR9" s="1"/>
      <c r="JTS9" s="1"/>
      <c r="JTT9" s="1"/>
      <c r="JTU9" s="1"/>
      <c r="JTV9" s="1"/>
      <c r="JTW9" s="1"/>
      <c r="JTX9" s="1"/>
      <c r="JTY9" s="1"/>
      <c r="JTZ9" s="1"/>
      <c r="JUA9" s="1"/>
      <c r="JUB9" s="1"/>
      <c r="JUC9" s="1"/>
      <c r="JUD9" s="1"/>
      <c r="JUE9" s="1"/>
      <c r="JUF9" s="1"/>
      <c r="JUG9" s="1"/>
      <c r="JUH9" s="1"/>
      <c r="JUI9" s="1"/>
      <c r="JUJ9" s="1"/>
      <c r="JUK9" s="1"/>
      <c r="JUL9" s="1"/>
      <c r="JUM9" s="1"/>
      <c r="JUN9" s="1"/>
      <c r="JUO9" s="1"/>
      <c r="JUP9" s="1"/>
      <c r="JUQ9" s="1"/>
      <c r="JUR9" s="1"/>
      <c r="JUS9" s="1"/>
      <c r="JUT9" s="1"/>
      <c r="JUU9" s="1"/>
      <c r="JUV9" s="1"/>
      <c r="JUW9" s="1"/>
      <c r="JUX9" s="1"/>
      <c r="JUY9" s="1"/>
      <c r="JUZ9" s="1"/>
      <c r="JVA9" s="1"/>
      <c r="JVB9" s="1"/>
      <c r="JVC9" s="1"/>
      <c r="JVD9" s="1"/>
      <c r="JVE9" s="1"/>
      <c r="JVF9" s="1"/>
      <c r="JVG9" s="1"/>
      <c r="JVH9" s="1"/>
      <c r="JVI9" s="1"/>
      <c r="JVJ9" s="1"/>
      <c r="JVK9" s="1"/>
      <c r="JVL9" s="1"/>
      <c r="JVM9" s="1"/>
      <c r="JVN9" s="1"/>
      <c r="JVO9" s="1"/>
      <c r="JVP9" s="1"/>
      <c r="JVQ9" s="1"/>
      <c r="JVR9" s="1"/>
      <c r="JVS9" s="1"/>
      <c r="JVT9" s="1"/>
      <c r="JVU9" s="1"/>
      <c r="JVV9" s="1"/>
      <c r="JVW9" s="1"/>
      <c r="JVX9" s="1"/>
      <c r="JVY9" s="1"/>
      <c r="JVZ9" s="1"/>
      <c r="JWA9" s="1"/>
      <c r="JWB9" s="1"/>
      <c r="JWC9" s="1"/>
      <c r="JWD9" s="1"/>
      <c r="JWE9" s="1"/>
      <c r="JWF9" s="1"/>
      <c r="JWG9" s="1"/>
      <c r="JWH9" s="1"/>
      <c r="JWI9" s="1"/>
      <c r="JWJ9" s="1"/>
      <c r="JWK9" s="1"/>
      <c r="JWL9" s="1"/>
      <c r="JWM9" s="1"/>
      <c r="JWN9" s="1"/>
      <c r="JWO9" s="1"/>
      <c r="JWP9" s="1"/>
      <c r="JWQ9" s="1"/>
      <c r="JWR9" s="1"/>
      <c r="JWS9" s="1"/>
      <c r="JWT9" s="1"/>
      <c r="JWU9" s="1"/>
      <c r="JWV9" s="1"/>
      <c r="JWW9" s="1"/>
      <c r="JWX9" s="1"/>
      <c r="JWY9" s="1"/>
      <c r="JWZ9" s="1"/>
      <c r="JXA9" s="1"/>
      <c r="JXB9" s="1"/>
      <c r="JXC9" s="1"/>
      <c r="JXD9" s="1"/>
      <c r="JXE9" s="1"/>
      <c r="JXF9" s="1"/>
      <c r="JXG9" s="1"/>
      <c r="JXH9" s="1"/>
      <c r="JXI9" s="1"/>
      <c r="JXJ9" s="1"/>
      <c r="JXK9" s="1"/>
      <c r="JXL9" s="1"/>
      <c r="JXM9" s="1"/>
      <c r="JXN9" s="1"/>
      <c r="JXO9" s="1"/>
      <c r="JXP9" s="1"/>
      <c r="JXQ9" s="1"/>
      <c r="JXR9" s="1"/>
      <c r="JXS9" s="1"/>
      <c r="JXT9" s="1"/>
      <c r="JXU9" s="1"/>
      <c r="JXV9" s="1"/>
      <c r="JXW9" s="1"/>
      <c r="JXX9" s="1"/>
      <c r="JXY9" s="1"/>
      <c r="JXZ9" s="1"/>
      <c r="JYA9" s="1"/>
      <c r="JYB9" s="1"/>
      <c r="JYC9" s="1"/>
      <c r="JYD9" s="1"/>
      <c r="JYE9" s="1"/>
      <c r="JYF9" s="1"/>
      <c r="JYG9" s="1"/>
      <c r="JYH9" s="1"/>
      <c r="JYI9" s="1"/>
      <c r="JYJ9" s="1"/>
      <c r="JYK9" s="1"/>
      <c r="JYL9" s="1"/>
      <c r="JYM9" s="1"/>
      <c r="JYN9" s="1"/>
      <c r="JYO9" s="1"/>
      <c r="JYP9" s="1"/>
      <c r="JYQ9" s="1"/>
      <c r="JYR9" s="1"/>
      <c r="JYS9" s="1"/>
      <c r="JYT9" s="1"/>
      <c r="JYU9" s="1"/>
      <c r="JYV9" s="1"/>
      <c r="JYW9" s="1"/>
      <c r="JYX9" s="1"/>
      <c r="JYY9" s="1"/>
      <c r="JYZ9" s="1"/>
      <c r="JZA9" s="1"/>
      <c r="JZB9" s="1"/>
      <c r="JZC9" s="1"/>
      <c r="JZD9" s="1"/>
      <c r="JZE9" s="1"/>
      <c r="JZF9" s="1"/>
      <c r="JZG9" s="1"/>
      <c r="JZH9" s="1"/>
      <c r="JZI9" s="1"/>
      <c r="JZJ9" s="1"/>
      <c r="JZK9" s="1"/>
      <c r="JZL9" s="1"/>
      <c r="JZM9" s="1"/>
      <c r="JZN9" s="1"/>
      <c r="JZO9" s="1"/>
      <c r="JZP9" s="1"/>
      <c r="JZQ9" s="1"/>
      <c r="JZR9" s="1"/>
      <c r="JZS9" s="1"/>
      <c r="JZT9" s="1"/>
      <c r="JZU9" s="1"/>
      <c r="JZV9" s="1"/>
      <c r="JZW9" s="1"/>
      <c r="JZX9" s="1"/>
      <c r="JZY9" s="1"/>
      <c r="JZZ9" s="1"/>
      <c r="KAA9" s="1"/>
      <c r="KAB9" s="1"/>
      <c r="KAC9" s="1"/>
      <c r="KAD9" s="1"/>
      <c r="KAE9" s="1"/>
      <c r="KAF9" s="1"/>
      <c r="KAG9" s="1"/>
      <c r="KAH9" s="1"/>
      <c r="KAI9" s="1"/>
      <c r="KAJ9" s="1"/>
      <c r="KAK9" s="1"/>
      <c r="KAL9" s="1"/>
      <c r="KAM9" s="1"/>
      <c r="KAN9" s="1"/>
      <c r="KAO9" s="1"/>
      <c r="KAP9" s="1"/>
      <c r="KAQ9" s="1"/>
      <c r="KAR9" s="1"/>
      <c r="KAS9" s="1"/>
      <c r="KAT9" s="1"/>
      <c r="KAU9" s="1"/>
      <c r="KAV9" s="1"/>
      <c r="KAW9" s="1"/>
      <c r="KAX9" s="1"/>
      <c r="KAY9" s="1"/>
      <c r="KAZ9" s="1"/>
      <c r="KBA9" s="1"/>
      <c r="KBB9" s="1"/>
      <c r="KBC9" s="1"/>
      <c r="KBD9" s="1"/>
      <c r="KBE9" s="1"/>
      <c r="KBF9" s="1"/>
      <c r="KBG9" s="1"/>
      <c r="KBH9" s="1"/>
      <c r="KBI9" s="1"/>
      <c r="KBJ9" s="1"/>
      <c r="KBK9" s="1"/>
      <c r="KBL9" s="1"/>
      <c r="KBM9" s="1"/>
      <c r="KBN9" s="1"/>
      <c r="KBO9" s="1"/>
      <c r="KBP9" s="1"/>
      <c r="KBQ9" s="1"/>
      <c r="KBR9" s="1"/>
      <c r="KBS9" s="1"/>
      <c r="KBT9" s="1"/>
      <c r="KBU9" s="1"/>
      <c r="KBV9" s="1"/>
      <c r="KBW9" s="1"/>
      <c r="KBX9" s="1"/>
      <c r="KBY9" s="1"/>
      <c r="KBZ9" s="1"/>
      <c r="KCA9" s="1"/>
      <c r="KCB9" s="1"/>
      <c r="KCC9" s="1"/>
      <c r="KCD9" s="1"/>
      <c r="KCE9" s="1"/>
      <c r="KCF9" s="1"/>
      <c r="KCG9" s="1"/>
      <c r="KCH9" s="1"/>
      <c r="KCI9" s="1"/>
      <c r="KCJ9" s="1"/>
      <c r="KCK9" s="1"/>
      <c r="KCL9" s="1"/>
      <c r="KCM9" s="1"/>
      <c r="KCN9" s="1"/>
      <c r="KCO9" s="1"/>
      <c r="KCP9" s="1"/>
      <c r="KCQ9" s="1"/>
      <c r="KCR9" s="1"/>
      <c r="KCS9" s="1"/>
      <c r="KCT9" s="1"/>
      <c r="KCU9" s="1"/>
      <c r="KCV9" s="1"/>
      <c r="KCW9" s="1"/>
      <c r="KCX9" s="1"/>
      <c r="KCY9" s="1"/>
      <c r="KCZ9" s="1"/>
      <c r="KDA9" s="1"/>
      <c r="KDB9" s="1"/>
      <c r="KDC9" s="1"/>
      <c r="KDD9" s="1"/>
      <c r="KDE9" s="1"/>
      <c r="KDF9" s="1"/>
      <c r="KDG9" s="1"/>
      <c r="KDH9" s="1"/>
      <c r="KDI9" s="1"/>
      <c r="KDJ9" s="1"/>
      <c r="KDK9" s="1"/>
      <c r="KDL9" s="1"/>
      <c r="KDM9" s="1"/>
      <c r="KDN9" s="1"/>
      <c r="KDO9" s="1"/>
      <c r="KDP9" s="1"/>
      <c r="KDQ9" s="1"/>
      <c r="KDR9" s="1"/>
      <c r="KDS9" s="1"/>
      <c r="KDT9" s="1"/>
      <c r="KDU9" s="1"/>
      <c r="KDV9" s="1"/>
      <c r="KDW9" s="1"/>
      <c r="KDX9" s="1"/>
      <c r="KDY9" s="1"/>
      <c r="KDZ9" s="1"/>
      <c r="KEA9" s="1"/>
      <c r="KEB9" s="1"/>
      <c r="KEC9" s="1"/>
      <c r="KED9" s="1"/>
      <c r="KEE9" s="1"/>
      <c r="KEF9" s="1"/>
      <c r="KEG9" s="1"/>
      <c r="KEH9" s="1"/>
      <c r="KEI9" s="1"/>
      <c r="KEJ9" s="1"/>
      <c r="KEK9" s="1"/>
      <c r="KEL9" s="1"/>
      <c r="KEM9" s="1"/>
      <c r="KEN9" s="1"/>
      <c r="KEO9" s="1"/>
      <c r="KEP9" s="1"/>
      <c r="KEQ9" s="1"/>
      <c r="KER9" s="1"/>
      <c r="KES9" s="1"/>
      <c r="KET9" s="1"/>
      <c r="KEU9" s="1"/>
      <c r="KEV9" s="1"/>
      <c r="KEW9" s="1"/>
      <c r="KEX9" s="1"/>
      <c r="KEY9" s="1"/>
      <c r="KEZ9" s="1"/>
      <c r="KFA9" s="1"/>
      <c r="KFB9" s="1"/>
      <c r="KFC9" s="1"/>
      <c r="KFD9" s="1"/>
      <c r="KFE9" s="1"/>
      <c r="KFF9" s="1"/>
      <c r="KFG9" s="1"/>
      <c r="KFH9" s="1"/>
      <c r="KFI9" s="1"/>
      <c r="KFJ9" s="1"/>
      <c r="KFK9" s="1"/>
      <c r="KFL9" s="1"/>
      <c r="KFM9" s="1"/>
      <c r="KFN9" s="1"/>
      <c r="KFO9" s="1"/>
      <c r="KFP9" s="1"/>
      <c r="KFQ9" s="1"/>
      <c r="KFR9" s="1"/>
      <c r="KFS9" s="1"/>
      <c r="KFT9" s="1"/>
      <c r="KFU9" s="1"/>
      <c r="KFV9" s="1"/>
      <c r="KFW9" s="1"/>
      <c r="KFX9" s="1"/>
      <c r="KFY9" s="1"/>
      <c r="KFZ9" s="1"/>
      <c r="KGA9" s="1"/>
      <c r="KGB9" s="1"/>
      <c r="KGC9" s="1"/>
      <c r="KGD9" s="1"/>
      <c r="KGE9" s="1"/>
      <c r="KGF9" s="1"/>
      <c r="KGG9" s="1"/>
      <c r="KGH9" s="1"/>
      <c r="KGI9" s="1"/>
      <c r="KGJ9" s="1"/>
      <c r="KGK9" s="1"/>
      <c r="KGL9" s="1"/>
      <c r="KGM9" s="1"/>
      <c r="KGN9" s="1"/>
      <c r="KGO9" s="1"/>
      <c r="KGP9" s="1"/>
      <c r="KGQ9" s="1"/>
      <c r="KGR9" s="1"/>
      <c r="KGS9" s="1"/>
      <c r="KGT9" s="1"/>
      <c r="KGU9" s="1"/>
      <c r="KGV9" s="1"/>
      <c r="KGW9" s="1"/>
      <c r="KGX9" s="1"/>
      <c r="KGY9" s="1"/>
      <c r="KGZ9" s="1"/>
      <c r="KHA9" s="1"/>
      <c r="KHB9" s="1"/>
      <c r="KHC9" s="1"/>
      <c r="KHD9" s="1"/>
      <c r="KHE9" s="1"/>
      <c r="KHF9" s="1"/>
      <c r="KHG9" s="1"/>
      <c r="KHH9" s="1"/>
      <c r="KHI9" s="1"/>
      <c r="KHJ9" s="1"/>
      <c r="KHK9" s="1"/>
      <c r="KHL9" s="1"/>
      <c r="KHM9" s="1"/>
      <c r="KHN9" s="1"/>
      <c r="KHO9" s="1"/>
      <c r="KHP9" s="1"/>
      <c r="KHQ9" s="1"/>
      <c r="KHR9" s="1"/>
      <c r="KHS9" s="1"/>
      <c r="KHT9" s="1"/>
      <c r="KHU9" s="1"/>
      <c r="KHV9" s="1"/>
      <c r="KHW9" s="1"/>
      <c r="KHX9" s="1"/>
      <c r="KHY9" s="1"/>
      <c r="KHZ9" s="1"/>
      <c r="KIA9" s="1"/>
      <c r="KIB9" s="1"/>
      <c r="KIC9" s="1"/>
      <c r="KID9" s="1"/>
      <c r="KIE9" s="1"/>
      <c r="KIF9" s="1"/>
      <c r="KIG9" s="1"/>
      <c r="KIH9" s="1"/>
      <c r="KII9" s="1"/>
      <c r="KIJ9" s="1"/>
      <c r="KIK9" s="1"/>
      <c r="KIL9" s="1"/>
      <c r="KIM9" s="1"/>
      <c r="KIN9" s="1"/>
      <c r="KIO9" s="1"/>
      <c r="KIP9" s="1"/>
      <c r="KIQ9" s="1"/>
      <c r="KIR9" s="1"/>
      <c r="KIS9" s="1"/>
      <c r="KIT9" s="1"/>
      <c r="KIU9" s="1"/>
      <c r="KIV9" s="1"/>
      <c r="KIW9" s="1"/>
      <c r="KIX9" s="1"/>
      <c r="KIY9" s="1"/>
      <c r="KIZ9" s="1"/>
      <c r="KJA9" s="1"/>
      <c r="KJB9" s="1"/>
      <c r="KJC9" s="1"/>
      <c r="KJD9" s="1"/>
      <c r="KJE9" s="1"/>
      <c r="KJF9" s="1"/>
      <c r="KJG9" s="1"/>
      <c r="KJH9" s="1"/>
      <c r="KJI9" s="1"/>
      <c r="KJJ9" s="1"/>
      <c r="KJK9" s="1"/>
      <c r="KJL9" s="1"/>
      <c r="KJM9" s="1"/>
      <c r="KJN9" s="1"/>
      <c r="KJO9" s="1"/>
      <c r="KJP9" s="1"/>
      <c r="KJQ9" s="1"/>
      <c r="KJR9" s="1"/>
      <c r="KJS9" s="1"/>
      <c r="KJT9" s="1"/>
      <c r="KJU9" s="1"/>
      <c r="KJV9" s="1"/>
      <c r="KJW9" s="1"/>
      <c r="KJX9" s="1"/>
      <c r="KJY9" s="1"/>
      <c r="KJZ9" s="1"/>
      <c r="KKA9" s="1"/>
      <c r="KKB9" s="1"/>
      <c r="KKC9" s="1"/>
      <c r="KKD9" s="1"/>
      <c r="KKE9" s="1"/>
      <c r="KKF9" s="1"/>
      <c r="KKG9" s="1"/>
      <c r="KKH9" s="1"/>
      <c r="KKI9" s="1"/>
      <c r="KKJ9" s="1"/>
      <c r="KKK9" s="1"/>
      <c r="KKL9" s="1"/>
      <c r="KKM9" s="1"/>
      <c r="KKN9" s="1"/>
      <c r="KKO9" s="1"/>
      <c r="KKP9" s="1"/>
      <c r="KKQ9" s="1"/>
      <c r="KKR9" s="1"/>
      <c r="KKS9" s="1"/>
      <c r="KKT9" s="1"/>
      <c r="KKU9" s="1"/>
      <c r="KKV9" s="1"/>
      <c r="KKW9" s="1"/>
      <c r="KKX9" s="1"/>
      <c r="KKY9" s="1"/>
      <c r="KKZ9" s="1"/>
      <c r="KLA9" s="1"/>
      <c r="KLB9" s="1"/>
      <c r="KLC9" s="1"/>
      <c r="KLD9" s="1"/>
      <c r="KLE9" s="1"/>
      <c r="KLF9" s="1"/>
      <c r="KLG9" s="1"/>
      <c r="KLH9" s="1"/>
      <c r="KLI9" s="1"/>
      <c r="KLJ9" s="1"/>
      <c r="KLK9" s="1"/>
      <c r="KLL9" s="1"/>
      <c r="KLM9" s="1"/>
      <c r="KLN9" s="1"/>
      <c r="KLO9" s="1"/>
      <c r="KLP9" s="1"/>
      <c r="KLQ9" s="1"/>
      <c r="KLR9" s="1"/>
      <c r="KLS9" s="1"/>
      <c r="KLT9" s="1"/>
      <c r="KLU9" s="1"/>
      <c r="KLV9" s="1"/>
      <c r="KLW9" s="1"/>
      <c r="KLX9" s="1"/>
      <c r="KLY9" s="1"/>
      <c r="KLZ9" s="1"/>
      <c r="KMA9" s="1"/>
      <c r="KMB9" s="1"/>
      <c r="KMC9" s="1"/>
      <c r="KMD9" s="1"/>
      <c r="KME9" s="1"/>
      <c r="KMF9" s="1"/>
      <c r="KMG9" s="1"/>
      <c r="KMH9" s="1"/>
      <c r="KMI9" s="1"/>
      <c r="KMJ9" s="1"/>
      <c r="KMK9" s="1"/>
      <c r="KML9" s="1"/>
      <c r="KMM9" s="1"/>
      <c r="KMN9" s="1"/>
      <c r="KMO9" s="1"/>
      <c r="KMP9" s="1"/>
      <c r="KMQ9" s="1"/>
      <c r="KMR9" s="1"/>
      <c r="KMS9" s="1"/>
      <c r="KMT9" s="1"/>
      <c r="KMU9" s="1"/>
      <c r="KMV9" s="1"/>
      <c r="KMW9" s="1"/>
      <c r="KMX9" s="1"/>
      <c r="KMY9" s="1"/>
      <c r="KMZ9" s="1"/>
      <c r="KNA9" s="1"/>
      <c r="KNB9" s="1"/>
      <c r="KNC9" s="1"/>
      <c r="KND9" s="1"/>
      <c r="KNE9" s="1"/>
      <c r="KNF9" s="1"/>
      <c r="KNG9" s="1"/>
      <c r="KNH9" s="1"/>
      <c r="KNI9" s="1"/>
      <c r="KNJ9" s="1"/>
      <c r="KNK9" s="1"/>
      <c r="KNL9" s="1"/>
      <c r="KNM9" s="1"/>
      <c r="KNN9" s="1"/>
      <c r="KNO9" s="1"/>
      <c r="KNP9" s="1"/>
      <c r="KNQ9" s="1"/>
      <c r="KNR9" s="1"/>
      <c r="KNS9" s="1"/>
      <c r="KNT9" s="1"/>
      <c r="KNU9" s="1"/>
      <c r="KNV9" s="1"/>
      <c r="KNW9" s="1"/>
      <c r="KNX9" s="1"/>
      <c r="KNY9" s="1"/>
      <c r="KNZ9" s="1"/>
      <c r="KOA9" s="1"/>
      <c r="KOB9" s="1"/>
      <c r="KOC9" s="1"/>
      <c r="KOD9" s="1"/>
      <c r="KOE9" s="1"/>
      <c r="KOF9" s="1"/>
      <c r="KOG9" s="1"/>
      <c r="KOH9" s="1"/>
      <c r="KOI9" s="1"/>
      <c r="KOJ9" s="1"/>
      <c r="KOK9" s="1"/>
      <c r="KOL9" s="1"/>
      <c r="KOM9" s="1"/>
      <c r="KON9" s="1"/>
      <c r="KOO9" s="1"/>
      <c r="KOP9" s="1"/>
      <c r="KOQ9" s="1"/>
      <c r="KOR9" s="1"/>
      <c r="KOS9" s="1"/>
      <c r="KOT9" s="1"/>
      <c r="KOU9" s="1"/>
      <c r="KOV9" s="1"/>
      <c r="KOW9" s="1"/>
      <c r="KOX9" s="1"/>
      <c r="KOY9" s="1"/>
      <c r="KOZ9" s="1"/>
      <c r="KPA9" s="1"/>
      <c r="KPB9" s="1"/>
      <c r="KPC9" s="1"/>
      <c r="KPD9" s="1"/>
      <c r="KPE9" s="1"/>
      <c r="KPF9" s="1"/>
      <c r="KPG9" s="1"/>
      <c r="KPH9" s="1"/>
      <c r="KPI9" s="1"/>
      <c r="KPJ9" s="1"/>
      <c r="KPK9" s="1"/>
      <c r="KPL9" s="1"/>
      <c r="KPM9" s="1"/>
      <c r="KPN9" s="1"/>
      <c r="KPO9" s="1"/>
      <c r="KPP9" s="1"/>
      <c r="KPQ9" s="1"/>
      <c r="KPR9" s="1"/>
      <c r="KPS9" s="1"/>
      <c r="KPT9" s="1"/>
      <c r="KPU9" s="1"/>
      <c r="KPV9" s="1"/>
      <c r="KPW9" s="1"/>
      <c r="KPX9" s="1"/>
      <c r="KPY9" s="1"/>
      <c r="KPZ9" s="1"/>
      <c r="KQA9" s="1"/>
      <c r="KQB9" s="1"/>
      <c r="KQC9" s="1"/>
      <c r="KQD9" s="1"/>
      <c r="KQE9" s="1"/>
      <c r="KQF9" s="1"/>
      <c r="KQG9" s="1"/>
      <c r="KQH9" s="1"/>
      <c r="KQI9" s="1"/>
      <c r="KQJ9" s="1"/>
      <c r="KQK9" s="1"/>
      <c r="KQL9" s="1"/>
      <c r="KQM9" s="1"/>
      <c r="KQN9" s="1"/>
      <c r="KQO9" s="1"/>
      <c r="KQP9" s="1"/>
      <c r="KQQ9" s="1"/>
      <c r="KQR9" s="1"/>
      <c r="KQS9" s="1"/>
      <c r="KQT9" s="1"/>
      <c r="KQU9" s="1"/>
      <c r="KQV9" s="1"/>
      <c r="KQW9" s="1"/>
      <c r="KQX9" s="1"/>
      <c r="KQY9" s="1"/>
      <c r="KQZ9" s="1"/>
      <c r="KRA9" s="1"/>
      <c r="KRB9" s="1"/>
      <c r="KRC9" s="1"/>
      <c r="KRD9" s="1"/>
      <c r="KRE9" s="1"/>
      <c r="KRF9" s="1"/>
      <c r="KRG9" s="1"/>
      <c r="KRH9" s="1"/>
      <c r="KRI9" s="1"/>
      <c r="KRJ9" s="1"/>
      <c r="KRK9" s="1"/>
      <c r="KRL9" s="1"/>
      <c r="KRM9" s="1"/>
      <c r="KRN9" s="1"/>
      <c r="KRO9" s="1"/>
      <c r="KRP9" s="1"/>
      <c r="KRQ9" s="1"/>
      <c r="KRR9" s="1"/>
      <c r="KRS9" s="1"/>
      <c r="KRT9" s="1"/>
      <c r="KRU9" s="1"/>
      <c r="KRV9" s="1"/>
      <c r="KRW9" s="1"/>
      <c r="KRX9" s="1"/>
      <c r="KRY9" s="1"/>
      <c r="KRZ9" s="1"/>
      <c r="KSA9" s="1"/>
      <c r="KSB9" s="1"/>
      <c r="KSC9" s="1"/>
      <c r="KSD9" s="1"/>
      <c r="KSE9" s="1"/>
      <c r="KSF9" s="1"/>
      <c r="KSG9" s="1"/>
      <c r="KSH9" s="1"/>
      <c r="KSI9" s="1"/>
      <c r="KSJ9" s="1"/>
      <c r="KSK9" s="1"/>
      <c r="KSL9" s="1"/>
      <c r="KSM9" s="1"/>
      <c r="KSN9" s="1"/>
      <c r="KSO9" s="1"/>
      <c r="KSP9" s="1"/>
      <c r="KSQ9" s="1"/>
      <c r="KSR9" s="1"/>
      <c r="KSS9" s="1"/>
      <c r="KST9" s="1"/>
      <c r="KSU9" s="1"/>
      <c r="KSV9" s="1"/>
      <c r="KSW9" s="1"/>
      <c r="KSX9" s="1"/>
      <c r="KSY9" s="1"/>
      <c r="KSZ9" s="1"/>
      <c r="KTA9" s="1"/>
      <c r="KTB9" s="1"/>
      <c r="KTC9" s="1"/>
      <c r="KTD9" s="1"/>
      <c r="KTE9" s="1"/>
      <c r="KTF9" s="1"/>
      <c r="KTG9" s="1"/>
      <c r="KTH9" s="1"/>
      <c r="KTI9" s="1"/>
      <c r="KTJ9" s="1"/>
      <c r="KTK9" s="1"/>
      <c r="KTL9" s="1"/>
      <c r="KTM9" s="1"/>
      <c r="KTN9" s="1"/>
      <c r="KTO9" s="1"/>
      <c r="KTP9" s="1"/>
      <c r="KTQ9" s="1"/>
      <c r="KTR9" s="1"/>
      <c r="KTS9" s="1"/>
      <c r="KTT9" s="1"/>
      <c r="KTU9" s="1"/>
      <c r="KTV9" s="1"/>
      <c r="KTW9" s="1"/>
      <c r="KTX9" s="1"/>
      <c r="KTY9" s="1"/>
      <c r="KTZ9" s="1"/>
      <c r="KUA9" s="1"/>
      <c r="KUB9" s="1"/>
      <c r="KUC9" s="1"/>
      <c r="KUD9" s="1"/>
      <c r="KUE9" s="1"/>
      <c r="KUF9" s="1"/>
      <c r="KUG9" s="1"/>
      <c r="KUH9" s="1"/>
      <c r="KUI9" s="1"/>
      <c r="KUJ9" s="1"/>
      <c r="KUK9" s="1"/>
      <c r="KUL9" s="1"/>
      <c r="KUM9" s="1"/>
      <c r="KUN9" s="1"/>
      <c r="KUO9" s="1"/>
      <c r="KUP9" s="1"/>
      <c r="KUQ9" s="1"/>
      <c r="KUR9" s="1"/>
      <c r="KUS9" s="1"/>
      <c r="KUT9" s="1"/>
      <c r="KUU9" s="1"/>
      <c r="KUV9" s="1"/>
      <c r="KUW9" s="1"/>
      <c r="KUX9" s="1"/>
      <c r="KUY9" s="1"/>
      <c r="KUZ9" s="1"/>
      <c r="KVA9" s="1"/>
      <c r="KVB9" s="1"/>
      <c r="KVC9" s="1"/>
      <c r="KVD9" s="1"/>
      <c r="KVE9" s="1"/>
      <c r="KVF9" s="1"/>
      <c r="KVG9" s="1"/>
      <c r="KVH9" s="1"/>
      <c r="KVI9" s="1"/>
      <c r="KVJ9" s="1"/>
      <c r="KVK9" s="1"/>
      <c r="KVL9" s="1"/>
      <c r="KVM9" s="1"/>
      <c r="KVN9" s="1"/>
      <c r="KVO9" s="1"/>
      <c r="KVP9" s="1"/>
      <c r="KVQ9" s="1"/>
      <c r="KVR9" s="1"/>
      <c r="KVS9" s="1"/>
      <c r="KVT9" s="1"/>
      <c r="KVU9" s="1"/>
      <c r="KVV9" s="1"/>
      <c r="KVW9" s="1"/>
      <c r="KVX9" s="1"/>
      <c r="KVY9" s="1"/>
      <c r="KVZ9" s="1"/>
      <c r="KWA9" s="1"/>
      <c r="KWB9" s="1"/>
      <c r="KWC9" s="1"/>
      <c r="KWD9" s="1"/>
      <c r="KWE9" s="1"/>
      <c r="KWF9" s="1"/>
      <c r="KWG9" s="1"/>
      <c r="KWH9" s="1"/>
      <c r="KWI9" s="1"/>
      <c r="KWJ9" s="1"/>
      <c r="KWK9" s="1"/>
      <c r="KWL9" s="1"/>
      <c r="KWM9" s="1"/>
      <c r="KWN9" s="1"/>
      <c r="KWO9" s="1"/>
      <c r="KWP9" s="1"/>
      <c r="KWQ9" s="1"/>
      <c r="KWR9" s="1"/>
      <c r="KWS9" s="1"/>
      <c r="KWT9" s="1"/>
      <c r="KWU9" s="1"/>
      <c r="KWV9" s="1"/>
      <c r="KWW9" s="1"/>
      <c r="KWX9" s="1"/>
      <c r="KWY9" s="1"/>
      <c r="KWZ9" s="1"/>
      <c r="KXA9" s="1"/>
      <c r="KXB9" s="1"/>
      <c r="KXC9" s="1"/>
      <c r="KXD9" s="1"/>
      <c r="KXE9" s="1"/>
      <c r="KXF9" s="1"/>
      <c r="KXG9" s="1"/>
      <c r="KXH9" s="1"/>
      <c r="KXI9" s="1"/>
      <c r="KXJ9" s="1"/>
      <c r="KXK9" s="1"/>
      <c r="KXL9" s="1"/>
      <c r="KXM9" s="1"/>
      <c r="KXN9" s="1"/>
      <c r="KXO9" s="1"/>
      <c r="KXP9" s="1"/>
      <c r="KXQ9" s="1"/>
      <c r="KXR9" s="1"/>
      <c r="KXS9" s="1"/>
      <c r="KXT9" s="1"/>
      <c r="KXU9" s="1"/>
      <c r="KXV9" s="1"/>
      <c r="KXW9" s="1"/>
      <c r="KXX9" s="1"/>
      <c r="KXY9" s="1"/>
      <c r="KXZ9" s="1"/>
      <c r="KYA9" s="1"/>
      <c r="KYB9" s="1"/>
      <c r="KYC9" s="1"/>
      <c r="KYD9" s="1"/>
      <c r="KYE9" s="1"/>
      <c r="KYF9" s="1"/>
      <c r="KYG9" s="1"/>
      <c r="KYH9" s="1"/>
      <c r="KYI9" s="1"/>
      <c r="KYJ9" s="1"/>
      <c r="KYK9" s="1"/>
      <c r="KYL9" s="1"/>
      <c r="KYM9" s="1"/>
      <c r="KYN9" s="1"/>
      <c r="KYO9" s="1"/>
      <c r="KYP9" s="1"/>
      <c r="KYQ9" s="1"/>
      <c r="KYR9" s="1"/>
      <c r="KYS9" s="1"/>
      <c r="KYT9" s="1"/>
      <c r="KYU9" s="1"/>
      <c r="KYV9" s="1"/>
      <c r="KYW9" s="1"/>
      <c r="KYX9" s="1"/>
      <c r="KYY9" s="1"/>
      <c r="KYZ9" s="1"/>
      <c r="KZA9" s="1"/>
      <c r="KZB9" s="1"/>
      <c r="KZC9" s="1"/>
      <c r="KZD9" s="1"/>
      <c r="KZE9" s="1"/>
      <c r="KZF9" s="1"/>
      <c r="KZG9" s="1"/>
      <c r="KZH9" s="1"/>
      <c r="KZI9" s="1"/>
      <c r="KZJ9" s="1"/>
      <c r="KZK9" s="1"/>
      <c r="KZL9" s="1"/>
      <c r="KZM9" s="1"/>
      <c r="KZN9" s="1"/>
      <c r="KZO9" s="1"/>
      <c r="KZP9" s="1"/>
      <c r="KZQ9" s="1"/>
      <c r="KZR9" s="1"/>
      <c r="KZS9" s="1"/>
      <c r="KZT9" s="1"/>
      <c r="KZU9" s="1"/>
      <c r="KZV9" s="1"/>
      <c r="KZW9" s="1"/>
      <c r="KZX9" s="1"/>
      <c r="KZY9" s="1"/>
      <c r="KZZ9" s="1"/>
      <c r="LAA9" s="1"/>
      <c r="LAB9" s="1"/>
      <c r="LAC9" s="1"/>
      <c r="LAD9" s="1"/>
      <c r="LAE9" s="1"/>
      <c r="LAF9" s="1"/>
      <c r="LAG9" s="1"/>
      <c r="LAH9" s="1"/>
      <c r="LAI9" s="1"/>
      <c r="LAJ9" s="1"/>
      <c r="LAK9" s="1"/>
      <c r="LAL9" s="1"/>
      <c r="LAM9" s="1"/>
      <c r="LAN9" s="1"/>
      <c r="LAO9" s="1"/>
      <c r="LAP9" s="1"/>
      <c r="LAQ9" s="1"/>
      <c r="LAR9" s="1"/>
      <c r="LAS9" s="1"/>
      <c r="LAT9" s="1"/>
      <c r="LAU9" s="1"/>
      <c r="LAV9" s="1"/>
      <c r="LAW9" s="1"/>
      <c r="LAX9" s="1"/>
      <c r="LAY9" s="1"/>
      <c r="LAZ9" s="1"/>
      <c r="LBA9" s="1"/>
      <c r="LBB9" s="1"/>
      <c r="LBC9" s="1"/>
      <c r="LBD9" s="1"/>
      <c r="LBE9" s="1"/>
      <c r="LBF9" s="1"/>
      <c r="LBG9" s="1"/>
      <c r="LBH9" s="1"/>
      <c r="LBI9" s="1"/>
      <c r="LBJ9" s="1"/>
      <c r="LBK9" s="1"/>
      <c r="LBL9" s="1"/>
      <c r="LBM9" s="1"/>
      <c r="LBN9" s="1"/>
      <c r="LBO9" s="1"/>
      <c r="LBP9" s="1"/>
      <c r="LBQ9" s="1"/>
      <c r="LBR9" s="1"/>
      <c r="LBS9" s="1"/>
      <c r="LBT9" s="1"/>
      <c r="LBU9" s="1"/>
      <c r="LBV9" s="1"/>
      <c r="LBW9" s="1"/>
      <c r="LBX9" s="1"/>
      <c r="LBY9" s="1"/>
      <c r="LBZ9" s="1"/>
      <c r="LCA9" s="1"/>
      <c r="LCB9" s="1"/>
      <c r="LCC9" s="1"/>
      <c r="LCD9" s="1"/>
      <c r="LCE9" s="1"/>
      <c r="LCF9" s="1"/>
      <c r="LCG9" s="1"/>
      <c r="LCH9" s="1"/>
      <c r="LCI9" s="1"/>
      <c r="LCJ9" s="1"/>
      <c r="LCK9" s="1"/>
      <c r="LCL9" s="1"/>
      <c r="LCM9" s="1"/>
      <c r="LCN9" s="1"/>
      <c r="LCO9" s="1"/>
      <c r="LCP9" s="1"/>
      <c r="LCQ9" s="1"/>
      <c r="LCR9" s="1"/>
      <c r="LCS9" s="1"/>
      <c r="LCT9" s="1"/>
      <c r="LCU9" s="1"/>
      <c r="LCV9" s="1"/>
      <c r="LCW9" s="1"/>
      <c r="LCX9" s="1"/>
      <c r="LCY9" s="1"/>
      <c r="LCZ9" s="1"/>
      <c r="LDA9" s="1"/>
      <c r="LDB9" s="1"/>
      <c r="LDC9" s="1"/>
      <c r="LDD9" s="1"/>
      <c r="LDE9" s="1"/>
      <c r="LDF9" s="1"/>
      <c r="LDG9" s="1"/>
      <c r="LDH9" s="1"/>
      <c r="LDI9" s="1"/>
      <c r="LDJ9" s="1"/>
      <c r="LDK9" s="1"/>
      <c r="LDL9" s="1"/>
      <c r="LDM9" s="1"/>
      <c r="LDN9" s="1"/>
      <c r="LDO9" s="1"/>
      <c r="LDP9" s="1"/>
      <c r="LDQ9" s="1"/>
      <c r="LDR9" s="1"/>
      <c r="LDS9" s="1"/>
      <c r="LDT9" s="1"/>
      <c r="LDU9" s="1"/>
      <c r="LDV9" s="1"/>
      <c r="LDW9" s="1"/>
      <c r="LDX9" s="1"/>
      <c r="LDY9" s="1"/>
      <c r="LDZ9" s="1"/>
      <c r="LEA9" s="1"/>
      <c r="LEB9" s="1"/>
      <c r="LEC9" s="1"/>
      <c r="LED9" s="1"/>
      <c r="LEE9" s="1"/>
      <c r="LEF9" s="1"/>
      <c r="LEG9" s="1"/>
      <c r="LEH9" s="1"/>
      <c r="LEI9" s="1"/>
      <c r="LEJ9" s="1"/>
      <c r="LEK9" s="1"/>
      <c r="LEL9" s="1"/>
      <c r="LEM9" s="1"/>
      <c r="LEN9" s="1"/>
      <c r="LEO9" s="1"/>
      <c r="LEP9" s="1"/>
      <c r="LEQ9" s="1"/>
      <c r="LER9" s="1"/>
      <c r="LES9" s="1"/>
      <c r="LET9" s="1"/>
      <c r="LEU9" s="1"/>
      <c r="LEV9" s="1"/>
      <c r="LEW9" s="1"/>
      <c r="LEX9" s="1"/>
      <c r="LEY9" s="1"/>
      <c r="LEZ9" s="1"/>
      <c r="LFA9" s="1"/>
      <c r="LFB9" s="1"/>
      <c r="LFC9" s="1"/>
      <c r="LFD9" s="1"/>
      <c r="LFE9" s="1"/>
      <c r="LFF9" s="1"/>
      <c r="LFG9" s="1"/>
      <c r="LFH9" s="1"/>
      <c r="LFI9" s="1"/>
      <c r="LFJ9" s="1"/>
      <c r="LFK9" s="1"/>
      <c r="LFL9" s="1"/>
      <c r="LFM9" s="1"/>
      <c r="LFN9" s="1"/>
      <c r="LFO9" s="1"/>
      <c r="LFP9" s="1"/>
      <c r="LFQ9" s="1"/>
      <c r="LFR9" s="1"/>
      <c r="LFS9" s="1"/>
      <c r="LFT9" s="1"/>
      <c r="LFU9" s="1"/>
      <c r="LFV9" s="1"/>
      <c r="LFW9" s="1"/>
      <c r="LFX9" s="1"/>
      <c r="LFY9" s="1"/>
      <c r="LFZ9" s="1"/>
      <c r="LGA9" s="1"/>
      <c r="LGB9" s="1"/>
      <c r="LGC9" s="1"/>
      <c r="LGD9" s="1"/>
      <c r="LGE9" s="1"/>
      <c r="LGF9" s="1"/>
      <c r="LGG9" s="1"/>
      <c r="LGH9" s="1"/>
      <c r="LGI9" s="1"/>
      <c r="LGJ9" s="1"/>
      <c r="LGK9" s="1"/>
      <c r="LGL9" s="1"/>
      <c r="LGM9" s="1"/>
      <c r="LGN9" s="1"/>
      <c r="LGO9" s="1"/>
      <c r="LGP9" s="1"/>
      <c r="LGQ9" s="1"/>
      <c r="LGR9" s="1"/>
      <c r="LGS9" s="1"/>
      <c r="LGT9" s="1"/>
      <c r="LGU9" s="1"/>
      <c r="LGV9" s="1"/>
      <c r="LGW9" s="1"/>
      <c r="LGX9" s="1"/>
      <c r="LGY9" s="1"/>
      <c r="LGZ9" s="1"/>
      <c r="LHA9" s="1"/>
      <c r="LHB9" s="1"/>
      <c r="LHC9" s="1"/>
      <c r="LHD9" s="1"/>
      <c r="LHE9" s="1"/>
      <c r="LHF9" s="1"/>
      <c r="LHG9" s="1"/>
      <c r="LHH9" s="1"/>
      <c r="LHI9" s="1"/>
      <c r="LHJ9" s="1"/>
      <c r="LHK9" s="1"/>
      <c r="LHL9" s="1"/>
      <c r="LHM9" s="1"/>
      <c r="LHN9" s="1"/>
      <c r="LHO9" s="1"/>
      <c r="LHP9" s="1"/>
      <c r="LHQ9" s="1"/>
      <c r="LHR9" s="1"/>
      <c r="LHS9" s="1"/>
      <c r="LHT9" s="1"/>
      <c r="LHU9" s="1"/>
      <c r="LHV9" s="1"/>
      <c r="LHW9" s="1"/>
      <c r="LHX9" s="1"/>
      <c r="LHY9" s="1"/>
      <c r="LHZ9" s="1"/>
      <c r="LIA9" s="1"/>
      <c r="LIB9" s="1"/>
      <c r="LIC9" s="1"/>
      <c r="LID9" s="1"/>
      <c r="LIE9" s="1"/>
      <c r="LIF9" s="1"/>
      <c r="LIG9" s="1"/>
      <c r="LIH9" s="1"/>
      <c r="LII9" s="1"/>
      <c r="LIJ9" s="1"/>
      <c r="LIK9" s="1"/>
      <c r="LIL9" s="1"/>
      <c r="LIM9" s="1"/>
      <c r="LIN9" s="1"/>
      <c r="LIO9" s="1"/>
      <c r="LIP9" s="1"/>
      <c r="LIQ9" s="1"/>
      <c r="LIR9" s="1"/>
      <c r="LIS9" s="1"/>
      <c r="LIT9" s="1"/>
      <c r="LIU9" s="1"/>
      <c r="LIV9" s="1"/>
      <c r="LIW9" s="1"/>
      <c r="LIX9" s="1"/>
      <c r="LIY9" s="1"/>
      <c r="LIZ9" s="1"/>
      <c r="LJA9" s="1"/>
      <c r="LJB9" s="1"/>
      <c r="LJC9" s="1"/>
      <c r="LJD9" s="1"/>
      <c r="LJE9" s="1"/>
      <c r="LJF9" s="1"/>
      <c r="LJG9" s="1"/>
      <c r="LJH9" s="1"/>
      <c r="LJI9" s="1"/>
      <c r="LJJ9" s="1"/>
      <c r="LJK9" s="1"/>
      <c r="LJL9" s="1"/>
      <c r="LJM9" s="1"/>
      <c r="LJN9" s="1"/>
      <c r="LJO9" s="1"/>
      <c r="LJP9" s="1"/>
      <c r="LJQ9" s="1"/>
      <c r="LJR9" s="1"/>
      <c r="LJS9" s="1"/>
      <c r="LJT9" s="1"/>
      <c r="LJU9" s="1"/>
      <c r="LJV9" s="1"/>
      <c r="LJW9" s="1"/>
      <c r="LJX9" s="1"/>
      <c r="LJY9" s="1"/>
      <c r="LJZ9" s="1"/>
      <c r="LKA9" s="1"/>
      <c r="LKB9" s="1"/>
      <c r="LKC9" s="1"/>
      <c r="LKD9" s="1"/>
      <c r="LKE9" s="1"/>
      <c r="LKF9" s="1"/>
      <c r="LKG9" s="1"/>
      <c r="LKH9" s="1"/>
      <c r="LKI9" s="1"/>
      <c r="LKJ9" s="1"/>
      <c r="LKK9" s="1"/>
      <c r="LKL9" s="1"/>
      <c r="LKM9" s="1"/>
      <c r="LKN9" s="1"/>
      <c r="LKO9" s="1"/>
      <c r="LKP9" s="1"/>
      <c r="LKQ9" s="1"/>
      <c r="LKR9" s="1"/>
      <c r="LKS9" s="1"/>
      <c r="LKT9" s="1"/>
      <c r="LKU9" s="1"/>
      <c r="LKV9" s="1"/>
      <c r="LKW9" s="1"/>
      <c r="LKX9" s="1"/>
      <c r="LKY9" s="1"/>
      <c r="LKZ9" s="1"/>
      <c r="LLA9" s="1"/>
      <c r="LLB9" s="1"/>
      <c r="LLC9" s="1"/>
      <c r="LLD9" s="1"/>
      <c r="LLE9" s="1"/>
      <c r="LLF9" s="1"/>
      <c r="LLG9" s="1"/>
      <c r="LLH9" s="1"/>
      <c r="LLI9" s="1"/>
      <c r="LLJ9" s="1"/>
      <c r="LLK9" s="1"/>
      <c r="LLL9" s="1"/>
      <c r="LLM9" s="1"/>
      <c r="LLN9" s="1"/>
      <c r="LLO9" s="1"/>
      <c r="LLP9" s="1"/>
      <c r="LLQ9" s="1"/>
      <c r="LLR9" s="1"/>
      <c r="LLS9" s="1"/>
      <c r="LLT9" s="1"/>
      <c r="LLU9" s="1"/>
      <c r="LLV9" s="1"/>
      <c r="LLW9" s="1"/>
      <c r="LLX9" s="1"/>
      <c r="LLY9" s="1"/>
      <c r="LLZ9" s="1"/>
      <c r="LMA9" s="1"/>
      <c r="LMB9" s="1"/>
      <c r="LMC9" s="1"/>
      <c r="LMD9" s="1"/>
      <c r="LME9" s="1"/>
      <c r="LMF9" s="1"/>
      <c r="LMG9" s="1"/>
      <c r="LMH9" s="1"/>
      <c r="LMI9" s="1"/>
      <c r="LMJ9" s="1"/>
      <c r="LMK9" s="1"/>
      <c r="LML9" s="1"/>
      <c r="LMM9" s="1"/>
      <c r="LMN9" s="1"/>
      <c r="LMO9" s="1"/>
      <c r="LMP9" s="1"/>
      <c r="LMQ9" s="1"/>
      <c r="LMR9" s="1"/>
      <c r="LMS9" s="1"/>
      <c r="LMT9" s="1"/>
      <c r="LMU9" s="1"/>
      <c r="LMV9" s="1"/>
      <c r="LMW9" s="1"/>
      <c r="LMX9" s="1"/>
      <c r="LMY9" s="1"/>
      <c r="LMZ9" s="1"/>
      <c r="LNA9" s="1"/>
      <c r="LNB9" s="1"/>
      <c r="LNC9" s="1"/>
      <c r="LND9" s="1"/>
      <c r="LNE9" s="1"/>
      <c r="LNF9" s="1"/>
      <c r="LNG9" s="1"/>
      <c r="LNH9" s="1"/>
      <c r="LNI9" s="1"/>
      <c r="LNJ9" s="1"/>
      <c r="LNK9" s="1"/>
      <c r="LNL9" s="1"/>
      <c r="LNM9" s="1"/>
      <c r="LNN9" s="1"/>
      <c r="LNO9" s="1"/>
      <c r="LNP9" s="1"/>
      <c r="LNQ9" s="1"/>
      <c r="LNR9" s="1"/>
      <c r="LNS9" s="1"/>
      <c r="LNT9" s="1"/>
      <c r="LNU9" s="1"/>
      <c r="LNV9" s="1"/>
      <c r="LNW9" s="1"/>
      <c r="LNX9" s="1"/>
      <c r="LNY9" s="1"/>
      <c r="LNZ9" s="1"/>
      <c r="LOA9" s="1"/>
      <c r="LOB9" s="1"/>
      <c r="LOC9" s="1"/>
      <c r="LOD9" s="1"/>
      <c r="LOE9" s="1"/>
      <c r="LOF9" s="1"/>
      <c r="LOG9" s="1"/>
      <c r="LOH9" s="1"/>
      <c r="LOI9" s="1"/>
      <c r="LOJ9" s="1"/>
      <c r="LOK9" s="1"/>
      <c r="LOL9" s="1"/>
      <c r="LOM9" s="1"/>
      <c r="LON9" s="1"/>
      <c r="LOO9" s="1"/>
      <c r="LOP9" s="1"/>
      <c r="LOQ9" s="1"/>
      <c r="LOR9" s="1"/>
      <c r="LOS9" s="1"/>
      <c r="LOT9" s="1"/>
      <c r="LOU9" s="1"/>
      <c r="LOV9" s="1"/>
      <c r="LOW9" s="1"/>
      <c r="LOX9" s="1"/>
      <c r="LOY9" s="1"/>
      <c r="LOZ9" s="1"/>
      <c r="LPA9" s="1"/>
      <c r="LPB9" s="1"/>
      <c r="LPC9" s="1"/>
      <c r="LPD9" s="1"/>
      <c r="LPE9" s="1"/>
      <c r="LPF9" s="1"/>
      <c r="LPG9" s="1"/>
      <c r="LPH9" s="1"/>
      <c r="LPI9" s="1"/>
      <c r="LPJ9" s="1"/>
      <c r="LPK9" s="1"/>
      <c r="LPL9" s="1"/>
      <c r="LPM9" s="1"/>
      <c r="LPN9" s="1"/>
      <c r="LPO9" s="1"/>
      <c r="LPP9" s="1"/>
      <c r="LPQ9" s="1"/>
      <c r="LPR9" s="1"/>
      <c r="LPS9" s="1"/>
      <c r="LPT9" s="1"/>
      <c r="LPU9" s="1"/>
      <c r="LPV9" s="1"/>
      <c r="LPW9" s="1"/>
      <c r="LPX9" s="1"/>
      <c r="LPY9" s="1"/>
      <c r="LPZ9" s="1"/>
      <c r="LQA9" s="1"/>
      <c r="LQB9" s="1"/>
      <c r="LQC9" s="1"/>
      <c r="LQD9" s="1"/>
      <c r="LQE9" s="1"/>
      <c r="LQF9" s="1"/>
      <c r="LQG9" s="1"/>
      <c r="LQH9" s="1"/>
      <c r="LQI9" s="1"/>
      <c r="LQJ9" s="1"/>
      <c r="LQK9" s="1"/>
      <c r="LQL9" s="1"/>
      <c r="LQM9" s="1"/>
      <c r="LQN9" s="1"/>
      <c r="LQO9" s="1"/>
      <c r="LQP9" s="1"/>
      <c r="LQQ9" s="1"/>
      <c r="LQR9" s="1"/>
      <c r="LQS9" s="1"/>
      <c r="LQT9" s="1"/>
      <c r="LQU9" s="1"/>
      <c r="LQV9" s="1"/>
      <c r="LQW9" s="1"/>
      <c r="LQX9" s="1"/>
      <c r="LQY9" s="1"/>
      <c r="LQZ9" s="1"/>
      <c r="LRA9" s="1"/>
      <c r="LRB9" s="1"/>
      <c r="LRC9" s="1"/>
      <c r="LRD9" s="1"/>
      <c r="LRE9" s="1"/>
      <c r="LRF9" s="1"/>
      <c r="LRG9" s="1"/>
      <c r="LRH9" s="1"/>
      <c r="LRI9" s="1"/>
      <c r="LRJ9" s="1"/>
      <c r="LRK9" s="1"/>
      <c r="LRL9" s="1"/>
      <c r="LRM9" s="1"/>
      <c r="LRN9" s="1"/>
      <c r="LRO9" s="1"/>
      <c r="LRP9" s="1"/>
      <c r="LRQ9" s="1"/>
      <c r="LRR9" s="1"/>
      <c r="LRS9" s="1"/>
      <c r="LRT9" s="1"/>
      <c r="LRU9" s="1"/>
      <c r="LRV9" s="1"/>
      <c r="LRW9" s="1"/>
      <c r="LRX9" s="1"/>
      <c r="LRY9" s="1"/>
      <c r="LRZ9" s="1"/>
      <c r="LSA9" s="1"/>
      <c r="LSB9" s="1"/>
      <c r="LSC9" s="1"/>
      <c r="LSD9" s="1"/>
      <c r="LSE9" s="1"/>
      <c r="LSF9" s="1"/>
      <c r="LSG9" s="1"/>
      <c r="LSH9" s="1"/>
      <c r="LSI9" s="1"/>
      <c r="LSJ9" s="1"/>
      <c r="LSK9" s="1"/>
      <c r="LSL9" s="1"/>
      <c r="LSM9" s="1"/>
      <c r="LSN9" s="1"/>
      <c r="LSO9" s="1"/>
      <c r="LSP9" s="1"/>
      <c r="LSQ9" s="1"/>
      <c r="LSR9" s="1"/>
      <c r="LSS9" s="1"/>
      <c r="LST9" s="1"/>
      <c r="LSU9" s="1"/>
      <c r="LSV9" s="1"/>
      <c r="LSW9" s="1"/>
      <c r="LSX9" s="1"/>
      <c r="LSY9" s="1"/>
      <c r="LSZ9" s="1"/>
      <c r="LTA9" s="1"/>
      <c r="LTB9" s="1"/>
      <c r="LTC9" s="1"/>
      <c r="LTD9" s="1"/>
      <c r="LTE9" s="1"/>
      <c r="LTF9" s="1"/>
      <c r="LTG9" s="1"/>
      <c r="LTH9" s="1"/>
      <c r="LTI9" s="1"/>
      <c r="LTJ9" s="1"/>
      <c r="LTK9" s="1"/>
      <c r="LTL9" s="1"/>
      <c r="LTM9" s="1"/>
      <c r="LTN9" s="1"/>
      <c r="LTO9" s="1"/>
      <c r="LTP9" s="1"/>
      <c r="LTQ9" s="1"/>
      <c r="LTR9" s="1"/>
      <c r="LTS9" s="1"/>
      <c r="LTT9" s="1"/>
      <c r="LTU9" s="1"/>
      <c r="LTV9" s="1"/>
      <c r="LTW9" s="1"/>
      <c r="LTX9" s="1"/>
      <c r="LTY9" s="1"/>
      <c r="LTZ9" s="1"/>
      <c r="LUA9" s="1"/>
      <c r="LUB9" s="1"/>
      <c r="LUC9" s="1"/>
      <c r="LUD9" s="1"/>
      <c r="LUE9" s="1"/>
      <c r="LUF9" s="1"/>
      <c r="LUG9" s="1"/>
      <c r="LUH9" s="1"/>
      <c r="LUI9" s="1"/>
      <c r="LUJ9" s="1"/>
      <c r="LUK9" s="1"/>
      <c r="LUL9" s="1"/>
      <c r="LUM9" s="1"/>
      <c r="LUN9" s="1"/>
      <c r="LUO9" s="1"/>
      <c r="LUP9" s="1"/>
      <c r="LUQ9" s="1"/>
      <c r="LUR9" s="1"/>
      <c r="LUS9" s="1"/>
      <c r="LUT9" s="1"/>
      <c r="LUU9" s="1"/>
      <c r="LUV9" s="1"/>
      <c r="LUW9" s="1"/>
      <c r="LUX9" s="1"/>
      <c r="LUY9" s="1"/>
      <c r="LUZ9" s="1"/>
      <c r="LVA9" s="1"/>
      <c r="LVB9" s="1"/>
      <c r="LVC9" s="1"/>
      <c r="LVD9" s="1"/>
      <c r="LVE9" s="1"/>
      <c r="LVF9" s="1"/>
      <c r="LVG9" s="1"/>
      <c r="LVH9" s="1"/>
      <c r="LVI9" s="1"/>
      <c r="LVJ9" s="1"/>
      <c r="LVK9" s="1"/>
      <c r="LVL9" s="1"/>
      <c r="LVM9" s="1"/>
      <c r="LVN9" s="1"/>
      <c r="LVO9" s="1"/>
      <c r="LVP9" s="1"/>
      <c r="LVQ9" s="1"/>
      <c r="LVR9" s="1"/>
      <c r="LVS9" s="1"/>
      <c r="LVT9" s="1"/>
      <c r="LVU9" s="1"/>
      <c r="LVV9" s="1"/>
      <c r="LVW9" s="1"/>
      <c r="LVX9" s="1"/>
      <c r="LVY9" s="1"/>
      <c r="LVZ9" s="1"/>
      <c r="LWA9" s="1"/>
      <c r="LWB9" s="1"/>
      <c r="LWC9" s="1"/>
      <c r="LWD9" s="1"/>
      <c r="LWE9" s="1"/>
      <c r="LWF9" s="1"/>
      <c r="LWG9" s="1"/>
      <c r="LWH9" s="1"/>
      <c r="LWI9" s="1"/>
      <c r="LWJ9" s="1"/>
      <c r="LWK9" s="1"/>
      <c r="LWL9" s="1"/>
      <c r="LWM9" s="1"/>
      <c r="LWN9" s="1"/>
      <c r="LWO9" s="1"/>
      <c r="LWP9" s="1"/>
      <c r="LWQ9" s="1"/>
      <c r="LWR9" s="1"/>
      <c r="LWS9" s="1"/>
      <c r="LWT9" s="1"/>
      <c r="LWU9" s="1"/>
      <c r="LWV9" s="1"/>
      <c r="LWW9" s="1"/>
      <c r="LWX9" s="1"/>
      <c r="LWY9" s="1"/>
      <c r="LWZ9" s="1"/>
      <c r="LXA9" s="1"/>
      <c r="LXB9" s="1"/>
      <c r="LXC9" s="1"/>
      <c r="LXD9" s="1"/>
      <c r="LXE9" s="1"/>
      <c r="LXF9" s="1"/>
      <c r="LXG9" s="1"/>
      <c r="LXH9" s="1"/>
      <c r="LXI9" s="1"/>
      <c r="LXJ9" s="1"/>
      <c r="LXK9" s="1"/>
      <c r="LXL9" s="1"/>
      <c r="LXM9" s="1"/>
      <c r="LXN9" s="1"/>
      <c r="LXO9" s="1"/>
      <c r="LXP9" s="1"/>
      <c r="LXQ9" s="1"/>
      <c r="LXR9" s="1"/>
      <c r="LXS9" s="1"/>
      <c r="LXT9" s="1"/>
      <c r="LXU9" s="1"/>
      <c r="LXV9" s="1"/>
      <c r="LXW9" s="1"/>
      <c r="LXX9" s="1"/>
      <c r="LXY9" s="1"/>
      <c r="LXZ9" s="1"/>
      <c r="LYA9" s="1"/>
      <c r="LYB9" s="1"/>
      <c r="LYC9" s="1"/>
      <c r="LYD9" s="1"/>
      <c r="LYE9" s="1"/>
      <c r="LYF9" s="1"/>
      <c r="LYG9" s="1"/>
      <c r="LYH9" s="1"/>
      <c r="LYI9" s="1"/>
      <c r="LYJ9" s="1"/>
      <c r="LYK9" s="1"/>
      <c r="LYL9" s="1"/>
      <c r="LYM9" s="1"/>
      <c r="LYN9" s="1"/>
      <c r="LYO9" s="1"/>
      <c r="LYP9" s="1"/>
      <c r="LYQ9" s="1"/>
      <c r="LYR9" s="1"/>
      <c r="LYS9" s="1"/>
      <c r="LYT9" s="1"/>
      <c r="LYU9" s="1"/>
      <c r="LYV9" s="1"/>
      <c r="LYW9" s="1"/>
      <c r="LYX9" s="1"/>
      <c r="LYY9" s="1"/>
      <c r="LYZ9" s="1"/>
      <c r="LZA9" s="1"/>
      <c r="LZB9" s="1"/>
      <c r="LZC9" s="1"/>
      <c r="LZD9" s="1"/>
      <c r="LZE9" s="1"/>
      <c r="LZF9" s="1"/>
      <c r="LZG9" s="1"/>
      <c r="LZH9" s="1"/>
      <c r="LZI9" s="1"/>
      <c r="LZJ9" s="1"/>
      <c r="LZK9" s="1"/>
      <c r="LZL9" s="1"/>
      <c r="LZM9" s="1"/>
      <c r="LZN9" s="1"/>
      <c r="LZO9" s="1"/>
      <c r="LZP9" s="1"/>
      <c r="LZQ9" s="1"/>
      <c r="LZR9" s="1"/>
      <c r="LZS9" s="1"/>
      <c r="LZT9" s="1"/>
      <c r="LZU9" s="1"/>
      <c r="LZV9" s="1"/>
      <c r="LZW9" s="1"/>
      <c r="LZX9" s="1"/>
      <c r="LZY9" s="1"/>
      <c r="LZZ9" s="1"/>
      <c r="MAA9" s="1"/>
      <c r="MAB9" s="1"/>
      <c r="MAC9" s="1"/>
      <c r="MAD9" s="1"/>
      <c r="MAE9" s="1"/>
      <c r="MAF9" s="1"/>
      <c r="MAG9" s="1"/>
      <c r="MAH9" s="1"/>
      <c r="MAI9" s="1"/>
      <c r="MAJ9" s="1"/>
      <c r="MAK9" s="1"/>
      <c r="MAL9" s="1"/>
      <c r="MAM9" s="1"/>
      <c r="MAN9" s="1"/>
      <c r="MAO9" s="1"/>
      <c r="MAP9" s="1"/>
      <c r="MAQ9" s="1"/>
      <c r="MAR9" s="1"/>
      <c r="MAS9" s="1"/>
      <c r="MAT9" s="1"/>
      <c r="MAU9" s="1"/>
      <c r="MAV9" s="1"/>
      <c r="MAW9" s="1"/>
      <c r="MAX9" s="1"/>
      <c r="MAY9" s="1"/>
      <c r="MAZ9" s="1"/>
      <c r="MBA9" s="1"/>
      <c r="MBB9" s="1"/>
      <c r="MBC9" s="1"/>
      <c r="MBD9" s="1"/>
      <c r="MBE9" s="1"/>
      <c r="MBF9" s="1"/>
      <c r="MBG9" s="1"/>
      <c r="MBH9" s="1"/>
      <c r="MBI9" s="1"/>
      <c r="MBJ9" s="1"/>
      <c r="MBK9" s="1"/>
      <c r="MBL9" s="1"/>
      <c r="MBM9" s="1"/>
      <c r="MBN9" s="1"/>
      <c r="MBO9" s="1"/>
      <c r="MBP9" s="1"/>
      <c r="MBQ9" s="1"/>
      <c r="MBR9" s="1"/>
      <c r="MBS9" s="1"/>
      <c r="MBT9" s="1"/>
      <c r="MBU9" s="1"/>
      <c r="MBV9" s="1"/>
      <c r="MBW9" s="1"/>
      <c r="MBX9" s="1"/>
      <c r="MBY9" s="1"/>
      <c r="MBZ9" s="1"/>
      <c r="MCA9" s="1"/>
      <c r="MCB9" s="1"/>
      <c r="MCC9" s="1"/>
      <c r="MCD9" s="1"/>
      <c r="MCE9" s="1"/>
      <c r="MCF9" s="1"/>
      <c r="MCG9" s="1"/>
      <c r="MCH9" s="1"/>
      <c r="MCI9" s="1"/>
      <c r="MCJ9" s="1"/>
      <c r="MCK9" s="1"/>
      <c r="MCL9" s="1"/>
      <c r="MCM9" s="1"/>
      <c r="MCN9" s="1"/>
      <c r="MCO9" s="1"/>
      <c r="MCP9" s="1"/>
      <c r="MCQ9" s="1"/>
      <c r="MCR9" s="1"/>
      <c r="MCS9" s="1"/>
      <c r="MCT9" s="1"/>
      <c r="MCU9" s="1"/>
      <c r="MCV9" s="1"/>
      <c r="MCW9" s="1"/>
      <c r="MCX9" s="1"/>
      <c r="MCY9" s="1"/>
      <c r="MCZ9" s="1"/>
      <c r="MDA9" s="1"/>
      <c r="MDB9" s="1"/>
      <c r="MDC9" s="1"/>
      <c r="MDD9" s="1"/>
      <c r="MDE9" s="1"/>
      <c r="MDF9" s="1"/>
      <c r="MDG9" s="1"/>
      <c r="MDH9" s="1"/>
      <c r="MDI9" s="1"/>
      <c r="MDJ9" s="1"/>
      <c r="MDK9" s="1"/>
      <c r="MDL9" s="1"/>
      <c r="MDM9" s="1"/>
      <c r="MDN9" s="1"/>
      <c r="MDO9" s="1"/>
      <c r="MDP9" s="1"/>
      <c r="MDQ9" s="1"/>
      <c r="MDR9" s="1"/>
      <c r="MDS9" s="1"/>
      <c r="MDT9" s="1"/>
      <c r="MDU9" s="1"/>
      <c r="MDV9" s="1"/>
      <c r="MDW9" s="1"/>
      <c r="MDX9" s="1"/>
      <c r="MDY9" s="1"/>
      <c r="MDZ9" s="1"/>
      <c r="MEA9" s="1"/>
      <c r="MEB9" s="1"/>
      <c r="MEC9" s="1"/>
      <c r="MED9" s="1"/>
      <c r="MEE9" s="1"/>
      <c r="MEF9" s="1"/>
      <c r="MEG9" s="1"/>
      <c r="MEH9" s="1"/>
      <c r="MEI9" s="1"/>
      <c r="MEJ9" s="1"/>
      <c r="MEK9" s="1"/>
      <c r="MEL9" s="1"/>
      <c r="MEM9" s="1"/>
      <c r="MEN9" s="1"/>
      <c r="MEO9" s="1"/>
      <c r="MEP9" s="1"/>
      <c r="MEQ9" s="1"/>
      <c r="MER9" s="1"/>
      <c r="MES9" s="1"/>
      <c r="MET9" s="1"/>
      <c r="MEU9" s="1"/>
      <c r="MEV9" s="1"/>
      <c r="MEW9" s="1"/>
      <c r="MEX9" s="1"/>
      <c r="MEY9" s="1"/>
      <c r="MEZ9" s="1"/>
      <c r="MFA9" s="1"/>
      <c r="MFB9" s="1"/>
      <c r="MFC9" s="1"/>
      <c r="MFD9" s="1"/>
      <c r="MFE9" s="1"/>
      <c r="MFF9" s="1"/>
      <c r="MFG9" s="1"/>
      <c r="MFH9" s="1"/>
      <c r="MFI9" s="1"/>
      <c r="MFJ9" s="1"/>
      <c r="MFK9" s="1"/>
      <c r="MFL9" s="1"/>
      <c r="MFM9" s="1"/>
      <c r="MFN9" s="1"/>
      <c r="MFO9" s="1"/>
      <c r="MFP9" s="1"/>
      <c r="MFQ9" s="1"/>
      <c r="MFR9" s="1"/>
      <c r="MFS9" s="1"/>
      <c r="MFT9" s="1"/>
      <c r="MFU9" s="1"/>
      <c r="MFV9" s="1"/>
      <c r="MFW9" s="1"/>
      <c r="MFX9" s="1"/>
      <c r="MFY9" s="1"/>
      <c r="MFZ9" s="1"/>
      <c r="MGA9" s="1"/>
      <c r="MGB9" s="1"/>
      <c r="MGC9" s="1"/>
      <c r="MGD9" s="1"/>
      <c r="MGE9" s="1"/>
      <c r="MGF9" s="1"/>
      <c r="MGG9" s="1"/>
      <c r="MGH9" s="1"/>
      <c r="MGI9" s="1"/>
      <c r="MGJ9" s="1"/>
      <c r="MGK9" s="1"/>
      <c r="MGL9" s="1"/>
      <c r="MGM9" s="1"/>
      <c r="MGN9" s="1"/>
      <c r="MGO9" s="1"/>
      <c r="MGP9" s="1"/>
      <c r="MGQ9" s="1"/>
      <c r="MGR9" s="1"/>
      <c r="MGS9" s="1"/>
      <c r="MGT9" s="1"/>
      <c r="MGU9" s="1"/>
      <c r="MGV9" s="1"/>
      <c r="MGW9" s="1"/>
      <c r="MGX9" s="1"/>
      <c r="MGY9" s="1"/>
      <c r="MGZ9" s="1"/>
      <c r="MHA9" s="1"/>
      <c r="MHB9" s="1"/>
      <c r="MHC9" s="1"/>
      <c r="MHD9" s="1"/>
      <c r="MHE9" s="1"/>
      <c r="MHF9" s="1"/>
      <c r="MHG9" s="1"/>
      <c r="MHH9" s="1"/>
      <c r="MHI9" s="1"/>
      <c r="MHJ9" s="1"/>
      <c r="MHK9" s="1"/>
      <c r="MHL9" s="1"/>
      <c r="MHM9" s="1"/>
      <c r="MHN9" s="1"/>
      <c r="MHO9" s="1"/>
      <c r="MHP9" s="1"/>
      <c r="MHQ9" s="1"/>
      <c r="MHR9" s="1"/>
      <c r="MHS9" s="1"/>
      <c r="MHT9" s="1"/>
      <c r="MHU9" s="1"/>
      <c r="MHV9" s="1"/>
      <c r="MHW9" s="1"/>
      <c r="MHX9" s="1"/>
      <c r="MHY9" s="1"/>
      <c r="MHZ9" s="1"/>
      <c r="MIA9" s="1"/>
      <c r="MIB9" s="1"/>
      <c r="MIC9" s="1"/>
      <c r="MID9" s="1"/>
      <c r="MIE9" s="1"/>
      <c r="MIF9" s="1"/>
      <c r="MIG9" s="1"/>
      <c r="MIH9" s="1"/>
      <c r="MII9" s="1"/>
      <c r="MIJ9" s="1"/>
      <c r="MIK9" s="1"/>
      <c r="MIL9" s="1"/>
      <c r="MIM9" s="1"/>
      <c r="MIN9" s="1"/>
      <c r="MIO9" s="1"/>
      <c r="MIP9" s="1"/>
      <c r="MIQ9" s="1"/>
      <c r="MIR9" s="1"/>
      <c r="MIS9" s="1"/>
      <c r="MIT9" s="1"/>
      <c r="MIU9" s="1"/>
      <c r="MIV9" s="1"/>
      <c r="MIW9" s="1"/>
      <c r="MIX9" s="1"/>
      <c r="MIY9" s="1"/>
      <c r="MIZ9" s="1"/>
      <c r="MJA9" s="1"/>
      <c r="MJB9" s="1"/>
      <c r="MJC9" s="1"/>
      <c r="MJD9" s="1"/>
      <c r="MJE9" s="1"/>
      <c r="MJF9" s="1"/>
      <c r="MJG9" s="1"/>
      <c r="MJH9" s="1"/>
      <c r="MJI9" s="1"/>
      <c r="MJJ9" s="1"/>
      <c r="MJK9" s="1"/>
      <c r="MJL9" s="1"/>
      <c r="MJM9" s="1"/>
      <c r="MJN9" s="1"/>
      <c r="MJO9" s="1"/>
      <c r="MJP9" s="1"/>
      <c r="MJQ9" s="1"/>
      <c r="MJR9" s="1"/>
      <c r="MJS9" s="1"/>
      <c r="MJT9" s="1"/>
      <c r="MJU9" s="1"/>
      <c r="MJV9" s="1"/>
      <c r="MJW9" s="1"/>
      <c r="MJX9" s="1"/>
      <c r="MJY9" s="1"/>
      <c r="MJZ9" s="1"/>
      <c r="MKA9" s="1"/>
      <c r="MKB9" s="1"/>
      <c r="MKC9" s="1"/>
      <c r="MKD9" s="1"/>
      <c r="MKE9" s="1"/>
      <c r="MKF9" s="1"/>
      <c r="MKG9" s="1"/>
      <c r="MKH9" s="1"/>
      <c r="MKI9" s="1"/>
      <c r="MKJ9" s="1"/>
      <c r="MKK9" s="1"/>
      <c r="MKL9" s="1"/>
      <c r="MKM9" s="1"/>
      <c r="MKN9" s="1"/>
      <c r="MKO9" s="1"/>
      <c r="MKP9" s="1"/>
      <c r="MKQ9" s="1"/>
      <c r="MKR9" s="1"/>
      <c r="MKS9" s="1"/>
      <c r="MKT9" s="1"/>
      <c r="MKU9" s="1"/>
      <c r="MKV9" s="1"/>
      <c r="MKW9" s="1"/>
      <c r="MKX9" s="1"/>
      <c r="MKY9" s="1"/>
      <c r="MKZ9" s="1"/>
      <c r="MLA9" s="1"/>
      <c r="MLB9" s="1"/>
      <c r="MLC9" s="1"/>
      <c r="MLD9" s="1"/>
      <c r="MLE9" s="1"/>
      <c r="MLF9" s="1"/>
      <c r="MLG9" s="1"/>
      <c r="MLH9" s="1"/>
      <c r="MLI9" s="1"/>
      <c r="MLJ9" s="1"/>
      <c r="MLK9" s="1"/>
      <c r="MLL9" s="1"/>
      <c r="MLM9" s="1"/>
      <c r="MLN9" s="1"/>
      <c r="MLO9" s="1"/>
      <c r="MLP9" s="1"/>
      <c r="MLQ9" s="1"/>
      <c r="MLR9" s="1"/>
      <c r="MLS9" s="1"/>
      <c r="MLT9" s="1"/>
      <c r="MLU9" s="1"/>
      <c r="MLV9" s="1"/>
      <c r="MLW9" s="1"/>
      <c r="MLX9" s="1"/>
      <c r="MLY9" s="1"/>
      <c r="MLZ9" s="1"/>
      <c r="MMA9" s="1"/>
      <c r="MMB9" s="1"/>
      <c r="MMC9" s="1"/>
      <c r="MMD9" s="1"/>
      <c r="MME9" s="1"/>
      <c r="MMF9" s="1"/>
      <c r="MMG9" s="1"/>
      <c r="MMH9" s="1"/>
      <c r="MMI9" s="1"/>
      <c r="MMJ9" s="1"/>
      <c r="MMK9" s="1"/>
      <c r="MML9" s="1"/>
      <c r="MMM9" s="1"/>
      <c r="MMN9" s="1"/>
      <c r="MMO9" s="1"/>
      <c r="MMP9" s="1"/>
      <c r="MMQ9" s="1"/>
      <c r="MMR9" s="1"/>
      <c r="MMS9" s="1"/>
      <c r="MMT9" s="1"/>
      <c r="MMU9" s="1"/>
      <c r="MMV9" s="1"/>
      <c r="MMW9" s="1"/>
      <c r="MMX9" s="1"/>
      <c r="MMY9" s="1"/>
      <c r="MMZ9" s="1"/>
      <c r="MNA9" s="1"/>
      <c r="MNB9" s="1"/>
      <c r="MNC9" s="1"/>
      <c r="MND9" s="1"/>
      <c r="MNE9" s="1"/>
      <c r="MNF9" s="1"/>
      <c r="MNG9" s="1"/>
      <c r="MNH9" s="1"/>
      <c r="MNI9" s="1"/>
      <c r="MNJ9" s="1"/>
      <c r="MNK9" s="1"/>
      <c r="MNL9" s="1"/>
      <c r="MNM9" s="1"/>
      <c r="MNN9" s="1"/>
      <c r="MNO9" s="1"/>
      <c r="MNP9" s="1"/>
      <c r="MNQ9" s="1"/>
      <c r="MNR9" s="1"/>
      <c r="MNS9" s="1"/>
      <c r="MNT9" s="1"/>
      <c r="MNU9" s="1"/>
      <c r="MNV9" s="1"/>
      <c r="MNW9" s="1"/>
      <c r="MNX9" s="1"/>
      <c r="MNY9" s="1"/>
      <c r="MNZ9" s="1"/>
      <c r="MOA9" s="1"/>
      <c r="MOB9" s="1"/>
      <c r="MOC9" s="1"/>
      <c r="MOD9" s="1"/>
      <c r="MOE9" s="1"/>
      <c r="MOF9" s="1"/>
      <c r="MOG9" s="1"/>
      <c r="MOH9" s="1"/>
      <c r="MOI9" s="1"/>
      <c r="MOJ9" s="1"/>
      <c r="MOK9" s="1"/>
      <c r="MOL9" s="1"/>
      <c r="MOM9" s="1"/>
      <c r="MON9" s="1"/>
      <c r="MOO9" s="1"/>
      <c r="MOP9" s="1"/>
      <c r="MOQ9" s="1"/>
      <c r="MOR9" s="1"/>
      <c r="MOS9" s="1"/>
      <c r="MOT9" s="1"/>
      <c r="MOU9" s="1"/>
      <c r="MOV9" s="1"/>
      <c r="MOW9" s="1"/>
      <c r="MOX9" s="1"/>
      <c r="MOY9" s="1"/>
      <c r="MOZ9" s="1"/>
      <c r="MPA9" s="1"/>
      <c r="MPB9" s="1"/>
      <c r="MPC9" s="1"/>
      <c r="MPD9" s="1"/>
      <c r="MPE9" s="1"/>
      <c r="MPF9" s="1"/>
      <c r="MPG9" s="1"/>
      <c r="MPH9" s="1"/>
      <c r="MPI9" s="1"/>
      <c r="MPJ9" s="1"/>
      <c r="MPK9" s="1"/>
      <c r="MPL9" s="1"/>
      <c r="MPM9" s="1"/>
      <c r="MPN9" s="1"/>
      <c r="MPO9" s="1"/>
      <c r="MPP9" s="1"/>
      <c r="MPQ9" s="1"/>
      <c r="MPR9" s="1"/>
      <c r="MPS9" s="1"/>
      <c r="MPT9" s="1"/>
      <c r="MPU9" s="1"/>
      <c r="MPV9" s="1"/>
      <c r="MPW9" s="1"/>
      <c r="MPX9" s="1"/>
      <c r="MPY9" s="1"/>
      <c r="MPZ9" s="1"/>
      <c r="MQA9" s="1"/>
      <c r="MQB9" s="1"/>
      <c r="MQC9" s="1"/>
      <c r="MQD9" s="1"/>
      <c r="MQE9" s="1"/>
      <c r="MQF9" s="1"/>
      <c r="MQG9" s="1"/>
      <c r="MQH9" s="1"/>
      <c r="MQI9" s="1"/>
      <c r="MQJ9" s="1"/>
      <c r="MQK9" s="1"/>
      <c r="MQL9" s="1"/>
      <c r="MQM9" s="1"/>
      <c r="MQN9" s="1"/>
      <c r="MQO9" s="1"/>
      <c r="MQP9" s="1"/>
      <c r="MQQ9" s="1"/>
      <c r="MQR9" s="1"/>
      <c r="MQS9" s="1"/>
      <c r="MQT9" s="1"/>
      <c r="MQU9" s="1"/>
      <c r="MQV9" s="1"/>
      <c r="MQW9" s="1"/>
      <c r="MQX9" s="1"/>
      <c r="MQY9" s="1"/>
      <c r="MQZ9" s="1"/>
      <c r="MRA9" s="1"/>
      <c r="MRB9" s="1"/>
      <c r="MRC9" s="1"/>
      <c r="MRD9" s="1"/>
      <c r="MRE9" s="1"/>
      <c r="MRF9" s="1"/>
      <c r="MRG9" s="1"/>
      <c r="MRH9" s="1"/>
      <c r="MRI9" s="1"/>
      <c r="MRJ9" s="1"/>
      <c r="MRK9" s="1"/>
      <c r="MRL9" s="1"/>
      <c r="MRM9" s="1"/>
      <c r="MRN9" s="1"/>
      <c r="MRO9" s="1"/>
      <c r="MRP9" s="1"/>
      <c r="MRQ9" s="1"/>
      <c r="MRR9" s="1"/>
      <c r="MRS9" s="1"/>
      <c r="MRT9" s="1"/>
      <c r="MRU9" s="1"/>
      <c r="MRV9" s="1"/>
      <c r="MRW9" s="1"/>
      <c r="MRX9" s="1"/>
      <c r="MRY9" s="1"/>
      <c r="MRZ9" s="1"/>
      <c r="MSA9" s="1"/>
      <c r="MSB9" s="1"/>
      <c r="MSC9" s="1"/>
      <c r="MSD9" s="1"/>
      <c r="MSE9" s="1"/>
      <c r="MSF9" s="1"/>
      <c r="MSG9" s="1"/>
      <c r="MSH9" s="1"/>
      <c r="MSI9" s="1"/>
      <c r="MSJ9" s="1"/>
      <c r="MSK9" s="1"/>
      <c r="MSL9" s="1"/>
      <c r="MSM9" s="1"/>
      <c r="MSN9" s="1"/>
      <c r="MSO9" s="1"/>
      <c r="MSP9" s="1"/>
      <c r="MSQ9" s="1"/>
      <c r="MSR9" s="1"/>
      <c r="MSS9" s="1"/>
      <c r="MST9" s="1"/>
      <c r="MSU9" s="1"/>
      <c r="MSV9" s="1"/>
      <c r="MSW9" s="1"/>
      <c r="MSX9" s="1"/>
      <c r="MSY9" s="1"/>
      <c r="MSZ9" s="1"/>
      <c r="MTA9" s="1"/>
      <c r="MTB9" s="1"/>
      <c r="MTC9" s="1"/>
      <c r="MTD9" s="1"/>
      <c r="MTE9" s="1"/>
      <c r="MTF9" s="1"/>
      <c r="MTG9" s="1"/>
      <c r="MTH9" s="1"/>
      <c r="MTI9" s="1"/>
      <c r="MTJ9" s="1"/>
      <c r="MTK9" s="1"/>
      <c r="MTL9" s="1"/>
      <c r="MTM9" s="1"/>
      <c r="MTN9" s="1"/>
      <c r="MTO9" s="1"/>
      <c r="MTP9" s="1"/>
      <c r="MTQ9" s="1"/>
      <c r="MTR9" s="1"/>
      <c r="MTS9" s="1"/>
      <c r="MTT9" s="1"/>
      <c r="MTU9" s="1"/>
      <c r="MTV9" s="1"/>
      <c r="MTW9" s="1"/>
      <c r="MTX9" s="1"/>
      <c r="MTY9" s="1"/>
      <c r="MTZ9" s="1"/>
      <c r="MUA9" s="1"/>
      <c r="MUB9" s="1"/>
      <c r="MUC9" s="1"/>
      <c r="MUD9" s="1"/>
      <c r="MUE9" s="1"/>
      <c r="MUF9" s="1"/>
      <c r="MUG9" s="1"/>
      <c r="MUH9" s="1"/>
      <c r="MUI9" s="1"/>
      <c r="MUJ9" s="1"/>
      <c r="MUK9" s="1"/>
      <c r="MUL9" s="1"/>
      <c r="MUM9" s="1"/>
      <c r="MUN9" s="1"/>
      <c r="MUO9" s="1"/>
      <c r="MUP9" s="1"/>
      <c r="MUQ9" s="1"/>
      <c r="MUR9" s="1"/>
      <c r="MUS9" s="1"/>
      <c r="MUT9" s="1"/>
      <c r="MUU9" s="1"/>
      <c r="MUV9" s="1"/>
      <c r="MUW9" s="1"/>
      <c r="MUX9" s="1"/>
      <c r="MUY9" s="1"/>
      <c r="MUZ9" s="1"/>
      <c r="MVA9" s="1"/>
      <c r="MVB9" s="1"/>
      <c r="MVC9" s="1"/>
      <c r="MVD9" s="1"/>
      <c r="MVE9" s="1"/>
      <c r="MVF9" s="1"/>
      <c r="MVG9" s="1"/>
      <c r="MVH9" s="1"/>
      <c r="MVI9" s="1"/>
      <c r="MVJ9" s="1"/>
      <c r="MVK9" s="1"/>
      <c r="MVL9" s="1"/>
      <c r="MVM9" s="1"/>
      <c r="MVN9" s="1"/>
      <c r="MVO9" s="1"/>
      <c r="MVP9" s="1"/>
      <c r="MVQ9" s="1"/>
      <c r="MVR9" s="1"/>
      <c r="MVS9" s="1"/>
      <c r="MVT9" s="1"/>
      <c r="MVU9" s="1"/>
      <c r="MVV9" s="1"/>
      <c r="MVW9" s="1"/>
      <c r="MVX9" s="1"/>
      <c r="MVY9" s="1"/>
      <c r="MVZ9" s="1"/>
      <c r="MWA9" s="1"/>
      <c r="MWB9" s="1"/>
      <c r="MWC9" s="1"/>
      <c r="MWD9" s="1"/>
      <c r="MWE9" s="1"/>
      <c r="MWF9" s="1"/>
      <c r="MWG9" s="1"/>
      <c r="MWH9" s="1"/>
      <c r="MWI9" s="1"/>
      <c r="MWJ9" s="1"/>
      <c r="MWK9" s="1"/>
      <c r="MWL9" s="1"/>
      <c r="MWM9" s="1"/>
      <c r="MWN9" s="1"/>
      <c r="MWO9" s="1"/>
      <c r="MWP9" s="1"/>
      <c r="MWQ9" s="1"/>
      <c r="MWR9" s="1"/>
      <c r="MWS9" s="1"/>
      <c r="MWT9" s="1"/>
      <c r="MWU9" s="1"/>
      <c r="MWV9" s="1"/>
      <c r="MWW9" s="1"/>
      <c r="MWX9" s="1"/>
      <c r="MWY9" s="1"/>
      <c r="MWZ9" s="1"/>
      <c r="MXA9" s="1"/>
      <c r="MXB9" s="1"/>
      <c r="MXC9" s="1"/>
      <c r="MXD9" s="1"/>
      <c r="MXE9" s="1"/>
      <c r="MXF9" s="1"/>
      <c r="MXG9" s="1"/>
      <c r="MXH9" s="1"/>
      <c r="MXI9" s="1"/>
      <c r="MXJ9" s="1"/>
      <c r="MXK9" s="1"/>
      <c r="MXL9" s="1"/>
      <c r="MXM9" s="1"/>
      <c r="MXN9" s="1"/>
      <c r="MXO9" s="1"/>
      <c r="MXP9" s="1"/>
      <c r="MXQ9" s="1"/>
      <c r="MXR9" s="1"/>
      <c r="MXS9" s="1"/>
      <c r="MXT9" s="1"/>
      <c r="MXU9" s="1"/>
      <c r="MXV9" s="1"/>
      <c r="MXW9" s="1"/>
      <c r="MXX9" s="1"/>
      <c r="MXY9" s="1"/>
      <c r="MXZ9" s="1"/>
      <c r="MYA9" s="1"/>
      <c r="MYB9" s="1"/>
      <c r="MYC9" s="1"/>
      <c r="MYD9" s="1"/>
      <c r="MYE9" s="1"/>
      <c r="MYF9" s="1"/>
      <c r="MYG9" s="1"/>
      <c r="MYH9" s="1"/>
      <c r="MYI9" s="1"/>
      <c r="MYJ9" s="1"/>
      <c r="MYK9" s="1"/>
      <c r="MYL9" s="1"/>
      <c r="MYM9" s="1"/>
      <c r="MYN9" s="1"/>
      <c r="MYO9" s="1"/>
      <c r="MYP9" s="1"/>
      <c r="MYQ9" s="1"/>
      <c r="MYR9" s="1"/>
      <c r="MYS9" s="1"/>
      <c r="MYT9" s="1"/>
      <c r="MYU9" s="1"/>
      <c r="MYV9" s="1"/>
      <c r="MYW9" s="1"/>
      <c r="MYX9" s="1"/>
      <c r="MYY9" s="1"/>
      <c r="MYZ9" s="1"/>
      <c r="MZA9" s="1"/>
      <c r="MZB9" s="1"/>
      <c r="MZC9" s="1"/>
      <c r="MZD9" s="1"/>
      <c r="MZE9" s="1"/>
      <c r="MZF9" s="1"/>
      <c r="MZG9" s="1"/>
      <c r="MZH9" s="1"/>
      <c r="MZI9" s="1"/>
      <c r="MZJ9" s="1"/>
      <c r="MZK9" s="1"/>
      <c r="MZL9" s="1"/>
      <c r="MZM9" s="1"/>
      <c r="MZN9" s="1"/>
      <c r="MZO9" s="1"/>
      <c r="MZP9" s="1"/>
      <c r="MZQ9" s="1"/>
      <c r="MZR9" s="1"/>
      <c r="MZS9" s="1"/>
      <c r="MZT9" s="1"/>
      <c r="MZU9" s="1"/>
      <c r="MZV9" s="1"/>
      <c r="MZW9" s="1"/>
      <c r="MZX9" s="1"/>
      <c r="MZY9" s="1"/>
      <c r="MZZ9" s="1"/>
      <c r="NAA9" s="1"/>
      <c r="NAB9" s="1"/>
      <c r="NAC9" s="1"/>
      <c r="NAD9" s="1"/>
      <c r="NAE9" s="1"/>
      <c r="NAF9" s="1"/>
      <c r="NAG9" s="1"/>
      <c r="NAH9" s="1"/>
      <c r="NAI9" s="1"/>
      <c r="NAJ9" s="1"/>
      <c r="NAK9" s="1"/>
      <c r="NAL9" s="1"/>
      <c r="NAM9" s="1"/>
      <c r="NAN9" s="1"/>
      <c r="NAO9" s="1"/>
      <c r="NAP9" s="1"/>
      <c r="NAQ9" s="1"/>
      <c r="NAR9" s="1"/>
      <c r="NAS9" s="1"/>
      <c r="NAT9" s="1"/>
      <c r="NAU9" s="1"/>
      <c r="NAV9" s="1"/>
      <c r="NAW9" s="1"/>
      <c r="NAX9" s="1"/>
      <c r="NAY9" s="1"/>
      <c r="NAZ9" s="1"/>
      <c r="NBA9" s="1"/>
      <c r="NBB9" s="1"/>
      <c r="NBC9" s="1"/>
      <c r="NBD9" s="1"/>
      <c r="NBE9" s="1"/>
      <c r="NBF9" s="1"/>
      <c r="NBG9" s="1"/>
      <c r="NBH9" s="1"/>
      <c r="NBI9" s="1"/>
      <c r="NBJ9" s="1"/>
      <c r="NBK9" s="1"/>
      <c r="NBL9" s="1"/>
      <c r="NBM9" s="1"/>
      <c r="NBN9" s="1"/>
      <c r="NBO9" s="1"/>
      <c r="NBP9" s="1"/>
      <c r="NBQ9" s="1"/>
      <c r="NBR9" s="1"/>
      <c r="NBS9" s="1"/>
      <c r="NBT9" s="1"/>
      <c r="NBU9" s="1"/>
      <c r="NBV9" s="1"/>
      <c r="NBW9" s="1"/>
      <c r="NBX9" s="1"/>
      <c r="NBY9" s="1"/>
      <c r="NBZ9" s="1"/>
      <c r="NCA9" s="1"/>
      <c r="NCB9" s="1"/>
      <c r="NCC9" s="1"/>
      <c r="NCD9" s="1"/>
      <c r="NCE9" s="1"/>
      <c r="NCF9" s="1"/>
      <c r="NCG9" s="1"/>
      <c r="NCH9" s="1"/>
      <c r="NCI9" s="1"/>
      <c r="NCJ9" s="1"/>
      <c r="NCK9" s="1"/>
      <c r="NCL9" s="1"/>
      <c r="NCM9" s="1"/>
      <c r="NCN9" s="1"/>
      <c r="NCO9" s="1"/>
      <c r="NCP9" s="1"/>
      <c r="NCQ9" s="1"/>
      <c r="NCR9" s="1"/>
      <c r="NCS9" s="1"/>
      <c r="NCT9" s="1"/>
      <c r="NCU9" s="1"/>
      <c r="NCV9" s="1"/>
      <c r="NCW9" s="1"/>
      <c r="NCX9" s="1"/>
      <c r="NCY9" s="1"/>
      <c r="NCZ9" s="1"/>
      <c r="NDA9" s="1"/>
      <c r="NDB9" s="1"/>
      <c r="NDC9" s="1"/>
      <c r="NDD9" s="1"/>
      <c r="NDE9" s="1"/>
      <c r="NDF9" s="1"/>
      <c r="NDG9" s="1"/>
      <c r="NDH9" s="1"/>
      <c r="NDI9" s="1"/>
      <c r="NDJ9" s="1"/>
      <c r="NDK9" s="1"/>
      <c r="NDL9" s="1"/>
      <c r="NDM9" s="1"/>
      <c r="NDN9" s="1"/>
      <c r="NDO9" s="1"/>
      <c r="NDP9" s="1"/>
      <c r="NDQ9" s="1"/>
      <c r="NDR9" s="1"/>
      <c r="NDS9" s="1"/>
      <c r="NDT9" s="1"/>
      <c r="NDU9" s="1"/>
      <c r="NDV9" s="1"/>
      <c r="NDW9" s="1"/>
      <c r="NDX9" s="1"/>
      <c r="NDY9" s="1"/>
      <c r="NDZ9" s="1"/>
      <c r="NEA9" s="1"/>
      <c r="NEB9" s="1"/>
      <c r="NEC9" s="1"/>
      <c r="NED9" s="1"/>
      <c r="NEE9" s="1"/>
      <c r="NEF9" s="1"/>
      <c r="NEG9" s="1"/>
      <c r="NEH9" s="1"/>
      <c r="NEI9" s="1"/>
      <c r="NEJ9" s="1"/>
      <c r="NEK9" s="1"/>
      <c r="NEL9" s="1"/>
      <c r="NEM9" s="1"/>
      <c r="NEN9" s="1"/>
      <c r="NEO9" s="1"/>
      <c r="NEP9" s="1"/>
      <c r="NEQ9" s="1"/>
      <c r="NER9" s="1"/>
      <c r="NES9" s="1"/>
      <c r="NET9" s="1"/>
      <c r="NEU9" s="1"/>
      <c r="NEV9" s="1"/>
      <c r="NEW9" s="1"/>
      <c r="NEX9" s="1"/>
      <c r="NEY9" s="1"/>
      <c r="NEZ9" s="1"/>
      <c r="NFA9" s="1"/>
      <c r="NFB9" s="1"/>
      <c r="NFC9" s="1"/>
      <c r="NFD9" s="1"/>
      <c r="NFE9" s="1"/>
      <c r="NFF9" s="1"/>
      <c r="NFG9" s="1"/>
      <c r="NFH9" s="1"/>
      <c r="NFI9" s="1"/>
      <c r="NFJ9" s="1"/>
      <c r="NFK9" s="1"/>
      <c r="NFL9" s="1"/>
      <c r="NFM9" s="1"/>
      <c r="NFN9" s="1"/>
      <c r="NFO9" s="1"/>
      <c r="NFP9" s="1"/>
      <c r="NFQ9" s="1"/>
      <c r="NFR9" s="1"/>
      <c r="NFS9" s="1"/>
      <c r="NFT9" s="1"/>
      <c r="NFU9" s="1"/>
      <c r="NFV9" s="1"/>
      <c r="NFW9" s="1"/>
      <c r="NFX9" s="1"/>
      <c r="NFY9" s="1"/>
      <c r="NFZ9" s="1"/>
      <c r="NGA9" s="1"/>
      <c r="NGB9" s="1"/>
      <c r="NGC9" s="1"/>
      <c r="NGD9" s="1"/>
      <c r="NGE9" s="1"/>
      <c r="NGF9" s="1"/>
      <c r="NGG9" s="1"/>
      <c r="NGH9" s="1"/>
      <c r="NGI9" s="1"/>
      <c r="NGJ9" s="1"/>
      <c r="NGK9" s="1"/>
      <c r="NGL9" s="1"/>
      <c r="NGM9" s="1"/>
      <c r="NGN9" s="1"/>
      <c r="NGO9" s="1"/>
      <c r="NGP9" s="1"/>
      <c r="NGQ9" s="1"/>
      <c r="NGR9" s="1"/>
      <c r="NGS9" s="1"/>
      <c r="NGT9" s="1"/>
      <c r="NGU9" s="1"/>
      <c r="NGV9" s="1"/>
      <c r="NGW9" s="1"/>
      <c r="NGX9" s="1"/>
      <c r="NGY9" s="1"/>
      <c r="NGZ9" s="1"/>
      <c r="NHA9" s="1"/>
      <c r="NHB9" s="1"/>
      <c r="NHC9" s="1"/>
      <c r="NHD9" s="1"/>
      <c r="NHE9" s="1"/>
      <c r="NHF9" s="1"/>
      <c r="NHG9" s="1"/>
      <c r="NHH9" s="1"/>
      <c r="NHI9" s="1"/>
      <c r="NHJ9" s="1"/>
      <c r="NHK9" s="1"/>
      <c r="NHL9" s="1"/>
      <c r="NHM9" s="1"/>
      <c r="NHN9" s="1"/>
      <c r="NHO9" s="1"/>
      <c r="NHP9" s="1"/>
      <c r="NHQ9" s="1"/>
      <c r="NHR9" s="1"/>
      <c r="NHS9" s="1"/>
      <c r="NHT9" s="1"/>
      <c r="NHU9" s="1"/>
      <c r="NHV9" s="1"/>
      <c r="NHW9" s="1"/>
      <c r="NHX9" s="1"/>
      <c r="NHY9" s="1"/>
      <c r="NHZ9" s="1"/>
      <c r="NIA9" s="1"/>
      <c r="NIB9" s="1"/>
      <c r="NIC9" s="1"/>
      <c r="NID9" s="1"/>
      <c r="NIE9" s="1"/>
      <c r="NIF9" s="1"/>
      <c r="NIG9" s="1"/>
      <c r="NIH9" s="1"/>
      <c r="NII9" s="1"/>
      <c r="NIJ9" s="1"/>
      <c r="NIK9" s="1"/>
      <c r="NIL9" s="1"/>
      <c r="NIM9" s="1"/>
      <c r="NIN9" s="1"/>
      <c r="NIO9" s="1"/>
      <c r="NIP9" s="1"/>
      <c r="NIQ9" s="1"/>
      <c r="NIR9" s="1"/>
      <c r="NIS9" s="1"/>
      <c r="NIT9" s="1"/>
      <c r="NIU9" s="1"/>
      <c r="NIV9" s="1"/>
      <c r="NIW9" s="1"/>
      <c r="NIX9" s="1"/>
      <c r="NIY9" s="1"/>
      <c r="NIZ9" s="1"/>
      <c r="NJA9" s="1"/>
      <c r="NJB9" s="1"/>
      <c r="NJC9" s="1"/>
      <c r="NJD9" s="1"/>
      <c r="NJE9" s="1"/>
      <c r="NJF9" s="1"/>
      <c r="NJG9" s="1"/>
      <c r="NJH9" s="1"/>
      <c r="NJI9" s="1"/>
      <c r="NJJ9" s="1"/>
      <c r="NJK9" s="1"/>
      <c r="NJL9" s="1"/>
      <c r="NJM9" s="1"/>
      <c r="NJN9" s="1"/>
      <c r="NJO9" s="1"/>
      <c r="NJP9" s="1"/>
      <c r="NJQ9" s="1"/>
      <c r="NJR9" s="1"/>
      <c r="NJS9" s="1"/>
      <c r="NJT9" s="1"/>
      <c r="NJU9" s="1"/>
      <c r="NJV9" s="1"/>
      <c r="NJW9" s="1"/>
      <c r="NJX9" s="1"/>
      <c r="NJY9" s="1"/>
      <c r="NJZ9" s="1"/>
      <c r="NKA9" s="1"/>
      <c r="NKB9" s="1"/>
      <c r="NKC9" s="1"/>
      <c r="NKD9" s="1"/>
      <c r="NKE9" s="1"/>
      <c r="NKF9" s="1"/>
      <c r="NKG9" s="1"/>
      <c r="NKH9" s="1"/>
      <c r="NKI9" s="1"/>
      <c r="NKJ9" s="1"/>
      <c r="NKK9" s="1"/>
      <c r="NKL9" s="1"/>
      <c r="NKM9" s="1"/>
      <c r="NKN9" s="1"/>
      <c r="NKO9" s="1"/>
      <c r="NKP9" s="1"/>
      <c r="NKQ9" s="1"/>
      <c r="NKR9" s="1"/>
      <c r="NKS9" s="1"/>
      <c r="NKT9" s="1"/>
      <c r="NKU9" s="1"/>
      <c r="NKV9" s="1"/>
      <c r="NKW9" s="1"/>
      <c r="NKX9" s="1"/>
      <c r="NKY9" s="1"/>
      <c r="NKZ9" s="1"/>
      <c r="NLA9" s="1"/>
      <c r="NLB9" s="1"/>
      <c r="NLC9" s="1"/>
      <c r="NLD9" s="1"/>
      <c r="NLE9" s="1"/>
      <c r="NLF9" s="1"/>
      <c r="NLG9" s="1"/>
      <c r="NLH9" s="1"/>
      <c r="NLI9" s="1"/>
      <c r="NLJ9" s="1"/>
      <c r="NLK9" s="1"/>
      <c r="NLL9" s="1"/>
      <c r="NLM9" s="1"/>
      <c r="NLN9" s="1"/>
      <c r="NLO9" s="1"/>
      <c r="NLP9" s="1"/>
      <c r="NLQ9" s="1"/>
      <c r="NLR9" s="1"/>
      <c r="NLS9" s="1"/>
      <c r="NLT9" s="1"/>
      <c r="NLU9" s="1"/>
      <c r="NLV9" s="1"/>
      <c r="NLW9" s="1"/>
      <c r="NLX9" s="1"/>
      <c r="NLY9" s="1"/>
      <c r="NLZ9" s="1"/>
      <c r="NMA9" s="1"/>
      <c r="NMB9" s="1"/>
      <c r="NMC9" s="1"/>
      <c r="NMD9" s="1"/>
      <c r="NME9" s="1"/>
      <c r="NMF9" s="1"/>
      <c r="NMG9" s="1"/>
      <c r="NMH9" s="1"/>
      <c r="NMI9" s="1"/>
      <c r="NMJ9" s="1"/>
      <c r="NMK9" s="1"/>
      <c r="NML9" s="1"/>
      <c r="NMM9" s="1"/>
      <c r="NMN9" s="1"/>
      <c r="NMO9" s="1"/>
      <c r="NMP9" s="1"/>
      <c r="NMQ9" s="1"/>
      <c r="NMR9" s="1"/>
      <c r="NMS9" s="1"/>
      <c r="NMT9" s="1"/>
      <c r="NMU9" s="1"/>
      <c r="NMV9" s="1"/>
      <c r="NMW9" s="1"/>
      <c r="NMX9" s="1"/>
      <c r="NMY9" s="1"/>
      <c r="NMZ9" s="1"/>
      <c r="NNA9" s="1"/>
      <c r="NNB9" s="1"/>
      <c r="NNC9" s="1"/>
      <c r="NND9" s="1"/>
      <c r="NNE9" s="1"/>
      <c r="NNF9" s="1"/>
      <c r="NNG9" s="1"/>
      <c r="NNH9" s="1"/>
      <c r="NNI9" s="1"/>
      <c r="NNJ9" s="1"/>
      <c r="NNK9" s="1"/>
      <c r="NNL9" s="1"/>
      <c r="NNM9" s="1"/>
      <c r="NNN9" s="1"/>
      <c r="NNO9" s="1"/>
      <c r="NNP9" s="1"/>
      <c r="NNQ9" s="1"/>
      <c r="NNR9" s="1"/>
      <c r="NNS9" s="1"/>
      <c r="NNT9" s="1"/>
      <c r="NNU9" s="1"/>
      <c r="NNV9" s="1"/>
      <c r="NNW9" s="1"/>
      <c r="NNX9" s="1"/>
      <c r="NNY9" s="1"/>
      <c r="NNZ9" s="1"/>
      <c r="NOA9" s="1"/>
      <c r="NOB9" s="1"/>
      <c r="NOC9" s="1"/>
      <c r="NOD9" s="1"/>
      <c r="NOE9" s="1"/>
      <c r="NOF9" s="1"/>
      <c r="NOG9" s="1"/>
      <c r="NOH9" s="1"/>
      <c r="NOI9" s="1"/>
      <c r="NOJ9" s="1"/>
      <c r="NOK9" s="1"/>
      <c r="NOL9" s="1"/>
      <c r="NOM9" s="1"/>
      <c r="NON9" s="1"/>
      <c r="NOO9" s="1"/>
      <c r="NOP9" s="1"/>
      <c r="NOQ9" s="1"/>
      <c r="NOR9" s="1"/>
      <c r="NOS9" s="1"/>
      <c r="NOT9" s="1"/>
      <c r="NOU9" s="1"/>
      <c r="NOV9" s="1"/>
      <c r="NOW9" s="1"/>
      <c r="NOX9" s="1"/>
      <c r="NOY9" s="1"/>
      <c r="NOZ9" s="1"/>
      <c r="NPA9" s="1"/>
      <c r="NPB9" s="1"/>
      <c r="NPC9" s="1"/>
      <c r="NPD9" s="1"/>
      <c r="NPE9" s="1"/>
      <c r="NPF9" s="1"/>
      <c r="NPG9" s="1"/>
      <c r="NPH9" s="1"/>
      <c r="NPI9" s="1"/>
      <c r="NPJ9" s="1"/>
      <c r="NPK9" s="1"/>
      <c r="NPL9" s="1"/>
      <c r="NPM9" s="1"/>
      <c r="NPN9" s="1"/>
      <c r="NPO9" s="1"/>
      <c r="NPP9" s="1"/>
      <c r="NPQ9" s="1"/>
      <c r="NPR9" s="1"/>
      <c r="NPS9" s="1"/>
      <c r="NPT9" s="1"/>
      <c r="NPU9" s="1"/>
      <c r="NPV9" s="1"/>
      <c r="NPW9" s="1"/>
      <c r="NPX9" s="1"/>
      <c r="NPY9" s="1"/>
      <c r="NPZ9" s="1"/>
      <c r="NQA9" s="1"/>
      <c r="NQB9" s="1"/>
      <c r="NQC9" s="1"/>
      <c r="NQD9" s="1"/>
      <c r="NQE9" s="1"/>
      <c r="NQF9" s="1"/>
      <c r="NQG9" s="1"/>
      <c r="NQH9" s="1"/>
      <c r="NQI9" s="1"/>
      <c r="NQJ9" s="1"/>
      <c r="NQK9" s="1"/>
      <c r="NQL9" s="1"/>
      <c r="NQM9" s="1"/>
      <c r="NQN9" s="1"/>
      <c r="NQO9" s="1"/>
      <c r="NQP9" s="1"/>
      <c r="NQQ9" s="1"/>
      <c r="NQR9" s="1"/>
      <c r="NQS9" s="1"/>
      <c r="NQT9" s="1"/>
      <c r="NQU9" s="1"/>
      <c r="NQV9" s="1"/>
      <c r="NQW9" s="1"/>
      <c r="NQX9" s="1"/>
      <c r="NQY9" s="1"/>
      <c r="NQZ9" s="1"/>
      <c r="NRA9" s="1"/>
      <c r="NRB9" s="1"/>
      <c r="NRC9" s="1"/>
      <c r="NRD9" s="1"/>
      <c r="NRE9" s="1"/>
      <c r="NRF9" s="1"/>
      <c r="NRG9" s="1"/>
      <c r="NRH9" s="1"/>
      <c r="NRI9" s="1"/>
      <c r="NRJ9" s="1"/>
      <c r="NRK9" s="1"/>
      <c r="NRL9" s="1"/>
      <c r="NRM9" s="1"/>
      <c r="NRN9" s="1"/>
      <c r="NRO9" s="1"/>
      <c r="NRP9" s="1"/>
      <c r="NRQ9" s="1"/>
      <c r="NRR9" s="1"/>
      <c r="NRS9" s="1"/>
      <c r="NRT9" s="1"/>
      <c r="NRU9" s="1"/>
      <c r="NRV9" s="1"/>
      <c r="NRW9" s="1"/>
      <c r="NRX9" s="1"/>
      <c r="NRY9" s="1"/>
      <c r="NRZ9" s="1"/>
      <c r="NSA9" s="1"/>
      <c r="NSB9" s="1"/>
      <c r="NSC9" s="1"/>
      <c r="NSD9" s="1"/>
      <c r="NSE9" s="1"/>
      <c r="NSF9" s="1"/>
      <c r="NSG9" s="1"/>
      <c r="NSH9" s="1"/>
      <c r="NSI9" s="1"/>
      <c r="NSJ9" s="1"/>
      <c r="NSK9" s="1"/>
      <c r="NSL9" s="1"/>
      <c r="NSM9" s="1"/>
      <c r="NSN9" s="1"/>
      <c r="NSO9" s="1"/>
      <c r="NSP9" s="1"/>
      <c r="NSQ9" s="1"/>
      <c r="NSR9" s="1"/>
      <c r="NSS9" s="1"/>
      <c r="NST9" s="1"/>
      <c r="NSU9" s="1"/>
      <c r="NSV9" s="1"/>
      <c r="NSW9" s="1"/>
      <c r="NSX9" s="1"/>
      <c r="NSY9" s="1"/>
      <c r="NSZ9" s="1"/>
      <c r="NTA9" s="1"/>
      <c r="NTB9" s="1"/>
      <c r="NTC9" s="1"/>
      <c r="NTD9" s="1"/>
      <c r="NTE9" s="1"/>
      <c r="NTF9" s="1"/>
      <c r="NTG9" s="1"/>
      <c r="NTH9" s="1"/>
      <c r="NTI9" s="1"/>
      <c r="NTJ9" s="1"/>
      <c r="NTK9" s="1"/>
      <c r="NTL9" s="1"/>
      <c r="NTM9" s="1"/>
      <c r="NTN9" s="1"/>
      <c r="NTO9" s="1"/>
      <c r="NTP9" s="1"/>
      <c r="NTQ9" s="1"/>
      <c r="NTR9" s="1"/>
      <c r="NTS9" s="1"/>
      <c r="NTT9" s="1"/>
      <c r="NTU9" s="1"/>
      <c r="NTV9" s="1"/>
      <c r="NTW9" s="1"/>
      <c r="NTX9" s="1"/>
      <c r="NTY9" s="1"/>
      <c r="NTZ9" s="1"/>
      <c r="NUA9" s="1"/>
      <c r="NUB9" s="1"/>
      <c r="NUC9" s="1"/>
      <c r="NUD9" s="1"/>
      <c r="NUE9" s="1"/>
      <c r="NUF9" s="1"/>
      <c r="NUG9" s="1"/>
      <c r="NUH9" s="1"/>
      <c r="NUI9" s="1"/>
      <c r="NUJ9" s="1"/>
      <c r="NUK9" s="1"/>
      <c r="NUL9" s="1"/>
      <c r="NUM9" s="1"/>
      <c r="NUN9" s="1"/>
      <c r="NUO9" s="1"/>
      <c r="NUP9" s="1"/>
      <c r="NUQ9" s="1"/>
      <c r="NUR9" s="1"/>
      <c r="NUS9" s="1"/>
      <c r="NUT9" s="1"/>
      <c r="NUU9" s="1"/>
      <c r="NUV9" s="1"/>
      <c r="NUW9" s="1"/>
      <c r="NUX9" s="1"/>
      <c r="NUY9" s="1"/>
      <c r="NUZ9" s="1"/>
      <c r="NVA9" s="1"/>
      <c r="NVB9" s="1"/>
      <c r="NVC9" s="1"/>
      <c r="NVD9" s="1"/>
      <c r="NVE9" s="1"/>
      <c r="NVF9" s="1"/>
      <c r="NVG9" s="1"/>
      <c r="NVH9" s="1"/>
      <c r="NVI9" s="1"/>
      <c r="NVJ9" s="1"/>
      <c r="NVK9" s="1"/>
      <c r="NVL9" s="1"/>
      <c r="NVM9" s="1"/>
      <c r="NVN9" s="1"/>
      <c r="NVO9" s="1"/>
      <c r="NVP9" s="1"/>
      <c r="NVQ9" s="1"/>
      <c r="NVR9" s="1"/>
      <c r="NVS9" s="1"/>
      <c r="NVT9" s="1"/>
      <c r="NVU9" s="1"/>
      <c r="NVV9" s="1"/>
      <c r="NVW9" s="1"/>
      <c r="NVX9" s="1"/>
      <c r="NVY9" s="1"/>
      <c r="NVZ9" s="1"/>
      <c r="NWA9" s="1"/>
      <c r="NWB9" s="1"/>
      <c r="NWC9" s="1"/>
      <c r="NWD9" s="1"/>
      <c r="NWE9" s="1"/>
      <c r="NWF9" s="1"/>
      <c r="NWG9" s="1"/>
      <c r="NWH9" s="1"/>
      <c r="NWI9" s="1"/>
      <c r="NWJ9" s="1"/>
      <c r="NWK9" s="1"/>
      <c r="NWL9" s="1"/>
      <c r="NWM9" s="1"/>
      <c r="NWN9" s="1"/>
      <c r="NWO9" s="1"/>
      <c r="NWP9" s="1"/>
      <c r="NWQ9" s="1"/>
      <c r="NWR9" s="1"/>
      <c r="NWS9" s="1"/>
      <c r="NWT9" s="1"/>
      <c r="NWU9" s="1"/>
      <c r="NWV9" s="1"/>
      <c r="NWW9" s="1"/>
      <c r="NWX9" s="1"/>
      <c r="NWY9" s="1"/>
      <c r="NWZ9" s="1"/>
      <c r="NXA9" s="1"/>
      <c r="NXB9" s="1"/>
      <c r="NXC9" s="1"/>
      <c r="NXD9" s="1"/>
      <c r="NXE9" s="1"/>
      <c r="NXF9" s="1"/>
      <c r="NXG9" s="1"/>
      <c r="NXH9" s="1"/>
      <c r="NXI9" s="1"/>
      <c r="NXJ9" s="1"/>
      <c r="NXK9" s="1"/>
      <c r="NXL9" s="1"/>
      <c r="NXM9" s="1"/>
      <c r="NXN9" s="1"/>
      <c r="NXO9" s="1"/>
      <c r="NXP9" s="1"/>
      <c r="NXQ9" s="1"/>
      <c r="NXR9" s="1"/>
      <c r="NXS9" s="1"/>
      <c r="NXT9" s="1"/>
      <c r="NXU9" s="1"/>
      <c r="NXV9" s="1"/>
      <c r="NXW9" s="1"/>
      <c r="NXX9" s="1"/>
      <c r="NXY9" s="1"/>
      <c r="NXZ9" s="1"/>
      <c r="NYA9" s="1"/>
      <c r="NYB9" s="1"/>
      <c r="NYC9" s="1"/>
      <c r="NYD9" s="1"/>
      <c r="NYE9" s="1"/>
      <c r="NYF9" s="1"/>
      <c r="NYG9" s="1"/>
      <c r="NYH9" s="1"/>
      <c r="NYI9" s="1"/>
      <c r="NYJ9" s="1"/>
      <c r="NYK9" s="1"/>
      <c r="NYL9" s="1"/>
      <c r="NYM9" s="1"/>
      <c r="NYN9" s="1"/>
      <c r="NYO9" s="1"/>
      <c r="NYP9" s="1"/>
      <c r="NYQ9" s="1"/>
      <c r="NYR9" s="1"/>
      <c r="NYS9" s="1"/>
      <c r="NYT9" s="1"/>
      <c r="NYU9" s="1"/>
      <c r="NYV9" s="1"/>
      <c r="NYW9" s="1"/>
      <c r="NYX9" s="1"/>
      <c r="NYY9" s="1"/>
      <c r="NYZ9" s="1"/>
      <c r="NZA9" s="1"/>
      <c r="NZB9" s="1"/>
      <c r="NZC9" s="1"/>
      <c r="NZD9" s="1"/>
      <c r="NZE9" s="1"/>
      <c r="NZF9" s="1"/>
      <c r="NZG9" s="1"/>
      <c r="NZH9" s="1"/>
      <c r="NZI9" s="1"/>
      <c r="NZJ9" s="1"/>
      <c r="NZK9" s="1"/>
      <c r="NZL9" s="1"/>
      <c r="NZM9" s="1"/>
      <c r="NZN9" s="1"/>
      <c r="NZO9" s="1"/>
      <c r="NZP9" s="1"/>
      <c r="NZQ9" s="1"/>
      <c r="NZR9" s="1"/>
      <c r="NZS9" s="1"/>
      <c r="NZT9" s="1"/>
      <c r="NZU9" s="1"/>
      <c r="NZV9" s="1"/>
      <c r="NZW9" s="1"/>
      <c r="NZX9" s="1"/>
      <c r="NZY9" s="1"/>
      <c r="NZZ9" s="1"/>
      <c r="OAA9" s="1"/>
      <c r="OAB9" s="1"/>
      <c r="OAC9" s="1"/>
      <c r="OAD9" s="1"/>
      <c r="OAE9" s="1"/>
      <c r="OAF9" s="1"/>
      <c r="OAG9" s="1"/>
      <c r="OAH9" s="1"/>
      <c r="OAI9" s="1"/>
      <c r="OAJ9" s="1"/>
      <c r="OAK9" s="1"/>
      <c r="OAL9" s="1"/>
      <c r="OAM9" s="1"/>
      <c r="OAN9" s="1"/>
      <c r="OAO9" s="1"/>
      <c r="OAP9" s="1"/>
      <c r="OAQ9" s="1"/>
      <c r="OAR9" s="1"/>
      <c r="OAS9" s="1"/>
      <c r="OAT9" s="1"/>
      <c r="OAU9" s="1"/>
      <c r="OAV9" s="1"/>
      <c r="OAW9" s="1"/>
      <c r="OAX9" s="1"/>
      <c r="OAY9" s="1"/>
      <c r="OAZ9" s="1"/>
      <c r="OBA9" s="1"/>
      <c r="OBB9" s="1"/>
      <c r="OBC9" s="1"/>
      <c r="OBD9" s="1"/>
      <c r="OBE9" s="1"/>
      <c r="OBF9" s="1"/>
      <c r="OBG9" s="1"/>
      <c r="OBH9" s="1"/>
      <c r="OBI9" s="1"/>
      <c r="OBJ9" s="1"/>
      <c r="OBK9" s="1"/>
      <c r="OBL9" s="1"/>
      <c r="OBM9" s="1"/>
      <c r="OBN9" s="1"/>
      <c r="OBO9" s="1"/>
      <c r="OBP9" s="1"/>
      <c r="OBQ9" s="1"/>
      <c r="OBR9" s="1"/>
      <c r="OBS9" s="1"/>
      <c r="OBT9" s="1"/>
      <c r="OBU9" s="1"/>
      <c r="OBV9" s="1"/>
      <c r="OBW9" s="1"/>
      <c r="OBX9" s="1"/>
      <c r="OBY9" s="1"/>
      <c r="OBZ9" s="1"/>
      <c r="OCA9" s="1"/>
      <c r="OCB9" s="1"/>
      <c r="OCC9" s="1"/>
      <c r="OCD9" s="1"/>
      <c r="OCE9" s="1"/>
      <c r="OCF9" s="1"/>
      <c r="OCG9" s="1"/>
      <c r="OCH9" s="1"/>
      <c r="OCI9" s="1"/>
      <c r="OCJ9" s="1"/>
      <c r="OCK9" s="1"/>
      <c r="OCL9" s="1"/>
      <c r="OCM9" s="1"/>
      <c r="OCN9" s="1"/>
      <c r="OCO9" s="1"/>
      <c r="OCP9" s="1"/>
      <c r="OCQ9" s="1"/>
      <c r="OCR9" s="1"/>
      <c r="OCS9" s="1"/>
      <c r="OCT9" s="1"/>
      <c r="OCU9" s="1"/>
      <c r="OCV9" s="1"/>
      <c r="OCW9" s="1"/>
      <c r="OCX9" s="1"/>
      <c r="OCY9" s="1"/>
      <c r="OCZ9" s="1"/>
      <c r="ODA9" s="1"/>
      <c r="ODB9" s="1"/>
      <c r="ODC9" s="1"/>
      <c r="ODD9" s="1"/>
      <c r="ODE9" s="1"/>
      <c r="ODF9" s="1"/>
      <c r="ODG9" s="1"/>
      <c r="ODH9" s="1"/>
      <c r="ODI9" s="1"/>
      <c r="ODJ9" s="1"/>
      <c r="ODK9" s="1"/>
      <c r="ODL9" s="1"/>
      <c r="ODM9" s="1"/>
      <c r="ODN9" s="1"/>
      <c r="ODO9" s="1"/>
      <c r="ODP9" s="1"/>
      <c r="ODQ9" s="1"/>
      <c r="ODR9" s="1"/>
      <c r="ODS9" s="1"/>
      <c r="ODT9" s="1"/>
      <c r="ODU9" s="1"/>
      <c r="ODV9" s="1"/>
      <c r="ODW9" s="1"/>
      <c r="ODX9" s="1"/>
      <c r="ODY9" s="1"/>
      <c r="ODZ9" s="1"/>
      <c r="OEA9" s="1"/>
      <c r="OEB9" s="1"/>
      <c r="OEC9" s="1"/>
      <c r="OED9" s="1"/>
      <c r="OEE9" s="1"/>
      <c r="OEF9" s="1"/>
      <c r="OEG9" s="1"/>
      <c r="OEH9" s="1"/>
      <c r="OEI9" s="1"/>
      <c r="OEJ9" s="1"/>
      <c r="OEK9" s="1"/>
      <c r="OEL9" s="1"/>
      <c r="OEM9" s="1"/>
      <c r="OEN9" s="1"/>
      <c r="OEO9" s="1"/>
      <c r="OEP9" s="1"/>
      <c r="OEQ9" s="1"/>
      <c r="OER9" s="1"/>
      <c r="OES9" s="1"/>
      <c r="OET9" s="1"/>
      <c r="OEU9" s="1"/>
      <c r="OEV9" s="1"/>
      <c r="OEW9" s="1"/>
      <c r="OEX9" s="1"/>
      <c r="OEY9" s="1"/>
      <c r="OEZ9" s="1"/>
      <c r="OFA9" s="1"/>
      <c r="OFB9" s="1"/>
      <c r="OFC9" s="1"/>
      <c r="OFD9" s="1"/>
      <c r="OFE9" s="1"/>
      <c r="OFF9" s="1"/>
      <c r="OFG9" s="1"/>
      <c r="OFH9" s="1"/>
      <c r="OFI9" s="1"/>
      <c r="OFJ9" s="1"/>
      <c r="OFK9" s="1"/>
      <c r="OFL9" s="1"/>
      <c r="OFM9" s="1"/>
      <c r="OFN9" s="1"/>
      <c r="OFO9" s="1"/>
      <c r="OFP9" s="1"/>
      <c r="OFQ9" s="1"/>
      <c r="OFR9" s="1"/>
      <c r="OFS9" s="1"/>
      <c r="OFT9" s="1"/>
      <c r="OFU9" s="1"/>
      <c r="OFV9" s="1"/>
      <c r="OFW9" s="1"/>
      <c r="OFX9" s="1"/>
      <c r="OFY9" s="1"/>
      <c r="OFZ9" s="1"/>
      <c r="OGA9" s="1"/>
      <c r="OGB9" s="1"/>
      <c r="OGC9" s="1"/>
      <c r="OGD9" s="1"/>
      <c r="OGE9" s="1"/>
      <c r="OGF9" s="1"/>
      <c r="OGG9" s="1"/>
      <c r="OGH9" s="1"/>
      <c r="OGI9" s="1"/>
      <c r="OGJ9" s="1"/>
      <c r="OGK9" s="1"/>
      <c r="OGL9" s="1"/>
      <c r="OGM9" s="1"/>
      <c r="OGN9" s="1"/>
      <c r="OGO9" s="1"/>
      <c r="OGP9" s="1"/>
      <c r="OGQ9" s="1"/>
      <c r="OGR9" s="1"/>
      <c r="OGS9" s="1"/>
      <c r="OGT9" s="1"/>
      <c r="OGU9" s="1"/>
      <c r="OGV9" s="1"/>
      <c r="OGW9" s="1"/>
      <c r="OGX9" s="1"/>
      <c r="OGY9" s="1"/>
      <c r="OGZ9" s="1"/>
      <c r="OHA9" s="1"/>
      <c r="OHB9" s="1"/>
      <c r="OHC9" s="1"/>
      <c r="OHD9" s="1"/>
      <c r="OHE9" s="1"/>
      <c r="OHF9" s="1"/>
      <c r="OHG9" s="1"/>
      <c r="OHH9" s="1"/>
      <c r="OHI9" s="1"/>
      <c r="OHJ9" s="1"/>
      <c r="OHK9" s="1"/>
      <c r="OHL9" s="1"/>
      <c r="OHM9" s="1"/>
      <c r="OHN9" s="1"/>
      <c r="OHO9" s="1"/>
      <c r="OHP9" s="1"/>
      <c r="OHQ9" s="1"/>
      <c r="OHR9" s="1"/>
      <c r="OHS9" s="1"/>
      <c r="OHT9" s="1"/>
      <c r="OHU9" s="1"/>
      <c r="OHV9" s="1"/>
      <c r="OHW9" s="1"/>
      <c r="OHX9" s="1"/>
      <c r="OHY9" s="1"/>
      <c r="OHZ9" s="1"/>
      <c r="OIA9" s="1"/>
      <c r="OIB9" s="1"/>
      <c r="OIC9" s="1"/>
      <c r="OID9" s="1"/>
      <c r="OIE9" s="1"/>
      <c r="OIF9" s="1"/>
      <c r="OIG9" s="1"/>
      <c r="OIH9" s="1"/>
      <c r="OII9" s="1"/>
      <c r="OIJ9" s="1"/>
      <c r="OIK9" s="1"/>
      <c r="OIL9" s="1"/>
      <c r="OIM9" s="1"/>
      <c r="OIN9" s="1"/>
      <c r="OIO9" s="1"/>
      <c r="OIP9" s="1"/>
      <c r="OIQ9" s="1"/>
      <c r="OIR9" s="1"/>
      <c r="OIS9" s="1"/>
      <c r="OIT9" s="1"/>
      <c r="OIU9" s="1"/>
      <c r="OIV9" s="1"/>
      <c r="OIW9" s="1"/>
      <c r="OIX9" s="1"/>
      <c r="OIY9" s="1"/>
      <c r="OIZ9" s="1"/>
      <c r="OJA9" s="1"/>
      <c r="OJB9" s="1"/>
      <c r="OJC9" s="1"/>
      <c r="OJD9" s="1"/>
      <c r="OJE9" s="1"/>
      <c r="OJF9" s="1"/>
      <c r="OJG9" s="1"/>
      <c r="OJH9" s="1"/>
      <c r="OJI9" s="1"/>
      <c r="OJJ9" s="1"/>
      <c r="OJK9" s="1"/>
      <c r="OJL9" s="1"/>
      <c r="OJM9" s="1"/>
      <c r="OJN9" s="1"/>
      <c r="OJO9" s="1"/>
      <c r="OJP9" s="1"/>
      <c r="OJQ9" s="1"/>
      <c r="OJR9" s="1"/>
      <c r="OJS9" s="1"/>
      <c r="OJT9" s="1"/>
      <c r="OJU9" s="1"/>
      <c r="OJV9" s="1"/>
      <c r="OJW9" s="1"/>
      <c r="OJX9" s="1"/>
      <c r="OJY9" s="1"/>
      <c r="OJZ9" s="1"/>
      <c r="OKA9" s="1"/>
      <c r="OKB9" s="1"/>
      <c r="OKC9" s="1"/>
      <c r="OKD9" s="1"/>
      <c r="OKE9" s="1"/>
      <c r="OKF9" s="1"/>
      <c r="OKG9" s="1"/>
      <c r="OKH9" s="1"/>
      <c r="OKI9" s="1"/>
      <c r="OKJ9" s="1"/>
      <c r="OKK9" s="1"/>
      <c r="OKL9" s="1"/>
      <c r="OKM9" s="1"/>
      <c r="OKN9" s="1"/>
      <c r="OKO9" s="1"/>
      <c r="OKP9" s="1"/>
      <c r="OKQ9" s="1"/>
      <c r="OKR9" s="1"/>
      <c r="OKS9" s="1"/>
      <c r="OKT9" s="1"/>
      <c r="OKU9" s="1"/>
      <c r="OKV9" s="1"/>
      <c r="OKW9" s="1"/>
      <c r="OKX9" s="1"/>
      <c r="OKY9" s="1"/>
      <c r="OKZ9" s="1"/>
      <c r="OLA9" s="1"/>
      <c r="OLB9" s="1"/>
      <c r="OLC9" s="1"/>
      <c r="OLD9" s="1"/>
      <c r="OLE9" s="1"/>
      <c r="OLF9" s="1"/>
      <c r="OLG9" s="1"/>
      <c r="OLH9" s="1"/>
      <c r="OLI9" s="1"/>
      <c r="OLJ9" s="1"/>
      <c r="OLK9" s="1"/>
      <c r="OLL9" s="1"/>
      <c r="OLM9" s="1"/>
      <c r="OLN9" s="1"/>
      <c r="OLO9" s="1"/>
      <c r="OLP9" s="1"/>
      <c r="OLQ9" s="1"/>
      <c r="OLR9" s="1"/>
      <c r="OLS9" s="1"/>
      <c r="OLT9" s="1"/>
      <c r="OLU9" s="1"/>
      <c r="OLV9" s="1"/>
      <c r="OLW9" s="1"/>
      <c r="OLX9" s="1"/>
      <c r="OLY9" s="1"/>
      <c r="OLZ9" s="1"/>
      <c r="OMA9" s="1"/>
      <c r="OMB9" s="1"/>
      <c r="OMC9" s="1"/>
      <c r="OMD9" s="1"/>
      <c r="OME9" s="1"/>
      <c r="OMF9" s="1"/>
      <c r="OMG9" s="1"/>
      <c r="OMH9" s="1"/>
      <c r="OMI9" s="1"/>
      <c r="OMJ9" s="1"/>
      <c r="OMK9" s="1"/>
      <c r="OML9" s="1"/>
      <c r="OMM9" s="1"/>
      <c r="OMN9" s="1"/>
      <c r="OMO9" s="1"/>
      <c r="OMP9" s="1"/>
      <c r="OMQ9" s="1"/>
      <c r="OMR9" s="1"/>
      <c r="OMS9" s="1"/>
      <c r="OMT9" s="1"/>
      <c r="OMU9" s="1"/>
      <c r="OMV9" s="1"/>
      <c r="OMW9" s="1"/>
      <c r="OMX9" s="1"/>
      <c r="OMY9" s="1"/>
      <c r="OMZ9" s="1"/>
      <c r="ONA9" s="1"/>
      <c r="ONB9" s="1"/>
      <c r="ONC9" s="1"/>
      <c r="OND9" s="1"/>
      <c r="ONE9" s="1"/>
      <c r="ONF9" s="1"/>
      <c r="ONG9" s="1"/>
      <c r="ONH9" s="1"/>
      <c r="ONI9" s="1"/>
      <c r="ONJ9" s="1"/>
      <c r="ONK9" s="1"/>
      <c r="ONL9" s="1"/>
      <c r="ONM9" s="1"/>
      <c r="ONN9" s="1"/>
      <c r="ONO9" s="1"/>
      <c r="ONP9" s="1"/>
      <c r="ONQ9" s="1"/>
      <c r="ONR9" s="1"/>
      <c r="ONS9" s="1"/>
      <c r="ONT9" s="1"/>
      <c r="ONU9" s="1"/>
      <c r="ONV9" s="1"/>
      <c r="ONW9" s="1"/>
      <c r="ONX9" s="1"/>
      <c r="ONY9" s="1"/>
      <c r="ONZ9" s="1"/>
      <c r="OOA9" s="1"/>
      <c r="OOB9" s="1"/>
      <c r="OOC9" s="1"/>
      <c r="OOD9" s="1"/>
      <c r="OOE9" s="1"/>
      <c r="OOF9" s="1"/>
      <c r="OOG9" s="1"/>
      <c r="OOH9" s="1"/>
      <c r="OOI9" s="1"/>
      <c r="OOJ9" s="1"/>
      <c r="OOK9" s="1"/>
      <c r="OOL9" s="1"/>
      <c r="OOM9" s="1"/>
      <c r="OON9" s="1"/>
      <c r="OOO9" s="1"/>
      <c r="OOP9" s="1"/>
      <c r="OOQ9" s="1"/>
      <c r="OOR9" s="1"/>
      <c r="OOS9" s="1"/>
      <c r="OOT9" s="1"/>
      <c r="OOU9" s="1"/>
      <c r="OOV9" s="1"/>
      <c r="OOW9" s="1"/>
      <c r="OOX9" s="1"/>
      <c r="OOY9" s="1"/>
      <c r="OOZ9" s="1"/>
      <c r="OPA9" s="1"/>
      <c r="OPB9" s="1"/>
      <c r="OPC9" s="1"/>
      <c r="OPD9" s="1"/>
      <c r="OPE9" s="1"/>
      <c r="OPF9" s="1"/>
      <c r="OPG9" s="1"/>
      <c r="OPH9" s="1"/>
      <c r="OPI9" s="1"/>
      <c r="OPJ9" s="1"/>
      <c r="OPK9" s="1"/>
      <c r="OPL9" s="1"/>
      <c r="OPM9" s="1"/>
      <c r="OPN9" s="1"/>
      <c r="OPO9" s="1"/>
      <c r="OPP9" s="1"/>
      <c r="OPQ9" s="1"/>
      <c r="OPR9" s="1"/>
      <c r="OPS9" s="1"/>
      <c r="OPT9" s="1"/>
      <c r="OPU9" s="1"/>
      <c r="OPV9" s="1"/>
      <c r="OPW9" s="1"/>
      <c r="OPX9" s="1"/>
      <c r="OPY9" s="1"/>
      <c r="OPZ9" s="1"/>
      <c r="OQA9" s="1"/>
      <c r="OQB9" s="1"/>
      <c r="OQC9" s="1"/>
      <c r="OQD9" s="1"/>
      <c r="OQE9" s="1"/>
      <c r="OQF9" s="1"/>
      <c r="OQG9" s="1"/>
      <c r="OQH9" s="1"/>
      <c r="OQI9" s="1"/>
      <c r="OQJ9" s="1"/>
      <c r="OQK9" s="1"/>
      <c r="OQL9" s="1"/>
      <c r="OQM9" s="1"/>
      <c r="OQN9" s="1"/>
      <c r="OQO9" s="1"/>
      <c r="OQP9" s="1"/>
      <c r="OQQ9" s="1"/>
      <c r="OQR9" s="1"/>
      <c r="OQS9" s="1"/>
      <c r="OQT9" s="1"/>
      <c r="OQU9" s="1"/>
      <c r="OQV9" s="1"/>
      <c r="OQW9" s="1"/>
      <c r="OQX9" s="1"/>
      <c r="OQY9" s="1"/>
      <c r="OQZ9" s="1"/>
      <c r="ORA9" s="1"/>
      <c r="ORB9" s="1"/>
      <c r="ORC9" s="1"/>
      <c r="ORD9" s="1"/>
      <c r="ORE9" s="1"/>
      <c r="ORF9" s="1"/>
      <c r="ORG9" s="1"/>
      <c r="ORH9" s="1"/>
      <c r="ORI9" s="1"/>
      <c r="ORJ9" s="1"/>
      <c r="ORK9" s="1"/>
      <c r="ORL9" s="1"/>
      <c r="ORM9" s="1"/>
      <c r="ORN9" s="1"/>
      <c r="ORO9" s="1"/>
      <c r="ORP9" s="1"/>
      <c r="ORQ9" s="1"/>
      <c r="ORR9" s="1"/>
      <c r="ORS9" s="1"/>
      <c r="ORT9" s="1"/>
      <c r="ORU9" s="1"/>
      <c r="ORV9" s="1"/>
      <c r="ORW9" s="1"/>
      <c r="ORX9" s="1"/>
      <c r="ORY9" s="1"/>
      <c r="ORZ9" s="1"/>
      <c r="OSA9" s="1"/>
      <c r="OSB9" s="1"/>
      <c r="OSC9" s="1"/>
      <c r="OSD9" s="1"/>
      <c r="OSE9" s="1"/>
      <c r="OSF9" s="1"/>
      <c r="OSG9" s="1"/>
      <c r="OSH9" s="1"/>
      <c r="OSI9" s="1"/>
      <c r="OSJ9" s="1"/>
      <c r="OSK9" s="1"/>
      <c r="OSL9" s="1"/>
      <c r="OSM9" s="1"/>
      <c r="OSN9" s="1"/>
      <c r="OSO9" s="1"/>
      <c r="OSP9" s="1"/>
      <c r="OSQ9" s="1"/>
      <c r="OSR9" s="1"/>
      <c r="OSS9" s="1"/>
      <c r="OST9" s="1"/>
      <c r="OSU9" s="1"/>
      <c r="OSV9" s="1"/>
      <c r="OSW9" s="1"/>
      <c r="OSX9" s="1"/>
      <c r="OSY9" s="1"/>
      <c r="OSZ9" s="1"/>
      <c r="OTA9" s="1"/>
      <c r="OTB9" s="1"/>
      <c r="OTC9" s="1"/>
      <c r="OTD9" s="1"/>
      <c r="OTE9" s="1"/>
      <c r="OTF9" s="1"/>
      <c r="OTG9" s="1"/>
      <c r="OTH9" s="1"/>
      <c r="OTI9" s="1"/>
      <c r="OTJ9" s="1"/>
      <c r="OTK9" s="1"/>
      <c r="OTL9" s="1"/>
      <c r="OTM9" s="1"/>
      <c r="OTN9" s="1"/>
      <c r="OTO9" s="1"/>
      <c r="OTP9" s="1"/>
      <c r="OTQ9" s="1"/>
      <c r="OTR9" s="1"/>
      <c r="OTS9" s="1"/>
      <c r="OTT9" s="1"/>
      <c r="OTU9" s="1"/>
      <c r="OTV9" s="1"/>
      <c r="OTW9" s="1"/>
      <c r="OTX9" s="1"/>
      <c r="OTY9" s="1"/>
      <c r="OTZ9" s="1"/>
      <c r="OUA9" s="1"/>
      <c r="OUB9" s="1"/>
      <c r="OUC9" s="1"/>
      <c r="OUD9" s="1"/>
      <c r="OUE9" s="1"/>
      <c r="OUF9" s="1"/>
      <c r="OUG9" s="1"/>
      <c r="OUH9" s="1"/>
      <c r="OUI9" s="1"/>
      <c r="OUJ9" s="1"/>
      <c r="OUK9" s="1"/>
      <c r="OUL9" s="1"/>
      <c r="OUM9" s="1"/>
      <c r="OUN9" s="1"/>
      <c r="OUO9" s="1"/>
      <c r="OUP9" s="1"/>
      <c r="OUQ9" s="1"/>
      <c r="OUR9" s="1"/>
      <c r="OUS9" s="1"/>
      <c r="OUT9" s="1"/>
      <c r="OUU9" s="1"/>
      <c r="OUV9" s="1"/>
      <c r="OUW9" s="1"/>
      <c r="OUX9" s="1"/>
      <c r="OUY9" s="1"/>
      <c r="OUZ9" s="1"/>
      <c r="OVA9" s="1"/>
      <c r="OVB9" s="1"/>
      <c r="OVC9" s="1"/>
      <c r="OVD9" s="1"/>
      <c r="OVE9" s="1"/>
      <c r="OVF9" s="1"/>
      <c r="OVG9" s="1"/>
      <c r="OVH9" s="1"/>
      <c r="OVI9" s="1"/>
      <c r="OVJ9" s="1"/>
      <c r="OVK9" s="1"/>
      <c r="OVL9" s="1"/>
      <c r="OVM9" s="1"/>
      <c r="OVN9" s="1"/>
      <c r="OVO9" s="1"/>
      <c r="OVP9" s="1"/>
      <c r="OVQ9" s="1"/>
      <c r="OVR9" s="1"/>
      <c r="OVS9" s="1"/>
      <c r="OVT9" s="1"/>
      <c r="OVU9" s="1"/>
      <c r="OVV9" s="1"/>
      <c r="OVW9" s="1"/>
      <c r="OVX9" s="1"/>
      <c r="OVY9" s="1"/>
      <c r="OVZ9" s="1"/>
      <c r="OWA9" s="1"/>
      <c r="OWB9" s="1"/>
      <c r="OWC9" s="1"/>
      <c r="OWD9" s="1"/>
      <c r="OWE9" s="1"/>
      <c r="OWF9" s="1"/>
      <c r="OWG9" s="1"/>
      <c r="OWH9" s="1"/>
      <c r="OWI9" s="1"/>
      <c r="OWJ9" s="1"/>
      <c r="OWK9" s="1"/>
      <c r="OWL9" s="1"/>
      <c r="OWM9" s="1"/>
      <c r="OWN9" s="1"/>
      <c r="OWO9" s="1"/>
      <c r="OWP9" s="1"/>
      <c r="OWQ9" s="1"/>
      <c r="OWR9" s="1"/>
      <c r="OWS9" s="1"/>
      <c r="OWT9" s="1"/>
      <c r="OWU9" s="1"/>
      <c r="OWV9" s="1"/>
      <c r="OWW9" s="1"/>
      <c r="OWX9" s="1"/>
      <c r="OWY9" s="1"/>
      <c r="OWZ9" s="1"/>
      <c r="OXA9" s="1"/>
      <c r="OXB9" s="1"/>
      <c r="OXC9" s="1"/>
      <c r="OXD9" s="1"/>
      <c r="OXE9" s="1"/>
      <c r="OXF9" s="1"/>
      <c r="OXG9" s="1"/>
      <c r="OXH9" s="1"/>
      <c r="OXI9" s="1"/>
      <c r="OXJ9" s="1"/>
      <c r="OXK9" s="1"/>
      <c r="OXL9" s="1"/>
      <c r="OXM9" s="1"/>
      <c r="OXN9" s="1"/>
      <c r="OXO9" s="1"/>
      <c r="OXP9" s="1"/>
      <c r="OXQ9" s="1"/>
      <c r="OXR9" s="1"/>
      <c r="OXS9" s="1"/>
      <c r="OXT9" s="1"/>
      <c r="OXU9" s="1"/>
      <c r="OXV9" s="1"/>
      <c r="OXW9" s="1"/>
      <c r="OXX9" s="1"/>
      <c r="OXY9" s="1"/>
      <c r="OXZ9" s="1"/>
      <c r="OYA9" s="1"/>
      <c r="OYB9" s="1"/>
      <c r="OYC9" s="1"/>
      <c r="OYD9" s="1"/>
      <c r="OYE9" s="1"/>
      <c r="OYF9" s="1"/>
      <c r="OYG9" s="1"/>
      <c r="OYH9" s="1"/>
      <c r="OYI9" s="1"/>
      <c r="OYJ9" s="1"/>
      <c r="OYK9" s="1"/>
      <c r="OYL9" s="1"/>
      <c r="OYM9" s="1"/>
      <c r="OYN9" s="1"/>
      <c r="OYO9" s="1"/>
      <c r="OYP9" s="1"/>
      <c r="OYQ9" s="1"/>
      <c r="OYR9" s="1"/>
      <c r="OYS9" s="1"/>
      <c r="OYT9" s="1"/>
      <c r="OYU9" s="1"/>
      <c r="OYV9" s="1"/>
      <c r="OYW9" s="1"/>
      <c r="OYX9" s="1"/>
      <c r="OYY9" s="1"/>
      <c r="OYZ9" s="1"/>
      <c r="OZA9" s="1"/>
      <c r="OZB9" s="1"/>
      <c r="OZC9" s="1"/>
      <c r="OZD9" s="1"/>
      <c r="OZE9" s="1"/>
      <c r="OZF9" s="1"/>
      <c r="OZG9" s="1"/>
      <c r="OZH9" s="1"/>
      <c r="OZI9" s="1"/>
      <c r="OZJ9" s="1"/>
      <c r="OZK9" s="1"/>
      <c r="OZL9" s="1"/>
      <c r="OZM9" s="1"/>
      <c r="OZN9" s="1"/>
      <c r="OZO9" s="1"/>
      <c r="OZP9" s="1"/>
      <c r="OZQ9" s="1"/>
      <c r="OZR9" s="1"/>
      <c r="OZS9" s="1"/>
      <c r="OZT9" s="1"/>
      <c r="OZU9" s="1"/>
      <c r="OZV9" s="1"/>
      <c r="OZW9" s="1"/>
      <c r="OZX9" s="1"/>
      <c r="OZY9" s="1"/>
      <c r="OZZ9" s="1"/>
      <c r="PAA9" s="1"/>
      <c r="PAB9" s="1"/>
      <c r="PAC9" s="1"/>
      <c r="PAD9" s="1"/>
      <c r="PAE9" s="1"/>
      <c r="PAF9" s="1"/>
      <c r="PAG9" s="1"/>
      <c r="PAH9" s="1"/>
      <c r="PAI9" s="1"/>
      <c r="PAJ9" s="1"/>
      <c r="PAK9" s="1"/>
      <c r="PAL9" s="1"/>
      <c r="PAM9" s="1"/>
      <c r="PAN9" s="1"/>
      <c r="PAO9" s="1"/>
      <c r="PAP9" s="1"/>
      <c r="PAQ9" s="1"/>
      <c r="PAR9" s="1"/>
      <c r="PAS9" s="1"/>
      <c r="PAT9" s="1"/>
      <c r="PAU9" s="1"/>
      <c r="PAV9" s="1"/>
      <c r="PAW9" s="1"/>
      <c r="PAX9" s="1"/>
      <c r="PAY9" s="1"/>
      <c r="PAZ9" s="1"/>
      <c r="PBA9" s="1"/>
      <c r="PBB9" s="1"/>
      <c r="PBC9" s="1"/>
      <c r="PBD9" s="1"/>
      <c r="PBE9" s="1"/>
      <c r="PBF9" s="1"/>
      <c r="PBG9" s="1"/>
      <c r="PBH9" s="1"/>
      <c r="PBI9" s="1"/>
      <c r="PBJ9" s="1"/>
      <c r="PBK9" s="1"/>
      <c r="PBL9" s="1"/>
      <c r="PBM9" s="1"/>
      <c r="PBN9" s="1"/>
      <c r="PBO9" s="1"/>
      <c r="PBP9" s="1"/>
      <c r="PBQ9" s="1"/>
      <c r="PBR9" s="1"/>
      <c r="PBS9" s="1"/>
      <c r="PBT9" s="1"/>
      <c r="PBU9" s="1"/>
      <c r="PBV9" s="1"/>
      <c r="PBW9" s="1"/>
      <c r="PBX9" s="1"/>
      <c r="PBY9" s="1"/>
      <c r="PBZ9" s="1"/>
      <c r="PCA9" s="1"/>
      <c r="PCB9" s="1"/>
      <c r="PCC9" s="1"/>
      <c r="PCD9" s="1"/>
      <c r="PCE9" s="1"/>
      <c r="PCF9" s="1"/>
      <c r="PCG9" s="1"/>
      <c r="PCH9" s="1"/>
      <c r="PCI9" s="1"/>
      <c r="PCJ9" s="1"/>
      <c r="PCK9" s="1"/>
      <c r="PCL9" s="1"/>
      <c r="PCM9" s="1"/>
      <c r="PCN9" s="1"/>
      <c r="PCO9" s="1"/>
      <c r="PCP9" s="1"/>
      <c r="PCQ9" s="1"/>
      <c r="PCR9" s="1"/>
      <c r="PCS9" s="1"/>
      <c r="PCT9" s="1"/>
      <c r="PCU9" s="1"/>
      <c r="PCV9" s="1"/>
      <c r="PCW9" s="1"/>
      <c r="PCX9" s="1"/>
      <c r="PCY9" s="1"/>
      <c r="PCZ9" s="1"/>
      <c r="PDA9" s="1"/>
      <c r="PDB9" s="1"/>
      <c r="PDC9" s="1"/>
      <c r="PDD9" s="1"/>
      <c r="PDE9" s="1"/>
      <c r="PDF9" s="1"/>
      <c r="PDG9" s="1"/>
      <c r="PDH9" s="1"/>
      <c r="PDI9" s="1"/>
      <c r="PDJ9" s="1"/>
      <c r="PDK9" s="1"/>
      <c r="PDL9" s="1"/>
      <c r="PDM9" s="1"/>
      <c r="PDN9" s="1"/>
      <c r="PDO9" s="1"/>
      <c r="PDP9" s="1"/>
      <c r="PDQ9" s="1"/>
      <c r="PDR9" s="1"/>
      <c r="PDS9" s="1"/>
      <c r="PDT9" s="1"/>
      <c r="PDU9" s="1"/>
      <c r="PDV9" s="1"/>
      <c r="PDW9" s="1"/>
      <c r="PDX9" s="1"/>
      <c r="PDY9" s="1"/>
      <c r="PDZ9" s="1"/>
      <c r="PEA9" s="1"/>
      <c r="PEB9" s="1"/>
      <c r="PEC9" s="1"/>
      <c r="PED9" s="1"/>
      <c r="PEE9" s="1"/>
      <c r="PEF9" s="1"/>
      <c r="PEG9" s="1"/>
      <c r="PEH9" s="1"/>
      <c r="PEI9" s="1"/>
      <c r="PEJ9" s="1"/>
      <c r="PEK9" s="1"/>
      <c r="PEL9" s="1"/>
      <c r="PEM9" s="1"/>
      <c r="PEN9" s="1"/>
      <c r="PEO9" s="1"/>
      <c r="PEP9" s="1"/>
      <c r="PEQ9" s="1"/>
      <c r="PER9" s="1"/>
      <c r="PES9" s="1"/>
      <c r="PET9" s="1"/>
      <c r="PEU9" s="1"/>
      <c r="PEV9" s="1"/>
      <c r="PEW9" s="1"/>
      <c r="PEX9" s="1"/>
      <c r="PEY9" s="1"/>
      <c r="PEZ9" s="1"/>
      <c r="PFA9" s="1"/>
      <c r="PFB9" s="1"/>
      <c r="PFC9" s="1"/>
      <c r="PFD9" s="1"/>
      <c r="PFE9" s="1"/>
      <c r="PFF9" s="1"/>
      <c r="PFG9" s="1"/>
      <c r="PFH9" s="1"/>
      <c r="PFI9" s="1"/>
      <c r="PFJ9" s="1"/>
      <c r="PFK9" s="1"/>
      <c r="PFL9" s="1"/>
      <c r="PFM9" s="1"/>
      <c r="PFN9" s="1"/>
      <c r="PFO9" s="1"/>
      <c r="PFP9" s="1"/>
      <c r="PFQ9" s="1"/>
      <c r="PFR9" s="1"/>
      <c r="PFS9" s="1"/>
      <c r="PFT9" s="1"/>
      <c r="PFU9" s="1"/>
      <c r="PFV9" s="1"/>
      <c r="PFW9" s="1"/>
      <c r="PFX9" s="1"/>
      <c r="PFY9" s="1"/>
      <c r="PFZ9" s="1"/>
      <c r="PGA9" s="1"/>
      <c r="PGB9" s="1"/>
      <c r="PGC9" s="1"/>
      <c r="PGD9" s="1"/>
      <c r="PGE9" s="1"/>
      <c r="PGF9" s="1"/>
      <c r="PGG9" s="1"/>
      <c r="PGH9" s="1"/>
      <c r="PGI9" s="1"/>
      <c r="PGJ9" s="1"/>
      <c r="PGK9" s="1"/>
      <c r="PGL9" s="1"/>
      <c r="PGM9" s="1"/>
      <c r="PGN9" s="1"/>
      <c r="PGO9" s="1"/>
      <c r="PGP9" s="1"/>
      <c r="PGQ9" s="1"/>
      <c r="PGR9" s="1"/>
      <c r="PGS9" s="1"/>
      <c r="PGT9" s="1"/>
      <c r="PGU9" s="1"/>
      <c r="PGV9" s="1"/>
      <c r="PGW9" s="1"/>
      <c r="PGX9" s="1"/>
      <c r="PGY9" s="1"/>
      <c r="PGZ9" s="1"/>
      <c r="PHA9" s="1"/>
      <c r="PHB9" s="1"/>
      <c r="PHC9" s="1"/>
      <c r="PHD9" s="1"/>
      <c r="PHE9" s="1"/>
      <c r="PHF9" s="1"/>
      <c r="PHG9" s="1"/>
      <c r="PHH9" s="1"/>
      <c r="PHI9" s="1"/>
      <c r="PHJ9" s="1"/>
      <c r="PHK9" s="1"/>
      <c r="PHL9" s="1"/>
      <c r="PHM9" s="1"/>
      <c r="PHN9" s="1"/>
      <c r="PHO9" s="1"/>
      <c r="PHP9" s="1"/>
      <c r="PHQ9" s="1"/>
      <c r="PHR9" s="1"/>
      <c r="PHS9" s="1"/>
      <c r="PHT9" s="1"/>
      <c r="PHU9" s="1"/>
      <c r="PHV9" s="1"/>
      <c r="PHW9" s="1"/>
      <c r="PHX9" s="1"/>
      <c r="PHY9" s="1"/>
      <c r="PHZ9" s="1"/>
      <c r="PIA9" s="1"/>
      <c r="PIB9" s="1"/>
      <c r="PIC9" s="1"/>
      <c r="PID9" s="1"/>
      <c r="PIE9" s="1"/>
      <c r="PIF9" s="1"/>
      <c r="PIG9" s="1"/>
      <c r="PIH9" s="1"/>
      <c r="PII9" s="1"/>
      <c r="PIJ9" s="1"/>
      <c r="PIK9" s="1"/>
      <c r="PIL9" s="1"/>
      <c r="PIM9" s="1"/>
      <c r="PIN9" s="1"/>
      <c r="PIO9" s="1"/>
      <c r="PIP9" s="1"/>
      <c r="PIQ9" s="1"/>
      <c r="PIR9" s="1"/>
      <c r="PIS9" s="1"/>
      <c r="PIT9" s="1"/>
      <c r="PIU9" s="1"/>
      <c r="PIV9" s="1"/>
      <c r="PIW9" s="1"/>
      <c r="PIX9" s="1"/>
      <c r="PIY9" s="1"/>
      <c r="PIZ9" s="1"/>
      <c r="PJA9" s="1"/>
      <c r="PJB9" s="1"/>
      <c r="PJC9" s="1"/>
      <c r="PJD9" s="1"/>
      <c r="PJE9" s="1"/>
      <c r="PJF9" s="1"/>
      <c r="PJG9" s="1"/>
      <c r="PJH9" s="1"/>
      <c r="PJI9" s="1"/>
      <c r="PJJ9" s="1"/>
      <c r="PJK9" s="1"/>
      <c r="PJL9" s="1"/>
      <c r="PJM9" s="1"/>
      <c r="PJN9" s="1"/>
      <c r="PJO9" s="1"/>
      <c r="PJP9" s="1"/>
      <c r="PJQ9" s="1"/>
      <c r="PJR9" s="1"/>
      <c r="PJS9" s="1"/>
      <c r="PJT9" s="1"/>
      <c r="PJU9" s="1"/>
      <c r="PJV9" s="1"/>
      <c r="PJW9" s="1"/>
      <c r="PJX9" s="1"/>
      <c r="PJY9" s="1"/>
      <c r="PJZ9" s="1"/>
      <c r="PKA9" s="1"/>
      <c r="PKB9" s="1"/>
      <c r="PKC9" s="1"/>
      <c r="PKD9" s="1"/>
      <c r="PKE9" s="1"/>
      <c r="PKF9" s="1"/>
      <c r="PKG9" s="1"/>
      <c r="PKH9" s="1"/>
      <c r="PKI9" s="1"/>
      <c r="PKJ9" s="1"/>
      <c r="PKK9" s="1"/>
      <c r="PKL9" s="1"/>
      <c r="PKM9" s="1"/>
      <c r="PKN9" s="1"/>
      <c r="PKO9" s="1"/>
      <c r="PKP9" s="1"/>
      <c r="PKQ9" s="1"/>
      <c r="PKR9" s="1"/>
      <c r="PKS9" s="1"/>
      <c r="PKT9" s="1"/>
      <c r="PKU9" s="1"/>
      <c r="PKV9" s="1"/>
      <c r="PKW9" s="1"/>
      <c r="PKX9" s="1"/>
      <c r="PKY9" s="1"/>
      <c r="PKZ9" s="1"/>
      <c r="PLA9" s="1"/>
      <c r="PLB9" s="1"/>
      <c r="PLC9" s="1"/>
      <c r="PLD9" s="1"/>
      <c r="PLE9" s="1"/>
      <c r="PLF9" s="1"/>
      <c r="PLG9" s="1"/>
      <c r="PLH9" s="1"/>
      <c r="PLI9" s="1"/>
      <c r="PLJ9" s="1"/>
      <c r="PLK9" s="1"/>
      <c r="PLL9" s="1"/>
      <c r="PLM9" s="1"/>
      <c r="PLN9" s="1"/>
      <c r="PLO9" s="1"/>
      <c r="PLP9" s="1"/>
      <c r="PLQ9" s="1"/>
      <c r="PLR9" s="1"/>
      <c r="PLS9" s="1"/>
      <c r="PLT9" s="1"/>
      <c r="PLU9" s="1"/>
      <c r="PLV9" s="1"/>
      <c r="PLW9" s="1"/>
      <c r="PLX9" s="1"/>
      <c r="PLY9" s="1"/>
      <c r="PLZ9" s="1"/>
      <c r="PMA9" s="1"/>
      <c r="PMB9" s="1"/>
      <c r="PMC9" s="1"/>
      <c r="PMD9" s="1"/>
      <c r="PME9" s="1"/>
      <c r="PMF9" s="1"/>
      <c r="PMG9" s="1"/>
      <c r="PMH9" s="1"/>
      <c r="PMI9" s="1"/>
      <c r="PMJ9" s="1"/>
      <c r="PMK9" s="1"/>
      <c r="PML9" s="1"/>
      <c r="PMM9" s="1"/>
      <c r="PMN9" s="1"/>
      <c r="PMO9" s="1"/>
      <c r="PMP9" s="1"/>
      <c r="PMQ9" s="1"/>
      <c r="PMR9" s="1"/>
      <c r="PMS9" s="1"/>
      <c r="PMT9" s="1"/>
      <c r="PMU9" s="1"/>
      <c r="PMV9" s="1"/>
      <c r="PMW9" s="1"/>
      <c r="PMX9" s="1"/>
      <c r="PMY9" s="1"/>
      <c r="PMZ9" s="1"/>
      <c r="PNA9" s="1"/>
      <c r="PNB9" s="1"/>
      <c r="PNC9" s="1"/>
      <c r="PND9" s="1"/>
      <c r="PNE9" s="1"/>
      <c r="PNF9" s="1"/>
      <c r="PNG9" s="1"/>
      <c r="PNH9" s="1"/>
      <c r="PNI9" s="1"/>
      <c r="PNJ9" s="1"/>
      <c r="PNK9" s="1"/>
      <c r="PNL9" s="1"/>
      <c r="PNM9" s="1"/>
      <c r="PNN9" s="1"/>
      <c r="PNO9" s="1"/>
      <c r="PNP9" s="1"/>
      <c r="PNQ9" s="1"/>
      <c r="PNR9" s="1"/>
      <c r="PNS9" s="1"/>
      <c r="PNT9" s="1"/>
      <c r="PNU9" s="1"/>
      <c r="PNV9" s="1"/>
      <c r="PNW9" s="1"/>
      <c r="PNX9" s="1"/>
      <c r="PNY9" s="1"/>
      <c r="PNZ9" s="1"/>
      <c r="POA9" s="1"/>
      <c r="POB9" s="1"/>
      <c r="POC9" s="1"/>
      <c r="POD9" s="1"/>
      <c r="POE9" s="1"/>
      <c r="POF9" s="1"/>
      <c r="POG9" s="1"/>
      <c r="POH9" s="1"/>
      <c r="POI9" s="1"/>
      <c r="POJ9" s="1"/>
      <c r="POK9" s="1"/>
      <c r="POL9" s="1"/>
      <c r="POM9" s="1"/>
      <c r="PON9" s="1"/>
      <c r="POO9" s="1"/>
      <c r="POP9" s="1"/>
      <c r="POQ9" s="1"/>
      <c r="POR9" s="1"/>
      <c r="POS9" s="1"/>
      <c r="POT9" s="1"/>
      <c r="POU9" s="1"/>
      <c r="POV9" s="1"/>
      <c r="POW9" s="1"/>
      <c r="POX9" s="1"/>
      <c r="POY9" s="1"/>
      <c r="POZ9" s="1"/>
      <c r="PPA9" s="1"/>
      <c r="PPB9" s="1"/>
      <c r="PPC9" s="1"/>
      <c r="PPD9" s="1"/>
      <c r="PPE9" s="1"/>
      <c r="PPF9" s="1"/>
      <c r="PPG9" s="1"/>
      <c r="PPH9" s="1"/>
      <c r="PPI9" s="1"/>
      <c r="PPJ9" s="1"/>
      <c r="PPK9" s="1"/>
      <c r="PPL9" s="1"/>
      <c r="PPM9" s="1"/>
      <c r="PPN9" s="1"/>
      <c r="PPO9" s="1"/>
      <c r="PPP9" s="1"/>
      <c r="PPQ9" s="1"/>
      <c r="PPR9" s="1"/>
      <c r="PPS9" s="1"/>
      <c r="PPT9" s="1"/>
      <c r="PPU9" s="1"/>
      <c r="PPV9" s="1"/>
      <c r="PPW9" s="1"/>
      <c r="PPX9" s="1"/>
      <c r="PPY9" s="1"/>
      <c r="PPZ9" s="1"/>
      <c r="PQA9" s="1"/>
      <c r="PQB9" s="1"/>
      <c r="PQC9" s="1"/>
      <c r="PQD9" s="1"/>
      <c r="PQE9" s="1"/>
      <c r="PQF9" s="1"/>
      <c r="PQG9" s="1"/>
      <c r="PQH9" s="1"/>
      <c r="PQI9" s="1"/>
      <c r="PQJ9" s="1"/>
      <c r="PQK9" s="1"/>
      <c r="PQL9" s="1"/>
      <c r="PQM9" s="1"/>
      <c r="PQN9" s="1"/>
      <c r="PQO9" s="1"/>
      <c r="PQP9" s="1"/>
      <c r="PQQ9" s="1"/>
      <c r="PQR9" s="1"/>
      <c r="PQS9" s="1"/>
      <c r="PQT9" s="1"/>
      <c r="PQU9" s="1"/>
      <c r="PQV9" s="1"/>
      <c r="PQW9" s="1"/>
      <c r="PQX9" s="1"/>
      <c r="PQY9" s="1"/>
      <c r="PQZ9" s="1"/>
      <c r="PRA9" s="1"/>
      <c r="PRB9" s="1"/>
      <c r="PRC9" s="1"/>
      <c r="PRD9" s="1"/>
      <c r="PRE9" s="1"/>
      <c r="PRF9" s="1"/>
      <c r="PRG9" s="1"/>
      <c r="PRH9" s="1"/>
      <c r="PRI9" s="1"/>
      <c r="PRJ9" s="1"/>
      <c r="PRK9" s="1"/>
      <c r="PRL9" s="1"/>
      <c r="PRM9" s="1"/>
      <c r="PRN9" s="1"/>
      <c r="PRO9" s="1"/>
      <c r="PRP9" s="1"/>
      <c r="PRQ9" s="1"/>
      <c r="PRR9" s="1"/>
      <c r="PRS9" s="1"/>
      <c r="PRT9" s="1"/>
      <c r="PRU9" s="1"/>
      <c r="PRV9" s="1"/>
      <c r="PRW9" s="1"/>
      <c r="PRX9" s="1"/>
      <c r="PRY9" s="1"/>
      <c r="PRZ9" s="1"/>
      <c r="PSA9" s="1"/>
      <c r="PSB9" s="1"/>
      <c r="PSC9" s="1"/>
      <c r="PSD9" s="1"/>
      <c r="PSE9" s="1"/>
      <c r="PSF9" s="1"/>
      <c r="PSG9" s="1"/>
      <c r="PSH9" s="1"/>
      <c r="PSI9" s="1"/>
      <c r="PSJ9" s="1"/>
      <c r="PSK9" s="1"/>
      <c r="PSL9" s="1"/>
      <c r="PSM9" s="1"/>
      <c r="PSN9" s="1"/>
      <c r="PSO9" s="1"/>
      <c r="PSP9" s="1"/>
      <c r="PSQ9" s="1"/>
      <c r="PSR9" s="1"/>
      <c r="PSS9" s="1"/>
      <c r="PST9" s="1"/>
      <c r="PSU9" s="1"/>
      <c r="PSV9" s="1"/>
      <c r="PSW9" s="1"/>
      <c r="PSX9" s="1"/>
      <c r="PSY9" s="1"/>
      <c r="PSZ9" s="1"/>
      <c r="PTA9" s="1"/>
      <c r="PTB9" s="1"/>
      <c r="PTC9" s="1"/>
      <c r="PTD9" s="1"/>
      <c r="PTE9" s="1"/>
      <c r="PTF9" s="1"/>
      <c r="PTG9" s="1"/>
      <c r="PTH9" s="1"/>
      <c r="PTI9" s="1"/>
      <c r="PTJ9" s="1"/>
      <c r="PTK9" s="1"/>
      <c r="PTL9" s="1"/>
      <c r="PTM9" s="1"/>
      <c r="PTN9" s="1"/>
      <c r="PTO9" s="1"/>
      <c r="PTP9" s="1"/>
      <c r="PTQ9" s="1"/>
      <c r="PTR9" s="1"/>
      <c r="PTS9" s="1"/>
      <c r="PTT9" s="1"/>
      <c r="PTU9" s="1"/>
      <c r="PTV9" s="1"/>
      <c r="PTW9" s="1"/>
      <c r="PTX9" s="1"/>
      <c r="PTY9" s="1"/>
      <c r="PTZ9" s="1"/>
      <c r="PUA9" s="1"/>
      <c r="PUB9" s="1"/>
      <c r="PUC9" s="1"/>
      <c r="PUD9" s="1"/>
      <c r="PUE9" s="1"/>
      <c r="PUF9" s="1"/>
      <c r="PUG9" s="1"/>
      <c r="PUH9" s="1"/>
      <c r="PUI9" s="1"/>
      <c r="PUJ9" s="1"/>
      <c r="PUK9" s="1"/>
      <c r="PUL9" s="1"/>
      <c r="PUM9" s="1"/>
      <c r="PUN9" s="1"/>
      <c r="PUO9" s="1"/>
      <c r="PUP9" s="1"/>
      <c r="PUQ9" s="1"/>
      <c r="PUR9" s="1"/>
      <c r="PUS9" s="1"/>
      <c r="PUT9" s="1"/>
      <c r="PUU9" s="1"/>
      <c r="PUV9" s="1"/>
      <c r="PUW9" s="1"/>
      <c r="PUX9" s="1"/>
      <c r="PUY9" s="1"/>
      <c r="PUZ9" s="1"/>
      <c r="PVA9" s="1"/>
      <c r="PVB9" s="1"/>
      <c r="PVC9" s="1"/>
      <c r="PVD9" s="1"/>
      <c r="PVE9" s="1"/>
      <c r="PVF9" s="1"/>
      <c r="PVG9" s="1"/>
      <c r="PVH9" s="1"/>
      <c r="PVI9" s="1"/>
      <c r="PVJ9" s="1"/>
      <c r="PVK9" s="1"/>
      <c r="PVL9" s="1"/>
      <c r="PVM9" s="1"/>
      <c r="PVN9" s="1"/>
      <c r="PVO9" s="1"/>
      <c r="PVP9" s="1"/>
      <c r="PVQ9" s="1"/>
      <c r="PVR9" s="1"/>
      <c r="PVS9" s="1"/>
      <c r="PVT9" s="1"/>
      <c r="PVU9" s="1"/>
      <c r="PVV9" s="1"/>
      <c r="PVW9" s="1"/>
      <c r="PVX9" s="1"/>
      <c r="PVY9" s="1"/>
      <c r="PVZ9" s="1"/>
      <c r="PWA9" s="1"/>
      <c r="PWB9" s="1"/>
      <c r="PWC9" s="1"/>
      <c r="PWD9" s="1"/>
      <c r="PWE9" s="1"/>
      <c r="PWF9" s="1"/>
      <c r="PWG9" s="1"/>
      <c r="PWH9" s="1"/>
      <c r="PWI9" s="1"/>
      <c r="PWJ9" s="1"/>
      <c r="PWK9" s="1"/>
      <c r="PWL9" s="1"/>
      <c r="PWM9" s="1"/>
      <c r="PWN9" s="1"/>
      <c r="PWO9" s="1"/>
      <c r="PWP9" s="1"/>
      <c r="PWQ9" s="1"/>
      <c r="PWR9" s="1"/>
      <c r="PWS9" s="1"/>
      <c r="PWT9" s="1"/>
      <c r="PWU9" s="1"/>
      <c r="PWV9" s="1"/>
      <c r="PWW9" s="1"/>
      <c r="PWX9" s="1"/>
      <c r="PWY9" s="1"/>
      <c r="PWZ9" s="1"/>
      <c r="PXA9" s="1"/>
      <c r="PXB9" s="1"/>
      <c r="PXC9" s="1"/>
      <c r="PXD9" s="1"/>
      <c r="PXE9" s="1"/>
      <c r="PXF9" s="1"/>
      <c r="PXG9" s="1"/>
      <c r="PXH9" s="1"/>
      <c r="PXI9" s="1"/>
      <c r="PXJ9" s="1"/>
      <c r="PXK9" s="1"/>
      <c r="PXL9" s="1"/>
      <c r="PXM9" s="1"/>
      <c r="PXN9" s="1"/>
      <c r="PXO9" s="1"/>
      <c r="PXP9" s="1"/>
      <c r="PXQ9" s="1"/>
      <c r="PXR9" s="1"/>
      <c r="PXS9" s="1"/>
      <c r="PXT9" s="1"/>
      <c r="PXU9" s="1"/>
      <c r="PXV9" s="1"/>
      <c r="PXW9" s="1"/>
      <c r="PXX9" s="1"/>
      <c r="PXY9" s="1"/>
      <c r="PXZ9" s="1"/>
      <c r="PYA9" s="1"/>
      <c r="PYB9" s="1"/>
      <c r="PYC9" s="1"/>
      <c r="PYD9" s="1"/>
      <c r="PYE9" s="1"/>
      <c r="PYF9" s="1"/>
      <c r="PYG9" s="1"/>
      <c r="PYH9" s="1"/>
      <c r="PYI9" s="1"/>
      <c r="PYJ9" s="1"/>
      <c r="PYK9" s="1"/>
      <c r="PYL9" s="1"/>
      <c r="PYM9" s="1"/>
      <c r="PYN9" s="1"/>
      <c r="PYO9" s="1"/>
      <c r="PYP9" s="1"/>
      <c r="PYQ9" s="1"/>
      <c r="PYR9" s="1"/>
      <c r="PYS9" s="1"/>
      <c r="PYT9" s="1"/>
      <c r="PYU9" s="1"/>
      <c r="PYV9" s="1"/>
      <c r="PYW9" s="1"/>
      <c r="PYX9" s="1"/>
      <c r="PYY9" s="1"/>
      <c r="PYZ9" s="1"/>
      <c r="PZA9" s="1"/>
      <c r="PZB9" s="1"/>
      <c r="PZC9" s="1"/>
      <c r="PZD9" s="1"/>
      <c r="PZE9" s="1"/>
      <c r="PZF9" s="1"/>
      <c r="PZG9" s="1"/>
      <c r="PZH9" s="1"/>
      <c r="PZI9" s="1"/>
      <c r="PZJ9" s="1"/>
      <c r="PZK9" s="1"/>
      <c r="PZL9" s="1"/>
      <c r="PZM9" s="1"/>
      <c r="PZN9" s="1"/>
      <c r="PZO9" s="1"/>
      <c r="PZP9" s="1"/>
      <c r="PZQ9" s="1"/>
      <c r="PZR9" s="1"/>
      <c r="PZS9" s="1"/>
      <c r="PZT9" s="1"/>
      <c r="PZU9" s="1"/>
      <c r="PZV9" s="1"/>
      <c r="PZW9" s="1"/>
      <c r="PZX9" s="1"/>
      <c r="PZY9" s="1"/>
      <c r="PZZ9" s="1"/>
      <c r="QAA9" s="1"/>
      <c r="QAB9" s="1"/>
      <c r="QAC9" s="1"/>
      <c r="QAD9" s="1"/>
      <c r="QAE9" s="1"/>
      <c r="QAF9" s="1"/>
      <c r="QAG9" s="1"/>
      <c r="QAH9" s="1"/>
      <c r="QAI9" s="1"/>
      <c r="QAJ9" s="1"/>
      <c r="QAK9" s="1"/>
      <c r="QAL9" s="1"/>
      <c r="QAM9" s="1"/>
      <c r="QAN9" s="1"/>
      <c r="QAO9" s="1"/>
      <c r="QAP9" s="1"/>
      <c r="QAQ9" s="1"/>
      <c r="QAR9" s="1"/>
      <c r="QAS9" s="1"/>
      <c r="QAT9" s="1"/>
      <c r="QAU9" s="1"/>
      <c r="QAV9" s="1"/>
      <c r="QAW9" s="1"/>
      <c r="QAX9" s="1"/>
      <c r="QAY9" s="1"/>
      <c r="QAZ9" s="1"/>
      <c r="QBA9" s="1"/>
      <c r="QBB9" s="1"/>
      <c r="QBC9" s="1"/>
      <c r="QBD9" s="1"/>
      <c r="QBE9" s="1"/>
      <c r="QBF9" s="1"/>
      <c r="QBG9" s="1"/>
      <c r="QBH9" s="1"/>
      <c r="QBI9" s="1"/>
      <c r="QBJ9" s="1"/>
      <c r="QBK9" s="1"/>
      <c r="QBL9" s="1"/>
      <c r="QBM9" s="1"/>
      <c r="QBN9" s="1"/>
      <c r="QBO9" s="1"/>
      <c r="QBP9" s="1"/>
      <c r="QBQ9" s="1"/>
      <c r="QBR9" s="1"/>
      <c r="QBS9" s="1"/>
      <c r="QBT9" s="1"/>
      <c r="QBU9" s="1"/>
      <c r="QBV9" s="1"/>
      <c r="QBW9" s="1"/>
      <c r="QBX9" s="1"/>
      <c r="QBY9" s="1"/>
      <c r="QBZ9" s="1"/>
      <c r="QCA9" s="1"/>
      <c r="QCB9" s="1"/>
      <c r="QCC9" s="1"/>
      <c r="QCD9" s="1"/>
      <c r="QCE9" s="1"/>
      <c r="QCF9" s="1"/>
      <c r="QCG9" s="1"/>
      <c r="QCH9" s="1"/>
      <c r="QCI9" s="1"/>
      <c r="QCJ9" s="1"/>
      <c r="QCK9" s="1"/>
      <c r="QCL9" s="1"/>
      <c r="QCM9" s="1"/>
      <c r="QCN9" s="1"/>
      <c r="QCO9" s="1"/>
      <c r="QCP9" s="1"/>
      <c r="QCQ9" s="1"/>
      <c r="QCR9" s="1"/>
      <c r="QCS9" s="1"/>
      <c r="QCT9" s="1"/>
      <c r="QCU9" s="1"/>
      <c r="QCV9" s="1"/>
      <c r="QCW9" s="1"/>
      <c r="QCX9" s="1"/>
      <c r="QCY9" s="1"/>
      <c r="QCZ9" s="1"/>
      <c r="QDA9" s="1"/>
      <c r="QDB9" s="1"/>
      <c r="QDC9" s="1"/>
      <c r="QDD9" s="1"/>
      <c r="QDE9" s="1"/>
      <c r="QDF9" s="1"/>
      <c r="QDG9" s="1"/>
      <c r="QDH9" s="1"/>
      <c r="QDI9" s="1"/>
      <c r="QDJ9" s="1"/>
      <c r="QDK9" s="1"/>
      <c r="QDL9" s="1"/>
      <c r="QDM9" s="1"/>
      <c r="QDN9" s="1"/>
      <c r="QDO9" s="1"/>
      <c r="QDP9" s="1"/>
      <c r="QDQ9" s="1"/>
      <c r="QDR9" s="1"/>
      <c r="QDS9" s="1"/>
      <c r="QDT9" s="1"/>
      <c r="QDU9" s="1"/>
      <c r="QDV9" s="1"/>
      <c r="QDW9" s="1"/>
      <c r="QDX9" s="1"/>
      <c r="QDY9" s="1"/>
      <c r="QDZ9" s="1"/>
      <c r="QEA9" s="1"/>
      <c r="QEB9" s="1"/>
      <c r="QEC9" s="1"/>
      <c r="QED9" s="1"/>
      <c r="QEE9" s="1"/>
      <c r="QEF9" s="1"/>
      <c r="QEG9" s="1"/>
      <c r="QEH9" s="1"/>
      <c r="QEI9" s="1"/>
      <c r="QEJ9" s="1"/>
      <c r="QEK9" s="1"/>
      <c r="QEL9" s="1"/>
      <c r="QEM9" s="1"/>
      <c r="QEN9" s="1"/>
      <c r="QEO9" s="1"/>
      <c r="QEP9" s="1"/>
      <c r="QEQ9" s="1"/>
      <c r="QER9" s="1"/>
      <c r="QES9" s="1"/>
      <c r="QET9" s="1"/>
      <c r="QEU9" s="1"/>
      <c r="QEV9" s="1"/>
      <c r="QEW9" s="1"/>
      <c r="QEX9" s="1"/>
      <c r="QEY9" s="1"/>
      <c r="QEZ9" s="1"/>
      <c r="QFA9" s="1"/>
      <c r="QFB9" s="1"/>
      <c r="QFC9" s="1"/>
      <c r="QFD9" s="1"/>
      <c r="QFE9" s="1"/>
      <c r="QFF9" s="1"/>
      <c r="QFG9" s="1"/>
      <c r="QFH9" s="1"/>
      <c r="QFI9" s="1"/>
      <c r="QFJ9" s="1"/>
      <c r="QFK9" s="1"/>
      <c r="QFL9" s="1"/>
      <c r="QFM9" s="1"/>
      <c r="QFN9" s="1"/>
      <c r="QFO9" s="1"/>
      <c r="QFP9" s="1"/>
      <c r="QFQ9" s="1"/>
      <c r="QFR9" s="1"/>
      <c r="QFS9" s="1"/>
      <c r="QFT9" s="1"/>
      <c r="QFU9" s="1"/>
      <c r="QFV9" s="1"/>
      <c r="QFW9" s="1"/>
      <c r="QFX9" s="1"/>
      <c r="QFY9" s="1"/>
      <c r="QFZ9" s="1"/>
      <c r="QGA9" s="1"/>
      <c r="QGB9" s="1"/>
      <c r="QGC9" s="1"/>
      <c r="QGD9" s="1"/>
      <c r="QGE9" s="1"/>
      <c r="QGF9" s="1"/>
      <c r="QGG9" s="1"/>
      <c r="QGH9" s="1"/>
      <c r="QGI9" s="1"/>
      <c r="QGJ9" s="1"/>
      <c r="QGK9" s="1"/>
      <c r="QGL9" s="1"/>
      <c r="QGM9" s="1"/>
      <c r="QGN9" s="1"/>
      <c r="QGO9" s="1"/>
      <c r="QGP9" s="1"/>
      <c r="QGQ9" s="1"/>
      <c r="QGR9" s="1"/>
      <c r="QGS9" s="1"/>
      <c r="QGT9" s="1"/>
      <c r="QGU9" s="1"/>
      <c r="QGV9" s="1"/>
      <c r="QGW9" s="1"/>
      <c r="QGX9" s="1"/>
      <c r="QGY9" s="1"/>
      <c r="QGZ9" s="1"/>
      <c r="QHA9" s="1"/>
      <c r="QHB9" s="1"/>
      <c r="QHC9" s="1"/>
      <c r="QHD9" s="1"/>
      <c r="QHE9" s="1"/>
      <c r="QHF9" s="1"/>
      <c r="QHG9" s="1"/>
      <c r="QHH9" s="1"/>
      <c r="QHI9" s="1"/>
      <c r="QHJ9" s="1"/>
      <c r="QHK9" s="1"/>
      <c r="QHL9" s="1"/>
      <c r="QHM9" s="1"/>
      <c r="QHN9" s="1"/>
      <c r="QHO9" s="1"/>
      <c r="QHP9" s="1"/>
      <c r="QHQ9" s="1"/>
      <c r="QHR9" s="1"/>
      <c r="QHS9" s="1"/>
      <c r="QHT9" s="1"/>
      <c r="QHU9" s="1"/>
      <c r="QHV9" s="1"/>
      <c r="QHW9" s="1"/>
      <c r="QHX9" s="1"/>
      <c r="QHY9" s="1"/>
      <c r="QHZ9" s="1"/>
      <c r="QIA9" s="1"/>
      <c r="QIB9" s="1"/>
      <c r="QIC9" s="1"/>
      <c r="QID9" s="1"/>
      <c r="QIE9" s="1"/>
      <c r="QIF9" s="1"/>
      <c r="QIG9" s="1"/>
      <c r="QIH9" s="1"/>
      <c r="QII9" s="1"/>
      <c r="QIJ9" s="1"/>
      <c r="QIK9" s="1"/>
      <c r="QIL9" s="1"/>
      <c r="QIM9" s="1"/>
      <c r="QIN9" s="1"/>
      <c r="QIO9" s="1"/>
      <c r="QIP9" s="1"/>
      <c r="QIQ9" s="1"/>
      <c r="QIR9" s="1"/>
      <c r="QIS9" s="1"/>
      <c r="QIT9" s="1"/>
      <c r="QIU9" s="1"/>
      <c r="QIV9" s="1"/>
      <c r="QIW9" s="1"/>
      <c r="QIX9" s="1"/>
      <c r="QIY9" s="1"/>
      <c r="QIZ9" s="1"/>
      <c r="QJA9" s="1"/>
      <c r="QJB9" s="1"/>
      <c r="QJC9" s="1"/>
      <c r="QJD9" s="1"/>
      <c r="QJE9" s="1"/>
      <c r="QJF9" s="1"/>
      <c r="QJG9" s="1"/>
      <c r="QJH9" s="1"/>
      <c r="QJI9" s="1"/>
      <c r="QJJ9" s="1"/>
      <c r="QJK9" s="1"/>
      <c r="QJL9" s="1"/>
      <c r="QJM9" s="1"/>
      <c r="QJN9" s="1"/>
      <c r="QJO9" s="1"/>
      <c r="QJP9" s="1"/>
      <c r="QJQ9" s="1"/>
      <c r="QJR9" s="1"/>
      <c r="QJS9" s="1"/>
      <c r="QJT9" s="1"/>
      <c r="QJU9" s="1"/>
      <c r="QJV9" s="1"/>
      <c r="QJW9" s="1"/>
      <c r="QJX9" s="1"/>
      <c r="QJY9" s="1"/>
      <c r="QJZ9" s="1"/>
      <c r="QKA9" s="1"/>
      <c r="QKB9" s="1"/>
      <c r="QKC9" s="1"/>
      <c r="QKD9" s="1"/>
      <c r="QKE9" s="1"/>
      <c r="QKF9" s="1"/>
      <c r="QKG9" s="1"/>
      <c r="QKH9" s="1"/>
      <c r="QKI9" s="1"/>
      <c r="QKJ9" s="1"/>
      <c r="QKK9" s="1"/>
      <c r="QKL9" s="1"/>
      <c r="QKM9" s="1"/>
      <c r="QKN9" s="1"/>
      <c r="QKO9" s="1"/>
      <c r="QKP9" s="1"/>
      <c r="QKQ9" s="1"/>
      <c r="QKR9" s="1"/>
      <c r="QKS9" s="1"/>
      <c r="QKT9" s="1"/>
      <c r="QKU9" s="1"/>
      <c r="QKV9" s="1"/>
      <c r="QKW9" s="1"/>
      <c r="QKX9" s="1"/>
      <c r="QKY9" s="1"/>
      <c r="QKZ9" s="1"/>
      <c r="QLA9" s="1"/>
      <c r="QLB9" s="1"/>
      <c r="QLC9" s="1"/>
      <c r="QLD9" s="1"/>
      <c r="QLE9" s="1"/>
      <c r="QLF9" s="1"/>
      <c r="QLG9" s="1"/>
      <c r="QLH9" s="1"/>
      <c r="QLI9" s="1"/>
      <c r="QLJ9" s="1"/>
      <c r="QLK9" s="1"/>
      <c r="QLL9" s="1"/>
      <c r="QLM9" s="1"/>
      <c r="QLN9" s="1"/>
      <c r="QLO9" s="1"/>
      <c r="QLP9" s="1"/>
      <c r="QLQ9" s="1"/>
      <c r="QLR9" s="1"/>
      <c r="QLS9" s="1"/>
      <c r="QLT9" s="1"/>
      <c r="QLU9" s="1"/>
      <c r="QLV9" s="1"/>
      <c r="QLW9" s="1"/>
      <c r="QLX9" s="1"/>
      <c r="QLY9" s="1"/>
      <c r="QLZ9" s="1"/>
      <c r="QMA9" s="1"/>
      <c r="QMB9" s="1"/>
      <c r="QMC9" s="1"/>
      <c r="QMD9" s="1"/>
      <c r="QME9" s="1"/>
      <c r="QMF9" s="1"/>
      <c r="QMG9" s="1"/>
      <c r="QMH9" s="1"/>
      <c r="QMI9" s="1"/>
      <c r="QMJ9" s="1"/>
      <c r="QMK9" s="1"/>
      <c r="QML9" s="1"/>
      <c r="QMM9" s="1"/>
      <c r="QMN9" s="1"/>
      <c r="QMO9" s="1"/>
      <c r="QMP9" s="1"/>
      <c r="QMQ9" s="1"/>
      <c r="QMR9" s="1"/>
      <c r="QMS9" s="1"/>
      <c r="QMT9" s="1"/>
      <c r="QMU9" s="1"/>
      <c r="QMV9" s="1"/>
      <c r="QMW9" s="1"/>
      <c r="QMX9" s="1"/>
      <c r="QMY9" s="1"/>
      <c r="QMZ9" s="1"/>
      <c r="QNA9" s="1"/>
      <c r="QNB9" s="1"/>
      <c r="QNC9" s="1"/>
      <c r="QND9" s="1"/>
      <c r="QNE9" s="1"/>
      <c r="QNF9" s="1"/>
      <c r="QNG9" s="1"/>
      <c r="QNH9" s="1"/>
      <c r="QNI9" s="1"/>
      <c r="QNJ9" s="1"/>
      <c r="QNK9" s="1"/>
      <c r="QNL9" s="1"/>
      <c r="QNM9" s="1"/>
      <c r="QNN9" s="1"/>
      <c r="QNO9" s="1"/>
      <c r="QNP9" s="1"/>
      <c r="QNQ9" s="1"/>
      <c r="QNR9" s="1"/>
      <c r="QNS9" s="1"/>
      <c r="QNT9" s="1"/>
      <c r="QNU9" s="1"/>
      <c r="QNV9" s="1"/>
      <c r="QNW9" s="1"/>
      <c r="QNX9" s="1"/>
      <c r="QNY9" s="1"/>
      <c r="QNZ9" s="1"/>
      <c r="QOA9" s="1"/>
      <c r="QOB9" s="1"/>
      <c r="QOC9" s="1"/>
      <c r="QOD9" s="1"/>
      <c r="QOE9" s="1"/>
      <c r="QOF9" s="1"/>
      <c r="QOG9" s="1"/>
      <c r="QOH9" s="1"/>
      <c r="QOI9" s="1"/>
      <c r="QOJ9" s="1"/>
      <c r="QOK9" s="1"/>
      <c r="QOL9" s="1"/>
      <c r="QOM9" s="1"/>
      <c r="QON9" s="1"/>
      <c r="QOO9" s="1"/>
      <c r="QOP9" s="1"/>
      <c r="QOQ9" s="1"/>
      <c r="QOR9" s="1"/>
      <c r="QOS9" s="1"/>
      <c r="QOT9" s="1"/>
      <c r="QOU9" s="1"/>
      <c r="QOV9" s="1"/>
      <c r="QOW9" s="1"/>
      <c r="QOX9" s="1"/>
      <c r="QOY9" s="1"/>
      <c r="QOZ9" s="1"/>
      <c r="QPA9" s="1"/>
      <c r="QPB9" s="1"/>
      <c r="QPC9" s="1"/>
      <c r="QPD9" s="1"/>
      <c r="QPE9" s="1"/>
      <c r="QPF9" s="1"/>
      <c r="QPG9" s="1"/>
      <c r="QPH9" s="1"/>
      <c r="QPI9" s="1"/>
      <c r="QPJ9" s="1"/>
      <c r="QPK9" s="1"/>
      <c r="QPL9" s="1"/>
      <c r="QPM9" s="1"/>
      <c r="QPN9" s="1"/>
      <c r="QPO9" s="1"/>
      <c r="QPP9" s="1"/>
      <c r="QPQ9" s="1"/>
      <c r="QPR9" s="1"/>
      <c r="QPS9" s="1"/>
      <c r="QPT9" s="1"/>
      <c r="QPU9" s="1"/>
      <c r="QPV9" s="1"/>
      <c r="QPW9" s="1"/>
      <c r="QPX9" s="1"/>
      <c r="QPY9" s="1"/>
      <c r="QPZ9" s="1"/>
      <c r="QQA9" s="1"/>
      <c r="QQB9" s="1"/>
      <c r="QQC9" s="1"/>
      <c r="QQD9" s="1"/>
      <c r="QQE9" s="1"/>
      <c r="QQF9" s="1"/>
      <c r="QQG9" s="1"/>
      <c r="QQH9" s="1"/>
      <c r="QQI9" s="1"/>
      <c r="QQJ9" s="1"/>
      <c r="QQK9" s="1"/>
      <c r="QQL9" s="1"/>
      <c r="QQM9" s="1"/>
      <c r="QQN9" s="1"/>
      <c r="QQO9" s="1"/>
      <c r="QQP9" s="1"/>
      <c r="QQQ9" s="1"/>
      <c r="QQR9" s="1"/>
      <c r="QQS9" s="1"/>
      <c r="QQT9" s="1"/>
      <c r="QQU9" s="1"/>
      <c r="QQV9" s="1"/>
      <c r="QQW9" s="1"/>
      <c r="QQX9" s="1"/>
      <c r="QQY9" s="1"/>
      <c r="QQZ9" s="1"/>
      <c r="QRA9" s="1"/>
      <c r="QRB9" s="1"/>
      <c r="QRC9" s="1"/>
      <c r="QRD9" s="1"/>
      <c r="QRE9" s="1"/>
      <c r="QRF9" s="1"/>
      <c r="QRG9" s="1"/>
      <c r="QRH9" s="1"/>
      <c r="QRI9" s="1"/>
      <c r="QRJ9" s="1"/>
      <c r="QRK9" s="1"/>
      <c r="QRL9" s="1"/>
      <c r="QRM9" s="1"/>
      <c r="QRN9" s="1"/>
      <c r="QRO9" s="1"/>
      <c r="QRP9" s="1"/>
      <c r="QRQ9" s="1"/>
      <c r="QRR9" s="1"/>
      <c r="QRS9" s="1"/>
      <c r="QRT9" s="1"/>
      <c r="QRU9" s="1"/>
      <c r="QRV9" s="1"/>
      <c r="QRW9" s="1"/>
      <c r="QRX9" s="1"/>
      <c r="QRY9" s="1"/>
      <c r="QRZ9" s="1"/>
      <c r="QSA9" s="1"/>
      <c r="QSB9" s="1"/>
      <c r="QSC9" s="1"/>
      <c r="QSD9" s="1"/>
      <c r="QSE9" s="1"/>
      <c r="QSF9" s="1"/>
      <c r="QSG9" s="1"/>
      <c r="QSH9" s="1"/>
      <c r="QSI9" s="1"/>
      <c r="QSJ9" s="1"/>
      <c r="QSK9" s="1"/>
      <c r="QSL9" s="1"/>
      <c r="QSM9" s="1"/>
      <c r="QSN9" s="1"/>
      <c r="QSO9" s="1"/>
      <c r="QSP9" s="1"/>
      <c r="QSQ9" s="1"/>
      <c r="QSR9" s="1"/>
      <c r="QSS9" s="1"/>
      <c r="QST9" s="1"/>
      <c r="QSU9" s="1"/>
      <c r="QSV9" s="1"/>
      <c r="QSW9" s="1"/>
      <c r="QSX9" s="1"/>
      <c r="QSY9" s="1"/>
      <c r="QSZ9" s="1"/>
      <c r="QTA9" s="1"/>
      <c r="QTB9" s="1"/>
      <c r="QTC9" s="1"/>
      <c r="QTD9" s="1"/>
      <c r="QTE9" s="1"/>
      <c r="QTF9" s="1"/>
      <c r="QTG9" s="1"/>
      <c r="QTH9" s="1"/>
      <c r="QTI9" s="1"/>
      <c r="QTJ9" s="1"/>
      <c r="QTK9" s="1"/>
      <c r="QTL9" s="1"/>
      <c r="QTM9" s="1"/>
      <c r="QTN9" s="1"/>
      <c r="QTO9" s="1"/>
      <c r="QTP9" s="1"/>
      <c r="QTQ9" s="1"/>
      <c r="QTR9" s="1"/>
      <c r="QTS9" s="1"/>
      <c r="QTT9" s="1"/>
      <c r="QTU9" s="1"/>
      <c r="QTV9" s="1"/>
      <c r="QTW9" s="1"/>
      <c r="QTX9" s="1"/>
      <c r="QTY9" s="1"/>
      <c r="QTZ9" s="1"/>
      <c r="QUA9" s="1"/>
      <c r="QUB9" s="1"/>
      <c r="QUC9" s="1"/>
      <c r="QUD9" s="1"/>
      <c r="QUE9" s="1"/>
      <c r="QUF9" s="1"/>
      <c r="QUG9" s="1"/>
      <c r="QUH9" s="1"/>
      <c r="QUI9" s="1"/>
      <c r="QUJ9" s="1"/>
      <c r="QUK9" s="1"/>
      <c r="QUL9" s="1"/>
      <c r="QUM9" s="1"/>
      <c r="QUN9" s="1"/>
      <c r="QUO9" s="1"/>
      <c r="QUP9" s="1"/>
      <c r="QUQ9" s="1"/>
      <c r="QUR9" s="1"/>
      <c r="QUS9" s="1"/>
      <c r="QUT9" s="1"/>
      <c r="QUU9" s="1"/>
      <c r="QUV9" s="1"/>
      <c r="QUW9" s="1"/>
      <c r="QUX9" s="1"/>
      <c r="QUY9" s="1"/>
      <c r="QUZ9" s="1"/>
      <c r="QVA9" s="1"/>
      <c r="QVB9" s="1"/>
      <c r="QVC9" s="1"/>
      <c r="QVD9" s="1"/>
      <c r="QVE9" s="1"/>
      <c r="QVF9" s="1"/>
      <c r="QVG9" s="1"/>
      <c r="QVH9" s="1"/>
      <c r="QVI9" s="1"/>
      <c r="QVJ9" s="1"/>
      <c r="QVK9" s="1"/>
      <c r="QVL9" s="1"/>
      <c r="QVM9" s="1"/>
      <c r="QVN9" s="1"/>
      <c r="QVO9" s="1"/>
      <c r="QVP9" s="1"/>
      <c r="QVQ9" s="1"/>
      <c r="QVR9" s="1"/>
      <c r="QVS9" s="1"/>
      <c r="QVT9" s="1"/>
      <c r="QVU9" s="1"/>
      <c r="QVV9" s="1"/>
      <c r="QVW9" s="1"/>
      <c r="QVX9" s="1"/>
      <c r="QVY9" s="1"/>
      <c r="QVZ9" s="1"/>
      <c r="QWA9" s="1"/>
      <c r="QWB9" s="1"/>
      <c r="QWC9" s="1"/>
      <c r="QWD9" s="1"/>
      <c r="QWE9" s="1"/>
      <c r="QWF9" s="1"/>
      <c r="QWG9" s="1"/>
      <c r="QWH9" s="1"/>
      <c r="QWI9" s="1"/>
      <c r="QWJ9" s="1"/>
      <c r="QWK9" s="1"/>
      <c r="QWL9" s="1"/>
      <c r="QWM9" s="1"/>
      <c r="QWN9" s="1"/>
      <c r="QWO9" s="1"/>
      <c r="QWP9" s="1"/>
      <c r="QWQ9" s="1"/>
      <c r="QWR9" s="1"/>
      <c r="QWS9" s="1"/>
      <c r="QWT9" s="1"/>
      <c r="QWU9" s="1"/>
      <c r="QWV9" s="1"/>
      <c r="QWW9" s="1"/>
      <c r="QWX9" s="1"/>
      <c r="QWY9" s="1"/>
      <c r="QWZ9" s="1"/>
      <c r="QXA9" s="1"/>
      <c r="QXB9" s="1"/>
      <c r="QXC9" s="1"/>
      <c r="QXD9" s="1"/>
      <c r="QXE9" s="1"/>
      <c r="QXF9" s="1"/>
      <c r="QXG9" s="1"/>
      <c r="QXH9" s="1"/>
      <c r="QXI9" s="1"/>
      <c r="QXJ9" s="1"/>
      <c r="QXK9" s="1"/>
      <c r="QXL9" s="1"/>
      <c r="QXM9" s="1"/>
      <c r="QXN9" s="1"/>
      <c r="QXO9" s="1"/>
      <c r="QXP9" s="1"/>
      <c r="QXQ9" s="1"/>
      <c r="QXR9" s="1"/>
      <c r="QXS9" s="1"/>
      <c r="QXT9" s="1"/>
      <c r="QXU9" s="1"/>
      <c r="QXV9" s="1"/>
      <c r="QXW9" s="1"/>
      <c r="QXX9" s="1"/>
      <c r="QXY9" s="1"/>
      <c r="QXZ9" s="1"/>
      <c r="QYA9" s="1"/>
      <c r="QYB9" s="1"/>
      <c r="QYC9" s="1"/>
      <c r="QYD9" s="1"/>
      <c r="QYE9" s="1"/>
      <c r="QYF9" s="1"/>
      <c r="QYG9" s="1"/>
      <c r="QYH9" s="1"/>
      <c r="QYI9" s="1"/>
      <c r="QYJ9" s="1"/>
      <c r="QYK9" s="1"/>
      <c r="QYL9" s="1"/>
      <c r="QYM9" s="1"/>
      <c r="QYN9" s="1"/>
      <c r="QYO9" s="1"/>
      <c r="QYP9" s="1"/>
      <c r="QYQ9" s="1"/>
      <c r="QYR9" s="1"/>
      <c r="QYS9" s="1"/>
      <c r="QYT9" s="1"/>
      <c r="QYU9" s="1"/>
      <c r="QYV9" s="1"/>
      <c r="QYW9" s="1"/>
      <c r="QYX9" s="1"/>
      <c r="QYY9" s="1"/>
      <c r="QYZ9" s="1"/>
      <c r="QZA9" s="1"/>
      <c r="QZB9" s="1"/>
      <c r="QZC9" s="1"/>
      <c r="QZD9" s="1"/>
      <c r="QZE9" s="1"/>
      <c r="QZF9" s="1"/>
      <c r="QZG9" s="1"/>
      <c r="QZH9" s="1"/>
      <c r="QZI9" s="1"/>
      <c r="QZJ9" s="1"/>
      <c r="QZK9" s="1"/>
      <c r="QZL9" s="1"/>
      <c r="QZM9" s="1"/>
      <c r="QZN9" s="1"/>
      <c r="QZO9" s="1"/>
      <c r="QZP9" s="1"/>
      <c r="QZQ9" s="1"/>
      <c r="QZR9" s="1"/>
      <c r="QZS9" s="1"/>
      <c r="QZT9" s="1"/>
      <c r="QZU9" s="1"/>
      <c r="QZV9" s="1"/>
      <c r="QZW9" s="1"/>
      <c r="QZX9" s="1"/>
      <c r="QZY9" s="1"/>
      <c r="QZZ9" s="1"/>
      <c r="RAA9" s="1"/>
      <c r="RAB9" s="1"/>
      <c r="RAC9" s="1"/>
      <c r="RAD9" s="1"/>
      <c r="RAE9" s="1"/>
      <c r="RAF9" s="1"/>
      <c r="RAG9" s="1"/>
      <c r="RAH9" s="1"/>
      <c r="RAI9" s="1"/>
      <c r="RAJ9" s="1"/>
      <c r="RAK9" s="1"/>
      <c r="RAL9" s="1"/>
      <c r="RAM9" s="1"/>
      <c r="RAN9" s="1"/>
      <c r="RAO9" s="1"/>
      <c r="RAP9" s="1"/>
      <c r="RAQ9" s="1"/>
      <c r="RAR9" s="1"/>
      <c r="RAS9" s="1"/>
      <c r="RAT9" s="1"/>
      <c r="RAU9" s="1"/>
      <c r="RAV9" s="1"/>
      <c r="RAW9" s="1"/>
      <c r="RAX9" s="1"/>
      <c r="RAY9" s="1"/>
      <c r="RAZ9" s="1"/>
      <c r="RBA9" s="1"/>
      <c r="RBB9" s="1"/>
      <c r="RBC9" s="1"/>
      <c r="RBD9" s="1"/>
      <c r="RBE9" s="1"/>
      <c r="RBF9" s="1"/>
      <c r="RBG9" s="1"/>
      <c r="RBH9" s="1"/>
      <c r="RBI9" s="1"/>
      <c r="RBJ9" s="1"/>
      <c r="RBK9" s="1"/>
      <c r="RBL9" s="1"/>
      <c r="RBM9" s="1"/>
      <c r="RBN9" s="1"/>
      <c r="RBO9" s="1"/>
      <c r="RBP9" s="1"/>
      <c r="RBQ9" s="1"/>
      <c r="RBR9" s="1"/>
      <c r="RBS9" s="1"/>
      <c r="RBT9" s="1"/>
      <c r="RBU9" s="1"/>
      <c r="RBV9" s="1"/>
      <c r="RBW9" s="1"/>
      <c r="RBX9" s="1"/>
      <c r="RBY9" s="1"/>
      <c r="RBZ9" s="1"/>
      <c r="RCA9" s="1"/>
      <c r="RCB9" s="1"/>
      <c r="RCC9" s="1"/>
      <c r="RCD9" s="1"/>
      <c r="RCE9" s="1"/>
      <c r="RCF9" s="1"/>
      <c r="RCG9" s="1"/>
      <c r="RCH9" s="1"/>
      <c r="RCI9" s="1"/>
      <c r="RCJ9" s="1"/>
      <c r="RCK9" s="1"/>
      <c r="RCL9" s="1"/>
      <c r="RCM9" s="1"/>
      <c r="RCN9" s="1"/>
      <c r="RCO9" s="1"/>
      <c r="RCP9" s="1"/>
      <c r="RCQ9" s="1"/>
      <c r="RCR9" s="1"/>
      <c r="RCS9" s="1"/>
      <c r="RCT9" s="1"/>
      <c r="RCU9" s="1"/>
      <c r="RCV9" s="1"/>
      <c r="RCW9" s="1"/>
      <c r="RCX9" s="1"/>
      <c r="RCY9" s="1"/>
      <c r="RCZ9" s="1"/>
      <c r="RDA9" s="1"/>
      <c r="RDB9" s="1"/>
      <c r="RDC9" s="1"/>
      <c r="RDD9" s="1"/>
      <c r="RDE9" s="1"/>
      <c r="RDF9" s="1"/>
      <c r="RDG9" s="1"/>
      <c r="RDH9" s="1"/>
      <c r="RDI9" s="1"/>
      <c r="RDJ9" s="1"/>
      <c r="RDK9" s="1"/>
      <c r="RDL9" s="1"/>
      <c r="RDM9" s="1"/>
      <c r="RDN9" s="1"/>
      <c r="RDO9" s="1"/>
      <c r="RDP9" s="1"/>
      <c r="RDQ9" s="1"/>
      <c r="RDR9" s="1"/>
      <c r="RDS9" s="1"/>
      <c r="RDT9" s="1"/>
      <c r="RDU9" s="1"/>
      <c r="RDV9" s="1"/>
      <c r="RDW9" s="1"/>
      <c r="RDX9" s="1"/>
      <c r="RDY9" s="1"/>
      <c r="RDZ9" s="1"/>
      <c r="REA9" s="1"/>
      <c r="REB9" s="1"/>
      <c r="REC9" s="1"/>
      <c r="RED9" s="1"/>
      <c r="REE9" s="1"/>
      <c r="REF9" s="1"/>
      <c r="REG9" s="1"/>
      <c r="REH9" s="1"/>
      <c r="REI9" s="1"/>
      <c r="REJ9" s="1"/>
      <c r="REK9" s="1"/>
      <c r="REL9" s="1"/>
      <c r="REM9" s="1"/>
      <c r="REN9" s="1"/>
      <c r="REO9" s="1"/>
      <c r="REP9" s="1"/>
      <c r="REQ9" s="1"/>
      <c r="RER9" s="1"/>
      <c r="RES9" s="1"/>
      <c r="RET9" s="1"/>
      <c r="REU9" s="1"/>
      <c r="REV9" s="1"/>
      <c r="REW9" s="1"/>
      <c r="REX9" s="1"/>
      <c r="REY9" s="1"/>
      <c r="REZ9" s="1"/>
      <c r="RFA9" s="1"/>
      <c r="RFB9" s="1"/>
      <c r="RFC9" s="1"/>
      <c r="RFD9" s="1"/>
      <c r="RFE9" s="1"/>
      <c r="RFF9" s="1"/>
      <c r="RFG9" s="1"/>
      <c r="RFH9" s="1"/>
      <c r="RFI9" s="1"/>
      <c r="RFJ9" s="1"/>
      <c r="RFK9" s="1"/>
      <c r="RFL9" s="1"/>
      <c r="RFM9" s="1"/>
      <c r="RFN9" s="1"/>
      <c r="RFO9" s="1"/>
      <c r="RFP9" s="1"/>
      <c r="RFQ9" s="1"/>
      <c r="RFR9" s="1"/>
      <c r="RFS9" s="1"/>
      <c r="RFT9" s="1"/>
      <c r="RFU9" s="1"/>
      <c r="RFV9" s="1"/>
      <c r="RFW9" s="1"/>
      <c r="RFX9" s="1"/>
      <c r="RFY9" s="1"/>
      <c r="RFZ9" s="1"/>
      <c r="RGA9" s="1"/>
      <c r="RGB9" s="1"/>
      <c r="RGC9" s="1"/>
      <c r="RGD9" s="1"/>
      <c r="RGE9" s="1"/>
      <c r="RGF9" s="1"/>
      <c r="RGG9" s="1"/>
      <c r="RGH9" s="1"/>
      <c r="RGI9" s="1"/>
      <c r="RGJ9" s="1"/>
      <c r="RGK9" s="1"/>
      <c r="RGL9" s="1"/>
      <c r="RGM9" s="1"/>
      <c r="RGN9" s="1"/>
      <c r="RGO9" s="1"/>
      <c r="RGP9" s="1"/>
      <c r="RGQ9" s="1"/>
      <c r="RGR9" s="1"/>
      <c r="RGS9" s="1"/>
      <c r="RGT9" s="1"/>
      <c r="RGU9" s="1"/>
      <c r="RGV9" s="1"/>
      <c r="RGW9" s="1"/>
      <c r="RGX9" s="1"/>
      <c r="RGY9" s="1"/>
      <c r="RGZ9" s="1"/>
      <c r="RHA9" s="1"/>
      <c r="RHB9" s="1"/>
      <c r="RHC9" s="1"/>
      <c r="RHD9" s="1"/>
      <c r="RHE9" s="1"/>
      <c r="RHF9" s="1"/>
      <c r="RHG9" s="1"/>
      <c r="RHH9" s="1"/>
      <c r="RHI9" s="1"/>
      <c r="RHJ9" s="1"/>
      <c r="RHK9" s="1"/>
      <c r="RHL9" s="1"/>
      <c r="RHM9" s="1"/>
      <c r="RHN9" s="1"/>
      <c r="RHO9" s="1"/>
      <c r="RHP9" s="1"/>
      <c r="RHQ9" s="1"/>
      <c r="RHR9" s="1"/>
      <c r="RHS9" s="1"/>
      <c r="RHT9" s="1"/>
      <c r="RHU9" s="1"/>
      <c r="RHV9" s="1"/>
      <c r="RHW9" s="1"/>
      <c r="RHX9" s="1"/>
      <c r="RHY9" s="1"/>
      <c r="RHZ9" s="1"/>
      <c r="RIA9" s="1"/>
      <c r="RIB9" s="1"/>
      <c r="RIC9" s="1"/>
      <c r="RID9" s="1"/>
      <c r="RIE9" s="1"/>
      <c r="RIF9" s="1"/>
      <c r="RIG9" s="1"/>
      <c r="RIH9" s="1"/>
      <c r="RII9" s="1"/>
      <c r="RIJ9" s="1"/>
      <c r="RIK9" s="1"/>
      <c r="RIL9" s="1"/>
      <c r="RIM9" s="1"/>
      <c r="RIN9" s="1"/>
      <c r="RIO9" s="1"/>
      <c r="RIP9" s="1"/>
      <c r="RIQ9" s="1"/>
      <c r="RIR9" s="1"/>
      <c r="RIS9" s="1"/>
      <c r="RIT9" s="1"/>
      <c r="RIU9" s="1"/>
      <c r="RIV9" s="1"/>
      <c r="RIW9" s="1"/>
      <c r="RIX9" s="1"/>
      <c r="RIY9" s="1"/>
      <c r="RIZ9" s="1"/>
      <c r="RJA9" s="1"/>
      <c r="RJB9" s="1"/>
      <c r="RJC9" s="1"/>
      <c r="RJD9" s="1"/>
      <c r="RJE9" s="1"/>
      <c r="RJF9" s="1"/>
      <c r="RJG9" s="1"/>
      <c r="RJH9" s="1"/>
      <c r="RJI9" s="1"/>
      <c r="RJJ9" s="1"/>
      <c r="RJK9" s="1"/>
      <c r="RJL9" s="1"/>
      <c r="RJM9" s="1"/>
      <c r="RJN9" s="1"/>
      <c r="RJO9" s="1"/>
      <c r="RJP9" s="1"/>
      <c r="RJQ9" s="1"/>
      <c r="RJR9" s="1"/>
      <c r="RJS9" s="1"/>
      <c r="RJT9" s="1"/>
      <c r="RJU9" s="1"/>
      <c r="RJV9" s="1"/>
      <c r="RJW9" s="1"/>
      <c r="RJX9" s="1"/>
      <c r="RJY9" s="1"/>
      <c r="RJZ9" s="1"/>
      <c r="RKA9" s="1"/>
      <c r="RKB9" s="1"/>
      <c r="RKC9" s="1"/>
      <c r="RKD9" s="1"/>
      <c r="RKE9" s="1"/>
      <c r="RKF9" s="1"/>
      <c r="RKG9" s="1"/>
      <c r="RKH9" s="1"/>
      <c r="RKI9" s="1"/>
      <c r="RKJ9" s="1"/>
      <c r="RKK9" s="1"/>
      <c r="RKL9" s="1"/>
      <c r="RKM9" s="1"/>
      <c r="RKN9" s="1"/>
      <c r="RKO9" s="1"/>
      <c r="RKP9" s="1"/>
      <c r="RKQ9" s="1"/>
      <c r="RKR9" s="1"/>
      <c r="RKS9" s="1"/>
      <c r="RKT9" s="1"/>
      <c r="RKU9" s="1"/>
      <c r="RKV9" s="1"/>
      <c r="RKW9" s="1"/>
      <c r="RKX9" s="1"/>
      <c r="RKY9" s="1"/>
      <c r="RKZ9" s="1"/>
      <c r="RLA9" s="1"/>
      <c r="RLB9" s="1"/>
      <c r="RLC9" s="1"/>
      <c r="RLD9" s="1"/>
      <c r="RLE9" s="1"/>
      <c r="RLF9" s="1"/>
      <c r="RLG9" s="1"/>
      <c r="RLH9" s="1"/>
      <c r="RLI9" s="1"/>
      <c r="RLJ9" s="1"/>
      <c r="RLK9" s="1"/>
      <c r="RLL9" s="1"/>
      <c r="RLM9" s="1"/>
      <c r="RLN9" s="1"/>
      <c r="RLO9" s="1"/>
      <c r="RLP9" s="1"/>
      <c r="RLQ9" s="1"/>
      <c r="RLR9" s="1"/>
      <c r="RLS9" s="1"/>
      <c r="RLT9" s="1"/>
      <c r="RLU9" s="1"/>
      <c r="RLV9" s="1"/>
      <c r="RLW9" s="1"/>
      <c r="RLX9" s="1"/>
      <c r="RLY9" s="1"/>
      <c r="RLZ9" s="1"/>
      <c r="RMA9" s="1"/>
      <c r="RMB9" s="1"/>
      <c r="RMC9" s="1"/>
      <c r="RMD9" s="1"/>
      <c r="RME9" s="1"/>
      <c r="RMF9" s="1"/>
      <c r="RMG9" s="1"/>
      <c r="RMH9" s="1"/>
      <c r="RMI9" s="1"/>
      <c r="RMJ9" s="1"/>
      <c r="RMK9" s="1"/>
      <c r="RML9" s="1"/>
      <c r="RMM9" s="1"/>
      <c r="RMN9" s="1"/>
      <c r="RMO9" s="1"/>
      <c r="RMP9" s="1"/>
      <c r="RMQ9" s="1"/>
      <c r="RMR9" s="1"/>
      <c r="RMS9" s="1"/>
      <c r="RMT9" s="1"/>
      <c r="RMU9" s="1"/>
      <c r="RMV9" s="1"/>
      <c r="RMW9" s="1"/>
      <c r="RMX9" s="1"/>
      <c r="RMY9" s="1"/>
      <c r="RMZ9" s="1"/>
      <c r="RNA9" s="1"/>
      <c r="RNB9" s="1"/>
      <c r="RNC9" s="1"/>
      <c r="RND9" s="1"/>
      <c r="RNE9" s="1"/>
      <c r="RNF9" s="1"/>
      <c r="RNG9" s="1"/>
      <c r="RNH9" s="1"/>
      <c r="RNI9" s="1"/>
      <c r="RNJ9" s="1"/>
      <c r="RNK9" s="1"/>
      <c r="RNL9" s="1"/>
      <c r="RNM9" s="1"/>
      <c r="RNN9" s="1"/>
      <c r="RNO9" s="1"/>
      <c r="RNP9" s="1"/>
      <c r="RNQ9" s="1"/>
      <c r="RNR9" s="1"/>
      <c r="RNS9" s="1"/>
      <c r="RNT9" s="1"/>
      <c r="RNU9" s="1"/>
      <c r="RNV9" s="1"/>
      <c r="RNW9" s="1"/>
      <c r="RNX9" s="1"/>
      <c r="RNY9" s="1"/>
      <c r="RNZ9" s="1"/>
      <c r="ROA9" s="1"/>
      <c r="ROB9" s="1"/>
      <c r="ROC9" s="1"/>
      <c r="ROD9" s="1"/>
      <c r="ROE9" s="1"/>
      <c r="ROF9" s="1"/>
      <c r="ROG9" s="1"/>
      <c r="ROH9" s="1"/>
      <c r="ROI9" s="1"/>
      <c r="ROJ9" s="1"/>
      <c r="ROK9" s="1"/>
      <c r="ROL9" s="1"/>
      <c r="ROM9" s="1"/>
      <c r="RON9" s="1"/>
      <c r="ROO9" s="1"/>
      <c r="ROP9" s="1"/>
      <c r="ROQ9" s="1"/>
      <c r="ROR9" s="1"/>
      <c r="ROS9" s="1"/>
      <c r="ROT9" s="1"/>
      <c r="ROU9" s="1"/>
      <c r="ROV9" s="1"/>
      <c r="ROW9" s="1"/>
      <c r="ROX9" s="1"/>
      <c r="ROY9" s="1"/>
      <c r="ROZ9" s="1"/>
      <c r="RPA9" s="1"/>
      <c r="RPB9" s="1"/>
      <c r="RPC9" s="1"/>
      <c r="RPD9" s="1"/>
      <c r="RPE9" s="1"/>
      <c r="RPF9" s="1"/>
      <c r="RPG9" s="1"/>
      <c r="RPH9" s="1"/>
      <c r="RPI9" s="1"/>
      <c r="RPJ9" s="1"/>
      <c r="RPK9" s="1"/>
      <c r="RPL9" s="1"/>
      <c r="RPM9" s="1"/>
      <c r="RPN9" s="1"/>
      <c r="RPO9" s="1"/>
      <c r="RPP9" s="1"/>
      <c r="RPQ9" s="1"/>
      <c r="RPR9" s="1"/>
      <c r="RPS9" s="1"/>
      <c r="RPT9" s="1"/>
      <c r="RPU9" s="1"/>
      <c r="RPV9" s="1"/>
      <c r="RPW9" s="1"/>
      <c r="RPX9" s="1"/>
      <c r="RPY9" s="1"/>
      <c r="RPZ9" s="1"/>
      <c r="RQA9" s="1"/>
      <c r="RQB9" s="1"/>
      <c r="RQC9" s="1"/>
      <c r="RQD9" s="1"/>
      <c r="RQE9" s="1"/>
      <c r="RQF9" s="1"/>
      <c r="RQG9" s="1"/>
      <c r="RQH9" s="1"/>
      <c r="RQI9" s="1"/>
      <c r="RQJ9" s="1"/>
      <c r="RQK9" s="1"/>
      <c r="RQL9" s="1"/>
      <c r="RQM9" s="1"/>
      <c r="RQN9" s="1"/>
      <c r="RQO9" s="1"/>
      <c r="RQP9" s="1"/>
      <c r="RQQ9" s="1"/>
      <c r="RQR9" s="1"/>
      <c r="RQS9" s="1"/>
      <c r="RQT9" s="1"/>
      <c r="RQU9" s="1"/>
      <c r="RQV9" s="1"/>
      <c r="RQW9" s="1"/>
      <c r="RQX9" s="1"/>
      <c r="RQY9" s="1"/>
      <c r="RQZ9" s="1"/>
      <c r="RRA9" s="1"/>
      <c r="RRB9" s="1"/>
      <c r="RRC9" s="1"/>
      <c r="RRD9" s="1"/>
      <c r="RRE9" s="1"/>
      <c r="RRF9" s="1"/>
      <c r="RRG9" s="1"/>
      <c r="RRH9" s="1"/>
      <c r="RRI9" s="1"/>
      <c r="RRJ9" s="1"/>
      <c r="RRK9" s="1"/>
      <c r="RRL9" s="1"/>
      <c r="RRM9" s="1"/>
      <c r="RRN9" s="1"/>
      <c r="RRO9" s="1"/>
      <c r="RRP9" s="1"/>
      <c r="RRQ9" s="1"/>
      <c r="RRR9" s="1"/>
      <c r="RRS9" s="1"/>
      <c r="RRT9" s="1"/>
      <c r="RRU9" s="1"/>
      <c r="RRV9" s="1"/>
      <c r="RRW9" s="1"/>
      <c r="RRX9" s="1"/>
      <c r="RRY9" s="1"/>
      <c r="RRZ9" s="1"/>
      <c r="RSA9" s="1"/>
      <c r="RSB9" s="1"/>
      <c r="RSC9" s="1"/>
      <c r="RSD9" s="1"/>
      <c r="RSE9" s="1"/>
      <c r="RSF9" s="1"/>
      <c r="RSG9" s="1"/>
      <c r="RSH9" s="1"/>
      <c r="RSI9" s="1"/>
      <c r="RSJ9" s="1"/>
      <c r="RSK9" s="1"/>
      <c r="RSL9" s="1"/>
      <c r="RSM9" s="1"/>
      <c r="RSN9" s="1"/>
      <c r="RSO9" s="1"/>
      <c r="RSP9" s="1"/>
      <c r="RSQ9" s="1"/>
      <c r="RSR9" s="1"/>
      <c r="RSS9" s="1"/>
      <c r="RST9" s="1"/>
      <c r="RSU9" s="1"/>
      <c r="RSV9" s="1"/>
      <c r="RSW9" s="1"/>
      <c r="RSX9" s="1"/>
      <c r="RSY9" s="1"/>
      <c r="RSZ9" s="1"/>
      <c r="RTA9" s="1"/>
      <c r="RTB9" s="1"/>
      <c r="RTC9" s="1"/>
      <c r="RTD9" s="1"/>
      <c r="RTE9" s="1"/>
      <c r="RTF9" s="1"/>
      <c r="RTG9" s="1"/>
      <c r="RTH9" s="1"/>
      <c r="RTI9" s="1"/>
      <c r="RTJ9" s="1"/>
      <c r="RTK9" s="1"/>
      <c r="RTL9" s="1"/>
      <c r="RTM9" s="1"/>
      <c r="RTN9" s="1"/>
      <c r="RTO9" s="1"/>
      <c r="RTP9" s="1"/>
      <c r="RTQ9" s="1"/>
      <c r="RTR9" s="1"/>
      <c r="RTS9" s="1"/>
      <c r="RTT9" s="1"/>
      <c r="RTU9" s="1"/>
      <c r="RTV9" s="1"/>
      <c r="RTW9" s="1"/>
      <c r="RTX9" s="1"/>
      <c r="RTY9" s="1"/>
      <c r="RTZ9" s="1"/>
      <c r="RUA9" s="1"/>
      <c r="RUB9" s="1"/>
      <c r="RUC9" s="1"/>
      <c r="RUD9" s="1"/>
      <c r="RUE9" s="1"/>
      <c r="RUF9" s="1"/>
      <c r="RUG9" s="1"/>
      <c r="RUH9" s="1"/>
      <c r="RUI9" s="1"/>
      <c r="RUJ9" s="1"/>
      <c r="RUK9" s="1"/>
      <c r="RUL9" s="1"/>
      <c r="RUM9" s="1"/>
      <c r="RUN9" s="1"/>
      <c r="RUO9" s="1"/>
      <c r="RUP9" s="1"/>
      <c r="RUQ9" s="1"/>
      <c r="RUR9" s="1"/>
      <c r="RUS9" s="1"/>
      <c r="RUT9" s="1"/>
      <c r="RUU9" s="1"/>
      <c r="RUV9" s="1"/>
      <c r="RUW9" s="1"/>
      <c r="RUX9" s="1"/>
      <c r="RUY9" s="1"/>
      <c r="RUZ9" s="1"/>
      <c r="RVA9" s="1"/>
      <c r="RVB9" s="1"/>
      <c r="RVC9" s="1"/>
      <c r="RVD9" s="1"/>
      <c r="RVE9" s="1"/>
      <c r="RVF9" s="1"/>
      <c r="RVG9" s="1"/>
      <c r="RVH9" s="1"/>
      <c r="RVI9" s="1"/>
      <c r="RVJ9" s="1"/>
      <c r="RVK9" s="1"/>
      <c r="RVL9" s="1"/>
      <c r="RVM9" s="1"/>
      <c r="RVN9" s="1"/>
      <c r="RVO9" s="1"/>
      <c r="RVP9" s="1"/>
      <c r="RVQ9" s="1"/>
      <c r="RVR9" s="1"/>
      <c r="RVS9" s="1"/>
      <c r="RVT9" s="1"/>
      <c r="RVU9" s="1"/>
      <c r="RVV9" s="1"/>
      <c r="RVW9" s="1"/>
      <c r="RVX9" s="1"/>
      <c r="RVY9" s="1"/>
      <c r="RVZ9" s="1"/>
      <c r="RWA9" s="1"/>
      <c r="RWB9" s="1"/>
      <c r="RWC9" s="1"/>
      <c r="RWD9" s="1"/>
      <c r="RWE9" s="1"/>
      <c r="RWF9" s="1"/>
      <c r="RWG9" s="1"/>
      <c r="RWH9" s="1"/>
      <c r="RWI9" s="1"/>
      <c r="RWJ9" s="1"/>
      <c r="RWK9" s="1"/>
      <c r="RWL9" s="1"/>
      <c r="RWM9" s="1"/>
      <c r="RWN9" s="1"/>
      <c r="RWO9" s="1"/>
      <c r="RWP9" s="1"/>
      <c r="RWQ9" s="1"/>
      <c r="RWR9" s="1"/>
      <c r="RWS9" s="1"/>
      <c r="RWT9" s="1"/>
      <c r="RWU9" s="1"/>
      <c r="RWV9" s="1"/>
      <c r="RWW9" s="1"/>
      <c r="RWX9" s="1"/>
      <c r="RWY9" s="1"/>
      <c r="RWZ9" s="1"/>
      <c r="RXA9" s="1"/>
      <c r="RXB9" s="1"/>
      <c r="RXC9" s="1"/>
      <c r="RXD9" s="1"/>
      <c r="RXE9" s="1"/>
      <c r="RXF9" s="1"/>
      <c r="RXG9" s="1"/>
      <c r="RXH9" s="1"/>
      <c r="RXI9" s="1"/>
      <c r="RXJ9" s="1"/>
      <c r="RXK9" s="1"/>
      <c r="RXL9" s="1"/>
      <c r="RXM9" s="1"/>
      <c r="RXN9" s="1"/>
      <c r="RXO9" s="1"/>
      <c r="RXP9" s="1"/>
      <c r="RXQ9" s="1"/>
      <c r="RXR9" s="1"/>
      <c r="RXS9" s="1"/>
      <c r="RXT9" s="1"/>
      <c r="RXU9" s="1"/>
      <c r="RXV9" s="1"/>
      <c r="RXW9" s="1"/>
      <c r="RXX9" s="1"/>
      <c r="RXY9" s="1"/>
      <c r="RXZ9" s="1"/>
      <c r="RYA9" s="1"/>
      <c r="RYB9" s="1"/>
      <c r="RYC9" s="1"/>
      <c r="RYD9" s="1"/>
      <c r="RYE9" s="1"/>
      <c r="RYF9" s="1"/>
      <c r="RYG9" s="1"/>
      <c r="RYH9" s="1"/>
      <c r="RYI9" s="1"/>
      <c r="RYJ9" s="1"/>
      <c r="RYK9" s="1"/>
      <c r="RYL9" s="1"/>
      <c r="RYM9" s="1"/>
      <c r="RYN9" s="1"/>
      <c r="RYO9" s="1"/>
      <c r="RYP9" s="1"/>
      <c r="RYQ9" s="1"/>
      <c r="RYR9" s="1"/>
      <c r="RYS9" s="1"/>
      <c r="RYT9" s="1"/>
      <c r="RYU9" s="1"/>
      <c r="RYV9" s="1"/>
      <c r="RYW9" s="1"/>
      <c r="RYX9" s="1"/>
      <c r="RYY9" s="1"/>
      <c r="RYZ9" s="1"/>
      <c r="RZA9" s="1"/>
      <c r="RZB9" s="1"/>
      <c r="RZC9" s="1"/>
      <c r="RZD9" s="1"/>
      <c r="RZE9" s="1"/>
      <c r="RZF9" s="1"/>
      <c r="RZG9" s="1"/>
      <c r="RZH9" s="1"/>
      <c r="RZI9" s="1"/>
      <c r="RZJ9" s="1"/>
      <c r="RZK9" s="1"/>
      <c r="RZL9" s="1"/>
      <c r="RZM9" s="1"/>
      <c r="RZN9" s="1"/>
      <c r="RZO9" s="1"/>
      <c r="RZP9" s="1"/>
      <c r="RZQ9" s="1"/>
      <c r="RZR9" s="1"/>
      <c r="RZS9" s="1"/>
      <c r="RZT9" s="1"/>
      <c r="RZU9" s="1"/>
      <c r="RZV9" s="1"/>
      <c r="RZW9" s="1"/>
      <c r="RZX9" s="1"/>
      <c r="RZY9" s="1"/>
      <c r="RZZ9" s="1"/>
      <c r="SAA9" s="1"/>
      <c r="SAB9" s="1"/>
      <c r="SAC9" s="1"/>
      <c r="SAD9" s="1"/>
      <c r="SAE9" s="1"/>
      <c r="SAF9" s="1"/>
      <c r="SAG9" s="1"/>
      <c r="SAH9" s="1"/>
      <c r="SAI9" s="1"/>
      <c r="SAJ9" s="1"/>
      <c r="SAK9" s="1"/>
      <c r="SAL9" s="1"/>
      <c r="SAM9" s="1"/>
      <c r="SAN9" s="1"/>
      <c r="SAO9" s="1"/>
      <c r="SAP9" s="1"/>
      <c r="SAQ9" s="1"/>
      <c r="SAR9" s="1"/>
      <c r="SAS9" s="1"/>
      <c r="SAT9" s="1"/>
      <c r="SAU9" s="1"/>
      <c r="SAV9" s="1"/>
      <c r="SAW9" s="1"/>
      <c r="SAX9" s="1"/>
      <c r="SAY9" s="1"/>
      <c r="SAZ9" s="1"/>
      <c r="SBA9" s="1"/>
      <c r="SBB9" s="1"/>
      <c r="SBC9" s="1"/>
      <c r="SBD9" s="1"/>
      <c r="SBE9" s="1"/>
      <c r="SBF9" s="1"/>
      <c r="SBG9" s="1"/>
      <c r="SBH9" s="1"/>
      <c r="SBI9" s="1"/>
      <c r="SBJ9" s="1"/>
      <c r="SBK9" s="1"/>
      <c r="SBL9" s="1"/>
      <c r="SBM9" s="1"/>
      <c r="SBN9" s="1"/>
      <c r="SBO9" s="1"/>
      <c r="SBP9" s="1"/>
      <c r="SBQ9" s="1"/>
      <c r="SBR9" s="1"/>
      <c r="SBS9" s="1"/>
      <c r="SBT9" s="1"/>
      <c r="SBU9" s="1"/>
      <c r="SBV9" s="1"/>
      <c r="SBW9" s="1"/>
      <c r="SBX9" s="1"/>
      <c r="SBY9" s="1"/>
      <c r="SBZ9" s="1"/>
      <c r="SCA9" s="1"/>
      <c r="SCB9" s="1"/>
      <c r="SCC9" s="1"/>
      <c r="SCD9" s="1"/>
      <c r="SCE9" s="1"/>
      <c r="SCF9" s="1"/>
      <c r="SCG9" s="1"/>
      <c r="SCH9" s="1"/>
      <c r="SCI9" s="1"/>
      <c r="SCJ9" s="1"/>
      <c r="SCK9" s="1"/>
      <c r="SCL9" s="1"/>
      <c r="SCM9" s="1"/>
      <c r="SCN9" s="1"/>
      <c r="SCO9" s="1"/>
      <c r="SCP9" s="1"/>
      <c r="SCQ9" s="1"/>
      <c r="SCR9" s="1"/>
      <c r="SCS9" s="1"/>
      <c r="SCT9" s="1"/>
      <c r="SCU9" s="1"/>
      <c r="SCV9" s="1"/>
      <c r="SCW9" s="1"/>
      <c r="SCX9" s="1"/>
      <c r="SCY9" s="1"/>
      <c r="SCZ9" s="1"/>
      <c r="SDA9" s="1"/>
      <c r="SDB9" s="1"/>
      <c r="SDC9" s="1"/>
      <c r="SDD9" s="1"/>
      <c r="SDE9" s="1"/>
      <c r="SDF9" s="1"/>
      <c r="SDG9" s="1"/>
      <c r="SDH9" s="1"/>
      <c r="SDI9" s="1"/>
      <c r="SDJ9" s="1"/>
      <c r="SDK9" s="1"/>
      <c r="SDL9" s="1"/>
      <c r="SDM9" s="1"/>
      <c r="SDN9" s="1"/>
      <c r="SDO9" s="1"/>
      <c r="SDP9" s="1"/>
      <c r="SDQ9" s="1"/>
      <c r="SDR9" s="1"/>
      <c r="SDS9" s="1"/>
      <c r="SDT9" s="1"/>
      <c r="SDU9" s="1"/>
      <c r="SDV9" s="1"/>
      <c r="SDW9" s="1"/>
      <c r="SDX9" s="1"/>
      <c r="SDY9" s="1"/>
      <c r="SDZ9" s="1"/>
      <c r="SEA9" s="1"/>
      <c r="SEB9" s="1"/>
      <c r="SEC9" s="1"/>
      <c r="SED9" s="1"/>
      <c r="SEE9" s="1"/>
      <c r="SEF9" s="1"/>
      <c r="SEG9" s="1"/>
      <c r="SEH9" s="1"/>
      <c r="SEI9" s="1"/>
      <c r="SEJ9" s="1"/>
      <c r="SEK9" s="1"/>
      <c r="SEL9" s="1"/>
      <c r="SEM9" s="1"/>
      <c r="SEN9" s="1"/>
      <c r="SEO9" s="1"/>
      <c r="SEP9" s="1"/>
      <c r="SEQ9" s="1"/>
      <c r="SER9" s="1"/>
      <c r="SES9" s="1"/>
      <c r="SET9" s="1"/>
      <c r="SEU9" s="1"/>
      <c r="SEV9" s="1"/>
      <c r="SEW9" s="1"/>
      <c r="SEX9" s="1"/>
      <c r="SEY9" s="1"/>
      <c r="SEZ9" s="1"/>
      <c r="SFA9" s="1"/>
      <c r="SFB9" s="1"/>
      <c r="SFC9" s="1"/>
      <c r="SFD9" s="1"/>
      <c r="SFE9" s="1"/>
      <c r="SFF9" s="1"/>
      <c r="SFG9" s="1"/>
      <c r="SFH9" s="1"/>
      <c r="SFI9" s="1"/>
      <c r="SFJ9" s="1"/>
      <c r="SFK9" s="1"/>
      <c r="SFL9" s="1"/>
      <c r="SFM9" s="1"/>
      <c r="SFN9" s="1"/>
      <c r="SFO9" s="1"/>
      <c r="SFP9" s="1"/>
      <c r="SFQ9" s="1"/>
      <c r="SFR9" s="1"/>
      <c r="SFS9" s="1"/>
      <c r="SFT9" s="1"/>
      <c r="SFU9" s="1"/>
      <c r="SFV9" s="1"/>
      <c r="SFW9" s="1"/>
      <c r="SFX9" s="1"/>
      <c r="SFY9" s="1"/>
      <c r="SFZ9" s="1"/>
      <c r="SGA9" s="1"/>
      <c r="SGB9" s="1"/>
      <c r="SGC9" s="1"/>
      <c r="SGD9" s="1"/>
      <c r="SGE9" s="1"/>
      <c r="SGF9" s="1"/>
      <c r="SGG9" s="1"/>
      <c r="SGH9" s="1"/>
      <c r="SGI9" s="1"/>
      <c r="SGJ9" s="1"/>
      <c r="SGK9" s="1"/>
      <c r="SGL9" s="1"/>
      <c r="SGM9" s="1"/>
      <c r="SGN9" s="1"/>
      <c r="SGO9" s="1"/>
      <c r="SGP9" s="1"/>
      <c r="SGQ9" s="1"/>
      <c r="SGR9" s="1"/>
      <c r="SGS9" s="1"/>
      <c r="SGT9" s="1"/>
      <c r="SGU9" s="1"/>
      <c r="SGV9" s="1"/>
      <c r="SGW9" s="1"/>
      <c r="SGX9" s="1"/>
      <c r="SGY9" s="1"/>
      <c r="SGZ9" s="1"/>
      <c r="SHA9" s="1"/>
      <c r="SHB9" s="1"/>
      <c r="SHC9" s="1"/>
      <c r="SHD9" s="1"/>
      <c r="SHE9" s="1"/>
      <c r="SHF9" s="1"/>
      <c r="SHG9" s="1"/>
      <c r="SHH9" s="1"/>
      <c r="SHI9" s="1"/>
      <c r="SHJ9" s="1"/>
      <c r="SHK9" s="1"/>
      <c r="SHL9" s="1"/>
      <c r="SHM9" s="1"/>
      <c r="SHN9" s="1"/>
      <c r="SHO9" s="1"/>
      <c r="SHP9" s="1"/>
      <c r="SHQ9" s="1"/>
      <c r="SHR9" s="1"/>
      <c r="SHS9" s="1"/>
      <c r="SHT9" s="1"/>
      <c r="SHU9" s="1"/>
      <c r="SHV9" s="1"/>
      <c r="SHW9" s="1"/>
      <c r="SHX9" s="1"/>
      <c r="SHY9" s="1"/>
      <c r="SHZ9" s="1"/>
      <c r="SIA9" s="1"/>
      <c r="SIB9" s="1"/>
      <c r="SIC9" s="1"/>
      <c r="SID9" s="1"/>
      <c r="SIE9" s="1"/>
      <c r="SIF9" s="1"/>
      <c r="SIG9" s="1"/>
      <c r="SIH9" s="1"/>
      <c r="SII9" s="1"/>
      <c r="SIJ9" s="1"/>
      <c r="SIK9" s="1"/>
      <c r="SIL9" s="1"/>
      <c r="SIM9" s="1"/>
      <c r="SIN9" s="1"/>
      <c r="SIO9" s="1"/>
      <c r="SIP9" s="1"/>
      <c r="SIQ9" s="1"/>
      <c r="SIR9" s="1"/>
      <c r="SIS9" s="1"/>
      <c r="SIT9" s="1"/>
      <c r="SIU9" s="1"/>
      <c r="SIV9" s="1"/>
      <c r="SIW9" s="1"/>
      <c r="SIX9" s="1"/>
      <c r="SIY9" s="1"/>
      <c r="SIZ9" s="1"/>
      <c r="SJA9" s="1"/>
      <c r="SJB9" s="1"/>
      <c r="SJC9" s="1"/>
      <c r="SJD9" s="1"/>
      <c r="SJE9" s="1"/>
      <c r="SJF9" s="1"/>
      <c r="SJG9" s="1"/>
      <c r="SJH9" s="1"/>
      <c r="SJI9" s="1"/>
      <c r="SJJ9" s="1"/>
      <c r="SJK9" s="1"/>
      <c r="SJL9" s="1"/>
      <c r="SJM9" s="1"/>
      <c r="SJN9" s="1"/>
      <c r="SJO9" s="1"/>
      <c r="SJP9" s="1"/>
      <c r="SJQ9" s="1"/>
      <c r="SJR9" s="1"/>
      <c r="SJS9" s="1"/>
      <c r="SJT9" s="1"/>
      <c r="SJU9" s="1"/>
      <c r="SJV9" s="1"/>
      <c r="SJW9" s="1"/>
      <c r="SJX9" s="1"/>
      <c r="SJY9" s="1"/>
      <c r="SJZ9" s="1"/>
      <c r="SKA9" s="1"/>
      <c r="SKB9" s="1"/>
      <c r="SKC9" s="1"/>
      <c r="SKD9" s="1"/>
      <c r="SKE9" s="1"/>
      <c r="SKF9" s="1"/>
      <c r="SKG9" s="1"/>
      <c r="SKH9" s="1"/>
      <c r="SKI9" s="1"/>
      <c r="SKJ9" s="1"/>
      <c r="SKK9" s="1"/>
      <c r="SKL9" s="1"/>
      <c r="SKM9" s="1"/>
      <c r="SKN9" s="1"/>
      <c r="SKO9" s="1"/>
      <c r="SKP9" s="1"/>
      <c r="SKQ9" s="1"/>
      <c r="SKR9" s="1"/>
      <c r="SKS9" s="1"/>
      <c r="SKT9" s="1"/>
      <c r="SKU9" s="1"/>
      <c r="SKV9" s="1"/>
      <c r="SKW9" s="1"/>
      <c r="SKX9" s="1"/>
      <c r="SKY9" s="1"/>
      <c r="SKZ9" s="1"/>
      <c r="SLA9" s="1"/>
      <c r="SLB9" s="1"/>
      <c r="SLC9" s="1"/>
      <c r="SLD9" s="1"/>
      <c r="SLE9" s="1"/>
      <c r="SLF9" s="1"/>
      <c r="SLG9" s="1"/>
      <c r="SLH9" s="1"/>
      <c r="SLI9" s="1"/>
      <c r="SLJ9" s="1"/>
      <c r="SLK9" s="1"/>
      <c r="SLL9" s="1"/>
      <c r="SLM9" s="1"/>
      <c r="SLN9" s="1"/>
      <c r="SLO9" s="1"/>
      <c r="SLP9" s="1"/>
      <c r="SLQ9" s="1"/>
      <c r="SLR9" s="1"/>
      <c r="SLS9" s="1"/>
      <c r="SLT9" s="1"/>
      <c r="SLU9" s="1"/>
      <c r="SLV9" s="1"/>
      <c r="SLW9" s="1"/>
      <c r="SLX9" s="1"/>
      <c r="SLY9" s="1"/>
      <c r="SLZ9" s="1"/>
      <c r="SMA9" s="1"/>
      <c r="SMB9" s="1"/>
      <c r="SMC9" s="1"/>
      <c r="SMD9" s="1"/>
      <c r="SME9" s="1"/>
      <c r="SMF9" s="1"/>
      <c r="SMG9" s="1"/>
      <c r="SMH9" s="1"/>
      <c r="SMI9" s="1"/>
      <c r="SMJ9" s="1"/>
      <c r="SMK9" s="1"/>
      <c r="SML9" s="1"/>
      <c r="SMM9" s="1"/>
      <c r="SMN9" s="1"/>
      <c r="SMO9" s="1"/>
      <c r="SMP9" s="1"/>
      <c r="SMQ9" s="1"/>
      <c r="SMR9" s="1"/>
      <c r="SMS9" s="1"/>
      <c r="SMT9" s="1"/>
      <c r="SMU9" s="1"/>
      <c r="SMV9" s="1"/>
      <c r="SMW9" s="1"/>
      <c r="SMX9" s="1"/>
      <c r="SMY9" s="1"/>
      <c r="SMZ9" s="1"/>
      <c r="SNA9" s="1"/>
      <c r="SNB9" s="1"/>
      <c r="SNC9" s="1"/>
      <c r="SND9" s="1"/>
      <c r="SNE9" s="1"/>
      <c r="SNF9" s="1"/>
      <c r="SNG9" s="1"/>
      <c r="SNH9" s="1"/>
      <c r="SNI9" s="1"/>
      <c r="SNJ9" s="1"/>
      <c r="SNK9" s="1"/>
      <c r="SNL9" s="1"/>
      <c r="SNM9" s="1"/>
      <c r="SNN9" s="1"/>
      <c r="SNO9" s="1"/>
      <c r="SNP9" s="1"/>
      <c r="SNQ9" s="1"/>
      <c r="SNR9" s="1"/>
      <c r="SNS9" s="1"/>
      <c r="SNT9" s="1"/>
      <c r="SNU9" s="1"/>
      <c r="SNV9" s="1"/>
      <c r="SNW9" s="1"/>
      <c r="SNX9" s="1"/>
      <c r="SNY9" s="1"/>
      <c r="SNZ9" s="1"/>
      <c r="SOA9" s="1"/>
      <c r="SOB9" s="1"/>
      <c r="SOC9" s="1"/>
      <c r="SOD9" s="1"/>
      <c r="SOE9" s="1"/>
      <c r="SOF9" s="1"/>
      <c r="SOG9" s="1"/>
      <c r="SOH9" s="1"/>
      <c r="SOI9" s="1"/>
      <c r="SOJ9" s="1"/>
      <c r="SOK9" s="1"/>
      <c r="SOL9" s="1"/>
      <c r="SOM9" s="1"/>
      <c r="SON9" s="1"/>
      <c r="SOO9" s="1"/>
      <c r="SOP9" s="1"/>
      <c r="SOQ9" s="1"/>
      <c r="SOR9" s="1"/>
      <c r="SOS9" s="1"/>
      <c r="SOT9" s="1"/>
      <c r="SOU9" s="1"/>
      <c r="SOV9" s="1"/>
      <c r="SOW9" s="1"/>
      <c r="SOX9" s="1"/>
      <c r="SOY9" s="1"/>
      <c r="SOZ9" s="1"/>
      <c r="SPA9" s="1"/>
      <c r="SPB9" s="1"/>
      <c r="SPC9" s="1"/>
      <c r="SPD9" s="1"/>
      <c r="SPE9" s="1"/>
      <c r="SPF9" s="1"/>
      <c r="SPG9" s="1"/>
      <c r="SPH9" s="1"/>
      <c r="SPI9" s="1"/>
      <c r="SPJ9" s="1"/>
      <c r="SPK9" s="1"/>
      <c r="SPL9" s="1"/>
      <c r="SPM9" s="1"/>
      <c r="SPN9" s="1"/>
      <c r="SPO9" s="1"/>
      <c r="SPP9" s="1"/>
      <c r="SPQ9" s="1"/>
      <c r="SPR9" s="1"/>
      <c r="SPS9" s="1"/>
      <c r="SPT9" s="1"/>
      <c r="SPU9" s="1"/>
      <c r="SPV9" s="1"/>
      <c r="SPW9" s="1"/>
      <c r="SPX9" s="1"/>
      <c r="SPY9" s="1"/>
      <c r="SPZ9" s="1"/>
      <c r="SQA9" s="1"/>
      <c r="SQB9" s="1"/>
      <c r="SQC9" s="1"/>
      <c r="SQD9" s="1"/>
      <c r="SQE9" s="1"/>
      <c r="SQF9" s="1"/>
      <c r="SQG9" s="1"/>
      <c r="SQH9" s="1"/>
      <c r="SQI9" s="1"/>
      <c r="SQJ9" s="1"/>
      <c r="SQK9" s="1"/>
      <c r="SQL9" s="1"/>
      <c r="SQM9" s="1"/>
      <c r="SQN9" s="1"/>
      <c r="SQO9" s="1"/>
      <c r="SQP9" s="1"/>
      <c r="SQQ9" s="1"/>
      <c r="SQR9" s="1"/>
      <c r="SQS9" s="1"/>
      <c r="SQT9" s="1"/>
      <c r="SQU9" s="1"/>
      <c r="SQV9" s="1"/>
      <c r="SQW9" s="1"/>
      <c r="SQX9" s="1"/>
      <c r="SQY9" s="1"/>
      <c r="SQZ9" s="1"/>
      <c r="SRA9" s="1"/>
      <c r="SRB9" s="1"/>
      <c r="SRC9" s="1"/>
      <c r="SRD9" s="1"/>
      <c r="SRE9" s="1"/>
      <c r="SRF9" s="1"/>
      <c r="SRG9" s="1"/>
      <c r="SRH9" s="1"/>
      <c r="SRI9" s="1"/>
      <c r="SRJ9" s="1"/>
      <c r="SRK9" s="1"/>
      <c r="SRL9" s="1"/>
      <c r="SRM9" s="1"/>
      <c r="SRN9" s="1"/>
      <c r="SRO9" s="1"/>
      <c r="SRP9" s="1"/>
      <c r="SRQ9" s="1"/>
      <c r="SRR9" s="1"/>
      <c r="SRS9" s="1"/>
      <c r="SRT9" s="1"/>
      <c r="SRU9" s="1"/>
      <c r="SRV9" s="1"/>
      <c r="SRW9" s="1"/>
      <c r="SRX9" s="1"/>
      <c r="SRY9" s="1"/>
      <c r="SRZ9" s="1"/>
      <c r="SSA9" s="1"/>
      <c r="SSB9" s="1"/>
      <c r="SSC9" s="1"/>
      <c r="SSD9" s="1"/>
      <c r="SSE9" s="1"/>
      <c r="SSF9" s="1"/>
      <c r="SSG9" s="1"/>
      <c r="SSH9" s="1"/>
      <c r="SSI9" s="1"/>
      <c r="SSJ9" s="1"/>
      <c r="SSK9" s="1"/>
      <c r="SSL9" s="1"/>
      <c r="SSM9" s="1"/>
      <c r="SSN9" s="1"/>
      <c r="SSO9" s="1"/>
      <c r="SSP9" s="1"/>
      <c r="SSQ9" s="1"/>
      <c r="SSR9" s="1"/>
      <c r="SSS9" s="1"/>
      <c r="SST9" s="1"/>
      <c r="SSU9" s="1"/>
      <c r="SSV9" s="1"/>
      <c r="SSW9" s="1"/>
      <c r="SSX9" s="1"/>
      <c r="SSY9" s="1"/>
      <c r="SSZ9" s="1"/>
      <c r="STA9" s="1"/>
      <c r="STB9" s="1"/>
      <c r="STC9" s="1"/>
      <c r="STD9" s="1"/>
      <c r="STE9" s="1"/>
      <c r="STF9" s="1"/>
      <c r="STG9" s="1"/>
      <c r="STH9" s="1"/>
      <c r="STI9" s="1"/>
      <c r="STJ9" s="1"/>
      <c r="STK9" s="1"/>
      <c r="STL9" s="1"/>
      <c r="STM9" s="1"/>
      <c r="STN9" s="1"/>
      <c r="STO9" s="1"/>
      <c r="STP9" s="1"/>
      <c r="STQ9" s="1"/>
      <c r="STR9" s="1"/>
      <c r="STS9" s="1"/>
      <c r="STT9" s="1"/>
      <c r="STU9" s="1"/>
      <c r="STV9" s="1"/>
      <c r="STW9" s="1"/>
      <c r="STX9" s="1"/>
      <c r="STY9" s="1"/>
      <c r="STZ9" s="1"/>
      <c r="SUA9" s="1"/>
      <c r="SUB9" s="1"/>
      <c r="SUC9" s="1"/>
      <c r="SUD9" s="1"/>
      <c r="SUE9" s="1"/>
      <c r="SUF9" s="1"/>
      <c r="SUG9" s="1"/>
      <c r="SUH9" s="1"/>
      <c r="SUI9" s="1"/>
      <c r="SUJ9" s="1"/>
      <c r="SUK9" s="1"/>
      <c r="SUL9" s="1"/>
      <c r="SUM9" s="1"/>
      <c r="SUN9" s="1"/>
      <c r="SUO9" s="1"/>
      <c r="SUP9" s="1"/>
      <c r="SUQ9" s="1"/>
      <c r="SUR9" s="1"/>
      <c r="SUS9" s="1"/>
      <c r="SUT9" s="1"/>
      <c r="SUU9" s="1"/>
      <c r="SUV9" s="1"/>
      <c r="SUW9" s="1"/>
      <c r="SUX9" s="1"/>
      <c r="SUY9" s="1"/>
      <c r="SUZ9" s="1"/>
      <c r="SVA9" s="1"/>
      <c r="SVB9" s="1"/>
      <c r="SVC9" s="1"/>
      <c r="SVD9" s="1"/>
      <c r="SVE9" s="1"/>
      <c r="SVF9" s="1"/>
      <c r="SVG9" s="1"/>
      <c r="SVH9" s="1"/>
      <c r="SVI9" s="1"/>
      <c r="SVJ9" s="1"/>
      <c r="SVK9" s="1"/>
      <c r="SVL9" s="1"/>
      <c r="SVM9" s="1"/>
      <c r="SVN9" s="1"/>
      <c r="SVO9" s="1"/>
      <c r="SVP9" s="1"/>
      <c r="SVQ9" s="1"/>
      <c r="SVR9" s="1"/>
      <c r="SVS9" s="1"/>
      <c r="SVT9" s="1"/>
      <c r="SVU9" s="1"/>
      <c r="SVV9" s="1"/>
      <c r="SVW9" s="1"/>
      <c r="SVX9" s="1"/>
      <c r="SVY9" s="1"/>
      <c r="SVZ9" s="1"/>
      <c r="SWA9" s="1"/>
      <c r="SWB9" s="1"/>
      <c r="SWC9" s="1"/>
      <c r="SWD9" s="1"/>
      <c r="SWE9" s="1"/>
      <c r="SWF9" s="1"/>
      <c r="SWG9" s="1"/>
      <c r="SWH9" s="1"/>
      <c r="SWI9" s="1"/>
      <c r="SWJ9" s="1"/>
      <c r="SWK9" s="1"/>
      <c r="SWL9" s="1"/>
      <c r="SWM9" s="1"/>
      <c r="SWN9" s="1"/>
      <c r="SWO9" s="1"/>
      <c r="SWP9" s="1"/>
      <c r="SWQ9" s="1"/>
      <c r="SWR9" s="1"/>
      <c r="SWS9" s="1"/>
      <c r="SWT9" s="1"/>
      <c r="SWU9" s="1"/>
      <c r="SWV9" s="1"/>
      <c r="SWW9" s="1"/>
      <c r="SWX9" s="1"/>
      <c r="SWY9" s="1"/>
      <c r="SWZ9" s="1"/>
      <c r="SXA9" s="1"/>
      <c r="SXB9" s="1"/>
      <c r="SXC9" s="1"/>
      <c r="SXD9" s="1"/>
      <c r="SXE9" s="1"/>
      <c r="SXF9" s="1"/>
      <c r="SXG9" s="1"/>
      <c r="SXH9" s="1"/>
      <c r="SXI9" s="1"/>
      <c r="SXJ9" s="1"/>
      <c r="SXK9" s="1"/>
      <c r="SXL9" s="1"/>
      <c r="SXM9" s="1"/>
      <c r="SXN9" s="1"/>
      <c r="SXO9" s="1"/>
      <c r="SXP9" s="1"/>
      <c r="SXQ9" s="1"/>
      <c r="SXR9" s="1"/>
      <c r="SXS9" s="1"/>
      <c r="SXT9" s="1"/>
      <c r="SXU9" s="1"/>
      <c r="SXV9" s="1"/>
      <c r="SXW9" s="1"/>
      <c r="SXX9" s="1"/>
      <c r="SXY9" s="1"/>
      <c r="SXZ9" s="1"/>
      <c r="SYA9" s="1"/>
      <c r="SYB9" s="1"/>
      <c r="SYC9" s="1"/>
      <c r="SYD9" s="1"/>
      <c r="SYE9" s="1"/>
      <c r="SYF9" s="1"/>
      <c r="SYG9" s="1"/>
      <c r="SYH9" s="1"/>
      <c r="SYI9" s="1"/>
      <c r="SYJ9" s="1"/>
      <c r="SYK9" s="1"/>
      <c r="SYL9" s="1"/>
      <c r="SYM9" s="1"/>
      <c r="SYN9" s="1"/>
      <c r="SYO9" s="1"/>
      <c r="SYP9" s="1"/>
      <c r="SYQ9" s="1"/>
      <c r="SYR9" s="1"/>
      <c r="SYS9" s="1"/>
      <c r="SYT9" s="1"/>
      <c r="SYU9" s="1"/>
      <c r="SYV9" s="1"/>
      <c r="SYW9" s="1"/>
      <c r="SYX9" s="1"/>
      <c r="SYY9" s="1"/>
      <c r="SYZ9" s="1"/>
      <c r="SZA9" s="1"/>
      <c r="SZB9" s="1"/>
      <c r="SZC9" s="1"/>
      <c r="SZD9" s="1"/>
      <c r="SZE9" s="1"/>
      <c r="SZF9" s="1"/>
      <c r="SZG9" s="1"/>
      <c r="SZH9" s="1"/>
      <c r="SZI9" s="1"/>
      <c r="SZJ9" s="1"/>
      <c r="SZK9" s="1"/>
      <c r="SZL9" s="1"/>
      <c r="SZM9" s="1"/>
      <c r="SZN9" s="1"/>
      <c r="SZO9" s="1"/>
      <c r="SZP9" s="1"/>
      <c r="SZQ9" s="1"/>
      <c r="SZR9" s="1"/>
      <c r="SZS9" s="1"/>
      <c r="SZT9" s="1"/>
      <c r="SZU9" s="1"/>
      <c r="SZV9" s="1"/>
      <c r="SZW9" s="1"/>
      <c r="SZX9" s="1"/>
      <c r="SZY9" s="1"/>
      <c r="SZZ9" s="1"/>
      <c r="TAA9" s="1"/>
      <c r="TAB9" s="1"/>
      <c r="TAC9" s="1"/>
      <c r="TAD9" s="1"/>
      <c r="TAE9" s="1"/>
      <c r="TAF9" s="1"/>
      <c r="TAG9" s="1"/>
      <c r="TAH9" s="1"/>
      <c r="TAI9" s="1"/>
      <c r="TAJ9" s="1"/>
      <c r="TAK9" s="1"/>
      <c r="TAL9" s="1"/>
      <c r="TAM9" s="1"/>
      <c r="TAN9" s="1"/>
      <c r="TAO9" s="1"/>
      <c r="TAP9" s="1"/>
      <c r="TAQ9" s="1"/>
      <c r="TAR9" s="1"/>
      <c r="TAS9" s="1"/>
      <c r="TAT9" s="1"/>
      <c r="TAU9" s="1"/>
      <c r="TAV9" s="1"/>
      <c r="TAW9" s="1"/>
      <c r="TAX9" s="1"/>
      <c r="TAY9" s="1"/>
      <c r="TAZ9" s="1"/>
      <c r="TBA9" s="1"/>
      <c r="TBB9" s="1"/>
      <c r="TBC9" s="1"/>
      <c r="TBD9" s="1"/>
      <c r="TBE9" s="1"/>
      <c r="TBF9" s="1"/>
      <c r="TBG9" s="1"/>
      <c r="TBH9" s="1"/>
      <c r="TBI9" s="1"/>
      <c r="TBJ9" s="1"/>
      <c r="TBK9" s="1"/>
      <c r="TBL9" s="1"/>
      <c r="TBM9" s="1"/>
      <c r="TBN9" s="1"/>
      <c r="TBO9" s="1"/>
      <c r="TBP9" s="1"/>
      <c r="TBQ9" s="1"/>
      <c r="TBR9" s="1"/>
      <c r="TBS9" s="1"/>
      <c r="TBT9" s="1"/>
      <c r="TBU9" s="1"/>
      <c r="TBV9" s="1"/>
      <c r="TBW9" s="1"/>
      <c r="TBX9" s="1"/>
      <c r="TBY9" s="1"/>
      <c r="TBZ9" s="1"/>
      <c r="TCA9" s="1"/>
      <c r="TCB9" s="1"/>
      <c r="TCC9" s="1"/>
      <c r="TCD9" s="1"/>
      <c r="TCE9" s="1"/>
      <c r="TCF9" s="1"/>
      <c r="TCG9" s="1"/>
      <c r="TCH9" s="1"/>
      <c r="TCI9" s="1"/>
      <c r="TCJ9" s="1"/>
      <c r="TCK9" s="1"/>
      <c r="TCL9" s="1"/>
      <c r="TCM9" s="1"/>
      <c r="TCN9" s="1"/>
      <c r="TCO9" s="1"/>
      <c r="TCP9" s="1"/>
      <c r="TCQ9" s="1"/>
      <c r="TCR9" s="1"/>
      <c r="TCS9" s="1"/>
      <c r="TCT9" s="1"/>
      <c r="TCU9" s="1"/>
      <c r="TCV9" s="1"/>
      <c r="TCW9" s="1"/>
      <c r="TCX9" s="1"/>
      <c r="TCY9" s="1"/>
      <c r="TCZ9" s="1"/>
      <c r="TDA9" s="1"/>
      <c r="TDB9" s="1"/>
      <c r="TDC9" s="1"/>
      <c r="TDD9" s="1"/>
      <c r="TDE9" s="1"/>
      <c r="TDF9" s="1"/>
      <c r="TDG9" s="1"/>
      <c r="TDH9" s="1"/>
      <c r="TDI9" s="1"/>
      <c r="TDJ9" s="1"/>
      <c r="TDK9" s="1"/>
      <c r="TDL9" s="1"/>
      <c r="TDM9" s="1"/>
      <c r="TDN9" s="1"/>
      <c r="TDO9" s="1"/>
      <c r="TDP9" s="1"/>
      <c r="TDQ9" s="1"/>
      <c r="TDR9" s="1"/>
      <c r="TDS9" s="1"/>
      <c r="TDT9" s="1"/>
      <c r="TDU9" s="1"/>
      <c r="TDV9" s="1"/>
      <c r="TDW9" s="1"/>
      <c r="TDX9" s="1"/>
      <c r="TDY9" s="1"/>
      <c r="TDZ9" s="1"/>
      <c r="TEA9" s="1"/>
      <c r="TEB9" s="1"/>
      <c r="TEC9" s="1"/>
      <c r="TED9" s="1"/>
      <c r="TEE9" s="1"/>
      <c r="TEF9" s="1"/>
      <c r="TEG9" s="1"/>
      <c r="TEH9" s="1"/>
      <c r="TEI9" s="1"/>
      <c r="TEJ9" s="1"/>
      <c r="TEK9" s="1"/>
      <c r="TEL9" s="1"/>
      <c r="TEM9" s="1"/>
      <c r="TEN9" s="1"/>
      <c r="TEO9" s="1"/>
      <c r="TEP9" s="1"/>
      <c r="TEQ9" s="1"/>
      <c r="TER9" s="1"/>
      <c r="TES9" s="1"/>
      <c r="TET9" s="1"/>
      <c r="TEU9" s="1"/>
      <c r="TEV9" s="1"/>
      <c r="TEW9" s="1"/>
      <c r="TEX9" s="1"/>
      <c r="TEY9" s="1"/>
      <c r="TEZ9" s="1"/>
      <c r="TFA9" s="1"/>
      <c r="TFB9" s="1"/>
      <c r="TFC9" s="1"/>
      <c r="TFD9" s="1"/>
      <c r="TFE9" s="1"/>
      <c r="TFF9" s="1"/>
      <c r="TFG9" s="1"/>
      <c r="TFH9" s="1"/>
      <c r="TFI9" s="1"/>
      <c r="TFJ9" s="1"/>
      <c r="TFK9" s="1"/>
      <c r="TFL9" s="1"/>
      <c r="TFM9" s="1"/>
      <c r="TFN9" s="1"/>
      <c r="TFO9" s="1"/>
      <c r="TFP9" s="1"/>
      <c r="TFQ9" s="1"/>
      <c r="TFR9" s="1"/>
      <c r="TFS9" s="1"/>
      <c r="TFT9" s="1"/>
      <c r="TFU9" s="1"/>
      <c r="TFV9" s="1"/>
      <c r="TFW9" s="1"/>
      <c r="TFX9" s="1"/>
      <c r="TFY9" s="1"/>
      <c r="TFZ9" s="1"/>
      <c r="TGA9" s="1"/>
      <c r="TGB9" s="1"/>
      <c r="TGC9" s="1"/>
      <c r="TGD9" s="1"/>
      <c r="TGE9" s="1"/>
      <c r="TGF9" s="1"/>
      <c r="TGG9" s="1"/>
      <c r="TGH9" s="1"/>
      <c r="TGI9" s="1"/>
      <c r="TGJ9" s="1"/>
      <c r="TGK9" s="1"/>
      <c r="TGL9" s="1"/>
      <c r="TGM9" s="1"/>
      <c r="TGN9" s="1"/>
      <c r="TGO9" s="1"/>
      <c r="TGP9" s="1"/>
      <c r="TGQ9" s="1"/>
      <c r="TGR9" s="1"/>
      <c r="TGS9" s="1"/>
      <c r="TGT9" s="1"/>
      <c r="TGU9" s="1"/>
      <c r="TGV9" s="1"/>
      <c r="TGW9" s="1"/>
      <c r="TGX9" s="1"/>
      <c r="TGY9" s="1"/>
      <c r="TGZ9" s="1"/>
      <c r="THA9" s="1"/>
      <c r="THB9" s="1"/>
      <c r="THC9" s="1"/>
      <c r="THD9" s="1"/>
      <c r="THE9" s="1"/>
      <c r="THF9" s="1"/>
      <c r="THG9" s="1"/>
      <c r="THH9" s="1"/>
      <c r="THI9" s="1"/>
      <c r="THJ9" s="1"/>
      <c r="THK9" s="1"/>
      <c r="THL9" s="1"/>
      <c r="THM9" s="1"/>
      <c r="THN9" s="1"/>
      <c r="THO9" s="1"/>
      <c r="THP9" s="1"/>
      <c r="THQ9" s="1"/>
      <c r="THR9" s="1"/>
      <c r="THS9" s="1"/>
      <c r="THT9" s="1"/>
      <c r="THU9" s="1"/>
      <c r="THV9" s="1"/>
      <c r="THW9" s="1"/>
      <c r="THX9" s="1"/>
      <c r="THY9" s="1"/>
      <c r="THZ9" s="1"/>
      <c r="TIA9" s="1"/>
      <c r="TIB9" s="1"/>
      <c r="TIC9" s="1"/>
      <c r="TID9" s="1"/>
      <c r="TIE9" s="1"/>
      <c r="TIF9" s="1"/>
      <c r="TIG9" s="1"/>
      <c r="TIH9" s="1"/>
      <c r="TII9" s="1"/>
      <c r="TIJ9" s="1"/>
      <c r="TIK9" s="1"/>
      <c r="TIL9" s="1"/>
      <c r="TIM9" s="1"/>
      <c r="TIN9" s="1"/>
      <c r="TIO9" s="1"/>
      <c r="TIP9" s="1"/>
      <c r="TIQ9" s="1"/>
      <c r="TIR9" s="1"/>
      <c r="TIS9" s="1"/>
      <c r="TIT9" s="1"/>
      <c r="TIU9" s="1"/>
      <c r="TIV9" s="1"/>
      <c r="TIW9" s="1"/>
      <c r="TIX9" s="1"/>
      <c r="TIY9" s="1"/>
      <c r="TIZ9" s="1"/>
      <c r="TJA9" s="1"/>
      <c r="TJB9" s="1"/>
      <c r="TJC9" s="1"/>
      <c r="TJD9" s="1"/>
      <c r="TJE9" s="1"/>
      <c r="TJF9" s="1"/>
      <c r="TJG9" s="1"/>
      <c r="TJH9" s="1"/>
      <c r="TJI9" s="1"/>
      <c r="TJJ9" s="1"/>
      <c r="TJK9" s="1"/>
      <c r="TJL9" s="1"/>
      <c r="TJM9" s="1"/>
      <c r="TJN9" s="1"/>
      <c r="TJO9" s="1"/>
      <c r="TJP9" s="1"/>
      <c r="TJQ9" s="1"/>
      <c r="TJR9" s="1"/>
      <c r="TJS9" s="1"/>
      <c r="TJT9" s="1"/>
      <c r="TJU9" s="1"/>
      <c r="TJV9" s="1"/>
      <c r="TJW9" s="1"/>
      <c r="TJX9" s="1"/>
      <c r="TJY9" s="1"/>
      <c r="TJZ9" s="1"/>
      <c r="TKA9" s="1"/>
      <c r="TKB9" s="1"/>
      <c r="TKC9" s="1"/>
      <c r="TKD9" s="1"/>
      <c r="TKE9" s="1"/>
      <c r="TKF9" s="1"/>
      <c r="TKG9" s="1"/>
      <c r="TKH9" s="1"/>
      <c r="TKI9" s="1"/>
      <c r="TKJ9" s="1"/>
      <c r="TKK9" s="1"/>
      <c r="TKL9" s="1"/>
      <c r="TKM9" s="1"/>
      <c r="TKN9" s="1"/>
      <c r="TKO9" s="1"/>
      <c r="TKP9" s="1"/>
      <c r="TKQ9" s="1"/>
      <c r="TKR9" s="1"/>
      <c r="TKS9" s="1"/>
      <c r="TKT9" s="1"/>
      <c r="TKU9" s="1"/>
      <c r="TKV9" s="1"/>
      <c r="TKW9" s="1"/>
      <c r="TKX9" s="1"/>
      <c r="TKY9" s="1"/>
      <c r="TKZ9" s="1"/>
      <c r="TLA9" s="1"/>
      <c r="TLB9" s="1"/>
      <c r="TLC9" s="1"/>
      <c r="TLD9" s="1"/>
      <c r="TLE9" s="1"/>
      <c r="TLF9" s="1"/>
      <c r="TLG9" s="1"/>
      <c r="TLH9" s="1"/>
      <c r="TLI9" s="1"/>
      <c r="TLJ9" s="1"/>
      <c r="TLK9" s="1"/>
      <c r="TLL9" s="1"/>
      <c r="TLM9" s="1"/>
      <c r="TLN9" s="1"/>
      <c r="TLO9" s="1"/>
      <c r="TLP9" s="1"/>
      <c r="TLQ9" s="1"/>
      <c r="TLR9" s="1"/>
      <c r="TLS9" s="1"/>
      <c r="TLT9" s="1"/>
      <c r="TLU9" s="1"/>
      <c r="TLV9" s="1"/>
      <c r="TLW9" s="1"/>
      <c r="TLX9" s="1"/>
      <c r="TLY9" s="1"/>
      <c r="TLZ9" s="1"/>
      <c r="TMA9" s="1"/>
      <c r="TMB9" s="1"/>
      <c r="TMC9" s="1"/>
      <c r="TMD9" s="1"/>
      <c r="TME9" s="1"/>
      <c r="TMF9" s="1"/>
      <c r="TMG9" s="1"/>
      <c r="TMH9" s="1"/>
      <c r="TMI9" s="1"/>
      <c r="TMJ9" s="1"/>
      <c r="TMK9" s="1"/>
      <c r="TML9" s="1"/>
      <c r="TMM9" s="1"/>
      <c r="TMN9" s="1"/>
      <c r="TMO9" s="1"/>
      <c r="TMP9" s="1"/>
      <c r="TMQ9" s="1"/>
      <c r="TMR9" s="1"/>
      <c r="TMS9" s="1"/>
      <c r="TMT9" s="1"/>
      <c r="TMU9" s="1"/>
      <c r="TMV9" s="1"/>
      <c r="TMW9" s="1"/>
      <c r="TMX9" s="1"/>
      <c r="TMY9" s="1"/>
      <c r="TMZ9" s="1"/>
      <c r="TNA9" s="1"/>
      <c r="TNB9" s="1"/>
      <c r="TNC9" s="1"/>
      <c r="TND9" s="1"/>
      <c r="TNE9" s="1"/>
      <c r="TNF9" s="1"/>
      <c r="TNG9" s="1"/>
      <c r="TNH9" s="1"/>
      <c r="TNI9" s="1"/>
      <c r="TNJ9" s="1"/>
      <c r="TNK9" s="1"/>
      <c r="TNL9" s="1"/>
      <c r="TNM9" s="1"/>
      <c r="TNN9" s="1"/>
      <c r="TNO9" s="1"/>
      <c r="TNP9" s="1"/>
      <c r="TNQ9" s="1"/>
      <c r="TNR9" s="1"/>
      <c r="TNS9" s="1"/>
      <c r="TNT9" s="1"/>
      <c r="TNU9" s="1"/>
      <c r="TNV9" s="1"/>
      <c r="TNW9" s="1"/>
      <c r="TNX9" s="1"/>
      <c r="TNY9" s="1"/>
      <c r="TNZ9" s="1"/>
      <c r="TOA9" s="1"/>
      <c r="TOB9" s="1"/>
      <c r="TOC9" s="1"/>
      <c r="TOD9" s="1"/>
      <c r="TOE9" s="1"/>
      <c r="TOF9" s="1"/>
      <c r="TOG9" s="1"/>
      <c r="TOH9" s="1"/>
      <c r="TOI9" s="1"/>
      <c r="TOJ9" s="1"/>
      <c r="TOK9" s="1"/>
      <c r="TOL9" s="1"/>
      <c r="TOM9" s="1"/>
      <c r="TON9" s="1"/>
      <c r="TOO9" s="1"/>
      <c r="TOP9" s="1"/>
      <c r="TOQ9" s="1"/>
      <c r="TOR9" s="1"/>
      <c r="TOS9" s="1"/>
      <c r="TOT9" s="1"/>
      <c r="TOU9" s="1"/>
      <c r="TOV9" s="1"/>
      <c r="TOW9" s="1"/>
      <c r="TOX9" s="1"/>
      <c r="TOY9" s="1"/>
      <c r="TOZ9" s="1"/>
      <c r="TPA9" s="1"/>
      <c r="TPB9" s="1"/>
      <c r="TPC9" s="1"/>
      <c r="TPD9" s="1"/>
      <c r="TPE9" s="1"/>
      <c r="TPF9" s="1"/>
      <c r="TPG9" s="1"/>
      <c r="TPH9" s="1"/>
      <c r="TPI9" s="1"/>
      <c r="TPJ9" s="1"/>
      <c r="TPK9" s="1"/>
      <c r="TPL9" s="1"/>
      <c r="TPM9" s="1"/>
      <c r="TPN9" s="1"/>
      <c r="TPO9" s="1"/>
      <c r="TPP9" s="1"/>
      <c r="TPQ9" s="1"/>
      <c r="TPR9" s="1"/>
      <c r="TPS9" s="1"/>
      <c r="TPT9" s="1"/>
      <c r="TPU9" s="1"/>
      <c r="TPV9" s="1"/>
      <c r="TPW9" s="1"/>
      <c r="TPX9" s="1"/>
      <c r="TPY9" s="1"/>
      <c r="TPZ9" s="1"/>
      <c r="TQA9" s="1"/>
      <c r="TQB9" s="1"/>
      <c r="TQC9" s="1"/>
      <c r="TQD9" s="1"/>
      <c r="TQE9" s="1"/>
      <c r="TQF9" s="1"/>
      <c r="TQG9" s="1"/>
      <c r="TQH9" s="1"/>
      <c r="TQI9" s="1"/>
      <c r="TQJ9" s="1"/>
      <c r="TQK9" s="1"/>
      <c r="TQL9" s="1"/>
      <c r="TQM9" s="1"/>
      <c r="TQN9" s="1"/>
      <c r="TQO9" s="1"/>
      <c r="TQP9" s="1"/>
      <c r="TQQ9" s="1"/>
      <c r="TQR9" s="1"/>
      <c r="TQS9" s="1"/>
      <c r="TQT9" s="1"/>
      <c r="TQU9" s="1"/>
      <c r="TQV9" s="1"/>
      <c r="TQW9" s="1"/>
      <c r="TQX9" s="1"/>
      <c r="TQY9" s="1"/>
      <c r="TQZ9" s="1"/>
      <c r="TRA9" s="1"/>
      <c r="TRB9" s="1"/>
      <c r="TRC9" s="1"/>
      <c r="TRD9" s="1"/>
      <c r="TRE9" s="1"/>
      <c r="TRF9" s="1"/>
      <c r="TRG9" s="1"/>
      <c r="TRH9" s="1"/>
      <c r="TRI9" s="1"/>
      <c r="TRJ9" s="1"/>
      <c r="TRK9" s="1"/>
      <c r="TRL9" s="1"/>
      <c r="TRM9" s="1"/>
      <c r="TRN9" s="1"/>
      <c r="TRO9" s="1"/>
      <c r="TRP9" s="1"/>
      <c r="TRQ9" s="1"/>
      <c r="TRR9" s="1"/>
      <c r="TRS9" s="1"/>
      <c r="TRT9" s="1"/>
      <c r="TRU9" s="1"/>
      <c r="TRV9" s="1"/>
      <c r="TRW9" s="1"/>
      <c r="TRX9" s="1"/>
      <c r="TRY9" s="1"/>
      <c r="TRZ9" s="1"/>
      <c r="TSA9" s="1"/>
      <c r="TSB9" s="1"/>
      <c r="TSC9" s="1"/>
      <c r="TSD9" s="1"/>
      <c r="TSE9" s="1"/>
      <c r="TSF9" s="1"/>
      <c r="TSG9" s="1"/>
      <c r="TSH9" s="1"/>
      <c r="TSI9" s="1"/>
      <c r="TSJ9" s="1"/>
      <c r="TSK9" s="1"/>
      <c r="TSL9" s="1"/>
      <c r="TSM9" s="1"/>
      <c r="TSN9" s="1"/>
      <c r="TSO9" s="1"/>
      <c r="TSP9" s="1"/>
      <c r="TSQ9" s="1"/>
      <c r="TSR9" s="1"/>
      <c r="TSS9" s="1"/>
      <c r="TST9" s="1"/>
      <c r="TSU9" s="1"/>
      <c r="TSV9" s="1"/>
      <c r="TSW9" s="1"/>
      <c r="TSX9" s="1"/>
      <c r="TSY9" s="1"/>
      <c r="TSZ9" s="1"/>
      <c r="TTA9" s="1"/>
      <c r="TTB9" s="1"/>
      <c r="TTC9" s="1"/>
      <c r="TTD9" s="1"/>
      <c r="TTE9" s="1"/>
      <c r="TTF9" s="1"/>
      <c r="TTG9" s="1"/>
      <c r="TTH9" s="1"/>
      <c r="TTI9" s="1"/>
      <c r="TTJ9" s="1"/>
      <c r="TTK9" s="1"/>
      <c r="TTL9" s="1"/>
      <c r="TTM9" s="1"/>
      <c r="TTN9" s="1"/>
      <c r="TTO9" s="1"/>
      <c r="TTP9" s="1"/>
      <c r="TTQ9" s="1"/>
      <c r="TTR9" s="1"/>
      <c r="TTS9" s="1"/>
      <c r="TTT9" s="1"/>
      <c r="TTU9" s="1"/>
      <c r="TTV9" s="1"/>
      <c r="TTW9" s="1"/>
      <c r="TTX9" s="1"/>
      <c r="TTY9" s="1"/>
      <c r="TTZ9" s="1"/>
      <c r="TUA9" s="1"/>
      <c r="TUB9" s="1"/>
      <c r="TUC9" s="1"/>
      <c r="TUD9" s="1"/>
      <c r="TUE9" s="1"/>
      <c r="TUF9" s="1"/>
      <c r="TUG9" s="1"/>
      <c r="TUH9" s="1"/>
      <c r="TUI9" s="1"/>
      <c r="TUJ9" s="1"/>
      <c r="TUK9" s="1"/>
      <c r="TUL9" s="1"/>
      <c r="TUM9" s="1"/>
      <c r="TUN9" s="1"/>
      <c r="TUO9" s="1"/>
      <c r="TUP9" s="1"/>
      <c r="TUQ9" s="1"/>
      <c r="TUR9" s="1"/>
      <c r="TUS9" s="1"/>
      <c r="TUT9" s="1"/>
      <c r="TUU9" s="1"/>
      <c r="TUV9" s="1"/>
      <c r="TUW9" s="1"/>
      <c r="TUX9" s="1"/>
      <c r="TUY9" s="1"/>
      <c r="TUZ9" s="1"/>
      <c r="TVA9" s="1"/>
      <c r="TVB9" s="1"/>
      <c r="TVC9" s="1"/>
      <c r="TVD9" s="1"/>
      <c r="TVE9" s="1"/>
      <c r="TVF9" s="1"/>
      <c r="TVG9" s="1"/>
      <c r="TVH9" s="1"/>
      <c r="TVI9" s="1"/>
      <c r="TVJ9" s="1"/>
      <c r="TVK9" s="1"/>
      <c r="TVL9" s="1"/>
      <c r="TVM9" s="1"/>
      <c r="TVN9" s="1"/>
      <c r="TVO9" s="1"/>
      <c r="TVP9" s="1"/>
      <c r="TVQ9" s="1"/>
      <c r="TVR9" s="1"/>
      <c r="TVS9" s="1"/>
      <c r="TVT9" s="1"/>
      <c r="TVU9" s="1"/>
      <c r="TVV9" s="1"/>
      <c r="TVW9" s="1"/>
      <c r="TVX9" s="1"/>
      <c r="TVY9" s="1"/>
      <c r="TVZ9" s="1"/>
      <c r="TWA9" s="1"/>
      <c r="TWB9" s="1"/>
      <c r="TWC9" s="1"/>
      <c r="TWD9" s="1"/>
      <c r="TWE9" s="1"/>
      <c r="TWF9" s="1"/>
      <c r="TWG9" s="1"/>
      <c r="TWH9" s="1"/>
      <c r="TWI9" s="1"/>
      <c r="TWJ9" s="1"/>
      <c r="TWK9" s="1"/>
      <c r="TWL9" s="1"/>
      <c r="TWM9" s="1"/>
      <c r="TWN9" s="1"/>
      <c r="TWO9" s="1"/>
      <c r="TWP9" s="1"/>
      <c r="TWQ9" s="1"/>
      <c r="TWR9" s="1"/>
      <c r="TWS9" s="1"/>
      <c r="TWT9" s="1"/>
      <c r="TWU9" s="1"/>
      <c r="TWV9" s="1"/>
      <c r="TWW9" s="1"/>
      <c r="TWX9" s="1"/>
      <c r="TWY9" s="1"/>
      <c r="TWZ9" s="1"/>
      <c r="TXA9" s="1"/>
      <c r="TXB9" s="1"/>
      <c r="TXC9" s="1"/>
      <c r="TXD9" s="1"/>
      <c r="TXE9" s="1"/>
      <c r="TXF9" s="1"/>
      <c r="TXG9" s="1"/>
      <c r="TXH9" s="1"/>
      <c r="TXI9" s="1"/>
      <c r="TXJ9" s="1"/>
      <c r="TXK9" s="1"/>
      <c r="TXL9" s="1"/>
      <c r="TXM9" s="1"/>
      <c r="TXN9" s="1"/>
      <c r="TXO9" s="1"/>
      <c r="TXP9" s="1"/>
      <c r="TXQ9" s="1"/>
      <c r="TXR9" s="1"/>
      <c r="TXS9" s="1"/>
      <c r="TXT9" s="1"/>
      <c r="TXU9" s="1"/>
      <c r="TXV9" s="1"/>
      <c r="TXW9" s="1"/>
      <c r="TXX9" s="1"/>
      <c r="TXY9" s="1"/>
      <c r="TXZ9" s="1"/>
      <c r="TYA9" s="1"/>
      <c r="TYB9" s="1"/>
      <c r="TYC9" s="1"/>
      <c r="TYD9" s="1"/>
      <c r="TYE9" s="1"/>
      <c r="TYF9" s="1"/>
      <c r="TYG9" s="1"/>
      <c r="TYH9" s="1"/>
      <c r="TYI9" s="1"/>
      <c r="TYJ9" s="1"/>
      <c r="TYK9" s="1"/>
      <c r="TYL9" s="1"/>
      <c r="TYM9" s="1"/>
      <c r="TYN9" s="1"/>
      <c r="TYO9" s="1"/>
      <c r="TYP9" s="1"/>
      <c r="TYQ9" s="1"/>
      <c r="TYR9" s="1"/>
      <c r="TYS9" s="1"/>
      <c r="TYT9" s="1"/>
      <c r="TYU9" s="1"/>
      <c r="TYV9" s="1"/>
      <c r="TYW9" s="1"/>
      <c r="TYX9" s="1"/>
      <c r="TYY9" s="1"/>
      <c r="TYZ9" s="1"/>
      <c r="TZA9" s="1"/>
      <c r="TZB9" s="1"/>
      <c r="TZC9" s="1"/>
      <c r="TZD9" s="1"/>
      <c r="TZE9" s="1"/>
      <c r="TZF9" s="1"/>
      <c r="TZG9" s="1"/>
      <c r="TZH9" s="1"/>
      <c r="TZI9" s="1"/>
      <c r="TZJ9" s="1"/>
      <c r="TZK9" s="1"/>
      <c r="TZL9" s="1"/>
      <c r="TZM9" s="1"/>
      <c r="TZN9" s="1"/>
      <c r="TZO9" s="1"/>
      <c r="TZP9" s="1"/>
      <c r="TZQ9" s="1"/>
      <c r="TZR9" s="1"/>
      <c r="TZS9" s="1"/>
      <c r="TZT9" s="1"/>
      <c r="TZU9" s="1"/>
      <c r="TZV9" s="1"/>
      <c r="TZW9" s="1"/>
      <c r="TZX9" s="1"/>
      <c r="TZY9" s="1"/>
      <c r="TZZ9" s="1"/>
      <c r="UAA9" s="1"/>
      <c r="UAB9" s="1"/>
      <c r="UAC9" s="1"/>
      <c r="UAD9" s="1"/>
      <c r="UAE9" s="1"/>
      <c r="UAF9" s="1"/>
      <c r="UAG9" s="1"/>
      <c r="UAH9" s="1"/>
      <c r="UAI9" s="1"/>
      <c r="UAJ9" s="1"/>
      <c r="UAK9" s="1"/>
      <c r="UAL9" s="1"/>
      <c r="UAM9" s="1"/>
      <c r="UAN9" s="1"/>
      <c r="UAO9" s="1"/>
      <c r="UAP9" s="1"/>
      <c r="UAQ9" s="1"/>
      <c r="UAR9" s="1"/>
      <c r="UAS9" s="1"/>
      <c r="UAT9" s="1"/>
      <c r="UAU9" s="1"/>
      <c r="UAV9" s="1"/>
      <c r="UAW9" s="1"/>
      <c r="UAX9" s="1"/>
      <c r="UAY9" s="1"/>
      <c r="UAZ9" s="1"/>
      <c r="UBA9" s="1"/>
      <c r="UBB9" s="1"/>
      <c r="UBC9" s="1"/>
      <c r="UBD9" s="1"/>
      <c r="UBE9" s="1"/>
      <c r="UBF9" s="1"/>
      <c r="UBG9" s="1"/>
      <c r="UBH9" s="1"/>
      <c r="UBI9" s="1"/>
      <c r="UBJ9" s="1"/>
      <c r="UBK9" s="1"/>
      <c r="UBL9" s="1"/>
      <c r="UBM9" s="1"/>
      <c r="UBN9" s="1"/>
      <c r="UBO9" s="1"/>
      <c r="UBP9" s="1"/>
      <c r="UBQ9" s="1"/>
      <c r="UBR9" s="1"/>
      <c r="UBS9" s="1"/>
      <c r="UBT9" s="1"/>
      <c r="UBU9" s="1"/>
      <c r="UBV9" s="1"/>
      <c r="UBW9" s="1"/>
      <c r="UBX9" s="1"/>
      <c r="UBY9" s="1"/>
      <c r="UBZ9" s="1"/>
      <c r="UCA9" s="1"/>
      <c r="UCB9" s="1"/>
      <c r="UCC9" s="1"/>
      <c r="UCD9" s="1"/>
      <c r="UCE9" s="1"/>
      <c r="UCF9" s="1"/>
      <c r="UCG9" s="1"/>
      <c r="UCH9" s="1"/>
      <c r="UCI9" s="1"/>
      <c r="UCJ9" s="1"/>
      <c r="UCK9" s="1"/>
      <c r="UCL9" s="1"/>
      <c r="UCM9" s="1"/>
      <c r="UCN9" s="1"/>
      <c r="UCO9" s="1"/>
      <c r="UCP9" s="1"/>
      <c r="UCQ9" s="1"/>
      <c r="UCR9" s="1"/>
      <c r="UCS9" s="1"/>
      <c r="UCT9" s="1"/>
      <c r="UCU9" s="1"/>
      <c r="UCV9" s="1"/>
      <c r="UCW9" s="1"/>
      <c r="UCX9" s="1"/>
      <c r="UCY9" s="1"/>
      <c r="UCZ9" s="1"/>
      <c r="UDA9" s="1"/>
      <c r="UDB9" s="1"/>
      <c r="UDC9" s="1"/>
      <c r="UDD9" s="1"/>
      <c r="UDE9" s="1"/>
      <c r="UDF9" s="1"/>
      <c r="UDG9" s="1"/>
      <c r="UDH9" s="1"/>
      <c r="UDI9" s="1"/>
      <c r="UDJ9" s="1"/>
      <c r="UDK9" s="1"/>
      <c r="UDL9" s="1"/>
      <c r="UDM9" s="1"/>
      <c r="UDN9" s="1"/>
      <c r="UDO9" s="1"/>
      <c r="UDP9" s="1"/>
      <c r="UDQ9" s="1"/>
      <c r="UDR9" s="1"/>
      <c r="UDS9" s="1"/>
      <c r="UDT9" s="1"/>
      <c r="UDU9" s="1"/>
      <c r="UDV9" s="1"/>
      <c r="UDW9" s="1"/>
      <c r="UDX9" s="1"/>
      <c r="UDY9" s="1"/>
      <c r="UDZ9" s="1"/>
      <c r="UEA9" s="1"/>
      <c r="UEB9" s="1"/>
      <c r="UEC9" s="1"/>
      <c r="UED9" s="1"/>
      <c r="UEE9" s="1"/>
      <c r="UEF9" s="1"/>
      <c r="UEG9" s="1"/>
      <c r="UEH9" s="1"/>
      <c r="UEI9" s="1"/>
      <c r="UEJ9" s="1"/>
      <c r="UEK9" s="1"/>
      <c r="UEL9" s="1"/>
      <c r="UEM9" s="1"/>
      <c r="UEN9" s="1"/>
      <c r="UEO9" s="1"/>
      <c r="UEP9" s="1"/>
      <c r="UEQ9" s="1"/>
      <c r="UER9" s="1"/>
      <c r="UES9" s="1"/>
      <c r="UET9" s="1"/>
      <c r="UEU9" s="1"/>
      <c r="UEV9" s="1"/>
      <c r="UEW9" s="1"/>
      <c r="UEX9" s="1"/>
      <c r="UEY9" s="1"/>
      <c r="UEZ9" s="1"/>
      <c r="UFA9" s="1"/>
      <c r="UFB9" s="1"/>
      <c r="UFC9" s="1"/>
      <c r="UFD9" s="1"/>
      <c r="UFE9" s="1"/>
      <c r="UFF9" s="1"/>
      <c r="UFG9" s="1"/>
      <c r="UFH9" s="1"/>
      <c r="UFI9" s="1"/>
      <c r="UFJ9" s="1"/>
      <c r="UFK9" s="1"/>
      <c r="UFL9" s="1"/>
      <c r="UFM9" s="1"/>
      <c r="UFN9" s="1"/>
      <c r="UFO9" s="1"/>
      <c r="UFP9" s="1"/>
      <c r="UFQ9" s="1"/>
      <c r="UFR9" s="1"/>
      <c r="UFS9" s="1"/>
      <c r="UFT9" s="1"/>
      <c r="UFU9" s="1"/>
      <c r="UFV9" s="1"/>
      <c r="UFW9" s="1"/>
      <c r="UFX9" s="1"/>
      <c r="UFY9" s="1"/>
      <c r="UFZ9" s="1"/>
      <c r="UGA9" s="1"/>
      <c r="UGB9" s="1"/>
      <c r="UGC9" s="1"/>
      <c r="UGD9" s="1"/>
      <c r="UGE9" s="1"/>
      <c r="UGF9" s="1"/>
      <c r="UGG9" s="1"/>
      <c r="UGH9" s="1"/>
      <c r="UGI9" s="1"/>
      <c r="UGJ9" s="1"/>
      <c r="UGK9" s="1"/>
      <c r="UGL9" s="1"/>
      <c r="UGM9" s="1"/>
      <c r="UGN9" s="1"/>
      <c r="UGO9" s="1"/>
      <c r="UGP9" s="1"/>
      <c r="UGQ9" s="1"/>
      <c r="UGR9" s="1"/>
      <c r="UGS9" s="1"/>
      <c r="UGT9" s="1"/>
      <c r="UGU9" s="1"/>
      <c r="UGV9" s="1"/>
      <c r="UGW9" s="1"/>
      <c r="UGX9" s="1"/>
      <c r="UGY9" s="1"/>
      <c r="UGZ9" s="1"/>
      <c r="UHA9" s="1"/>
      <c r="UHB9" s="1"/>
      <c r="UHC9" s="1"/>
      <c r="UHD9" s="1"/>
      <c r="UHE9" s="1"/>
      <c r="UHF9" s="1"/>
      <c r="UHG9" s="1"/>
      <c r="UHH9" s="1"/>
      <c r="UHI9" s="1"/>
      <c r="UHJ9" s="1"/>
      <c r="UHK9" s="1"/>
      <c r="UHL9" s="1"/>
      <c r="UHM9" s="1"/>
      <c r="UHN9" s="1"/>
      <c r="UHO9" s="1"/>
      <c r="UHP9" s="1"/>
      <c r="UHQ9" s="1"/>
      <c r="UHR9" s="1"/>
      <c r="UHS9" s="1"/>
      <c r="UHT9" s="1"/>
      <c r="UHU9" s="1"/>
      <c r="UHV9" s="1"/>
      <c r="UHW9" s="1"/>
      <c r="UHX9" s="1"/>
      <c r="UHY9" s="1"/>
      <c r="UHZ9" s="1"/>
      <c r="UIA9" s="1"/>
      <c r="UIB9" s="1"/>
      <c r="UIC9" s="1"/>
      <c r="UID9" s="1"/>
      <c r="UIE9" s="1"/>
      <c r="UIF9" s="1"/>
      <c r="UIG9" s="1"/>
      <c r="UIH9" s="1"/>
      <c r="UII9" s="1"/>
      <c r="UIJ9" s="1"/>
      <c r="UIK9" s="1"/>
      <c r="UIL9" s="1"/>
      <c r="UIM9" s="1"/>
      <c r="UIN9" s="1"/>
      <c r="UIO9" s="1"/>
      <c r="UIP9" s="1"/>
      <c r="UIQ9" s="1"/>
      <c r="UIR9" s="1"/>
      <c r="UIS9" s="1"/>
      <c r="UIT9" s="1"/>
      <c r="UIU9" s="1"/>
      <c r="UIV9" s="1"/>
      <c r="UIW9" s="1"/>
      <c r="UIX9" s="1"/>
      <c r="UIY9" s="1"/>
      <c r="UIZ9" s="1"/>
      <c r="UJA9" s="1"/>
      <c r="UJB9" s="1"/>
      <c r="UJC9" s="1"/>
      <c r="UJD9" s="1"/>
      <c r="UJE9" s="1"/>
      <c r="UJF9" s="1"/>
      <c r="UJG9" s="1"/>
      <c r="UJH9" s="1"/>
      <c r="UJI9" s="1"/>
      <c r="UJJ9" s="1"/>
      <c r="UJK9" s="1"/>
      <c r="UJL9" s="1"/>
      <c r="UJM9" s="1"/>
      <c r="UJN9" s="1"/>
      <c r="UJO9" s="1"/>
      <c r="UJP9" s="1"/>
      <c r="UJQ9" s="1"/>
      <c r="UJR9" s="1"/>
      <c r="UJS9" s="1"/>
      <c r="UJT9" s="1"/>
      <c r="UJU9" s="1"/>
      <c r="UJV9" s="1"/>
      <c r="UJW9" s="1"/>
      <c r="UJX9" s="1"/>
      <c r="UJY9" s="1"/>
      <c r="UJZ9" s="1"/>
      <c r="UKA9" s="1"/>
      <c r="UKB9" s="1"/>
      <c r="UKC9" s="1"/>
      <c r="UKD9" s="1"/>
      <c r="UKE9" s="1"/>
      <c r="UKF9" s="1"/>
      <c r="UKG9" s="1"/>
      <c r="UKH9" s="1"/>
      <c r="UKI9" s="1"/>
      <c r="UKJ9" s="1"/>
      <c r="UKK9" s="1"/>
      <c r="UKL9" s="1"/>
      <c r="UKM9" s="1"/>
      <c r="UKN9" s="1"/>
      <c r="UKO9" s="1"/>
      <c r="UKP9" s="1"/>
      <c r="UKQ9" s="1"/>
      <c r="UKR9" s="1"/>
      <c r="UKS9" s="1"/>
      <c r="UKT9" s="1"/>
      <c r="UKU9" s="1"/>
      <c r="UKV9" s="1"/>
      <c r="UKW9" s="1"/>
      <c r="UKX9" s="1"/>
      <c r="UKY9" s="1"/>
      <c r="UKZ9" s="1"/>
      <c r="ULA9" s="1"/>
      <c r="ULB9" s="1"/>
      <c r="ULC9" s="1"/>
      <c r="ULD9" s="1"/>
      <c r="ULE9" s="1"/>
      <c r="ULF9" s="1"/>
      <c r="ULG9" s="1"/>
      <c r="ULH9" s="1"/>
      <c r="ULI9" s="1"/>
      <c r="ULJ9" s="1"/>
      <c r="ULK9" s="1"/>
      <c r="ULL9" s="1"/>
      <c r="ULM9" s="1"/>
      <c r="ULN9" s="1"/>
      <c r="ULO9" s="1"/>
      <c r="ULP9" s="1"/>
      <c r="ULQ9" s="1"/>
      <c r="ULR9" s="1"/>
      <c r="ULS9" s="1"/>
      <c r="ULT9" s="1"/>
      <c r="ULU9" s="1"/>
      <c r="ULV9" s="1"/>
      <c r="ULW9" s="1"/>
      <c r="ULX9" s="1"/>
      <c r="ULY9" s="1"/>
      <c r="ULZ9" s="1"/>
      <c r="UMA9" s="1"/>
      <c r="UMB9" s="1"/>
      <c r="UMC9" s="1"/>
      <c r="UMD9" s="1"/>
      <c r="UME9" s="1"/>
      <c r="UMF9" s="1"/>
      <c r="UMG9" s="1"/>
      <c r="UMH9" s="1"/>
      <c r="UMI9" s="1"/>
      <c r="UMJ9" s="1"/>
      <c r="UMK9" s="1"/>
      <c r="UML9" s="1"/>
      <c r="UMM9" s="1"/>
      <c r="UMN9" s="1"/>
      <c r="UMO9" s="1"/>
      <c r="UMP9" s="1"/>
      <c r="UMQ9" s="1"/>
      <c r="UMR9" s="1"/>
      <c r="UMS9" s="1"/>
      <c r="UMT9" s="1"/>
      <c r="UMU9" s="1"/>
      <c r="UMV9" s="1"/>
      <c r="UMW9" s="1"/>
      <c r="UMX9" s="1"/>
      <c r="UMY9" s="1"/>
      <c r="UMZ9" s="1"/>
      <c r="UNA9" s="1"/>
      <c r="UNB9" s="1"/>
      <c r="UNC9" s="1"/>
      <c r="UND9" s="1"/>
      <c r="UNE9" s="1"/>
      <c r="UNF9" s="1"/>
      <c r="UNG9" s="1"/>
      <c r="UNH9" s="1"/>
      <c r="UNI9" s="1"/>
      <c r="UNJ9" s="1"/>
      <c r="UNK9" s="1"/>
      <c r="UNL9" s="1"/>
      <c r="UNM9" s="1"/>
      <c r="UNN9" s="1"/>
      <c r="UNO9" s="1"/>
      <c r="UNP9" s="1"/>
      <c r="UNQ9" s="1"/>
      <c r="UNR9" s="1"/>
      <c r="UNS9" s="1"/>
      <c r="UNT9" s="1"/>
      <c r="UNU9" s="1"/>
      <c r="UNV9" s="1"/>
      <c r="UNW9" s="1"/>
      <c r="UNX9" s="1"/>
      <c r="UNY9" s="1"/>
      <c r="UNZ9" s="1"/>
      <c r="UOA9" s="1"/>
      <c r="UOB9" s="1"/>
      <c r="UOC9" s="1"/>
      <c r="UOD9" s="1"/>
      <c r="UOE9" s="1"/>
      <c r="UOF9" s="1"/>
      <c r="UOG9" s="1"/>
      <c r="UOH9" s="1"/>
      <c r="UOI9" s="1"/>
      <c r="UOJ9" s="1"/>
      <c r="UOK9" s="1"/>
      <c r="UOL9" s="1"/>
      <c r="UOM9" s="1"/>
      <c r="UON9" s="1"/>
      <c r="UOO9" s="1"/>
      <c r="UOP9" s="1"/>
      <c r="UOQ9" s="1"/>
      <c r="UOR9" s="1"/>
      <c r="UOS9" s="1"/>
      <c r="UOT9" s="1"/>
      <c r="UOU9" s="1"/>
      <c r="UOV9" s="1"/>
      <c r="UOW9" s="1"/>
      <c r="UOX9" s="1"/>
      <c r="UOY9" s="1"/>
      <c r="UOZ9" s="1"/>
      <c r="UPA9" s="1"/>
      <c r="UPB9" s="1"/>
      <c r="UPC9" s="1"/>
      <c r="UPD9" s="1"/>
      <c r="UPE9" s="1"/>
      <c r="UPF9" s="1"/>
      <c r="UPG9" s="1"/>
      <c r="UPH9" s="1"/>
      <c r="UPI9" s="1"/>
      <c r="UPJ9" s="1"/>
      <c r="UPK9" s="1"/>
      <c r="UPL9" s="1"/>
      <c r="UPM9" s="1"/>
      <c r="UPN9" s="1"/>
      <c r="UPO9" s="1"/>
      <c r="UPP9" s="1"/>
      <c r="UPQ9" s="1"/>
      <c r="UPR9" s="1"/>
      <c r="UPS9" s="1"/>
      <c r="UPT9" s="1"/>
      <c r="UPU9" s="1"/>
      <c r="UPV9" s="1"/>
      <c r="UPW9" s="1"/>
      <c r="UPX9" s="1"/>
      <c r="UPY9" s="1"/>
      <c r="UPZ9" s="1"/>
      <c r="UQA9" s="1"/>
      <c r="UQB9" s="1"/>
      <c r="UQC9" s="1"/>
      <c r="UQD9" s="1"/>
      <c r="UQE9" s="1"/>
      <c r="UQF9" s="1"/>
      <c r="UQG9" s="1"/>
      <c r="UQH9" s="1"/>
      <c r="UQI9" s="1"/>
      <c r="UQJ9" s="1"/>
      <c r="UQK9" s="1"/>
      <c r="UQL9" s="1"/>
      <c r="UQM9" s="1"/>
      <c r="UQN9" s="1"/>
      <c r="UQO9" s="1"/>
      <c r="UQP9" s="1"/>
      <c r="UQQ9" s="1"/>
      <c r="UQR9" s="1"/>
      <c r="UQS9" s="1"/>
      <c r="UQT9" s="1"/>
      <c r="UQU9" s="1"/>
      <c r="UQV9" s="1"/>
      <c r="UQW9" s="1"/>
      <c r="UQX9" s="1"/>
      <c r="UQY9" s="1"/>
      <c r="UQZ9" s="1"/>
      <c r="URA9" s="1"/>
      <c r="URB9" s="1"/>
      <c r="URC9" s="1"/>
      <c r="URD9" s="1"/>
      <c r="URE9" s="1"/>
      <c r="URF9" s="1"/>
      <c r="URG9" s="1"/>
      <c r="URH9" s="1"/>
      <c r="URI9" s="1"/>
      <c r="URJ9" s="1"/>
      <c r="URK9" s="1"/>
      <c r="URL9" s="1"/>
      <c r="URM9" s="1"/>
      <c r="URN9" s="1"/>
      <c r="URO9" s="1"/>
      <c r="URP9" s="1"/>
      <c r="URQ9" s="1"/>
      <c r="URR9" s="1"/>
      <c r="URS9" s="1"/>
      <c r="URT9" s="1"/>
      <c r="URU9" s="1"/>
      <c r="URV9" s="1"/>
      <c r="URW9" s="1"/>
      <c r="URX9" s="1"/>
      <c r="URY9" s="1"/>
      <c r="URZ9" s="1"/>
      <c r="USA9" s="1"/>
      <c r="USB9" s="1"/>
      <c r="USC9" s="1"/>
      <c r="USD9" s="1"/>
      <c r="USE9" s="1"/>
      <c r="USF9" s="1"/>
      <c r="USG9" s="1"/>
      <c r="USH9" s="1"/>
      <c r="USI9" s="1"/>
      <c r="USJ9" s="1"/>
      <c r="USK9" s="1"/>
      <c r="USL9" s="1"/>
      <c r="USM9" s="1"/>
      <c r="USN9" s="1"/>
      <c r="USO9" s="1"/>
      <c r="USP9" s="1"/>
      <c r="USQ9" s="1"/>
      <c r="USR9" s="1"/>
      <c r="USS9" s="1"/>
      <c r="UST9" s="1"/>
      <c r="USU9" s="1"/>
      <c r="USV9" s="1"/>
      <c r="USW9" s="1"/>
      <c r="USX9" s="1"/>
      <c r="USY9" s="1"/>
      <c r="USZ9" s="1"/>
      <c r="UTA9" s="1"/>
      <c r="UTB9" s="1"/>
      <c r="UTC9" s="1"/>
      <c r="UTD9" s="1"/>
      <c r="UTE9" s="1"/>
      <c r="UTF9" s="1"/>
      <c r="UTG9" s="1"/>
      <c r="UTH9" s="1"/>
      <c r="UTI9" s="1"/>
      <c r="UTJ9" s="1"/>
      <c r="UTK9" s="1"/>
      <c r="UTL9" s="1"/>
      <c r="UTM9" s="1"/>
      <c r="UTN9" s="1"/>
      <c r="UTO9" s="1"/>
      <c r="UTP9" s="1"/>
      <c r="UTQ9" s="1"/>
      <c r="UTR9" s="1"/>
      <c r="UTS9" s="1"/>
      <c r="UTT9" s="1"/>
      <c r="UTU9" s="1"/>
      <c r="UTV9" s="1"/>
      <c r="UTW9" s="1"/>
      <c r="UTX9" s="1"/>
      <c r="UTY9" s="1"/>
      <c r="UTZ9" s="1"/>
      <c r="UUA9" s="1"/>
      <c r="UUB9" s="1"/>
      <c r="UUC9" s="1"/>
      <c r="UUD9" s="1"/>
      <c r="UUE9" s="1"/>
      <c r="UUF9" s="1"/>
      <c r="UUG9" s="1"/>
      <c r="UUH9" s="1"/>
      <c r="UUI9" s="1"/>
      <c r="UUJ9" s="1"/>
      <c r="UUK9" s="1"/>
      <c r="UUL9" s="1"/>
      <c r="UUM9" s="1"/>
      <c r="UUN9" s="1"/>
      <c r="UUO9" s="1"/>
      <c r="UUP9" s="1"/>
      <c r="UUQ9" s="1"/>
      <c r="UUR9" s="1"/>
      <c r="UUS9" s="1"/>
      <c r="UUT9" s="1"/>
      <c r="UUU9" s="1"/>
      <c r="UUV9" s="1"/>
      <c r="UUW9" s="1"/>
      <c r="UUX9" s="1"/>
      <c r="UUY9" s="1"/>
      <c r="UUZ9" s="1"/>
      <c r="UVA9" s="1"/>
      <c r="UVB9" s="1"/>
      <c r="UVC9" s="1"/>
      <c r="UVD9" s="1"/>
      <c r="UVE9" s="1"/>
      <c r="UVF9" s="1"/>
      <c r="UVG9" s="1"/>
      <c r="UVH9" s="1"/>
      <c r="UVI9" s="1"/>
      <c r="UVJ9" s="1"/>
      <c r="UVK9" s="1"/>
      <c r="UVL9" s="1"/>
      <c r="UVM9" s="1"/>
      <c r="UVN9" s="1"/>
      <c r="UVO9" s="1"/>
      <c r="UVP9" s="1"/>
      <c r="UVQ9" s="1"/>
      <c r="UVR9" s="1"/>
      <c r="UVS9" s="1"/>
      <c r="UVT9" s="1"/>
      <c r="UVU9" s="1"/>
      <c r="UVV9" s="1"/>
      <c r="UVW9" s="1"/>
      <c r="UVX9" s="1"/>
      <c r="UVY9" s="1"/>
      <c r="UVZ9" s="1"/>
      <c r="UWA9" s="1"/>
      <c r="UWB9" s="1"/>
      <c r="UWC9" s="1"/>
      <c r="UWD9" s="1"/>
      <c r="UWE9" s="1"/>
      <c r="UWF9" s="1"/>
      <c r="UWG9" s="1"/>
      <c r="UWH9" s="1"/>
      <c r="UWI9" s="1"/>
      <c r="UWJ9" s="1"/>
      <c r="UWK9" s="1"/>
      <c r="UWL9" s="1"/>
      <c r="UWM9" s="1"/>
      <c r="UWN9" s="1"/>
      <c r="UWO9" s="1"/>
      <c r="UWP9" s="1"/>
      <c r="UWQ9" s="1"/>
      <c r="UWR9" s="1"/>
      <c r="UWS9" s="1"/>
      <c r="UWT9" s="1"/>
      <c r="UWU9" s="1"/>
      <c r="UWV9" s="1"/>
      <c r="UWW9" s="1"/>
      <c r="UWX9" s="1"/>
      <c r="UWY9" s="1"/>
      <c r="UWZ9" s="1"/>
      <c r="UXA9" s="1"/>
      <c r="UXB9" s="1"/>
      <c r="UXC9" s="1"/>
      <c r="UXD9" s="1"/>
      <c r="UXE9" s="1"/>
      <c r="UXF9" s="1"/>
      <c r="UXG9" s="1"/>
      <c r="UXH9" s="1"/>
      <c r="UXI9" s="1"/>
      <c r="UXJ9" s="1"/>
      <c r="UXK9" s="1"/>
      <c r="UXL9" s="1"/>
      <c r="UXM9" s="1"/>
      <c r="UXN9" s="1"/>
      <c r="UXO9" s="1"/>
      <c r="UXP9" s="1"/>
      <c r="UXQ9" s="1"/>
      <c r="UXR9" s="1"/>
      <c r="UXS9" s="1"/>
      <c r="UXT9" s="1"/>
      <c r="UXU9" s="1"/>
      <c r="UXV9" s="1"/>
      <c r="UXW9" s="1"/>
      <c r="UXX9" s="1"/>
      <c r="UXY9" s="1"/>
      <c r="UXZ9" s="1"/>
      <c r="UYA9" s="1"/>
      <c r="UYB9" s="1"/>
      <c r="UYC9" s="1"/>
      <c r="UYD9" s="1"/>
      <c r="UYE9" s="1"/>
      <c r="UYF9" s="1"/>
      <c r="UYG9" s="1"/>
      <c r="UYH9" s="1"/>
      <c r="UYI9" s="1"/>
      <c r="UYJ9" s="1"/>
      <c r="UYK9" s="1"/>
      <c r="UYL9" s="1"/>
      <c r="UYM9" s="1"/>
      <c r="UYN9" s="1"/>
      <c r="UYO9" s="1"/>
      <c r="UYP9" s="1"/>
      <c r="UYQ9" s="1"/>
      <c r="UYR9" s="1"/>
      <c r="UYS9" s="1"/>
      <c r="UYT9" s="1"/>
      <c r="UYU9" s="1"/>
      <c r="UYV9" s="1"/>
      <c r="UYW9" s="1"/>
      <c r="UYX9" s="1"/>
      <c r="UYY9" s="1"/>
      <c r="UYZ9" s="1"/>
      <c r="UZA9" s="1"/>
      <c r="UZB9" s="1"/>
      <c r="UZC9" s="1"/>
      <c r="UZD9" s="1"/>
      <c r="UZE9" s="1"/>
      <c r="UZF9" s="1"/>
      <c r="UZG9" s="1"/>
      <c r="UZH9" s="1"/>
      <c r="UZI9" s="1"/>
      <c r="UZJ9" s="1"/>
      <c r="UZK9" s="1"/>
      <c r="UZL9" s="1"/>
      <c r="UZM9" s="1"/>
      <c r="UZN9" s="1"/>
      <c r="UZO9" s="1"/>
      <c r="UZP9" s="1"/>
      <c r="UZQ9" s="1"/>
      <c r="UZR9" s="1"/>
      <c r="UZS9" s="1"/>
      <c r="UZT9" s="1"/>
      <c r="UZU9" s="1"/>
      <c r="UZV9" s="1"/>
      <c r="UZW9" s="1"/>
      <c r="UZX9" s="1"/>
      <c r="UZY9" s="1"/>
      <c r="UZZ9" s="1"/>
      <c r="VAA9" s="1"/>
      <c r="VAB9" s="1"/>
      <c r="VAC9" s="1"/>
      <c r="VAD9" s="1"/>
      <c r="VAE9" s="1"/>
      <c r="VAF9" s="1"/>
      <c r="VAG9" s="1"/>
      <c r="VAH9" s="1"/>
      <c r="VAI9" s="1"/>
      <c r="VAJ9" s="1"/>
      <c r="VAK9" s="1"/>
      <c r="VAL9" s="1"/>
      <c r="VAM9" s="1"/>
      <c r="VAN9" s="1"/>
      <c r="VAO9" s="1"/>
      <c r="VAP9" s="1"/>
      <c r="VAQ9" s="1"/>
      <c r="VAR9" s="1"/>
      <c r="VAS9" s="1"/>
      <c r="VAT9" s="1"/>
      <c r="VAU9" s="1"/>
      <c r="VAV9" s="1"/>
      <c r="VAW9" s="1"/>
      <c r="VAX9" s="1"/>
      <c r="VAY9" s="1"/>
      <c r="VAZ9" s="1"/>
      <c r="VBA9" s="1"/>
      <c r="VBB9" s="1"/>
      <c r="VBC9" s="1"/>
      <c r="VBD9" s="1"/>
      <c r="VBE9" s="1"/>
      <c r="VBF9" s="1"/>
      <c r="VBG9" s="1"/>
      <c r="VBH9" s="1"/>
      <c r="VBI9" s="1"/>
      <c r="VBJ9" s="1"/>
      <c r="VBK9" s="1"/>
      <c r="VBL9" s="1"/>
      <c r="VBM9" s="1"/>
      <c r="VBN9" s="1"/>
      <c r="VBO9" s="1"/>
      <c r="VBP9" s="1"/>
      <c r="VBQ9" s="1"/>
      <c r="VBR9" s="1"/>
      <c r="VBS9" s="1"/>
      <c r="VBT9" s="1"/>
      <c r="VBU9" s="1"/>
      <c r="VBV9" s="1"/>
      <c r="VBW9" s="1"/>
      <c r="VBX9" s="1"/>
      <c r="VBY9" s="1"/>
      <c r="VBZ9" s="1"/>
      <c r="VCA9" s="1"/>
      <c r="VCB9" s="1"/>
      <c r="VCC9" s="1"/>
      <c r="VCD9" s="1"/>
      <c r="VCE9" s="1"/>
      <c r="VCF9" s="1"/>
      <c r="VCG9" s="1"/>
      <c r="VCH9" s="1"/>
      <c r="VCI9" s="1"/>
      <c r="VCJ9" s="1"/>
      <c r="VCK9" s="1"/>
      <c r="VCL9" s="1"/>
      <c r="VCM9" s="1"/>
      <c r="VCN9" s="1"/>
      <c r="VCO9" s="1"/>
      <c r="VCP9" s="1"/>
      <c r="VCQ9" s="1"/>
      <c r="VCR9" s="1"/>
      <c r="VCS9" s="1"/>
      <c r="VCT9" s="1"/>
      <c r="VCU9" s="1"/>
      <c r="VCV9" s="1"/>
      <c r="VCW9" s="1"/>
      <c r="VCX9" s="1"/>
      <c r="VCY9" s="1"/>
      <c r="VCZ9" s="1"/>
      <c r="VDA9" s="1"/>
      <c r="VDB9" s="1"/>
      <c r="VDC9" s="1"/>
      <c r="VDD9" s="1"/>
      <c r="VDE9" s="1"/>
      <c r="VDF9" s="1"/>
      <c r="VDG9" s="1"/>
      <c r="VDH9" s="1"/>
      <c r="VDI9" s="1"/>
      <c r="VDJ9" s="1"/>
      <c r="VDK9" s="1"/>
      <c r="VDL9" s="1"/>
      <c r="VDM9" s="1"/>
      <c r="VDN9" s="1"/>
      <c r="VDO9" s="1"/>
      <c r="VDP9" s="1"/>
      <c r="VDQ9" s="1"/>
      <c r="VDR9" s="1"/>
      <c r="VDS9" s="1"/>
      <c r="VDT9" s="1"/>
      <c r="VDU9" s="1"/>
      <c r="VDV9" s="1"/>
      <c r="VDW9" s="1"/>
      <c r="VDX9" s="1"/>
      <c r="VDY9" s="1"/>
      <c r="VDZ9" s="1"/>
      <c r="VEA9" s="1"/>
      <c r="VEB9" s="1"/>
      <c r="VEC9" s="1"/>
      <c r="VED9" s="1"/>
      <c r="VEE9" s="1"/>
      <c r="VEF9" s="1"/>
      <c r="VEG9" s="1"/>
      <c r="VEH9" s="1"/>
      <c r="VEI9" s="1"/>
      <c r="VEJ9" s="1"/>
      <c r="VEK9" s="1"/>
      <c r="VEL9" s="1"/>
      <c r="VEM9" s="1"/>
      <c r="VEN9" s="1"/>
      <c r="VEO9" s="1"/>
      <c r="VEP9" s="1"/>
      <c r="VEQ9" s="1"/>
      <c r="VER9" s="1"/>
      <c r="VES9" s="1"/>
      <c r="VET9" s="1"/>
      <c r="VEU9" s="1"/>
      <c r="VEV9" s="1"/>
      <c r="VEW9" s="1"/>
      <c r="VEX9" s="1"/>
      <c r="VEY9" s="1"/>
      <c r="VEZ9" s="1"/>
      <c r="VFA9" s="1"/>
      <c r="VFB9" s="1"/>
      <c r="VFC9" s="1"/>
      <c r="VFD9" s="1"/>
      <c r="VFE9" s="1"/>
      <c r="VFF9" s="1"/>
      <c r="VFG9" s="1"/>
      <c r="VFH9" s="1"/>
      <c r="VFI9" s="1"/>
      <c r="VFJ9" s="1"/>
      <c r="VFK9" s="1"/>
      <c r="VFL9" s="1"/>
      <c r="VFM9" s="1"/>
      <c r="VFN9" s="1"/>
      <c r="VFO9" s="1"/>
      <c r="VFP9" s="1"/>
      <c r="VFQ9" s="1"/>
      <c r="VFR9" s="1"/>
      <c r="VFS9" s="1"/>
      <c r="VFT9" s="1"/>
      <c r="VFU9" s="1"/>
      <c r="VFV9" s="1"/>
      <c r="VFW9" s="1"/>
      <c r="VFX9" s="1"/>
      <c r="VFY9" s="1"/>
      <c r="VFZ9" s="1"/>
      <c r="VGA9" s="1"/>
      <c r="VGB9" s="1"/>
      <c r="VGC9" s="1"/>
      <c r="VGD9" s="1"/>
      <c r="VGE9" s="1"/>
      <c r="VGF9" s="1"/>
      <c r="VGG9" s="1"/>
      <c r="VGH9" s="1"/>
      <c r="VGI9" s="1"/>
      <c r="VGJ9" s="1"/>
      <c r="VGK9" s="1"/>
      <c r="VGL9" s="1"/>
      <c r="VGM9" s="1"/>
      <c r="VGN9" s="1"/>
      <c r="VGO9" s="1"/>
      <c r="VGP9" s="1"/>
      <c r="VGQ9" s="1"/>
      <c r="VGR9" s="1"/>
      <c r="VGS9" s="1"/>
      <c r="VGT9" s="1"/>
      <c r="VGU9" s="1"/>
      <c r="VGV9" s="1"/>
      <c r="VGW9" s="1"/>
      <c r="VGX9" s="1"/>
      <c r="VGY9" s="1"/>
      <c r="VGZ9" s="1"/>
      <c r="VHA9" s="1"/>
      <c r="VHB9" s="1"/>
      <c r="VHC9" s="1"/>
      <c r="VHD9" s="1"/>
      <c r="VHE9" s="1"/>
      <c r="VHF9" s="1"/>
      <c r="VHG9" s="1"/>
      <c r="VHH9" s="1"/>
      <c r="VHI9" s="1"/>
      <c r="VHJ9" s="1"/>
      <c r="VHK9" s="1"/>
      <c r="VHL9" s="1"/>
      <c r="VHM9" s="1"/>
      <c r="VHN9" s="1"/>
      <c r="VHO9" s="1"/>
      <c r="VHP9" s="1"/>
      <c r="VHQ9" s="1"/>
      <c r="VHR9" s="1"/>
      <c r="VHS9" s="1"/>
      <c r="VHT9" s="1"/>
      <c r="VHU9" s="1"/>
      <c r="VHV9" s="1"/>
      <c r="VHW9" s="1"/>
      <c r="VHX9" s="1"/>
      <c r="VHY9" s="1"/>
      <c r="VHZ9" s="1"/>
      <c r="VIA9" s="1"/>
      <c r="VIB9" s="1"/>
      <c r="VIC9" s="1"/>
      <c r="VID9" s="1"/>
      <c r="VIE9" s="1"/>
      <c r="VIF9" s="1"/>
      <c r="VIG9" s="1"/>
      <c r="VIH9" s="1"/>
      <c r="VII9" s="1"/>
      <c r="VIJ9" s="1"/>
      <c r="VIK9" s="1"/>
      <c r="VIL9" s="1"/>
      <c r="VIM9" s="1"/>
      <c r="VIN9" s="1"/>
      <c r="VIO9" s="1"/>
      <c r="VIP9" s="1"/>
      <c r="VIQ9" s="1"/>
      <c r="VIR9" s="1"/>
      <c r="VIS9" s="1"/>
      <c r="VIT9" s="1"/>
      <c r="VIU9" s="1"/>
      <c r="VIV9" s="1"/>
      <c r="VIW9" s="1"/>
      <c r="VIX9" s="1"/>
      <c r="VIY9" s="1"/>
      <c r="VIZ9" s="1"/>
      <c r="VJA9" s="1"/>
      <c r="VJB9" s="1"/>
      <c r="VJC9" s="1"/>
      <c r="VJD9" s="1"/>
      <c r="VJE9" s="1"/>
      <c r="VJF9" s="1"/>
      <c r="VJG9" s="1"/>
      <c r="VJH9" s="1"/>
      <c r="VJI9" s="1"/>
      <c r="VJJ9" s="1"/>
      <c r="VJK9" s="1"/>
      <c r="VJL9" s="1"/>
      <c r="VJM9" s="1"/>
      <c r="VJN9" s="1"/>
      <c r="VJO9" s="1"/>
      <c r="VJP9" s="1"/>
      <c r="VJQ9" s="1"/>
      <c r="VJR9" s="1"/>
      <c r="VJS9" s="1"/>
      <c r="VJT9" s="1"/>
      <c r="VJU9" s="1"/>
      <c r="VJV9" s="1"/>
      <c r="VJW9" s="1"/>
      <c r="VJX9" s="1"/>
      <c r="VJY9" s="1"/>
      <c r="VJZ9" s="1"/>
      <c r="VKA9" s="1"/>
      <c r="VKB9" s="1"/>
      <c r="VKC9" s="1"/>
      <c r="VKD9" s="1"/>
      <c r="VKE9" s="1"/>
      <c r="VKF9" s="1"/>
      <c r="VKG9" s="1"/>
      <c r="VKH9" s="1"/>
      <c r="VKI9" s="1"/>
      <c r="VKJ9" s="1"/>
      <c r="VKK9" s="1"/>
      <c r="VKL9" s="1"/>
      <c r="VKM9" s="1"/>
      <c r="VKN9" s="1"/>
      <c r="VKO9" s="1"/>
      <c r="VKP9" s="1"/>
      <c r="VKQ9" s="1"/>
      <c r="VKR9" s="1"/>
      <c r="VKS9" s="1"/>
      <c r="VKT9" s="1"/>
      <c r="VKU9" s="1"/>
      <c r="VKV9" s="1"/>
      <c r="VKW9" s="1"/>
      <c r="VKX9" s="1"/>
      <c r="VKY9" s="1"/>
      <c r="VKZ9" s="1"/>
      <c r="VLA9" s="1"/>
      <c r="VLB9" s="1"/>
      <c r="VLC9" s="1"/>
      <c r="VLD9" s="1"/>
      <c r="VLE9" s="1"/>
      <c r="VLF9" s="1"/>
      <c r="VLG9" s="1"/>
      <c r="VLH9" s="1"/>
      <c r="VLI9" s="1"/>
      <c r="VLJ9" s="1"/>
      <c r="VLK9" s="1"/>
      <c r="VLL9" s="1"/>
      <c r="VLM9" s="1"/>
      <c r="VLN9" s="1"/>
      <c r="VLO9" s="1"/>
      <c r="VLP9" s="1"/>
      <c r="VLQ9" s="1"/>
      <c r="VLR9" s="1"/>
      <c r="VLS9" s="1"/>
      <c r="VLT9" s="1"/>
      <c r="VLU9" s="1"/>
      <c r="VLV9" s="1"/>
      <c r="VLW9" s="1"/>
      <c r="VLX9" s="1"/>
      <c r="VLY9" s="1"/>
      <c r="VLZ9" s="1"/>
      <c r="VMA9" s="1"/>
      <c r="VMB9" s="1"/>
      <c r="VMC9" s="1"/>
      <c r="VMD9" s="1"/>
      <c r="VME9" s="1"/>
      <c r="VMF9" s="1"/>
      <c r="VMG9" s="1"/>
      <c r="VMH9" s="1"/>
      <c r="VMI9" s="1"/>
      <c r="VMJ9" s="1"/>
      <c r="VMK9" s="1"/>
      <c r="VML9" s="1"/>
      <c r="VMM9" s="1"/>
      <c r="VMN9" s="1"/>
      <c r="VMO9" s="1"/>
      <c r="VMP9" s="1"/>
      <c r="VMQ9" s="1"/>
      <c r="VMR9" s="1"/>
      <c r="VMS9" s="1"/>
      <c r="VMT9" s="1"/>
      <c r="VMU9" s="1"/>
      <c r="VMV9" s="1"/>
      <c r="VMW9" s="1"/>
      <c r="VMX9" s="1"/>
      <c r="VMY9" s="1"/>
      <c r="VMZ9" s="1"/>
      <c r="VNA9" s="1"/>
      <c r="VNB9" s="1"/>
      <c r="VNC9" s="1"/>
      <c r="VND9" s="1"/>
      <c r="VNE9" s="1"/>
      <c r="VNF9" s="1"/>
      <c r="VNG9" s="1"/>
      <c r="VNH9" s="1"/>
      <c r="VNI9" s="1"/>
      <c r="VNJ9" s="1"/>
      <c r="VNK9" s="1"/>
      <c r="VNL9" s="1"/>
      <c r="VNM9" s="1"/>
      <c r="VNN9" s="1"/>
      <c r="VNO9" s="1"/>
      <c r="VNP9" s="1"/>
      <c r="VNQ9" s="1"/>
      <c r="VNR9" s="1"/>
      <c r="VNS9" s="1"/>
      <c r="VNT9" s="1"/>
      <c r="VNU9" s="1"/>
      <c r="VNV9" s="1"/>
      <c r="VNW9" s="1"/>
      <c r="VNX9" s="1"/>
      <c r="VNY9" s="1"/>
      <c r="VNZ9" s="1"/>
      <c r="VOA9" s="1"/>
      <c r="VOB9" s="1"/>
      <c r="VOC9" s="1"/>
      <c r="VOD9" s="1"/>
      <c r="VOE9" s="1"/>
      <c r="VOF9" s="1"/>
      <c r="VOG9" s="1"/>
      <c r="VOH9" s="1"/>
      <c r="VOI9" s="1"/>
      <c r="VOJ9" s="1"/>
      <c r="VOK9" s="1"/>
      <c r="VOL9" s="1"/>
      <c r="VOM9" s="1"/>
      <c r="VON9" s="1"/>
      <c r="VOO9" s="1"/>
      <c r="VOP9" s="1"/>
      <c r="VOQ9" s="1"/>
      <c r="VOR9" s="1"/>
      <c r="VOS9" s="1"/>
      <c r="VOT9" s="1"/>
      <c r="VOU9" s="1"/>
      <c r="VOV9" s="1"/>
      <c r="VOW9" s="1"/>
      <c r="VOX9" s="1"/>
      <c r="VOY9" s="1"/>
      <c r="VOZ9" s="1"/>
      <c r="VPA9" s="1"/>
      <c r="VPB9" s="1"/>
      <c r="VPC9" s="1"/>
      <c r="VPD9" s="1"/>
      <c r="VPE9" s="1"/>
      <c r="VPF9" s="1"/>
      <c r="VPG9" s="1"/>
      <c r="VPH9" s="1"/>
      <c r="VPI9" s="1"/>
      <c r="VPJ9" s="1"/>
      <c r="VPK9" s="1"/>
      <c r="VPL9" s="1"/>
      <c r="VPM9" s="1"/>
      <c r="VPN9" s="1"/>
      <c r="VPO9" s="1"/>
      <c r="VPP9" s="1"/>
      <c r="VPQ9" s="1"/>
      <c r="VPR9" s="1"/>
      <c r="VPS9" s="1"/>
      <c r="VPT9" s="1"/>
      <c r="VPU9" s="1"/>
      <c r="VPV9" s="1"/>
      <c r="VPW9" s="1"/>
      <c r="VPX9" s="1"/>
      <c r="VPY9" s="1"/>
      <c r="VPZ9" s="1"/>
      <c r="VQA9" s="1"/>
      <c r="VQB9" s="1"/>
      <c r="VQC9" s="1"/>
      <c r="VQD9" s="1"/>
      <c r="VQE9" s="1"/>
      <c r="VQF9" s="1"/>
      <c r="VQG9" s="1"/>
      <c r="VQH9" s="1"/>
      <c r="VQI9" s="1"/>
      <c r="VQJ9" s="1"/>
      <c r="VQK9" s="1"/>
      <c r="VQL9" s="1"/>
      <c r="VQM9" s="1"/>
      <c r="VQN9" s="1"/>
      <c r="VQO9" s="1"/>
      <c r="VQP9" s="1"/>
      <c r="VQQ9" s="1"/>
      <c r="VQR9" s="1"/>
      <c r="VQS9" s="1"/>
      <c r="VQT9" s="1"/>
      <c r="VQU9" s="1"/>
      <c r="VQV9" s="1"/>
      <c r="VQW9" s="1"/>
      <c r="VQX9" s="1"/>
      <c r="VQY9" s="1"/>
      <c r="VQZ9" s="1"/>
      <c r="VRA9" s="1"/>
      <c r="VRB9" s="1"/>
      <c r="VRC9" s="1"/>
      <c r="VRD9" s="1"/>
      <c r="VRE9" s="1"/>
      <c r="VRF9" s="1"/>
      <c r="VRG9" s="1"/>
      <c r="VRH9" s="1"/>
      <c r="VRI9" s="1"/>
      <c r="VRJ9" s="1"/>
      <c r="VRK9" s="1"/>
      <c r="VRL9" s="1"/>
      <c r="VRM9" s="1"/>
      <c r="VRN9" s="1"/>
      <c r="VRO9" s="1"/>
      <c r="VRP9" s="1"/>
      <c r="VRQ9" s="1"/>
      <c r="VRR9" s="1"/>
      <c r="VRS9" s="1"/>
      <c r="VRT9" s="1"/>
      <c r="VRU9" s="1"/>
      <c r="VRV9" s="1"/>
      <c r="VRW9" s="1"/>
      <c r="VRX9" s="1"/>
      <c r="VRY9" s="1"/>
      <c r="VRZ9" s="1"/>
      <c r="VSA9" s="1"/>
      <c r="VSB9" s="1"/>
      <c r="VSC9" s="1"/>
      <c r="VSD9" s="1"/>
      <c r="VSE9" s="1"/>
      <c r="VSF9" s="1"/>
      <c r="VSG9" s="1"/>
      <c r="VSH9" s="1"/>
      <c r="VSI9" s="1"/>
      <c r="VSJ9" s="1"/>
      <c r="VSK9" s="1"/>
      <c r="VSL9" s="1"/>
      <c r="VSM9" s="1"/>
      <c r="VSN9" s="1"/>
      <c r="VSO9" s="1"/>
      <c r="VSP9" s="1"/>
      <c r="VSQ9" s="1"/>
      <c r="VSR9" s="1"/>
      <c r="VSS9" s="1"/>
      <c r="VST9" s="1"/>
      <c r="VSU9" s="1"/>
      <c r="VSV9" s="1"/>
      <c r="VSW9" s="1"/>
      <c r="VSX9" s="1"/>
      <c r="VSY9" s="1"/>
      <c r="VSZ9" s="1"/>
      <c r="VTA9" s="1"/>
      <c r="VTB9" s="1"/>
      <c r="VTC9" s="1"/>
      <c r="VTD9" s="1"/>
      <c r="VTE9" s="1"/>
      <c r="VTF9" s="1"/>
      <c r="VTG9" s="1"/>
      <c r="VTH9" s="1"/>
      <c r="VTI9" s="1"/>
      <c r="VTJ9" s="1"/>
      <c r="VTK9" s="1"/>
      <c r="VTL9" s="1"/>
      <c r="VTM9" s="1"/>
      <c r="VTN9" s="1"/>
      <c r="VTO9" s="1"/>
      <c r="VTP9" s="1"/>
      <c r="VTQ9" s="1"/>
      <c r="VTR9" s="1"/>
      <c r="VTS9" s="1"/>
      <c r="VTT9" s="1"/>
      <c r="VTU9" s="1"/>
      <c r="VTV9" s="1"/>
      <c r="VTW9" s="1"/>
      <c r="VTX9" s="1"/>
      <c r="VTY9" s="1"/>
      <c r="VTZ9" s="1"/>
      <c r="VUA9" s="1"/>
      <c r="VUB9" s="1"/>
      <c r="VUC9" s="1"/>
      <c r="VUD9" s="1"/>
      <c r="VUE9" s="1"/>
      <c r="VUF9" s="1"/>
      <c r="VUG9" s="1"/>
      <c r="VUH9" s="1"/>
      <c r="VUI9" s="1"/>
      <c r="VUJ9" s="1"/>
      <c r="VUK9" s="1"/>
      <c r="VUL9" s="1"/>
      <c r="VUM9" s="1"/>
      <c r="VUN9" s="1"/>
      <c r="VUO9" s="1"/>
      <c r="VUP9" s="1"/>
      <c r="VUQ9" s="1"/>
      <c r="VUR9" s="1"/>
      <c r="VUS9" s="1"/>
      <c r="VUT9" s="1"/>
      <c r="VUU9" s="1"/>
      <c r="VUV9" s="1"/>
      <c r="VUW9" s="1"/>
      <c r="VUX9" s="1"/>
      <c r="VUY9" s="1"/>
      <c r="VUZ9" s="1"/>
      <c r="VVA9" s="1"/>
      <c r="VVB9" s="1"/>
      <c r="VVC9" s="1"/>
      <c r="VVD9" s="1"/>
      <c r="VVE9" s="1"/>
      <c r="VVF9" s="1"/>
      <c r="VVG9" s="1"/>
      <c r="VVH9" s="1"/>
      <c r="VVI9" s="1"/>
      <c r="VVJ9" s="1"/>
      <c r="VVK9" s="1"/>
      <c r="VVL9" s="1"/>
      <c r="VVM9" s="1"/>
      <c r="VVN9" s="1"/>
      <c r="VVO9" s="1"/>
      <c r="VVP9" s="1"/>
      <c r="VVQ9" s="1"/>
      <c r="VVR9" s="1"/>
      <c r="VVS9" s="1"/>
      <c r="VVT9" s="1"/>
      <c r="VVU9" s="1"/>
      <c r="VVV9" s="1"/>
      <c r="VVW9" s="1"/>
      <c r="VVX9" s="1"/>
      <c r="VVY9" s="1"/>
      <c r="VVZ9" s="1"/>
      <c r="VWA9" s="1"/>
      <c r="VWB9" s="1"/>
      <c r="VWC9" s="1"/>
      <c r="VWD9" s="1"/>
      <c r="VWE9" s="1"/>
      <c r="VWF9" s="1"/>
      <c r="VWG9" s="1"/>
      <c r="VWH9" s="1"/>
      <c r="VWI9" s="1"/>
      <c r="VWJ9" s="1"/>
      <c r="VWK9" s="1"/>
      <c r="VWL9" s="1"/>
      <c r="VWM9" s="1"/>
      <c r="VWN9" s="1"/>
      <c r="VWO9" s="1"/>
      <c r="VWP9" s="1"/>
      <c r="VWQ9" s="1"/>
      <c r="VWR9" s="1"/>
      <c r="VWS9" s="1"/>
      <c r="VWT9" s="1"/>
      <c r="VWU9" s="1"/>
      <c r="VWV9" s="1"/>
      <c r="VWW9" s="1"/>
      <c r="VWX9" s="1"/>
      <c r="VWY9" s="1"/>
      <c r="VWZ9" s="1"/>
      <c r="VXA9" s="1"/>
      <c r="VXB9" s="1"/>
      <c r="VXC9" s="1"/>
      <c r="VXD9" s="1"/>
      <c r="VXE9" s="1"/>
      <c r="VXF9" s="1"/>
      <c r="VXG9" s="1"/>
      <c r="VXH9" s="1"/>
      <c r="VXI9" s="1"/>
      <c r="VXJ9" s="1"/>
      <c r="VXK9" s="1"/>
      <c r="VXL9" s="1"/>
      <c r="VXM9" s="1"/>
      <c r="VXN9" s="1"/>
      <c r="VXO9" s="1"/>
      <c r="VXP9" s="1"/>
      <c r="VXQ9" s="1"/>
      <c r="VXR9" s="1"/>
      <c r="VXS9" s="1"/>
      <c r="VXT9" s="1"/>
      <c r="VXU9" s="1"/>
      <c r="VXV9" s="1"/>
      <c r="VXW9" s="1"/>
      <c r="VXX9" s="1"/>
      <c r="VXY9" s="1"/>
      <c r="VXZ9" s="1"/>
      <c r="VYA9" s="1"/>
      <c r="VYB9" s="1"/>
      <c r="VYC9" s="1"/>
      <c r="VYD9" s="1"/>
      <c r="VYE9" s="1"/>
      <c r="VYF9" s="1"/>
      <c r="VYG9" s="1"/>
      <c r="VYH9" s="1"/>
      <c r="VYI9" s="1"/>
      <c r="VYJ9" s="1"/>
      <c r="VYK9" s="1"/>
      <c r="VYL9" s="1"/>
      <c r="VYM9" s="1"/>
      <c r="VYN9" s="1"/>
      <c r="VYO9" s="1"/>
      <c r="VYP9" s="1"/>
      <c r="VYQ9" s="1"/>
      <c r="VYR9" s="1"/>
      <c r="VYS9" s="1"/>
      <c r="VYT9" s="1"/>
      <c r="VYU9" s="1"/>
      <c r="VYV9" s="1"/>
      <c r="VYW9" s="1"/>
      <c r="VYX9" s="1"/>
      <c r="VYY9" s="1"/>
      <c r="VYZ9" s="1"/>
      <c r="VZA9" s="1"/>
      <c r="VZB9" s="1"/>
      <c r="VZC9" s="1"/>
      <c r="VZD9" s="1"/>
      <c r="VZE9" s="1"/>
      <c r="VZF9" s="1"/>
      <c r="VZG9" s="1"/>
      <c r="VZH9" s="1"/>
      <c r="VZI9" s="1"/>
      <c r="VZJ9" s="1"/>
      <c r="VZK9" s="1"/>
      <c r="VZL9" s="1"/>
      <c r="VZM9" s="1"/>
      <c r="VZN9" s="1"/>
      <c r="VZO9" s="1"/>
      <c r="VZP9" s="1"/>
      <c r="VZQ9" s="1"/>
      <c r="VZR9" s="1"/>
      <c r="VZS9" s="1"/>
      <c r="VZT9" s="1"/>
      <c r="VZU9" s="1"/>
      <c r="VZV9" s="1"/>
      <c r="VZW9" s="1"/>
      <c r="VZX9" s="1"/>
      <c r="VZY9" s="1"/>
      <c r="VZZ9" s="1"/>
      <c r="WAA9" s="1"/>
      <c r="WAB9" s="1"/>
      <c r="WAC9" s="1"/>
      <c r="WAD9" s="1"/>
      <c r="WAE9" s="1"/>
      <c r="WAF9" s="1"/>
      <c r="WAG9" s="1"/>
      <c r="WAH9" s="1"/>
      <c r="WAI9" s="1"/>
      <c r="WAJ9" s="1"/>
      <c r="WAK9" s="1"/>
      <c r="WAL9" s="1"/>
      <c r="WAM9" s="1"/>
      <c r="WAN9" s="1"/>
      <c r="WAO9" s="1"/>
      <c r="WAP9" s="1"/>
      <c r="WAQ9" s="1"/>
      <c r="WAR9" s="1"/>
      <c r="WAS9" s="1"/>
      <c r="WAT9" s="1"/>
      <c r="WAU9" s="1"/>
      <c r="WAV9" s="1"/>
      <c r="WAW9" s="1"/>
      <c r="WAX9" s="1"/>
      <c r="WAY9" s="1"/>
      <c r="WAZ9" s="1"/>
      <c r="WBA9" s="1"/>
      <c r="WBB9" s="1"/>
      <c r="WBC9" s="1"/>
      <c r="WBD9" s="1"/>
      <c r="WBE9" s="1"/>
      <c r="WBF9" s="1"/>
      <c r="WBG9" s="1"/>
      <c r="WBH9" s="1"/>
      <c r="WBI9" s="1"/>
      <c r="WBJ9" s="1"/>
      <c r="WBK9" s="1"/>
      <c r="WBL9" s="1"/>
      <c r="WBM9" s="1"/>
      <c r="WBN9" s="1"/>
      <c r="WBO9" s="1"/>
      <c r="WBP9" s="1"/>
      <c r="WBQ9" s="1"/>
      <c r="WBR9" s="1"/>
      <c r="WBS9" s="1"/>
      <c r="WBT9" s="1"/>
      <c r="WBU9" s="1"/>
      <c r="WBV9" s="1"/>
      <c r="WBW9" s="1"/>
      <c r="WBX9" s="1"/>
      <c r="WBY9" s="1"/>
      <c r="WBZ9" s="1"/>
      <c r="WCA9" s="1"/>
      <c r="WCB9" s="1"/>
      <c r="WCC9" s="1"/>
      <c r="WCD9" s="1"/>
      <c r="WCE9" s="1"/>
      <c r="WCF9" s="1"/>
      <c r="WCG9" s="1"/>
      <c r="WCH9" s="1"/>
      <c r="WCI9" s="1"/>
      <c r="WCJ9" s="1"/>
      <c r="WCK9" s="1"/>
      <c r="WCL9" s="1"/>
      <c r="WCM9" s="1"/>
      <c r="WCN9" s="1"/>
      <c r="WCO9" s="1"/>
      <c r="WCP9" s="1"/>
      <c r="WCQ9" s="1"/>
      <c r="WCR9" s="1"/>
      <c r="WCS9" s="1"/>
      <c r="WCT9" s="1"/>
      <c r="WCU9" s="1"/>
      <c r="WCV9" s="1"/>
      <c r="WCW9" s="1"/>
      <c r="WCX9" s="1"/>
      <c r="WCY9" s="1"/>
      <c r="WCZ9" s="1"/>
      <c r="WDA9" s="1"/>
      <c r="WDB9" s="1"/>
      <c r="WDC9" s="1"/>
      <c r="WDD9" s="1"/>
      <c r="WDE9" s="1"/>
      <c r="WDF9" s="1"/>
      <c r="WDG9" s="1"/>
      <c r="WDH9" s="1"/>
      <c r="WDI9" s="1"/>
      <c r="WDJ9" s="1"/>
      <c r="WDK9" s="1"/>
      <c r="WDL9" s="1"/>
      <c r="WDM9" s="1"/>
      <c r="WDN9" s="1"/>
      <c r="WDO9" s="1"/>
      <c r="WDP9" s="1"/>
      <c r="WDQ9" s="1"/>
      <c r="WDR9" s="1"/>
      <c r="WDS9" s="1"/>
      <c r="WDT9" s="1"/>
      <c r="WDU9" s="1"/>
      <c r="WDV9" s="1"/>
      <c r="WDW9" s="1"/>
      <c r="WDX9" s="1"/>
      <c r="WDY9" s="1"/>
      <c r="WDZ9" s="1"/>
      <c r="WEA9" s="1"/>
      <c r="WEB9" s="1"/>
      <c r="WEC9" s="1"/>
      <c r="WED9" s="1"/>
      <c r="WEE9" s="1"/>
      <c r="WEF9" s="1"/>
      <c r="WEG9" s="1"/>
      <c r="WEH9" s="1"/>
      <c r="WEI9" s="1"/>
      <c r="WEJ9" s="1"/>
      <c r="WEK9" s="1"/>
      <c r="WEL9" s="1"/>
      <c r="WEM9" s="1"/>
      <c r="WEN9" s="1"/>
      <c r="WEO9" s="1"/>
      <c r="WEP9" s="1"/>
      <c r="WEQ9" s="1"/>
      <c r="WER9" s="1"/>
      <c r="WES9" s="1"/>
      <c r="WET9" s="1"/>
      <c r="WEU9" s="1"/>
      <c r="WEV9" s="1"/>
      <c r="WEW9" s="1"/>
      <c r="WEX9" s="1"/>
      <c r="WEY9" s="1"/>
      <c r="WEZ9" s="1"/>
      <c r="WFA9" s="1"/>
      <c r="WFB9" s="1"/>
      <c r="WFC9" s="1"/>
      <c r="WFD9" s="1"/>
      <c r="WFE9" s="1"/>
      <c r="WFF9" s="1"/>
      <c r="WFG9" s="1"/>
      <c r="WFH9" s="1"/>
      <c r="WFI9" s="1"/>
      <c r="WFJ9" s="1"/>
      <c r="WFK9" s="1"/>
      <c r="WFL9" s="1"/>
      <c r="WFM9" s="1"/>
      <c r="WFN9" s="1"/>
      <c r="WFO9" s="1"/>
      <c r="WFP9" s="1"/>
      <c r="WFQ9" s="1"/>
      <c r="WFR9" s="1"/>
      <c r="WFS9" s="1"/>
      <c r="WFT9" s="1"/>
      <c r="WFU9" s="1"/>
      <c r="WFV9" s="1"/>
      <c r="WFW9" s="1"/>
      <c r="WFX9" s="1"/>
      <c r="WFY9" s="1"/>
      <c r="WFZ9" s="1"/>
      <c r="WGA9" s="1"/>
      <c r="WGB9" s="1"/>
      <c r="WGC9" s="1"/>
      <c r="WGD9" s="1"/>
      <c r="WGE9" s="1"/>
      <c r="WGF9" s="1"/>
      <c r="WGG9" s="1"/>
      <c r="WGH9" s="1"/>
      <c r="WGI9" s="1"/>
      <c r="WGJ9" s="1"/>
      <c r="WGK9" s="1"/>
      <c r="WGL9" s="1"/>
      <c r="WGM9" s="1"/>
      <c r="WGN9" s="1"/>
      <c r="WGO9" s="1"/>
      <c r="WGP9" s="1"/>
      <c r="WGQ9" s="1"/>
      <c r="WGR9" s="1"/>
      <c r="WGS9" s="1"/>
      <c r="WGT9" s="1"/>
      <c r="WGU9" s="1"/>
      <c r="WGV9" s="1"/>
      <c r="WGW9" s="1"/>
      <c r="WGX9" s="1"/>
      <c r="WGY9" s="1"/>
      <c r="WGZ9" s="1"/>
      <c r="WHA9" s="1"/>
      <c r="WHB9" s="1"/>
      <c r="WHC9" s="1"/>
      <c r="WHD9" s="1"/>
      <c r="WHE9" s="1"/>
      <c r="WHF9" s="1"/>
      <c r="WHG9" s="1"/>
      <c r="WHH9" s="1"/>
      <c r="WHI9" s="1"/>
      <c r="WHJ9" s="1"/>
      <c r="WHK9" s="1"/>
      <c r="WHL9" s="1"/>
      <c r="WHM9" s="1"/>
      <c r="WHN9" s="1"/>
      <c r="WHO9" s="1"/>
      <c r="WHP9" s="1"/>
      <c r="WHQ9" s="1"/>
      <c r="WHR9" s="1"/>
      <c r="WHS9" s="1"/>
      <c r="WHT9" s="1"/>
      <c r="WHU9" s="1"/>
      <c r="WHV9" s="1"/>
      <c r="WHW9" s="1"/>
      <c r="WHX9" s="1"/>
      <c r="WHY9" s="1"/>
      <c r="WHZ9" s="1"/>
      <c r="WIA9" s="1"/>
      <c r="WIB9" s="1"/>
      <c r="WIC9" s="1"/>
      <c r="WID9" s="1"/>
      <c r="WIE9" s="1"/>
      <c r="WIF9" s="1"/>
      <c r="WIG9" s="1"/>
      <c r="WIH9" s="1"/>
      <c r="WII9" s="1"/>
      <c r="WIJ9" s="1"/>
      <c r="WIK9" s="1"/>
      <c r="WIL9" s="1"/>
      <c r="WIM9" s="1"/>
      <c r="WIN9" s="1"/>
      <c r="WIO9" s="1"/>
      <c r="WIP9" s="1"/>
      <c r="WIQ9" s="1"/>
      <c r="WIR9" s="1"/>
      <c r="WIS9" s="1"/>
      <c r="WIT9" s="1"/>
      <c r="WIU9" s="1"/>
      <c r="WIV9" s="1"/>
      <c r="WIW9" s="1"/>
      <c r="WIX9" s="1"/>
      <c r="WIY9" s="1"/>
      <c r="WIZ9" s="1"/>
      <c r="WJA9" s="1"/>
      <c r="WJB9" s="1"/>
      <c r="WJC9" s="1"/>
      <c r="WJD9" s="1"/>
      <c r="WJE9" s="1"/>
      <c r="WJF9" s="1"/>
      <c r="WJG9" s="1"/>
      <c r="WJH9" s="1"/>
      <c r="WJI9" s="1"/>
      <c r="WJJ9" s="1"/>
      <c r="WJK9" s="1"/>
      <c r="WJL9" s="1"/>
      <c r="WJM9" s="1"/>
      <c r="WJN9" s="1"/>
      <c r="WJO9" s="1"/>
      <c r="WJP9" s="1"/>
      <c r="WJQ9" s="1"/>
      <c r="WJR9" s="1"/>
      <c r="WJS9" s="1"/>
      <c r="WJT9" s="1"/>
      <c r="WJU9" s="1"/>
      <c r="WJV9" s="1"/>
      <c r="WJW9" s="1"/>
      <c r="WJX9" s="1"/>
      <c r="WJY9" s="1"/>
      <c r="WJZ9" s="1"/>
      <c r="WKA9" s="1"/>
      <c r="WKB9" s="1"/>
      <c r="WKC9" s="1"/>
      <c r="WKD9" s="1"/>
      <c r="WKE9" s="1"/>
      <c r="WKF9" s="1"/>
      <c r="WKG9" s="1"/>
      <c r="WKH9" s="1"/>
      <c r="WKI9" s="1"/>
      <c r="WKJ9" s="1"/>
      <c r="WKK9" s="1"/>
      <c r="WKL9" s="1"/>
      <c r="WKM9" s="1"/>
      <c r="WKN9" s="1"/>
      <c r="WKO9" s="1"/>
      <c r="WKP9" s="1"/>
      <c r="WKQ9" s="1"/>
      <c r="WKR9" s="1"/>
      <c r="WKS9" s="1"/>
      <c r="WKT9" s="1"/>
      <c r="WKU9" s="1"/>
      <c r="WKV9" s="1"/>
      <c r="WKW9" s="1"/>
      <c r="WKX9" s="1"/>
      <c r="WKY9" s="1"/>
      <c r="WKZ9" s="1"/>
      <c r="WLA9" s="1"/>
      <c r="WLB9" s="1"/>
      <c r="WLC9" s="1"/>
      <c r="WLD9" s="1"/>
      <c r="WLE9" s="1"/>
      <c r="WLF9" s="1"/>
      <c r="WLG9" s="1"/>
      <c r="WLH9" s="1"/>
      <c r="WLI9" s="1"/>
      <c r="WLJ9" s="1"/>
      <c r="WLK9" s="1"/>
      <c r="WLL9" s="1"/>
      <c r="WLM9" s="1"/>
      <c r="WLN9" s="1"/>
      <c r="WLO9" s="1"/>
      <c r="WLP9" s="1"/>
      <c r="WLQ9" s="1"/>
      <c r="WLR9" s="1"/>
      <c r="WLS9" s="1"/>
      <c r="WLT9" s="1"/>
      <c r="WLU9" s="1"/>
      <c r="WLV9" s="1"/>
      <c r="WLW9" s="1"/>
      <c r="WLX9" s="1"/>
      <c r="WLY9" s="1"/>
      <c r="WLZ9" s="1"/>
      <c r="WMA9" s="1"/>
      <c r="WMB9" s="1"/>
      <c r="WMC9" s="1"/>
      <c r="WMD9" s="1"/>
      <c r="WME9" s="1"/>
      <c r="WMF9" s="1"/>
      <c r="WMG9" s="1"/>
      <c r="WMH9" s="1"/>
      <c r="WMI9" s="1"/>
      <c r="WMJ9" s="1"/>
      <c r="WMK9" s="1"/>
      <c r="WML9" s="1"/>
      <c r="WMM9" s="1"/>
      <c r="WMN9" s="1"/>
      <c r="WMO9" s="1"/>
      <c r="WMP9" s="1"/>
      <c r="WMQ9" s="1"/>
      <c r="WMR9" s="1"/>
      <c r="WMS9" s="1"/>
      <c r="WMT9" s="1"/>
      <c r="WMU9" s="1"/>
      <c r="WMV9" s="1"/>
      <c r="WMW9" s="1"/>
      <c r="WMX9" s="1"/>
      <c r="WMY9" s="1"/>
      <c r="WMZ9" s="1"/>
      <c r="WNA9" s="1"/>
      <c r="WNB9" s="1"/>
      <c r="WNC9" s="1"/>
      <c r="WND9" s="1"/>
      <c r="WNE9" s="1"/>
      <c r="WNF9" s="1"/>
      <c r="WNG9" s="1"/>
      <c r="WNH9" s="1"/>
      <c r="WNI9" s="1"/>
      <c r="WNJ9" s="1"/>
      <c r="WNK9" s="1"/>
      <c r="WNL9" s="1"/>
      <c r="WNM9" s="1"/>
      <c r="WNN9" s="1"/>
      <c r="WNO9" s="1"/>
      <c r="WNP9" s="1"/>
      <c r="WNQ9" s="1"/>
      <c r="WNR9" s="1"/>
      <c r="WNS9" s="1"/>
      <c r="WNT9" s="1"/>
      <c r="WNU9" s="1"/>
      <c r="WNV9" s="1"/>
      <c r="WNW9" s="1"/>
      <c r="WNX9" s="1"/>
      <c r="WNY9" s="1"/>
      <c r="WNZ9" s="1"/>
      <c r="WOA9" s="1"/>
      <c r="WOB9" s="1"/>
      <c r="WOC9" s="1"/>
      <c r="WOD9" s="1"/>
      <c r="WOE9" s="1"/>
      <c r="WOF9" s="1"/>
      <c r="WOG9" s="1"/>
      <c r="WOH9" s="1"/>
      <c r="WOI9" s="1"/>
      <c r="WOJ9" s="1"/>
      <c r="WOK9" s="1"/>
      <c r="WOL9" s="1"/>
      <c r="WOM9" s="1"/>
      <c r="WON9" s="1"/>
      <c r="WOO9" s="1"/>
      <c r="WOP9" s="1"/>
      <c r="WOQ9" s="1"/>
      <c r="WOR9" s="1"/>
      <c r="WOS9" s="1"/>
      <c r="WOT9" s="1"/>
      <c r="WOU9" s="1"/>
      <c r="WOV9" s="1"/>
      <c r="WOW9" s="1"/>
      <c r="WOX9" s="1"/>
      <c r="WOY9" s="1"/>
      <c r="WOZ9" s="1"/>
      <c r="WPA9" s="1"/>
      <c r="WPB9" s="1"/>
      <c r="WPC9" s="1"/>
      <c r="WPD9" s="1"/>
      <c r="WPE9" s="1"/>
      <c r="WPF9" s="1"/>
      <c r="WPG9" s="1"/>
      <c r="WPH9" s="1"/>
      <c r="WPI9" s="1"/>
      <c r="WPJ9" s="1"/>
      <c r="WPK9" s="1"/>
      <c r="WPL9" s="1"/>
      <c r="WPM9" s="1"/>
      <c r="WPN9" s="1"/>
      <c r="WPO9" s="1"/>
      <c r="WPP9" s="1"/>
      <c r="WPQ9" s="1"/>
      <c r="WPR9" s="1"/>
      <c r="WPS9" s="1"/>
      <c r="WPT9" s="1"/>
      <c r="WPU9" s="1"/>
      <c r="WPV9" s="1"/>
      <c r="WPW9" s="1"/>
      <c r="WPX9" s="1"/>
      <c r="WPY9" s="1"/>
      <c r="WPZ9" s="1"/>
      <c r="WQA9" s="1"/>
      <c r="WQB9" s="1"/>
      <c r="WQC9" s="1"/>
      <c r="WQD9" s="1"/>
      <c r="WQE9" s="1"/>
      <c r="WQF9" s="1"/>
      <c r="WQG9" s="1"/>
      <c r="WQH9" s="1"/>
      <c r="WQI9" s="1"/>
      <c r="WQJ9" s="1"/>
      <c r="WQK9" s="1"/>
      <c r="WQL9" s="1"/>
      <c r="WQM9" s="1"/>
      <c r="WQN9" s="1"/>
      <c r="WQO9" s="1"/>
      <c r="WQP9" s="1"/>
      <c r="WQQ9" s="1"/>
      <c r="WQR9" s="1"/>
      <c r="WQS9" s="1"/>
      <c r="WQT9" s="1"/>
      <c r="WQU9" s="1"/>
      <c r="WQV9" s="1"/>
      <c r="WQW9" s="1"/>
      <c r="WQX9" s="1"/>
      <c r="WQY9" s="1"/>
      <c r="WQZ9" s="1"/>
      <c r="WRA9" s="1"/>
      <c r="WRB9" s="1"/>
      <c r="WRC9" s="1"/>
      <c r="WRD9" s="1"/>
      <c r="WRE9" s="1"/>
      <c r="WRF9" s="1"/>
      <c r="WRG9" s="1"/>
      <c r="WRH9" s="1"/>
      <c r="WRI9" s="1"/>
      <c r="WRJ9" s="1"/>
      <c r="WRK9" s="1"/>
      <c r="WRL9" s="1"/>
      <c r="WRM9" s="1"/>
      <c r="WRN9" s="1"/>
      <c r="WRO9" s="1"/>
      <c r="WRP9" s="1"/>
      <c r="WRQ9" s="1"/>
      <c r="WRR9" s="1"/>
      <c r="WRS9" s="1"/>
      <c r="WRT9" s="1"/>
      <c r="WRU9" s="1"/>
      <c r="WRV9" s="1"/>
      <c r="WRW9" s="1"/>
      <c r="WRX9" s="1"/>
      <c r="WRY9" s="1"/>
      <c r="WRZ9" s="1"/>
      <c r="WSA9" s="1"/>
      <c r="WSB9" s="1"/>
      <c r="WSC9" s="1"/>
      <c r="WSD9" s="1"/>
      <c r="WSE9" s="1"/>
      <c r="WSF9" s="1"/>
      <c r="WSG9" s="1"/>
      <c r="WSH9" s="1"/>
      <c r="WSI9" s="1"/>
      <c r="WSJ9" s="1"/>
      <c r="WSK9" s="1"/>
      <c r="WSL9" s="1"/>
      <c r="WSM9" s="1"/>
      <c r="WSN9" s="1"/>
      <c r="WSO9" s="1"/>
      <c r="WSP9" s="1"/>
      <c r="WSQ9" s="1"/>
      <c r="WSR9" s="1"/>
      <c r="WSS9" s="1"/>
      <c r="WST9" s="1"/>
      <c r="WSU9" s="1"/>
      <c r="WSV9" s="1"/>
      <c r="WSW9" s="1"/>
      <c r="WSX9" s="1"/>
      <c r="WSY9" s="1"/>
      <c r="WSZ9" s="1"/>
      <c r="WTA9" s="1"/>
      <c r="WTB9" s="1"/>
      <c r="WTC9" s="1"/>
      <c r="WTD9" s="1"/>
      <c r="WTE9" s="1"/>
      <c r="WTF9" s="1"/>
      <c r="WTG9" s="1"/>
      <c r="WTH9" s="1"/>
      <c r="WTI9" s="1"/>
      <c r="WTJ9" s="1"/>
      <c r="WTK9" s="1"/>
      <c r="WTL9" s="1"/>
      <c r="WTM9" s="1"/>
      <c r="WTN9" s="1"/>
      <c r="WTO9" s="1"/>
      <c r="WTP9" s="1"/>
      <c r="WTQ9" s="1"/>
      <c r="WTR9" s="1"/>
      <c r="WTS9" s="1"/>
      <c r="WTT9" s="1"/>
      <c r="WTU9" s="1"/>
      <c r="WTV9" s="1"/>
      <c r="WTW9" s="1"/>
      <c r="WTX9" s="1"/>
      <c r="WTY9" s="1"/>
      <c r="WTZ9" s="1"/>
      <c r="WUA9" s="1"/>
      <c r="WUB9" s="1"/>
      <c r="WUC9" s="1"/>
      <c r="WUD9" s="1"/>
      <c r="WUE9" s="1"/>
      <c r="WUF9" s="1"/>
      <c r="WUG9" s="1"/>
      <c r="WUH9" s="1"/>
      <c r="WUI9" s="1"/>
      <c r="WUJ9" s="1"/>
      <c r="WUK9" s="1"/>
      <c r="WUL9" s="1"/>
      <c r="WUM9" s="1"/>
      <c r="WUN9" s="1"/>
      <c r="WUO9" s="1"/>
      <c r="WUP9" s="1"/>
      <c r="WUQ9" s="1"/>
      <c r="WUR9" s="1"/>
      <c r="WUS9" s="1"/>
      <c r="WUT9" s="1"/>
      <c r="WUU9" s="1"/>
      <c r="WUV9" s="1"/>
      <c r="WUW9" s="1"/>
      <c r="WUX9" s="1"/>
      <c r="WUY9" s="1"/>
      <c r="WUZ9" s="1"/>
      <c r="WVA9" s="1"/>
      <c r="WVB9" s="1"/>
      <c r="WVC9" s="1"/>
      <c r="WVD9" s="1"/>
      <c r="WVE9" s="1"/>
      <c r="WVF9" s="1"/>
      <c r="WVG9" s="1"/>
      <c r="WVH9" s="1"/>
      <c r="WVI9" s="1"/>
      <c r="WVJ9" s="1"/>
      <c r="WVK9" s="1"/>
      <c r="WVL9" s="1"/>
      <c r="WVM9" s="1"/>
      <c r="WVN9" s="1"/>
      <c r="WVO9" s="1"/>
      <c r="WVP9" s="1"/>
      <c r="WVQ9" s="1"/>
      <c r="WVR9" s="1"/>
      <c r="WVS9" s="1"/>
      <c r="WVT9" s="1"/>
      <c r="WVU9" s="1"/>
      <c r="WVV9" s="1"/>
      <c r="WVW9" s="1"/>
      <c r="WVX9" s="1"/>
      <c r="WVY9" s="1"/>
      <c r="WVZ9" s="1"/>
      <c r="WWA9" s="1"/>
      <c r="WWB9" s="1"/>
      <c r="WWC9" s="1"/>
      <c r="WWD9" s="1"/>
      <c r="WWE9" s="1"/>
      <c r="WWF9" s="1"/>
      <c r="WWG9" s="1"/>
      <c r="WWH9" s="1"/>
      <c r="WWI9" s="1"/>
      <c r="WWJ9" s="1"/>
      <c r="WWK9" s="1"/>
      <c r="WWL9" s="1"/>
      <c r="WWM9" s="1"/>
      <c r="WWN9" s="1"/>
      <c r="WWO9" s="1"/>
      <c r="WWP9" s="1"/>
      <c r="WWQ9" s="1"/>
      <c r="WWR9" s="1"/>
      <c r="WWS9" s="1"/>
      <c r="WWT9" s="1"/>
      <c r="WWU9" s="1"/>
      <c r="WWV9" s="1"/>
      <c r="WWW9" s="1"/>
      <c r="WWX9" s="1"/>
      <c r="WWY9" s="1"/>
      <c r="WWZ9" s="1"/>
      <c r="WXA9" s="1"/>
      <c r="WXB9" s="1"/>
      <c r="WXC9" s="1"/>
      <c r="WXD9" s="1"/>
      <c r="WXE9" s="1"/>
      <c r="WXF9" s="1"/>
      <c r="WXG9" s="1"/>
      <c r="WXH9" s="1"/>
      <c r="WXI9" s="1"/>
      <c r="WXJ9" s="1"/>
      <c r="WXK9" s="1"/>
      <c r="WXL9" s="1"/>
      <c r="WXM9" s="1"/>
      <c r="WXN9" s="1"/>
      <c r="WXO9" s="1"/>
      <c r="WXP9" s="1"/>
      <c r="WXQ9" s="1"/>
      <c r="WXR9" s="1"/>
      <c r="WXS9" s="1"/>
      <c r="WXT9" s="1"/>
      <c r="WXU9" s="1"/>
      <c r="WXV9" s="1"/>
      <c r="WXW9" s="1"/>
      <c r="WXX9" s="1"/>
      <c r="WXY9" s="1"/>
      <c r="WXZ9" s="1"/>
      <c r="WYA9" s="1"/>
      <c r="WYB9" s="1"/>
      <c r="WYC9" s="1"/>
      <c r="WYD9" s="1"/>
      <c r="WYE9" s="1"/>
      <c r="WYF9" s="1"/>
      <c r="WYG9" s="1"/>
      <c r="WYH9" s="1"/>
      <c r="WYI9" s="1"/>
      <c r="WYJ9" s="1"/>
      <c r="WYK9" s="1"/>
      <c r="WYL9" s="1"/>
      <c r="WYM9" s="1"/>
      <c r="WYN9" s="1"/>
      <c r="WYO9" s="1"/>
      <c r="WYP9" s="1"/>
      <c r="WYQ9" s="1"/>
      <c r="WYR9" s="1"/>
      <c r="WYS9" s="1"/>
      <c r="WYT9" s="1"/>
      <c r="WYU9" s="1"/>
      <c r="WYV9" s="1"/>
      <c r="WYW9" s="1"/>
      <c r="WYX9" s="1"/>
      <c r="WYY9" s="1"/>
      <c r="WYZ9" s="1"/>
      <c r="WZA9" s="1"/>
      <c r="WZB9" s="1"/>
      <c r="WZC9" s="1"/>
      <c r="WZD9" s="1"/>
      <c r="WZE9" s="1"/>
      <c r="WZF9" s="1"/>
      <c r="WZG9" s="1"/>
      <c r="WZH9" s="1"/>
      <c r="WZI9" s="1"/>
      <c r="WZJ9" s="1"/>
      <c r="WZK9" s="1"/>
      <c r="WZL9" s="1"/>
      <c r="WZM9" s="1"/>
      <c r="WZN9" s="1"/>
      <c r="WZO9" s="1"/>
      <c r="WZP9" s="1"/>
      <c r="WZQ9" s="1"/>
      <c r="WZR9" s="1"/>
      <c r="WZS9" s="1"/>
      <c r="WZT9" s="1"/>
      <c r="WZU9" s="1"/>
      <c r="WZV9" s="1"/>
      <c r="WZW9" s="1"/>
      <c r="WZX9" s="1"/>
      <c r="WZY9" s="1"/>
      <c r="WZZ9" s="1"/>
      <c r="XAA9" s="1"/>
      <c r="XAB9" s="1"/>
      <c r="XAC9" s="1"/>
      <c r="XAD9" s="1"/>
      <c r="XAE9" s="1"/>
      <c r="XAF9" s="1"/>
      <c r="XAG9" s="1"/>
      <c r="XAH9" s="1"/>
      <c r="XAI9" s="1"/>
      <c r="XAJ9" s="1"/>
      <c r="XAK9" s="1"/>
      <c r="XAL9" s="1"/>
      <c r="XAM9" s="1"/>
      <c r="XAN9" s="1"/>
      <c r="XAO9" s="1"/>
      <c r="XAP9" s="1"/>
      <c r="XAQ9" s="1"/>
      <c r="XAR9" s="1"/>
      <c r="XAS9" s="1"/>
      <c r="XAT9" s="1"/>
      <c r="XAU9" s="1"/>
      <c r="XAV9" s="1"/>
      <c r="XAW9" s="1"/>
      <c r="XAX9" s="1"/>
      <c r="XAY9" s="1"/>
      <c r="XAZ9" s="1"/>
      <c r="XBA9" s="1"/>
      <c r="XBB9" s="1"/>
      <c r="XBC9" s="1"/>
      <c r="XBD9" s="1"/>
      <c r="XBE9" s="1"/>
      <c r="XBF9" s="1"/>
      <c r="XBG9" s="1"/>
      <c r="XBH9" s="1"/>
      <c r="XBI9" s="1"/>
      <c r="XBJ9" s="1"/>
      <c r="XBK9" s="1"/>
      <c r="XBL9" s="1"/>
      <c r="XBM9" s="1"/>
      <c r="XBN9" s="1"/>
      <c r="XBO9" s="1"/>
      <c r="XBP9" s="1"/>
      <c r="XBQ9" s="1"/>
      <c r="XBR9" s="1"/>
      <c r="XBS9" s="1"/>
      <c r="XBT9" s="1"/>
      <c r="XBU9" s="1"/>
      <c r="XBV9" s="1"/>
      <c r="XBW9" s="1"/>
      <c r="XBX9" s="1"/>
      <c r="XBY9" s="1"/>
      <c r="XBZ9" s="1"/>
      <c r="XCA9" s="1"/>
      <c r="XCB9" s="1"/>
      <c r="XCC9" s="1"/>
      <c r="XCD9" s="1"/>
      <c r="XCE9" s="1"/>
      <c r="XCF9" s="1"/>
      <c r="XCG9" s="1"/>
      <c r="XCH9" s="1"/>
      <c r="XCI9" s="1"/>
      <c r="XCJ9" s="1"/>
      <c r="XCK9" s="1"/>
      <c r="XCL9" s="1"/>
      <c r="XCM9" s="1"/>
      <c r="XCN9" s="1"/>
      <c r="XCO9" s="1"/>
      <c r="XCP9" s="1"/>
      <c r="XCQ9" s="1"/>
      <c r="XCR9" s="1"/>
      <c r="XCS9" s="1"/>
      <c r="XCT9" s="1"/>
      <c r="XCU9" s="1"/>
      <c r="XCV9" s="1"/>
      <c r="XCW9" s="1"/>
      <c r="XCX9" s="1"/>
      <c r="XCY9" s="1"/>
      <c r="XCZ9" s="1"/>
      <c r="XDA9" s="1"/>
      <c r="XDB9" s="1"/>
      <c r="XDC9" s="1"/>
      <c r="XDD9" s="1"/>
      <c r="XDE9" s="1"/>
      <c r="XDF9" s="1"/>
      <c r="XDG9" s="1"/>
      <c r="XDH9" s="1"/>
      <c r="XDI9" s="1"/>
      <c r="XDJ9" s="1"/>
      <c r="XDK9" s="1"/>
      <c r="XDL9" s="1"/>
      <c r="XDM9" s="1"/>
      <c r="XDN9" s="1"/>
      <c r="XDO9" s="1"/>
      <c r="XDP9" s="1"/>
      <c r="XDQ9" s="1"/>
    </row>
    <row r="10" spans="1:16345" s="1" customFormat="1" ht="12.75" customHeight="1">
      <c r="A10" s="2270" t="s">
        <v>85</v>
      </c>
      <c r="B10" s="368"/>
      <c r="C10" s="18"/>
      <c r="D10" s="18"/>
      <c r="E10" s="18"/>
      <c r="F10" s="60"/>
      <c r="G10" s="18"/>
      <c r="H10" s="18"/>
      <c r="I10" s="18"/>
      <c r="J10" s="18"/>
      <c r="K10" s="60"/>
      <c r="L10" s="18"/>
      <c r="M10" s="18"/>
      <c r="N10" s="18"/>
      <c r="O10" s="18"/>
      <c r="P10" s="60"/>
      <c r="Q10" s="18"/>
      <c r="R10" s="18"/>
      <c r="S10" s="18"/>
      <c r="T10" s="18"/>
      <c r="U10" s="60"/>
      <c r="V10" s="18">
        <f t="shared" ref="V10" si="70">+V9/Q9-1</f>
        <v>-0.20095872968316975</v>
      </c>
      <c r="W10" s="18">
        <f t="shared" ref="W10" si="71">+W9/R9-1</f>
        <v>-0.21285294493420215</v>
      </c>
      <c r="X10" s="18">
        <f t="shared" ref="X10" si="72">+X9/S9-1</f>
        <v>3.3779069767441827E-2</v>
      </c>
      <c r="Y10" s="18">
        <f t="shared" ref="Y10" si="73">+Y9/T9-1</f>
        <v>0.50955745630345839</v>
      </c>
      <c r="Z10" s="2122">
        <f t="shared" ref="Z10" si="74">+Z9/U9-1</f>
        <v>2.3755238893546027E-2</v>
      </c>
      <c r="AA10" s="18">
        <f t="shared" ref="AA10" si="75">+AA9/V9-1</f>
        <v>0.81242969628796424</v>
      </c>
      <c r="AB10" s="18">
        <f t="shared" ref="AB10" si="76">+AB9/W9-1</f>
        <v>1.0477195260509657</v>
      </c>
      <c r="AC10" s="18">
        <f t="shared" ref="AC10" si="77">+AC9/X9-1</f>
        <v>0.52426747651988093</v>
      </c>
      <c r="AD10" s="18">
        <f t="shared" ref="AD10" si="78">+AD9/Y9-1</f>
        <v>0.23019314150571546</v>
      </c>
      <c r="AE10" s="450">
        <f t="shared" ref="AE10" si="79">+AE9/Z9-1</f>
        <v>0.58249136194671425</v>
      </c>
      <c r="AF10" s="18">
        <f t="shared" ref="AF10" si="80">+AF9/AA9-1</f>
        <v>0.38220843030773199</v>
      </c>
      <c r="AG10" s="18">
        <f t="shared" ref="AG10" si="81">+AG9/AB9-1</f>
        <v>0.17893944197844003</v>
      </c>
      <c r="AH10" s="18">
        <f t="shared" ref="AH10" si="82">+AH9/AC9-1</f>
        <v>0.16832085009039588</v>
      </c>
      <c r="AI10" s="18">
        <f t="shared" ref="AI10" si="83">+AI9/AD9-1</f>
        <v>0.14574655559115657</v>
      </c>
      <c r="AJ10" s="450">
        <f t="shared" ref="AJ10" si="84">+AJ9/AE9-1</f>
        <v>0.20805480245866015</v>
      </c>
      <c r="AK10" s="18">
        <f t="shared" ref="AK10" si="85">+AK9/AF9-1</f>
        <v>0.1355659494855006</v>
      </c>
      <c r="AL10" s="18">
        <f t="shared" ref="AL10" si="86">+AL9/AG9-1</f>
        <v>0.33149561300299202</v>
      </c>
      <c r="AM10" s="18">
        <f t="shared" ref="AM10" si="87">+AM9/AH9-1</f>
        <v>0.76611400600031554</v>
      </c>
      <c r="AN10" s="18">
        <f t="shared" ref="AN10" si="88">+AN9/AI9-1</f>
        <v>2.2596217708952357</v>
      </c>
      <c r="AO10" s="450">
        <f t="shared" ref="AO10" si="89">+AO9/AJ9-1</f>
        <v>0.87699581991365738</v>
      </c>
      <c r="AP10" s="18">
        <f t="shared" ref="AP10" si="90">+AP9/AK9-1</f>
        <v>2.3644721233689205</v>
      </c>
      <c r="AQ10" s="18">
        <f t="shared" ref="AQ10" si="91">+AQ9/AL9-1</f>
        <v>2.0752625732175316</v>
      </c>
      <c r="AR10" s="18">
        <f t="shared" ref="AR10" si="92">+AR9/AM9-1</f>
        <v>1.3457191903297336</v>
      </c>
      <c r="AS10" s="18">
        <f t="shared" ref="AS10" si="93">+AS9/AN9-1</f>
        <v>0.58873112560054874</v>
      </c>
      <c r="AT10" s="450">
        <f>+AT9/AO9-1</f>
        <v>1.2965481362491329</v>
      </c>
      <c r="AU10" s="18">
        <f t="shared" ref="AU10" si="94">+AU9/AP9-1</f>
        <v>0.74717202879388833</v>
      </c>
      <c r="AV10" s="472">
        <f t="shared" ref="AV10" si="95">+AV9/AQ9-1</f>
        <v>2.4786995607733666</v>
      </c>
      <c r="AW10" s="18">
        <f t="shared" ref="AW10" si="96">+AW9/AR9-1</f>
        <v>2.2911146346297504</v>
      </c>
      <c r="AX10" s="18">
        <f t="shared" ref="AX10" si="97">+AX9/AS9-1</f>
        <v>2.1651208942529667</v>
      </c>
      <c r="AY10" s="581">
        <f>+AY9/AT9-1</f>
        <v>1.9861675787599502</v>
      </c>
      <c r="AZ10" s="368">
        <f t="shared" ref="AZ10" si="98">+AZ9/AU9-1</f>
        <v>1.1648588805740072</v>
      </c>
      <c r="BA10" s="472">
        <f t="shared" ref="BA10" si="99">+BA9/AV9-1</f>
        <v>9.8123066248469115E-2</v>
      </c>
      <c r="BB10" s="472">
        <f t="shared" ref="BB10" si="100">+BB9/AW9-1</f>
        <v>0.18405966623044234</v>
      </c>
      <c r="BC10" s="18">
        <f t="shared" ref="BC10" si="101">+BC9/AX9-1</f>
        <v>0.21795692045212212</v>
      </c>
      <c r="BD10" s="1938">
        <f>+BD9/AY9-1</f>
        <v>0.28930037071960601</v>
      </c>
      <c r="BE10" s="368">
        <f t="shared" ref="BE10:BG10" si="102">+BE9/AZ9-1</f>
        <v>0.32755049197307118</v>
      </c>
      <c r="BF10" s="472">
        <f t="shared" si="102"/>
        <v>0.1156243283902858</v>
      </c>
      <c r="BG10" s="472">
        <f t="shared" si="102"/>
        <v>6.4945226917057841E-2</v>
      </c>
      <c r="BH10" s="18">
        <f t="shared" ref="BH10" si="103">+BH9/BC9-1</f>
        <v>1.2432148485379102E-2</v>
      </c>
      <c r="BI10" s="1938">
        <f>+BI9/BD9-1</f>
        <v>0.11194838709677457</v>
      </c>
      <c r="BJ10" s="368">
        <f t="shared" ref="BJ10:BL10" si="104">+BJ9/BE9-1</f>
        <v>6.8851180027306391E-2</v>
      </c>
      <c r="BK10" s="472">
        <f t="shared" si="104"/>
        <v>0.10248507031400478</v>
      </c>
      <c r="BL10" s="472">
        <f t="shared" si="104"/>
        <v>0.15466568699485683</v>
      </c>
      <c r="BM10" s="18">
        <f t="shared" ref="BM10" si="105">+BM9/BH9-1</f>
        <v>0.32704946385333766</v>
      </c>
      <c r="BN10" s="1938">
        <f>+BN9/BI9-1</f>
        <v>0.16793538804307429</v>
      </c>
      <c r="BO10" s="439">
        <f>+BO9/BJ9-1</f>
        <v>0.28816788321167874</v>
      </c>
      <c r="BP10" s="191">
        <f t="shared" ref="BP10" si="106">+BP9/BK9-1</f>
        <v>0.25814139437358041</v>
      </c>
      <c r="BQ10" s="191">
        <f>+BQ9/BL9-1</f>
        <v>0.2027299331848551</v>
      </c>
      <c r="BR10" s="2184">
        <f t="shared" ref="BR10" si="107">+BR9/BM9-1</f>
        <v>3.4586000000000006E-2</v>
      </c>
      <c r="BS10" s="1936">
        <f>+BS9/BN9-1</f>
        <v>0.18266600182815362</v>
      </c>
      <c r="BT10" s="20"/>
      <c r="BU10" s="20"/>
      <c r="BV10" s="20"/>
      <c r="BW10" s="20"/>
      <c r="BX10" s="465">
        <v>0.125</v>
      </c>
      <c r="BY10" s="20"/>
      <c r="BZ10" s="20"/>
      <c r="CA10" s="20"/>
      <c r="CB10" s="20"/>
      <c r="CC10" s="465">
        <v>0.125</v>
      </c>
      <c r="CD10" s="191"/>
      <c r="CE10" s="263"/>
      <c r="CF10" s="173"/>
      <c r="CG10" s="173"/>
      <c r="CH10" s="173"/>
      <c r="CI10" s="239"/>
      <c r="CJ10" s="177"/>
      <c r="CK10" s="2070"/>
      <c r="CL10" s="472">
        <f t="shared" si="4"/>
        <v>0.32704946385333766</v>
      </c>
      <c r="CM10" s="472">
        <f t="shared" si="5"/>
        <v>1.2432148485379102E-2</v>
      </c>
      <c r="CN10" s="18">
        <v>0.1632687651331719</v>
      </c>
      <c r="CO10" s="2108">
        <f>IFERROR(($CL10-CM10)*10000,"")</f>
        <v>3146.1731536795855</v>
      </c>
      <c r="CP10" s="2108">
        <f>IFERROR(($CL10-CN10)*10000,"")</f>
        <v>1637.8069872016576</v>
      </c>
      <c r="CQ10" s="476"/>
      <c r="CR10" s="452"/>
      <c r="CS10" s="2297">
        <f>55/4/2</f>
        <v>6.875</v>
      </c>
      <c r="CT10" s="2297"/>
      <c r="CU10" s="2299">
        <f>+BJ9+SUM(CS9:CU9)</f>
        <v>2316.6670000000004</v>
      </c>
      <c r="CV10" s="2287" t="s">
        <v>234</v>
      </c>
      <c r="CW10" s="453">
        <f>+BI9-SUM(CW8:CW9)</f>
        <v>94.400000000000546</v>
      </c>
      <c r="CX10" s="2288">
        <f t="shared" si="69"/>
        <v>4.3817304121797497E-2</v>
      </c>
      <c r="CY10" s="139"/>
      <c r="CZ10"/>
      <c r="DA10"/>
      <c r="DB10"/>
      <c r="DC10"/>
      <c r="DD10"/>
      <c r="DE10"/>
      <c r="DF10" s="3"/>
      <c r="DG10" s="3"/>
      <c r="DH10" s="3"/>
      <c r="DI10" s="3"/>
      <c r="DJ10" s="3"/>
    </row>
    <row r="11" spans="1:16345" s="1" customFormat="1" ht="12.75" customHeight="1">
      <c r="A11" s="2270" t="s">
        <v>248</v>
      </c>
      <c r="B11" s="368"/>
      <c r="C11" s="18"/>
      <c r="D11" s="18"/>
      <c r="E11" s="18"/>
      <c r="F11" s="60"/>
      <c r="G11" s="18"/>
      <c r="H11" s="18"/>
      <c r="I11" s="18"/>
      <c r="J11" s="18"/>
      <c r="K11" s="60"/>
      <c r="L11" s="18"/>
      <c r="M11" s="18"/>
      <c r="N11" s="18"/>
      <c r="O11" s="18"/>
      <c r="P11" s="60"/>
      <c r="Q11" s="18"/>
      <c r="R11" s="18"/>
      <c r="S11" s="18"/>
      <c r="T11" s="18"/>
      <c r="U11" s="60"/>
      <c r="V11" s="18"/>
      <c r="W11" s="18"/>
      <c r="X11" s="18"/>
      <c r="Y11" s="18"/>
      <c r="Z11" s="2120"/>
      <c r="AA11" s="18"/>
      <c r="AB11" s="18"/>
      <c r="AC11" s="18"/>
      <c r="AD11" s="18"/>
      <c r="AE11" s="18"/>
      <c r="AF11" s="18"/>
      <c r="AG11" s="18"/>
      <c r="AH11" s="18"/>
      <c r="AI11" s="18"/>
      <c r="AJ11" s="625"/>
      <c r="AK11" s="18"/>
      <c r="AL11" s="18"/>
      <c r="AM11" s="18"/>
      <c r="AN11" s="18"/>
      <c r="AO11" s="625"/>
      <c r="AP11" s="18">
        <f>+AP9/AN9-1</f>
        <v>9.4983270418668386E-2</v>
      </c>
      <c r="AQ11" s="18">
        <f>+AQ9/AP9-1</f>
        <v>0.19293864159443719</v>
      </c>
      <c r="AR11" s="18">
        <f t="shared" ref="AR11" si="108">+AR9/AQ9-1</f>
        <v>7.6983703460449249E-2</v>
      </c>
      <c r="AS11" s="18">
        <f t="shared" ref="AS11" si="109">+AS9/AR9-1</f>
        <v>0.12931652208382216</v>
      </c>
      <c r="AT11" s="625"/>
      <c r="AU11" s="18">
        <f>+AU9/AS9-1</f>
        <v>0.2041837106638047</v>
      </c>
      <c r="AV11" s="18">
        <f>+AV9/AU9-1</f>
        <v>1.3751954931472294</v>
      </c>
      <c r="AW11" s="18">
        <f t="shared" ref="AW11" si="110">+AW9/AV9-1</f>
        <v>1.8908579425709782E-2</v>
      </c>
      <c r="AX11" s="18">
        <f t="shared" ref="AX11" si="111">+AX9/AW9-1</f>
        <v>8.6082898074050007E-2</v>
      </c>
      <c r="AY11" s="625"/>
      <c r="AZ11" s="18">
        <f>+AZ9/AX9-1</f>
        <v>-0.17637022819364467</v>
      </c>
      <c r="BA11" s="18">
        <f>+BA9/AZ9-1</f>
        <v>0.20481615743138271</v>
      </c>
      <c r="BB11" s="18">
        <f>+BB9/BA9-1</f>
        <v>9.8646034816247452E-2</v>
      </c>
      <c r="BC11" s="18">
        <f t="shared" ref="BC11" si="112">+BC9/BB9-1</f>
        <v>0.11717527386541482</v>
      </c>
      <c r="BD11" s="1939"/>
      <c r="BE11" s="18">
        <f>+BE9/BC9-1</f>
        <v>-0.10225879880931532</v>
      </c>
      <c r="BF11" s="18">
        <f>+BF9/BE9-1</f>
        <v>1.2482933489369907E-2</v>
      </c>
      <c r="BG11" s="18">
        <f>+BG9/BF9-1</f>
        <v>4.8738200732036052E-2</v>
      </c>
      <c r="BH11" s="18">
        <f t="shared" ref="BH11" si="113">+BH9/BG9-1</f>
        <v>6.2086700955180207E-2</v>
      </c>
      <c r="BI11" s="1939"/>
      <c r="BJ11" s="18">
        <f>+BJ9/BH9-1</f>
        <v>-5.223106191629201E-2</v>
      </c>
      <c r="BK11" s="18">
        <f>+BK9/BJ9-1</f>
        <v>4.4343065693430495E-2</v>
      </c>
      <c r="BL11" s="18">
        <f>+BL9/BK9-1</f>
        <v>9.8374978158308757E-2</v>
      </c>
      <c r="BM11" s="18">
        <f t="shared" ref="BM11" si="114">+BM9/BL9-1</f>
        <v>0.2206490614062997</v>
      </c>
      <c r="BN11" s="1939"/>
      <c r="BO11" s="2338">
        <v>-0.08</v>
      </c>
      <c r="BP11" s="20">
        <v>0.02</v>
      </c>
      <c r="BQ11" s="20">
        <v>0.05</v>
      </c>
      <c r="BR11" s="2160">
        <v>0.05</v>
      </c>
      <c r="BS11" s="2379"/>
      <c r="BT11" s="20"/>
      <c r="BU11" s="20"/>
      <c r="BV11" s="20"/>
      <c r="BW11" s="20"/>
      <c r="BX11" s="654"/>
      <c r="BY11" s="20"/>
      <c r="BZ11" s="20"/>
      <c r="CA11" s="20"/>
      <c r="CB11" s="20"/>
      <c r="CC11" s="654"/>
      <c r="CD11" s="191"/>
      <c r="CE11" s="263"/>
      <c r="CF11" s="173"/>
      <c r="CG11" s="173"/>
      <c r="CH11" s="173"/>
      <c r="CI11" s="239"/>
      <c r="CJ11" s="177"/>
      <c r="CK11" s="2070"/>
      <c r="CL11" s="18">
        <f t="shared" si="4"/>
        <v>0.2206490614062997</v>
      </c>
      <c r="CM11" s="18">
        <f t="shared" si="5"/>
        <v>6.2086700955180207E-2</v>
      </c>
      <c r="CN11" s="20">
        <v>7.0000000000000007E-2</v>
      </c>
      <c r="CO11" s="2107">
        <f>IFERROR(($CL11-CM11)*10000,"")</f>
        <v>1585.6236045111948</v>
      </c>
      <c r="CP11" s="2107">
        <f>IFERROR(($CL11-CN11)*10000,"")</f>
        <v>1506.4906140629969</v>
      </c>
      <c r="CQ11" s="475"/>
      <c r="CR11" s="452"/>
      <c r="CS11" s="40"/>
      <c r="CT11" s="40"/>
      <c r="CU11" s="40"/>
      <c r="CV11" s="456"/>
      <c r="CW11" s="40"/>
      <c r="CX11" s="40"/>
      <c r="CY11" s="139"/>
      <c r="CZ11"/>
      <c r="DA11"/>
      <c r="DB11"/>
      <c r="DC11"/>
      <c r="DD11"/>
      <c r="DE11"/>
      <c r="DF11" s="3"/>
      <c r="DG11" s="3"/>
      <c r="DH11" s="3"/>
      <c r="DI11" s="3"/>
      <c r="DJ11" s="3"/>
    </row>
    <row r="12" spans="1:16345" s="262" customFormat="1" ht="12.75" hidden="1" customHeight="1" outlineLevel="1" collapsed="1">
      <c r="A12" s="2230" t="s">
        <v>234</v>
      </c>
      <c r="B12" s="656"/>
      <c r="C12" s="657"/>
      <c r="D12" s="657"/>
      <c r="E12" s="657"/>
      <c r="F12" s="658">
        <v>39.847999999999999</v>
      </c>
      <c r="G12" s="657">
        <f>8.376+1.179</f>
        <v>9.5549999999999997</v>
      </c>
      <c r="H12" s="657">
        <f>9.868+1.252</f>
        <v>11.120000000000001</v>
      </c>
      <c r="I12" s="657">
        <f>9.59+1.261</f>
        <v>10.850999999999999</v>
      </c>
      <c r="J12" s="657">
        <f>(37.327+4.864)-G12-H12-I12</f>
        <v>10.664999999999996</v>
      </c>
      <c r="K12" s="658">
        <f>SUM(G12:J12)</f>
        <v>42.190999999999995</v>
      </c>
      <c r="L12" s="657">
        <f>10.275+1.218</f>
        <v>11.493</v>
      </c>
      <c r="M12" s="657">
        <f>12.575+1.267</f>
        <v>13.841999999999999</v>
      </c>
      <c r="N12" s="657">
        <f>12.052+1.307</f>
        <v>13.359</v>
      </c>
      <c r="O12" s="657">
        <v>12.811</v>
      </c>
      <c r="P12" s="658">
        <f>SUM(L12:O12)</f>
        <v>51.505000000000003</v>
      </c>
      <c r="Q12" s="657">
        <v>13.167999999999999</v>
      </c>
      <c r="R12" s="657">
        <v>14.609</v>
      </c>
      <c r="S12" s="657">
        <v>14.186999999999999</v>
      </c>
      <c r="T12" s="657">
        <v>10.675000000000001</v>
      </c>
      <c r="U12" s="658">
        <f>SUM(Q12:T12)</f>
        <v>52.638999999999996</v>
      </c>
      <c r="V12" s="657">
        <v>8.8879999999999999</v>
      </c>
      <c r="W12" s="657">
        <v>10.09</v>
      </c>
      <c r="X12" s="657">
        <v>14.704000000000001</v>
      </c>
      <c r="Y12" s="657">
        <v>16.96</v>
      </c>
      <c r="Z12" s="2121">
        <f>SUM(V12:Y12)</f>
        <v>50.642000000000003</v>
      </c>
      <c r="AA12" s="657">
        <v>16.212</v>
      </c>
      <c r="AB12" s="657">
        <v>20.556999999999999</v>
      </c>
      <c r="AC12" s="657">
        <v>21.407</v>
      </c>
      <c r="AD12" s="657">
        <v>18.468</v>
      </c>
      <c r="AE12" s="658">
        <f>SUM(AA12:AD12)</f>
        <v>76.644000000000005</v>
      </c>
      <c r="AF12" s="659">
        <v>20.742000000000001</v>
      </c>
      <c r="AG12" s="659">
        <v>23.06</v>
      </c>
      <c r="AH12" s="659">
        <v>23.419</v>
      </c>
      <c r="AI12" s="659">
        <v>20.337</v>
      </c>
      <c r="AJ12" s="658">
        <f>SUM(AF12:AI12)</f>
        <v>87.558000000000007</v>
      </c>
      <c r="AK12" s="659">
        <v>22.42</v>
      </c>
      <c r="AL12" s="659">
        <v>25.731000000000002</v>
      </c>
      <c r="AM12" s="659">
        <v>23.754999999999999</v>
      </c>
      <c r="AN12" s="659">
        <v>22.102</v>
      </c>
      <c r="AO12" s="658">
        <f>SUM(AK12:AN12)</f>
        <v>94.00800000000001</v>
      </c>
      <c r="AP12" s="659">
        <v>23.875</v>
      </c>
      <c r="AQ12" s="659">
        <v>26.445</v>
      </c>
      <c r="AR12" s="659">
        <v>25.100999999999999</v>
      </c>
      <c r="AS12" s="659">
        <v>26.396999999999998</v>
      </c>
      <c r="AT12" s="658">
        <f>SUM(AP12:AS12)</f>
        <v>101.81799999999998</v>
      </c>
      <c r="AU12" s="659">
        <v>33.81</v>
      </c>
      <c r="AV12" s="659">
        <v>36.231000000000002</v>
      </c>
      <c r="AW12" s="659">
        <v>36.488999999999997</v>
      </c>
      <c r="AX12" s="659">
        <v>42</v>
      </c>
      <c r="AY12" s="660">
        <f>SUM(AU12:AX12)</f>
        <v>148.53</v>
      </c>
      <c r="AZ12" s="660">
        <v>37.700000000000003</v>
      </c>
      <c r="BA12" s="659">
        <v>41.8</v>
      </c>
      <c r="BB12" s="659">
        <v>32.299999999999997</v>
      </c>
      <c r="BC12" s="659">
        <v>41.6</v>
      </c>
      <c r="BD12" s="1937">
        <f>SUM(AZ12:BC12)</f>
        <v>153.4</v>
      </c>
      <c r="BE12" s="660"/>
      <c r="BF12" s="659"/>
      <c r="BG12" s="659"/>
      <c r="BH12" s="659"/>
      <c r="BI12" s="1937"/>
      <c r="BJ12" s="660"/>
      <c r="BK12" s="659"/>
      <c r="BL12" s="659"/>
      <c r="BM12" s="659"/>
      <c r="BN12" s="1937"/>
      <c r="BO12" s="2337"/>
      <c r="BP12" s="661"/>
      <c r="BQ12" s="661"/>
      <c r="BR12" s="2175"/>
      <c r="BS12" s="1937"/>
      <c r="BT12" s="659"/>
      <c r="BU12" s="659"/>
      <c r="BV12" s="659"/>
      <c r="BW12" s="659"/>
      <c r="BX12" s="662"/>
      <c r="BY12" s="659"/>
      <c r="BZ12" s="659"/>
      <c r="CA12" s="659"/>
      <c r="CB12" s="659"/>
      <c r="CC12" s="662"/>
      <c r="CE12" s="263"/>
      <c r="CF12" s="264"/>
      <c r="CG12" s="264"/>
      <c r="CH12" s="264"/>
      <c r="CI12" s="265"/>
      <c r="CK12" s="2072"/>
      <c r="CL12" s="659"/>
      <c r="CM12" s="659"/>
      <c r="CN12" s="661"/>
      <c r="CO12" s="2086"/>
      <c r="CP12" s="2086"/>
      <c r="CQ12" s="494"/>
      <c r="CR12" s="453"/>
      <c r="CS12" s="375"/>
      <c r="CT12" s="258"/>
      <c r="CU12" s="258"/>
      <c r="CV12" s="51"/>
      <c r="CW12" s="258"/>
      <c r="CX12" s="258"/>
      <c r="CY12" s="263"/>
      <c r="CZ12"/>
      <c r="DA12"/>
      <c r="DB12"/>
      <c r="DC12"/>
      <c r="DD12"/>
      <c r="DE12"/>
      <c r="DF12" s="266"/>
      <c r="DG12" s="266"/>
      <c r="DH12" s="266"/>
      <c r="DI12" s="266"/>
      <c r="DJ12" s="266"/>
    </row>
    <row r="13" spans="1:16345" s="1" customFormat="1" ht="12.75" hidden="1" customHeight="1" outlineLevel="1">
      <c r="A13" s="2229" t="s">
        <v>85</v>
      </c>
      <c r="B13" s="368"/>
      <c r="C13" s="18"/>
      <c r="D13" s="18"/>
      <c r="E13" s="18"/>
      <c r="F13" s="60" t="str">
        <f>IF(ISERROR((F12-#REF!)/#REF!),"",(F12-#REF!)/#REF!)</f>
        <v/>
      </c>
      <c r="G13" s="18" t="str">
        <f t="shared" ref="G13:U13" si="115">IF(ISERROR((G12-B12)/B12),"",(G12-B12)/B12)</f>
        <v/>
      </c>
      <c r="H13" s="18" t="str">
        <f t="shared" si="115"/>
        <v/>
      </c>
      <c r="I13" s="18" t="str">
        <f t="shared" si="115"/>
        <v/>
      </c>
      <c r="J13" s="18" t="str">
        <f t="shared" si="115"/>
        <v/>
      </c>
      <c r="K13" s="60">
        <f t="shared" si="115"/>
        <v>5.8798434049387588E-2</v>
      </c>
      <c r="L13" s="18">
        <f t="shared" si="115"/>
        <v>0.20282574568288861</v>
      </c>
      <c r="M13" s="18">
        <f t="shared" si="115"/>
        <v>0.24478417266187028</v>
      </c>
      <c r="N13" s="18">
        <f t="shared" si="115"/>
        <v>0.23113077135747867</v>
      </c>
      <c r="O13" s="18">
        <f t="shared" si="115"/>
        <v>0.20121894045944727</v>
      </c>
      <c r="P13" s="60">
        <f t="shared" si="115"/>
        <v>0.22075798156004856</v>
      </c>
      <c r="Q13" s="18">
        <f t="shared" si="115"/>
        <v>0.14574088575654737</v>
      </c>
      <c r="R13" s="18">
        <f t="shared" si="115"/>
        <v>5.5411067764773968E-2</v>
      </c>
      <c r="S13" s="18">
        <f t="shared" si="115"/>
        <v>6.1980687177183878E-2</v>
      </c>
      <c r="T13" s="18">
        <f t="shared" si="115"/>
        <v>-0.16673171493247985</v>
      </c>
      <c r="U13" s="60">
        <f t="shared" si="115"/>
        <v>2.2017279875740085E-2</v>
      </c>
      <c r="V13" s="18">
        <f t="shared" ref="V13:AN13" si="116">(V12-Q12)/Q12</f>
        <v>-0.32503037667071688</v>
      </c>
      <c r="W13" s="18">
        <f t="shared" si="116"/>
        <v>-0.30932986515161887</v>
      </c>
      <c r="X13" s="18">
        <f t="shared" si="116"/>
        <v>3.6441812927327927E-2</v>
      </c>
      <c r="Y13" s="18">
        <f t="shared" si="116"/>
        <v>0.5887587822014051</v>
      </c>
      <c r="Z13" s="1998">
        <f t="shared" si="116"/>
        <v>-3.79376507912383E-2</v>
      </c>
      <c r="AA13" s="18">
        <f t="shared" si="116"/>
        <v>0.82403240324032401</v>
      </c>
      <c r="AB13" s="18">
        <f t="shared" si="116"/>
        <v>1.0373637264618434</v>
      </c>
      <c r="AC13" s="18">
        <f t="shared" si="116"/>
        <v>0.45586235038084871</v>
      </c>
      <c r="AD13" s="18">
        <f t="shared" si="116"/>
        <v>8.891509433962258E-2</v>
      </c>
      <c r="AE13" s="60">
        <f t="shared" si="116"/>
        <v>0.51344733620315153</v>
      </c>
      <c r="AF13" s="18">
        <f t="shared" si="116"/>
        <v>0.2794226498889712</v>
      </c>
      <c r="AG13" s="18">
        <f t="shared" si="116"/>
        <v>0.1217590115289196</v>
      </c>
      <c r="AH13" s="18">
        <f t="shared" si="116"/>
        <v>9.3987947867519989E-2</v>
      </c>
      <c r="AI13" s="18">
        <f t="shared" si="116"/>
        <v>0.10120207927225471</v>
      </c>
      <c r="AJ13" s="60">
        <f t="shared" si="116"/>
        <v>0.1423986222013465</v>
      </c>
      <c r="AK13" s="18">
        <f t="shared" si="116"/>
        <v>8.0898659724231062E-2</v>
      </c>
      <c r="AL13" s="18">
        <f t="shared" si="116"/>
        <v>0.11582827406764974</v>
      </c>
      <c r="AM13" s="18">
        <f t="shared" si="116"/>
        <v>1.4347324821725885E-2</v>
      </c>
      <c r="AN13" s="18">
        <f t="shared" si="116"/>
        <v>8.6787628460441593E-2</v>
      </c>
      <c r="AO13" s="60">
        <f t="shared" ref="AO13:BB13" si="117">(AO12-AJ12)/AJ12</f>
        <v>7.3665456040567429E-2</v>
      </c>
      <c r="AP13" s="18">
        <f t="shared" si="117"/>
        <v>6.4897413024085554E-2</v>
      </c>
      <c r="AQ13" s="18">
        <f t="shared" si="117"/>
        <v>2.7748630057129478E-2</v>
      </c>
      <c r="AR13" s="18">
        <f t="shared" si="117"/>
        <v>5.6661755419911607E-2</v>
      </c>
      <c r="AS13" s="18">
        <f t="shared" si="117"/>
        <v>0.19432630531173642</v>
      </c>
      <c r="AT13" s="60">
        <f t="shared" si="117"/>
        <v>8.3078035911837003E-2</v>
      </c>
      <c r="AU13" s="18">
        <f t="shared" si="117"/>
        <v>0.41612565445026189</v>
      </c>
      <c r="AV13" s="18">
        <f t="shared" si="117"/>
        <v>0.37005104934770283</v>
      </c>
      <c r="AW13" s="18">
        <f t="shared" si="117"/>
        <v>0.45368710409943819</v>
      </c>
      <c r="AX13" s="18">
        <f t="shared" si="117"/>
        <v>0.59108989657915678</v>
      </c>
      <c r="AY13" s="368">
        <f t="shared" si="117"/>
        <v>0.45877939067748358</v>
      </c>
      <c r="AZ13" s="368">
        <f t="shared" si="117"/>
        <v>0.1150547175391896</v>
      </c>
      <c r="BA13" s="18">
        <f t="shared" si="117"/>
        <v>0.15370815047887154</v>
      </c>
      <c r="BB13" s="18">
        <f t="shared" si="117"/>
        <v>-0.11480172106662283</v>
      </c>
      <c r="BC13" s="18">
        <f t="shared" ref="BC13" si="118">(BC12-AX12)/AX12</f>
        <v>-9.52380952380949E-3</v>
      </c>
      <c r="BD13" s="1936">
        <f t="shared" ref="BD13" si="119">(BD12-AY12)/AY12</f>
        <v>3.27879889584596E-2</v>
      </c>
      <c r="BE13" s="368"/>
      <c r="BF13" s="18"/>
      <c r="BG13" s="18"/>
      <c r="BH13" s="18"/>
      <c r="BI13" s="1936"/>
      <c r="BJ13" s="368"/>
      <c r="BK13" s="18"/>
      <c r="BL13" s="18"/>
      <c r="BM13" s="18"/>
      <c r="BN13" s="1936"/>
      <c r="BO13" s="2339"/>
      <c r="BP13" s="653"/>
      <c r="BQ13" s="653"/>
      <c r="BR13" s="2161"/>
      <c r="BS13" s="1936"/>
      <c r="BT13" s="20"/>
      <c r="BU13" s="20"/>
      <c r="BV13" s="20"/>
      <c r="BW13" s="20"/>
      <c r="BX13" s="74"/>
      <c r="BY13" s="20"/>
      <c r="BZ13" s="20"/>
      <c r="CA13" s="20"/>
      <c r="CB13" s="20"/>
      <c r="CC13" s="74"/>
      <c r="CD13" s="191"/>
      <c r="CE13" s="111"/>
      <c r="CF13" s="173"/>
      <c r="CG13" s="173"/>
      <c r="CH13" s="173"/>
      <c r="CI13" s="239"/>
      <c r="CJ13" s="177"/>
      <c r="CK13" s="2070"/>
      <c r="CL13" s="18"/>
      <c r="CM13" s="18"/>
      <c r="CN13" s="653"/>
      <c r="CO13" s="2107"/>
      <c r="CP13" s="2107"/>
      <c r="CQ13" s="44"/>
      <c r="CR13" s="452"/>
      <c r="CS13" s="40"/>
      <c r="CT13" s="40"/>
      <c r="CU13" s="40"/>
      <c r="CV13" s="456"/>
      <c r="CW13" s="40"/>
      <c r="CX13" s="40"/>
      <c r="CY13" s="139"/>
      <c r="CZ13"/>
      <c r="DA13"/>
      <c r="DB13"/>
      <c r="DC13"/>
      <c r="DD13"/>
      <c r="DE13"/>
      <c r="DF13" s="3"/>
      <c r="DG13" s="3"/>
      <c r="DH13" s="3"/>
      <c r="DI13" s="3"/>
      <c r="DJ13" s="3"/>
    </row>
    <row r="14" spans="1:16345" s="657" customFormat="1" ht="12.75" hidden="1" customHeight="1" outlineLevel="1" collapsed="1">
      <c r="A14" s="2230" t="s">
        <v>249</v>
      </c>
      <c r="B14" s="656"/>
      <c r="F14" s="658"/>
      <c r="K14" s="658"/>
      <c r="P14" s="658"/>
      <c r="Q14" s="657">
        <v>0.183</v>
      </c>
      <c r="R14" s="657">
        <v>1.0449999999999999</v>
      </c>
      <c r="S14" s="657">
        <v>3.0129999999999999</v>
      </c>
      <c r="T14" s="657">
        <v>2.77</v>
      </c>
      <c r="U14" s="658">
        <f>SUM(Q14:T14)</f>
        <v>7.0109999999999992</v>
      </c>
      <c r="V14" s="657">
        <v>1.78</v>
      </c>
      <c r="W14" s="657">
        <v>2.2320000000000002</v>
      </c>
      <c r="X14" s="657">
        <v>3.077</v>
      </c>
      <c r="Y14" s="657">
        <v>3.3359999999999999</v>
      </c>
      <c r="Z14" s="2121">
        <f>SUM(V14:Y14)</f>
        <v>10.425000000000001</v>
      </c>
      <c r="AA14" s="657">
        <v>3.1230000000000002</v>
      </c>
      <c r="AB14" s="657">
        <v>4.6749999999999998</v>
      </c>
      <c r="AC14" s="657">
        <v>5.6959999999999997</v>
      </c>
      <c r="AD14" s="657">
        <v>6.5</v>
      </c>
      <c r="AE14" s="658">
        <f>SUM(AA14:AD14)</f>
        <v>19.994</v>
      </c>
      <c r="AF14" s="659">
        <v>5.9829999999999997</v>
      </c>
      <c r="AG14" s="659">
        <v>6.6870000000000003</v>
      </c>
      <c r="AH14" s="659">
        <v>8.2460000000000004</v>
      </c>
      <c r="AI14" s="659">
        <v>8.27</v>
      </c>
      <c r="AJ14" s="658">
        <f>SUM(AF14:AI14)</f>
        <v>29.186</v>
      </c>
      <c r="AK14" s="659">
        <v>7.9279999999999999</v>
      </c>
      <c r="AL14" s="659">
        <v>13.877000000000001</v>
      </c>
      <c r="AM14" s="659">
        <v>32.168999999999997</v>
      </c>
      <c r="AN14" s="659">
        <v>71.146000000000001</v>
      </c>
      <c r="AO14" s="658">
        <f>SUM(AK14:AN14)</f>
        <v>125.12</v>
      </c>
      <c r="AP14" s="659">
        <v>78.23</v>
      </c>
      <c r="AQ14" s="659">
        <v>95.36</v>
      </c>
      <c r="AR14" s="659">
        <v>106.08100000000002</v>
      </c>
      <c r="AS14" s="659">
        <v>121.749</v>
      </c>
      <c r="AT14" s="658">
        <f>SUM(AP14:AS14)</f>
        <v>401.42000000000007</v>
      </c>
      <c r="AU14" s="659">
        <v>144.58499999999998</v>
      </c>
      <c r="AV14" s="659">
        <v>387.49199999999996</v>
      </c>
      <c r="AW14" s="659">
        <v>395.24599999999998</v>
      </c>
      <c r="AX14" s="659">
        <v>426.9</v>
      </c>
      <c r="AY14" s="660">
        <f>SUM(AU14:AX14)</f>
        <v>1354.223</v>
      </c>
      <c r="AZ14" s="660">
        <v>352.2</v>
      </c>
      <c r="BA14" s="659">
        <v>423.5</v>
      </c>
      <c r="BB14" s="659">
        <v>478.9</v>
      </c>
      <c r="BC14" s="659">
        <v>529.5</v>
      </c>
      <c r="BD14" s="1937">
        <f>SUM(AZ14:BC14)</f>
        <v>1784.1</v>
      </c>
      <c r="BE14" s="660"/>
      <c r="BF14" s="659"/>
      <c r="BG14" s="659"/>
      <c r="BH14" s="659"/>
      <c r="BI14" s="1937"/>
      <c r="BJ14" s="660"/>
      <c r="BK14" s="659"/>
      <c r="BL14" s="659"/>
      <c r="BM14" s="659"/>
      <c r="BN14" s="1937"/>
      <c r="BO14" s="2337"/>
      <c r="BP14" s="661"/>
      <c r="BQ14" s="661"/>
      <c r="BR14" s="2175"/>
      <c r="BS14" s="1937"/>
      <c r="BT14" s="659"/>
      <c r="BU14" s="659"/>
      <c r="BV14" s="659"/>
      <c r="BW14" s="659"/>
      <c r="BX14" s="664"/>
      <c r="BY14" s="659"/>
      <c r="BZ14" s="659"/>
      <c r="CA14" s="659"/>
      <c r="CB14" s="659"/>
      <c r="CC14" s="664"/>
      <c r="CD14" s="262"/>
      <c r="CE14" s="263"/>
      <c r="CF14" s="173"/>
      <c r="CG14" s="173"/>
      <c r="CH14" s="173"/>
      <c r="CI14" s="239"/>
      <c r="CJ14" s="177"/>
      <c r="CK14" s="2070"/>
      <c r="CL14" s="659"/>
      <c r="CM14" s="659"/>
      <c r="CN14" s="661"/>
      <c r="CO14" s="2086"/>
      <c r="CP14" s="2086"/>
      <c r="CQ14" s="475" t="s">
        <v>538</v>
      </c>
      <c r="CR14" s="452"/>
      <c r="CS14" s="40"/>
      <c r="CT14" s="40"/>
      <c r="CU14" s="40"/>
      <c r="CV14" s="456"/>
      <c r="CW14" s="40"/>
      <c r="CX14" s="40"/>
      <c r="CY14" s="139"/>
      <c r="CZ14"/>
      <c r="DA14"/>
      <c r="DB14"/>
      <c r="DC14"/>
      <c r="DD14"/>
      <c r="DE14"/>
      <c r="DF14" s="3"/>
      <c r="DG14" s="3"/>
      <c r="DH14" s="3"/>
      <c r="DI14" s="3"/>
      <c r="DJ14" s="3"/>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c r="GF14" s="1"/>
      <c r="GG14" s="1"/>
      <c r="GH14" s="1"/>
      <c r="GI14" s="1"/>
      <c r="GJ14" s="1"/>
      <c r="GK14" s="1"/>
      <c r="GL14" s="1"/>
      <c r="GM14" s="1"/>
      <c r="GN14" s="1"/>
      <c r="GO14" s="1"/>
      <c r="GP14" s="1"/>
      <c r="GQ14" s="1"/>
      <c r="GR14" s="1"/>
      <c r="GS14" s="1"/>
      <c r="GT14" s="1"/>
      <c r="GU14" s="1"/>
      <c r="GV14" s="1"/>
      <c r="GW14" s="1"/>
      <c r="GX14" s="1"/>
      <c r="GY14" s="1"/>
      <c r="GZ14" s="1"/>
      <c r="HA14" s="1"/>
      <c r="HB14" s="1"/>
      <c r="HC14" s="1"/>
      <c r="HD14" s="1"/>
      <c r="HE14" s="1"/>
      <c r="HF14" s="1"/>
      <c r="HG14" s="1"/>
      <c r="HH14" s="1"/>
      <c r="HI14" s="1"/>
      <c r="HJ14" s="1"/>
      <c r="HK14" s="1"/>
      <c r="HL14" s="1"/>
      <c r="HM14" s="1"/>
      <c r="HN14" s="1"/>
      <c r="HO14" s="1"/>
      <c r="HP14" s="1"/>
      <c r="HQ14" s="1"/>
      <c r="HR14" s="1"/>
      <c r="HS14" s="1"/>
      <c r="HT14" s="1"/>
      <c r="HU14" s="1"/>
      <c r="HV14" s="1"/>
      <c r="HW14" s="1"/>
      <c r="HX14" s="1"/>
      <c r="HY14" s="1"/>
      <c r="HZ14" s="1"/>
      <c r="IA14" s="1"/>
      <c r="IB14" s="1"/>
      <c r="IC14" s="1"/>
      <c r="ID14" s="1"/>
      <c r="IE14" s="1"/>
      <c r="IF14" s="1"/>
      <c r="IG14" s="1"/>
      <c r="IH14" s="1"/>
      <c r="II14" s="1"/>
      <c r="IJ14" s="1"/>
      <c r="IK14" s="1"/>
      <c r="IL14" s="1"/>
      <c r="IM14" s="1"/>
      <c r="IN14" s="1"/>
      <c r="IO14" s="1"/>
      <c r="IP14" s="1"/>
      <c r="IQ14" s="1"/>
      <c r="IR14" s="1"/>
      <c r="IS14" s="1"/>
      <c r="IT14" s="1"/>
      <c r="IU14" s="1"/>
      <c r="IV14" s="1"/>
      <c r="IW14" s="1"/>
      <c r="IX14" s="1"/>
      <c r="IY14" s="1"/>
      <c r="IZ14" s="1"/>
      <c r="JA14" s="1"/>
      <c r="JB14" s="1"/>
      <c r="JC14" s="1"/>
      <c r="JD14" s="1"/>
      <c r="JE14" s="1"/>
      <c r="JF14" s="1"/>
      <c r="JG14" s="1"/>
      <c r="JH14" s="1"/>
      <c r="JI14" s="1"/>
      <c r="JJ14" s="1"/>
      <c r="JK14" s="1"/>
      <c r="JL14" s="1"/>
      <c r="JM14" s="1"/>
      <c r="JN14" s="1"/>
      <c r="JO14" s="1"/>
      <c r="JP14" s="1"/>
      <c r="JQ14" s="1"/>
      <c r="JR14" s="1"/>
      <c r="JS14" s="1"/>
      <c r="JT14" s="1"/>
      <c r="JU14" s="1"/>
      <c r="JV14" s="1"/>
      <c r="JW14" s="1"/>
      <c r="JX14" s="1"/>
      <c r="JY14" s="1"/>
      <c r="JZ14" s="1"/>
      <c r="KA14" s="1"/>
      <c r="KB14" s="1"/>
      <c r="KC14" s="1"/>
      <c r="KD14" s="1"/>
      <c r="KE14" s="1"/>
      <c r="KF14" s="1"/>
      <c r="KG14" s="1"/>
      <c r="KH14" s="1"/>
      <c r="KI14" s="1"/>
      <c r="KJ14" s="1"/>
      <c r="KK14" s="1"/>
      <c r="KL14" s="1"/>
      <c r="KM14" s="1"/>
      <c r="KN14" s="1"/>
      <c r="KO14" s="1"/>
      <c r="KP14" s="1"/>
      <c r="KQ14" s="1"/>
      <c r="KR14" s="1"/>
      <c r="KS14" s="1"/>
      <c r="KT14" s="1"/>
      <c r="KU14" s="1"/>
      <c r="KV14" s="1"/>
      <c r="KW14" s="1"/>
      <c r="KX14" s="1"/>
      <c r="KY14" s="1"/>
      <c r="KZ14" s="1"/>
      <c r="LA14" s="1"/>
      <c r="LB14" s="1"/>
      <c r="LC14" s="1"/>
      <c r="LD14" s="1"/>
      <c r="LE14" s="1"/>
      <c r="LF14" s="1"/>
      <c r="LG14" s="1"/>
      <c r="LH14" s="1"/>
      <c r="LI14" s="1"/>
      <c r="LJ14" s="1"/>
      <c r="LK14" s="1"/>
      <c r="LL14" s="1"/>
      <c r="LM14" s="1"/>
      <c r="LN14" s="1"/>
      <c r="LO14" s="1"/>
      <c r="LP14" s="1"/>
      <c r="LQ14" s="1"/>
      <c r="LR14" s="1"/>
      <c r="LS14" s="1"/>
      <c r="LT14" s="1"/>
      <c r="LU14" s="1"/>
      <c r="LV14" s="1"/>
      <c r="LW14" s="1"/>
      <c r="LX14" s="1"/>
      <c r="LY14" s="1"/>
      <c r="LZ14" s="1"/>
      <c r="MA14" s="1"/>
      <c r="MB14" s="1"/>
      <c r="MC14" s="1"/>
      <c r="MD14" s="1"/>
      <c r="ME14" s="1"/>
      <c r="MF14" s="1"/>
      <c r="MG14" s="1"/>
      <c r="MH14" s="1"/>
      <c r="MI14" s="1"/>
      <c r="MJ14" s="1"/>
      <c r="MK14" s="1"/>
      <c r="ML14" s="1"/>
      <c r="MM14" s="1"/>
      <c r="MN14" s="1"/>
      <c r="MO14" s="1"/>
      <c r="MP14" s="1"/>
      <c r="MQ14" s="1"/>
      <c r="MR14" s="1"/>
      <c r="MS14" s="1"/>
      <c r="MT14" s="1"/>
      <c r="MU14" s="1"/>
      <c r="MV14" s="1"/>
      <c r="MW14" s="1"/>
      <c r="MX14" s="1"/>
      <c r="MY14" s="1"/>
      <c r="MZ14" s="1"/>
      <c r="NA14" s="1"/>
      <c r="NB14" s="1"/>
      <c r="NC14" s="1"/>
      <c r="ND14" s="1"/>
      <c r="NE14" s="1"/>
      <c r="NF14" s="1"/>
      <c r="NG14" s="1"/>
      <c r="NH14" s="1"/>
      <c r="NI14" s="1"/>
      <c r="NJ14" s="1"/>
      <c r="NK14" s="1"/>
      <c r="NL14" s="1"/>
      <c r="NM14" s="1"/>
      <c r="NN14" s="1"/>
      <c r="NO14" s="1"/>
      <c r="NP14" s="1"/>
      <c r="NQ14" s="1"/>
      <c r="NR14" s="1"/>
      <c r="NS14" s="1"/>
      <c r="NT14" s="1"/>
      <c r="NU14" s="1"/>
      <c r="NV14" s="1"/>
      <c r="NW14" s="1"/>
      <c r="NX14" s="1"/>
      <c r="NY14" s="1"/>
      <c r="NZ14" s="1"/>
      <c r="OA14" s="1"/>
      <c r="OB14" s="1"/>
      <c r="OC14" s="1"/>
      <c r="OD14" s="1"/>
      <c r="OE14" s="1"/>
      <c r="OF14" s="1"/>
      <c r="OG14" s="1"/>
      <c r="OH14" s="1"/>
      <c r="OI14" s="1"/>
      <c r="OJ14" s="1"/>
      <c r="OK14" s="1"/>
      <c r="OL14" s="1"/>
      <c r="OM14" s="1"/>
      <c r="ON14" s="1"/>
      <c r="OO14" s="1"/>
      <c r="OP14" s="1"/>
      <c r="OQ14" s="1"/>
      <c r="OR14" s="1"/>
      <c r="OS14" s="1"/>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c r="QI14" s="1"/>
      <c r="QJ14" s="1"/>
      <c r="QK14" s="1"/>
      <c r="QL14" s="1"/>
      <c r="QM14" s="1"/>
      <c r="QN14" s="1"/>
      <c r="QO14" s="1"/>
      <c r="QP14" s="1"/>
      <c r="QQ14" s="1"/>
      <c r="QR14" s="1"/>
      <c r="QS14" s="1"/>
      <c r="QT14" s="1"/>
      <c r="QU14" s="1"/>
      <c r="QV14" s="1"/>
      <c r="QW14" s="1"/>
      <c r="QX14" s="1"/>
      <c r="QY14" s="1"/>
      <c r="QZ14" s="1"/>
      <c r="RA14" s="1"/>
      <c r="RB14" s="1"/>
      <c r="RC14" s="1"/>
      <c r="RD14" s="1"/>
      <c r="RE14" s="1"/>
      <c r="RF14" s="1"/>
      <c r="RG14" s="1"/>
      <c r="RH14" s="1"/>
      <c r="RI14" s="1"/>
      <c r="RJ14" s="1"/>
      <c r="RK14" s="1"/>
      <c r="RL14" s="1"/>
      <c r="RM14" s="1"/>
      <c r="RN14" s="1"/>
      <c r="RO14" s="1"/>
      <c r="RP14" s="1"/>
      <c r="RQ14" s="1"/>
      <c r="RR14" s="1"/>
      <c r="RS14" s="1"/>
      <c r="RT14" s="1"/>
      <c r="RU14" s="1"/>
      <c r="RV14" s="1"/>
      <c r="RW14" s="1"/>
      <c r="RX14" s="1"/>
      <c r="RY14" s="1"/>
      <c r="RZ14" s="1"/>
      <c r="SA14" s="1"/>
      <c r="SB14" s="1"/>
      <c r="SC14" s="1"/>
      <c r="SD14" s="1"/>
      <c r="SE14" s="1"/>
      <c r="SF14" s="1"/>
      <c r="SG14" s="1"/>
      <c r="SH14" s="1"/>
      <c r="SI14" s="1"/>
      <c r="SJ14" s="1"/>
      <c r="SK14" s="1"/>
      <c r="SL14" s="1"/>
      <c r="SM14" s="1"/>
      <c r="SN14" s="1"/>
      <c r="SO14" s="1"/>
      <c r="SP14" s="1"/>
      <c r="SQ14" s="1"/>
      <c r="SR14" s="1"/>
      <c r="SS14" s="1"/>
      <c r="ST14" s="1"/>
      <c r="SU14" s="1"/>
      <c r="SV14" s="1"/>
      <c r="SW14" s="1"/>
      <c r="SX14" s="1"/>
      <c r="SY14" s="1"/>
      <c r="SZ14" s="1"/>
      <c r="TA14" s="1"/>
      <c r="TB14" s="1"/>
      <c r="TC14" s="1"/>
      <c r="TD14" s="1"/>
      <c r="TE14" s="1"/>
      <c r="TF14" s="1"/>
      <c r="TG14" s="1"/>
      <c r="TH14" s="1"/>
      <c r="TI14" s="1"/>
      <c r="TJ14" s="1"/>
      <c r="TK14" s="1"/>
      <c r="TL14" s="1"/>
      <c r="TM14" s="1"/>
      <c r="TN14" s="1"/>
      <c r="TO14" s="1"/>
      <c r="TP14" s="1"/>
      <c r="TQ14" s="1"/>
      <c r="TR14" s="1"/>
      <c r="TS14" s="1"/>
      <c r="TT14" s="1"/>
      <c r="TU14" s="1"/>
      <c r="TV14" s="1"/>
      <c r="TW14" s="1"/>
      <c r="TX14" s="1"/>
      <c r="TY14" s="1"/>
      <c r="TZ14" s="1"/>
      <c r="UA14" s="1"/>
      <c r="UB14" s="1"/>
      <c r="UC14" s="1"/>
      <c r="UD14" s="1"/>
      <c r="UE14" s="1"/>
      <c r="UF14" s="1"/>
      <c r="UG14" s="1"/>
      <c r="UH14" s="1"/>
      <c r="UI14" s="1"/>
      <c r="UJ14" s="1"/>
      <c r="UK14" s="1"/>
      <c r="UL14" s="1"/>
      <c r="UM14" s="1"/>
      <c r="UN14" s="1"/>
      <c r="UO14" s="1"/>
      <c r="UP14" s="1"/>
      <c r="UQ14" s="1"/>
      <c r="UR14" s="1"/>
      <c r="US14" s="1"/>
      <c r="UT14" s="1"/>
      <c r="UU14" s="1"/>
      <c r="UV14" s="1"/>
      <c r="UW14" s="1"/>
      <c r="UX14" s="1"/>
      <c r="UY14" s="1"/>
      <c r="UZ14" s="1"/>
      <c r="VA14" s="1"/>
      <c r="VB14" s="1"/>
      <c r="VC14" s="1"/>
      <c r="VD14" s="1"/>
      <c r="VE14" s="1"/>
      <c r="VF14" s="1"/>
      <c r="VG14" s="1"/>
      <c r="VH14" s="1"/>
      <c r="VI14" s="1"/>
      <c r="VJ14" s="1"/>
      <c r="VK14" s="1"/>
      <c r="VL14" s="1"/>
      <c r="VM14" s="1"/>
      <c r="VN14" s="1"/>
      <c r="VO14" s="1"/>
      <c r="VP14" s="1"/>
      <c r="VQ14" s="1"/>
      <c r="VR14" s="1"/>
      <c r="VS14" s="1"/>
      <c r="VT14" s="1"/>
      <c r="VU14" s="1"/>
      <c r="VV14" s="1"/>
      <c r="VW14" s="1"/>
      <c r="VX14" s="1"/>
      <c r="VY14" s="1"/>
      <c r="VZ14" s="1"/>
      <c r="WA14" s="1"/>
      <c r="WB14" s="1"/>
      <c r="WC14" s="1"/>
      <c r="WD14" s="1"/>
      <c r="WE14" s="1"/>
      <c r="WF14" s="1"/>
      <c r="WG14" s="1"/>
      <c r="WH14" s="1"/>
      <c r="WI14" s="1"/>
      <c r="WJ14" s="1"/>
      <c r="WK14" s="1"/>
      <c r="WL14" s="1"/>
      <c r="WM14" s="1"/>
      <c r="WN14" s="1"/>
      <c r="WO14" s="1"/>
      <c r="WP14" s="1"/>
      <c r="WQ14" s="1"/>
      <c r="WR14" s="1"/>
      <c r="WS14" s="1"/>
      <c r="WT14" s="1"/>
      <c r="WU14" s="1"/>
      <c r="WV14" s="1"/>
      <c r="WW14" s="1"/>
      <c r="WX14" s="1"/>
      <c r="WY14" s="1"/>
      <c r="WZ14" s="1"/>
      <c r="XA14" s="1"/>
      <c r="XB14" s="1"/>
      <c r="XC14" s="1"/>
      <c r="XD14" s="1"/>
      <c r="XE14" s="1"/>
      <c r="XF14" s="1"/>
      <c r="XG14" s="1"/>
      <c r="XH14" s="1"/>
      <c r="XI14" s="1"/>
      <c r="XJ14" s="1"/>
      <c r="XK14" s="1"/>
      <c r="XL14" s="1"/>
      <c r="XM14" s="1"/>
      <c r="XN14" s="1"/>
      <c r="XO14" s="1"/>
      <c r="XP14" s="1"/>
      <c r="XQ14" s="1"/>
      <c r="XR14" s="1"/>
      <c r="XS14" s="1"/>
      <c r="XT14" s="1"/>
      <c r="XU14" s="1"/>
      <c r="XV14" s="1"/>
      <c r="XW14" s="1"/>
      <c r="XX14" s="1"/>
      <c r="XY14" s="1"/>
      <c r="XZ14" s="1"/>
      <c r="YA14" s="1"/>
      <c r="YB14" s="1"/>
      <c r="YC14" s="1"/>
      <c r="YD14" s="1"/>
      <c r="YE14" s="1"/>
      <c r="YF14" s="1"/>
      <c r="YG14" s="1"/>
      <c r="YH14" s="1"/>
      <c r="YI14" s="1"/>
      <c r="YJ14" s="1"/>
      <c r="YK14" s="1"/>
      <c r="YL14" s="1"/>
      <c r="YM14" s="1"/>
      <c r="YN14" s="1"/>
      <c r="YO14" s="1"/>
      <c r="YP14" s="1"/>
      <c r="YQ14" s="1"/>
      <c r="YR14" s="1"/>
      <c r="YS14" s="1"/>
      <c r="YT14" s="1"/>
      <c r="YU14" s="1"/>
      <c r="YV14" s="1"/>
      <c r="YW14" s="1"/>
      <c r="YX14" s="1"/>
      <c r="YY14" s="1"/>
      <c r="YZ14" s="1"/>
      <c r="ZA14" s="1"/>
      <c r="ZB14" s="1"/>
      <c r="ZC14" s="1"/>
      <c r="ZD14" s="1"/>
      <c r="ZE14" s="1"/>
      <c r="ZF14" s="1"/>
      <c r="ZG14" s="1"/>
      <c r="ZH14" s="1"/>
      <c r="ZI14" s="1"/>
      <c r="ZJ14" s="1"/>
      <c r="ZK14" s="1"/>
      <c r="ZL14" s="1"/>
      <c r="ZM14" s="1"/>
      <c r="ZN14" s="1"/>
      <c r="ZO14" s="1"/>
      <c r="ZP14" s="1"/>
      <c r="ZQ14" s="1"/>
      <c r="ZR14" s="1"/>
      <c r="ZS14" s="1"/>
      <c r="ZT14" s="1"/>
      <c r="ZU14" s="1"/>
      <c r="ZV14" s="1"/>
      <c r="ZW14" s="1"/>
      <c r="ZX14" s="1"/>
      <c r="ZY14" s="1"/>
      <c r="ZZ14" s="1"/>
      <c r="AAA14" s="1"/>
      <c r="AAB14" s="1"/>
      <c r="AAC14" s="1"/>
      <c r="AAD14" s="1"/>
      <c r="AAE14" s="1"/>
      <c r="AAF14" s="1"/>
      <c r="AAG14" s="1"/>
      <c r="AAH14" s="1"/>
      <c r="AAI14" s="1"/>
      <c r="AAJ14" s="1"/>
      <c r="AAK14" s="1"/>
      <c r="AAL14" s="1"/>
      <c r="AAM14" s="1"/>
      <c r="AAN14" s="1"/>
      <c r="AAO14" s="1"/>
      <c r="AAP14" s="1"/>
      <c r="AAQ14" s="1"/>
      <c r="AAR14" s="1"/>
      <c r="AAS14" s="1"/>
      <c r="AAT14" s="1"/>
      <c r="AAU14" s="1"/>
      <c r="AAV14" s="1"/>
      <c r="AAW14" s="1"/>
      <c r="AAX14" s="1"/>
      <c r="AAY14" s="1"/>
      <c r="AAZ14" s="1"/>
      <c r="ABA14" s="1"/>
      <c r="ABB14" s="1"/>
      <c r="ABC14" s="1"/>
      <c r="ABD14" s="1"/>
      <c r="ABE14" s="1"/>
      <c r="ABF14" s="1"/>
      <c r="ABG14" s="1"/>
      <c r="ABH14" s="1"/>
      <c r="ABI14" s="1"/>
      <c r="ABJ14" s="1"/>
      <c r="ABK14" s="1"/>
      <c r="ABL14" s="1"/>
      <c r="ABM14" s="1"/>
      <c r="ABN14" s="1"/>
      <c r="ABO14" s="1"/>
      <c r="ABP14" s="1"/>
      <c r="ABQ14" s="1"/>
      <c r="ABR14" s="1"/>
      <c r="ABS14" s="1"/>
      <c r="ABT14" s="1"/>
      <c r="ABU14" s="1"/>
      <c r="ABV14" s="1"/>
      <c r="ABW14" s="1"/>
      <c r="ABX14" s="1"/>
      <c r="ABY14" s="1"/>
      <c r="ABZ14" s="1"/>
      <c r="ACA14" s="1"/>
      <c r="ACB14" s="1"/>
      <c r="ACC14" s="1"/>
      <c r="ACD14" s="1"/>
      <c r="ACE14" s="1"/>
      <c r="ACF14" s="1"/>
      <c r="ACG14" s="1"/>
      <c r="ACH14" s="1"/>
      <c r="ACI14" s="1"/>
      <c r="ACJ14" s="1"/>
      <c r="ACK14" s="1"/>
      <c r="ACL14" s="1"/>
      <c r="ACM14" s="1"/>
      <c r="ACN14" s="1"/>
      <c r="ACO14" s="1"/>
      <c r="ACP14" s="1"/>
      <c r="ACQ14" s="1"/>
      <c r="ACR14" s="1"/>
      <c r="ACS14" s="1"/>
      <c r="ACT14" s="1"/>
      <c r="ACU14" s="1"/>
      <c r="ACV14" s="1"/>
      <c r="ACW14" s="1"/>
      <c r="ACX14" s="1"/>
      <c r="ACY14" s="1"/>
      <c r="ACZ14" s="1"/>
      <c r="ADA14" s="1"/>
      <c r="ADB14" s="1"/>
      <c r="ADC14" s="1"/>
      <c r="ADD14" s="1"/>
      <c r="ADE14" s="1"/>
      <c r="ADF14" s="1"/>
      <c r="ADG14" s="1"/>
      <c r="ADH14" s="1"/>
      <c r="ADI14" s="1"/>
      <c r="ADJ14" s="1"/>
      <c r="ADK14" s="1"/>
      <c r="ADL14" s="1"/>
      <c r="ADM14" s="1"/>
      <c r="ADN14" s="1"/>
      <c r="ADO14" s="1"/>
      <c r="ADP14" s="1"/>
      <c r="ADQ14" s="1"/>
      <c r="ADR14" s="1"/>
      <c r="ADS14" s="1"/>
      <c r="ADT14" s="1"/>
      <c r="ADU14" s="1"/>
      <c r="ADV14" s="1"/>
      <c r="ADW14" s="1"/>
      <c r="ADX14" s="1"/>
      <c r="ADY14" s="1"/>
      <c r="ADZ14" s="1"/>
      <c r="AEA14" s="1"/>
      <c r="AEB14" s="1"/>
      <c r="AEC14" s="1"/>
      <c r="AED14" s="1"/>
      <c r="AEE14" s="1"/>
      <c r="AEF14" s="1"/>
      <c r="AEG14" s="1"/>
      <c r="AEH14" s="1"/>
      <c r="AEI14" s="1"/>
      <c r="AEJ14" s="1"/>
      <c r="AEK14" s="1"/>
      <c r="AEL14" s="1"/>
      <c r="AEM14" s="1"/>
      <c r="AEN14" s="1"/>
      <c r="AEO14" s="1"/>
      <c r="AEP14" s="1"/>
      <c r="AEQ14" s="1"/>
      <c r="AER14" s="1"/>
      <c r="AES14" s="1"/>
      <c r="AET14" s="1"/>
      <c r="AEU14" s="1"/>
      <c r="AEV14" s="1"/>
      <c r="AEW14" s="1"/>
      <c r="AEX14" s="1"/>
      <c r="AEY14" s="1"/>
      <c r="AEZ14" s="1"/>
      <c r="AFA14" s="1"/>
      <c r="AFB14" s="1"/>
      <c r="AFC14" s="1"/>
      <c r="AFD14" s="1"/>
      <c r="AFE14" s="1"/>
      <c r="AFF14" s="1"/>
      <c r="AFG14" s="1"/>
      <c r="AFH14" s="1"/>
      <c r="AFI14" s="1"/>
      <c r="AFJ14" s="1"/>
      <c r="AFK14" s="1"/>
      <c r="AFL14" s="1"/>
      <c r="AFM14" s="1"/>
      <c r="AFN14" s="1"/>
      <c r="AFO14" s="1"/>
      <c r="AFP14" s="1"/>
      <c r="AFQ14" s="1"/>
      <c r="AFR14" s="1"/>
      <c r="AFS14" s="1"/>
      <c r="AFT14" s="1"/>
      <c r="AFU14" s="1"/>
      <c r="AFV14" s="1"/>
      <c r="AFW14" s="1"/>
      <c r="AFX14" s="1"/>
      <c r="AFY14" s="1"/>
      <c r="AFZ14" s="1"/>
      <c r="AGA14" s="1"/>
      <c r="AGB14" s="1"/>
      <c r="AGC14" s="1"/>
      <c r="AGD14" s="1"/>
      <c r="AGE14" s="1"/>
      <c r="AGF14" s="1"/>
      <c r="AGG14" s="1"/>
      <c r="AGH14" s="1"/>
      <c r="AGI14" s="1"/>
      <c r="AGJ14" s="1"/>
      <c r="AGK14" s="1"/>
      <c r="AGL14" s="1"/>
      <c r="AGM14" s="1"/>
      <c r="AGN14" s="1"/>
      <c r="AGO14" s="1"/>
      <c r="AGP14" s="1"/>
      <c r="AGQ14" s="1"/>
      <c r="AGR14" s="1"/>
      <c r="AGS14" s="1"/>
      <c r="AGT14" s="1"/>
      <c r="AGU14" s="1"/>
      <c r="AGV14" s="1"/>
      <c r="AGW14" s="1"/>
      <c r="AGX14" s="1"/>
      <c r="AGY14" s="1"/>
      <c r="AGZ14" s="1"/>
      <c r="AHA14" s="1"/>
      <c r="AHB14" s="1"/>
      <c r="AHC14" s="1"/>
      <c r="AHD14" s="1"/>
      <c r="AHE14" s="1"/>
      <c r="AHF14" s="1"/>
      <c r="AHG14" s="1"/>
      <c r="AHH14" s="1"/>
      <c r="AHI14" s="1"/>
      <c r="AHJ14" s="1"/>
      <c r="AHK14" s="1"/>
      <c r="AHL14" s="1"/>
      <c r="AHM14" s="1"/>
      <c r="AHN14" s="1"/>
      <c r="AHO14" s="1"/>
      <c r="AHP14" s="1"/>
      <c r="AHQ14" s="1"/>
      <c r="AHR14" s="1"/>
      <c r="AHS14" s="1"/>
      <c r="AHT14" s="1"/>
      <c r="AHU14" s="1"/>
      <c r="AHV14" s="1"/>
      <c r="AHW14" s="1"/>
      <c r="AHX14" s="1"/>
      <c r="AHY14" s="1"/>
      <c r="AHZ14" s="1"/>
      <c r="AIA14" s="1"/>
      <c r="AIB14" s="1"/>
      <c r="AIC14" s="1"/>
      <c r="AID14" s="1"/>
      <c r="AIE14" s="1"/>
      <c r="AIF14" s="1"/>
      <c r="AIG14" s="1"/>
      <c r="AIH14" s="1"/>
      <c r="AII14" s="1"/>
      <c r="AIJ14" s="1"/>
      <c r="AIK14" s="1"/>
      <c r="AIL14" s="1"/>
      <c r="AIM14" s="1"/>
      <c r="AIN14" s="1"/>
      <c r="AIO14" s="1"/>
      <c r="AIP14" s="1"/>
      <c r="AIQ14" s="1"/>
      <c r="AIR14" s="1"/>
      <c r="AIS14" s="1"/>
      <c r="AIT14" s="1"/>
      <c r="AIU14" s="1"/>
      <c r="AIV14" s="1"/>
      <c r="AIW14" s="1"/>
      <c r="AIX14" s="1"/>
      <c r="AIY14" s="1"/>
      <c r="AIZ14" s="1"/>
      <c r="AJA14" s="1"/>
      <c r="AJB14" s="1"/>
      <c r="AJC14" s="1"/>
      <c r="AJD14" s="1"/>
      <c r="AJE14" s="1"/>
      <c r="AJF14" s="1"/>
      <c r="AJG14" s="1"/>
      <c r="AJH14" s="1"/>
      <c r="AJI14" s="1"/>
      <c r="AJJ14" s="1"/>
      <c r="AJK14" s="1"/>
      <c r="AJL14" s="1"/>
      <c r="AJM14" s="1"/>
      <c r="AJN14" s="1"/>
      <c r="AJO14" s="1"/>
      <c r="AJP14" s="1"/>
      <c r="AJQ14" s="1"/>
      <c r="AJR14" s="1"/>
      <c r="AJS14" s="1"/>
      <c r="AJT14" s="1"/>
      <c r="AJU14" s="1"/>
      <c r="AJV14" s="1"/>
      <c r="AJW14" s="1"/>
      <c r="AJX14" s="1"/>
      <c r="AJY14" s="1"/>
      <c r="AJZ14" s="1"/>
      <c r="AKA14" s="1"/>
      <c r="AKB14" s="1"/>
      <c r="AKC14" s="1"/>
      <c r="AKD14" s="1"/>
      <c r="AKE14" s="1"/>
      <c r="AKF14" s="1"/>
      <c r="AKG14" s="1"/>
      <c r="AKH14" s="1"/>
      <c r="AKI14" s="1"/>
      <c r="AKJ14" s="1"/>
      <c r="AKK14" s="1"/>
      <c r="AKL14" s="1"/>
      <c r="AKM14" s="1"/>
      <c r="AKN14" s="1"/>
      <c r="AKO14" s="1"/>
      <c r="AKP14" s="1"/>
      <c r="AKQ14" s="1"/>
      <c r="AKR14" s="1"/>
      <c r="AKS14" s="1"/>
      <c r="AKT14" s="1"/>
      <c r="AKU14" s="1"/>
      <c r="AKV14" s="1"/>
      <c r="AKW14" s="1"/>
      <c r="AKX14" s="1"/>
      <c r="AKY14" s="1"/>
      <c r="AKZ14" s="1"/>
      <c r="ALA14" s="1"/>
      <c r="ALB14" s="1"/>
      <c r="ALC14" s="1"/>
      <c r="ALD14" s="1"/>
      <c r="ALE14" s="1"/>
      <c r="ALF14" s="1"/>
      <c r="ALG14" s="1"/>
      <c r="ALH14" s="1"/>
      <c r="ALI14" s="1"/>
      <c r="ALJ14" s="1"/>
      <c r="ALK14" s="1"/>
      <c r="ALL14" s="1"/>
      <c r="ALM14" s="1"/>
      <c r="ALN14" s="1"/>
      <c r="ALO14" s="1"/>
      <c r="ALP14" s="1"/>
      <c r="ALQ14" s="1"/>
      <c r="ALR14" s="1"/>
      <c r="ALS14" s="1"/>
      <c r="ALT14" s="1"/>
      <c r="ALU14" s="1"/>
      <c r="ALV14" s="1"/>
      <c r="ALW14" s="1"/>
      <c r="ALX14" s="1"/>
      <c r="ALY14" s="1"/>
      <c r="ALZ14" s="1"/>
      <c r="AMA14" s="1"/>
      <c r="AMB14" s="1"/>
      <c r="AMC14" s="1"/>
      <c r="AMD14" s="1"/>
      <c r="AME14" s="1"/>
      <c r="AMF14" s="1"/>
      <c r="AMG14" s="1"/>
      <c r="AMH14" s="1"/>
      <c r="AMI14" s="1"/>
      <c r="AMJ14" s="1"/>
      <c r="AMK14" s="1"/>
      <c r="AML14" s="1"/>
      <c r="AMM14" s="1"/>
      <c r="AMN14" s="1"/>
      <c r="AMO14" s="1"/>
      <c r="AMP14" s="1"/>
      <c r="AMQ14" s="1"/>
      <c r="AMR14" s="1"/>
      <c r="AMS14" s="1"/>
      <c r="AMT14" s="1"/>
      <c r="AMU14" s="1"/>
      <c r="AMV14" s="1"/>
      <c r="AMW14" s="1"/>
      <c r="AMX14" s="1"/>
      <c r="AMY14" s="1"/>
      <c r="AMZ14" s="1"/>
      <c r="ANA14" s="1"/>
      <c r="ANB14" s="1"/>
      <c r="ANC14" s="1"/>
      <c r="AND14" s="1"/>
      <c r="ANE14" s="1"/>
      <c r="ANF14" s="1"/>
      <c r="ANG14" s="1"/>
      <c r="ANH14" s="1"/>
      <c r="ANI14" s="1"/>
      <c r="ANJ14" s="1"/>
      <c r="ANK14" s="1"/>
      <c r="ANL14" s="1"/>
      <c r="ANM14" s="1"/>
      <c r="ANN14" s="1"/>
      <c r="ANO14" s="1"/>
      <c r="ANP14" s="1"/>
      <c r="ANQ14" s="1"/>
      <c r="ANR14" s="1"/>
      <c r="ANS14" s="1"/>
      <c r="ANT14" s="1"/>
      <c r="ANU14" s="1"/>
      <c r="ANV14" s="1"/>
      <c r="ANW14" s="1"/>
      <c r="ANX14" s="1"/>
      <c r="ANY14" s="1"/>
      <c r="ANZ14" s="1"/>
      <c r="AOA14" s="1"/>
      <c r="AOB14" s="1"/>
      <c r="AOC14" s="1"/>
      <c r="AOD14" s="1"/>
      <c r="AOE14" s="1"/>
      <c r="AOF14" s="1"/>
      <c r="AOG14" s="1"/>
      <c r="AOH14" s="1"/>
      <c r="AOI14" s="1"/>
      <c r="AOJ14" s="1"/>
      <c r="AOK14" s="1"/>
      <c r="AOL14" s="1"/>
      <c r="AOM14" s="1"/>
      <c r="AON14" s="1"/>
      <c r="AOO14" s="1"/>
      <c r="AOP14" s="1"/>
      <c r="AOQ14" s="1"/>
      <c r="AOR14" s="1"/>
      <c r="AOS14" s="1"/>
      <c r="AOT14" s="1"/>
      <c r="AOU14" s="1"/>
      <c r="AOV14" s="1"/>
      <c r="AOW14" s="1"/>
      <c r="AOX14" s="1"/>
      <c r="AOY14" s="1"/>
      <c r="AOZ14" s="1"/>
      <c r="APA14" s="1"/>
      <c r="APB14" s="1"/>
      <c r="APC14" s="1"/>
      <c r="APD14" s="1"/>
      <c r="APE14" s="1"/>
      <c r="APF14" s="1"/>
      <c r="APG14" s="1"/>
      <c r="APH14" s="1"/>
      <c r="API14" s="1"/>
      <c r="APJ14" s="1"/>
      <c r="APK14" s="1"/>
      <c r="APL14" s="1"/>
      <c r="APM14" s="1"/>
      <c r="APN14" s="1"/>
      <c r="APO14" s="1"/>
      <c r="APP14" s="1"/>
      <c r="APQ14" s="1"/>
      <c r="APR14" s="1"/>
      <c r="APS14" s="1"/>
      <c r="APT14" s="1"/>
      <c r="APU14" s="1"/>
      <c r="APV14" s="1"/>
      <c r="APW14" s="1"/>
      <c r="APX14" s="1"/>
      <c r="APY14" s="1"/>
      <c r="APZ14" s="1"/>
      <c r="AQA14" s="1"/>
      <c r="AQB14" s="1"/>
      <c r="AQC14" s="1"/>
      <c r="AQD14" s="1"/>
      <c r="AQE14" s="1"/>
      <c r="AQF14" s="1"/>
      <c r="AQG14" s="1"/>
      <c r="AQH14" s="1"/>
      <c r="AQI14" s="1"/>
      <c r="AQJ14" s="1"/>
      <c r="AQK14" s="1"/>
      <c r="AQL14" s="1"/>
      <c r="AQM14" s="1"/>
      <c r="AQN14" s="1"/>
      <c r="AQO14" s="1"/>
      <c r="AQP14" s="1"/>
      <c r="AQQ14" s="1"/>
      <c r="AQR14" s="1"/>
      <c r="AQS14" s="1"/>
      <c r="AQT14" s="1"/>
      <c r="AQU14" s="1"/>
      <c r="AQV14" s="1"/>
      <c r="AQW14" s="1"/>
      <c r="AQX14" s="1"/>
      <c r="AQY14" s="1"/>
      <c r="AQZ14" s="1"/>
      <c r="ARA14" s="1"/>
      <c r="ARB14" s="1"/>
      <c r="ARC14" s="1"/>
      <c r="ARD14" s="1"/>
      <c r="ARE14" s="1"/>
      <c r="ARF14" s="1"/>
      <c r="ARG14" s="1"/>
      <c r="ARH14" s="1"/>
      <c r="ARI14" s="1"/>
      <c r="ARJ14" s="1"/>
      <c r="ARK14" s="1"/>
      <c r="ARL14" s="1"/>
      <c r="ARM14" s="1"/>
      <c r="ARN14" s="1"/>
      <c r="ARO14" s="1"/>
      <c r="ARP14" s="1"/>
      <c r="ARQ14" s="1"/>
      <c r="ARR14" s="1"/>
      <c r="ARS14" s="1"/>
      <c r="ART14" s="1"/>
      <c r="ARU14" s="1"/>
      <c r="ARV14" s="1"/>
      <c r="ARW14" s="1"/>
      <c r="ARX14" s="1"/>
      <c r="ARY14" s="1"/>
      <c r="ARZ14" s="1"/>
      <c r="ASA14" s="1"/>
      <c r="ASB14" s="1"/>
      <c r="ASC14" s="1"/>
      <c r="ASD14" s="1"/>
      <c r="ASE14" s="1"/>
      <c r="ASF14" s="1"/>
      <c r="ASG14" s="1"/>
      <c r="ASH14" s="1"/>
      <c r="ASI14" s="1"/>
      <c r="ASJ14" s="1"/>
      <c r="ASK14" s="1"/>
      <c r="ASL14" s="1"/>
      <c r="ASM14" s="1"/>
      <c r="ASN14" s="1"/>
      <c r="ASO14" s="1"/>
      <c r="ASP14" s="1"/>
      <c r="ASQ14" s="1"/>
      <c r="ASR14" s="1"/>
      <c r="ASS14" s="1"/>
      <c r="AST14" s="1"/>
      <c r="ASU14" s="1"/>
      <c r="ASV14" s="1"/>
      <c r="ASW14" s="1"/>
      <c r="ASX14" s="1"/>
      <c r="ASY14" s="1"/>
      <c r="ASZ14" s="1"/>
      <c r="ATA14" s="1"/>
      <c r="ATB14" s="1"/>
      <c r="ATC14" s="1"/>
      <c r="ATD14" s="1"/>
      <c r="ATE14" s="1"/>
      <c r="ATF14" s="1"/>
      <c r="ATG14" s="1"/>
      <c r="ATH14" s="1"/>
      <c r="ATI14" s="1"/>
      <c r="ATJ14" s="1"/>
      <c r="ATK14" s="1"/>
      <c r="ATL14" s="1"/>
      <c r="ATM14" s="1"/>
      <c r="ATN14" s="1"/>
      <c r="ATO14" s="1"/>
      <c r="ATP14" s="1"/>
      <c r="ATQ14" s="1"/>
      <c r="ATR14" s="1"/>
      <c r="ATS14" s="1"/>
      <c r="ATT14" s="1"/>
      <c r="ATU14" s="1"/>
      <c r="ATV14" s="1"/>
      <c r="ATW14" s="1"/>
      <c r="ATX14" s="1"/>
      <c r="ATY14" s="1"/>
      <c r="ATZ14" s="1"/>
      <c r="AUA14" s="1"/>
      <c r="AUB14" s="1"/>
      <c r="AUC14" s="1"/>
      <c r="AUD14" s="1"/>
      <c r="AUE14" s="1"/>
      <c r="AUF14" s="1"/>
      <c r="AUG14" s="1"/>
      <c r="AUH14" s="1"/>
      <c r="AUI14" s="1"/>
      <c r="AUJ14" s="1"/>
      <c r="AUK14" s="1"/>
      <c r="AUL14" s="1"/>
      <c r="AUM14" s="1"/>
      <c r="AUN14" s="1"/>
      <c r="AUO14" s="1"/>
      <c r="AUP14" s="1"/>
      <c r="AUQ14" s="1"/>
      <c r="AUR14" s="1"/>
      <c r="AUS14" s="1"/>
      <c r="AUT14" s="1"/>
      <c r="AUU14" s="1"/>
      <c r="AUV14" s="1"/>
      <c r="AUW14" s="1"/>
      <c r="AUX14" s="1"/>
      <c r="AUY14" s="1"/>
      <c r="AUZ14" s="1"/>
      <c r="AVA14" s="1"/>
      <c r="AVB14" s="1"/>
      <c r="AVC14" s="1"/>
      <c r="AVD14" s="1"/>
      <c r="AVE14" s="1"/>
      <c r="AVF14" s="1"/>
      <c r="AVG14" s="1"/>
      <c r="AVH14" s="1"/>
      <c r="AVI14" s="1"/>
      <c r="AVJ14" s="1"/>
      <c r="AVK14" s="1"/>
      <c r="AVL14" s="1"/>
      <c r="AVM14" s="1"/>
      <c r="AVN14" s="1"/>
      <c r="AVO14" s="1"/>
      <c r="AVP14" s="1"/>
      <c r="AVQ14" s="1"/>
      <c r="AVR14" s="1"/>
      <c r="AVS14" s="1"/>
      <c r="AVT14" s="1"/>
      <c r="AVU14" s="1"/>
      <c r="AVV14" s="1"/>
      <c r="AVW14" s="1"/>
      <c r="AVX14" s="1"/>
      <c r="AVY14" s="1"/>
      <c r="AVZ14" s="1"/>
      <c r="AWA14" s="1"/>
      <c r="AWB14" s="1"/>
      <c r="AWC14" s="1"/>
      <c r="AWD14" s="1"/>
      <c r="AWE14" s="1"/>
      <c r="AWF14" s="1"/>
      <c r="AWG14" s="1"/>
      <c r="AWH14" s="1"/>
      <c r="AWI14" s="1"/>
      <c r="AWJ14" s="1"/>
      <c r="AWK14" s="1"/>
      <c r="AWL14" s="1"/>
      <c r="AWM14" s="1"/>
      <c r="AWN14" s="1"/>
      <c r="AWO14" s="1"/>
      <c r="AWP14" s="1"/>
      <c r="AWQ14" s="1"/>
      <c r="AWR14" s="1"/>
      <c r="AWS14" s="1"/>
      <c r="AWT14" s="1"/>
      <c r="AWU14" s="1"/>
      <c r="AWV14" s="1"/>
      <c r="AWW14" s="1"/>
      <c r="AWX14" s="1"/>
      <c r="AWY14" s="1"/>
      <c r="AWZ14" s="1"/>
      <c r="AXA14" s="1"/>
      <c r="AXB14" s="1"/>
      <c r="AXC14" s="1"/>
      <c r="AXD14" s="1"/>
      <c r="AXE14" s="1"/>
      <c r="AXF14" s="1"/>
      <c r="AXG14" s="1"/>
      <c r="AXH14" s="1"/>
      <c r="AXI14" s="1"/>
      <c r="AXJ14" s="1"/>
      <c r="AXK14" s="1"/>
      <c r="AXL14" s="1"/>
      <c r="AXM14" s="1"/>
      <c r="AXN14" s="1"/>
      <c r="AXO14" s="1"/>
      <c r="AXP14" s="1"/>
      <c r="AXQ14" s="1"/>
      <c r="AXR14" s="1"/>
      <c r="AXS14" s="1"/>
      <c r="AXT14" s="1"/>
      <c r="AXU14" s="1"/>
      <c r="AXV14" s="1"/>
      <c r="AXW14" s="1"/>
      <c r="AXX14" s="1"/>
      <c r="AXY14" s="1"/>
      <c r="AXZ14" s="1"/>
      <c r="AYA14" s="1"/>
      <c r="AYB14" s="1"/>
      <c r="AYC14" s="1"/>
      <c r="AYD14" s="1"/>
      <c r="AYE14" s="1"/>
      <c r="AYF14" s="1"/>
      <c r="AYG14" s="1"/>
      <c r="AYH14" s="1"/>
      <c r="AYI14" s="1"/>
      <c r="AYJ14" s="1"/>
      <c r="AYK14" s="1"/>
      <c r="AYL14" s="1"/>
      <c r="AYM14" s="1"/>
      <c r="AYN14" s="1"/>
      <c r="AYO14" s="1"/>
      <c r="AYP14" s="1"/>
      <c r="AYQ14" s="1"/>
      <c r="AYR14" s="1"/>
      <c r="AYS14" s="1"/>
      <c r="AYT14" s="1"/>
      <c r="AYU14" s="1"/>
      <c r="AYV14" s="1"/>
      <c r="AYW14" s="1"/>
      <c r="AYX14" s="1"/>
      <c r="AYY14" s="1"/>
      <c r="AYZ14" s="1"/>
      <c r="AZA14" s="1"/>
      <c r="AZB14" s="1"/>
      <c r="AZC14" s="1"/>
      <c r="AZD14" s="1"/>
      <c r="AZE14" s="1"/>
      <c r="AZF14" s="1"/>
      <c r="AZG14" s="1"/>
      <c r="AZH14" s="1"/>
      <c r="AZI14" s="1"/>
      <c r="AZJ14" s="1"/>
      <c r="AZK14" s="1"/>
      <c r="AZL14" s="1"/>
      <c r="AZM14" s="1"/>
      <c r="AZN14" s="1"/>
      <c r="AZO14" s="1"/>
      <c r="AZP14" s="1"/>
      <c r="AZQ14" s="1"/>
      <c r="AZR14" s="1"/>
      <c r="AZS14" s="1"/>
      <c r="AZT14" s="1"/>
      <c r="AZU14" s="1"/>
      <c r="AZV14" s="1"/>
      <c r="AZW14" s="1"/>
      <c r="AZX14" s="1"/>
      <c r="AZY14" s="1"/>
      <c r="AZZ14" s="1"/>
      <c r="BAA14" s="1"/>
      <c r="BAB14" s="1"/>
      <c r="BAC14" s="1"/>
      <c r="BAD14" s="1"/>
      <c r="BAE14" s="1"/>
      <c r="BAF14" s="1"/>
      <c r="BAG14" s="1"/>
      <c r="BAH14" s="1"/>
      <c r="BAI14" s="1"/>
      <c r="BAJ14" s="1"/>
      <c r="BAK14" s="1"/>
      <c r="BAL14" s="1"/>
      <c r="BAM14" s="1"/>
      <c r="BAN14" s="1"/>
      <c r="BAO14" s="1"/>
      <c r="BAP14" s="1"/>
      <c r="BAQ14" s="1"/>
      <c r="BAR14" s="1"/>
      <c r="BAS14" s="1"/>
      <c r="BAT14" s="1"/>
      <c r="BAU14" s="1"/>
      <c r="BAV14" s="1"/>
      <c r="BAW14" s="1"/>
      <c r="BAX14" s="1"/>
      <c r="BAY14" s="1"/>
      <c r="BAZ14" s="1"/>
      <c r="BBA14" s="1"/>
      <c r="BBB14" s="1"/>
      <c r="BBC14" s="1"/>
      <c r="BBD14" s="1"/>
      <c r="BBE14" s="1"/>
      <c r="BBF14" s="1"/>
      <c r="BBG14" s="1"/>
      <c r="BBH14" s="1"/>
      <c r="BBI14" s="1"/>
      <c r="BBJ14" s="1"/>
      <c r="BBK14" s="1"/>
      <c r="BBL14" s="1"/>
      <c r="BBM14" s="1"/>
      <c r="BBN14" s="1"/>
      <c r="BBO14" s="1"/>
      <c r="BBP14" s="1"/>
      <c r="BBQ14" s="1"/>
      <c r="BBR14" s="1"/>
      <c r="BBS14" s="1"/>
      <c r="BBT14" s="1"/>
      <c r="BBU14" s="1"/>
      <c r="BBV14" s="1"/>
      <c r="BBW14" s="1"/>
      <c r="BBX14" s="1"/>
      <c r="BBY14" s="1"/>
      <c r="BBZ14" s="1"/>
      <c r="BCA14" s="1"/>
      <c r="BCB14" s="1"/>
      <c r="BCC14" s="1"/>
      <c r="BCD14" s="1"/>
      <c r="BCE14" s="1"/>
      <c r="BCF14" s="1"/>
      <c r="BCG14" s="1"/>
      <c r="BCH14" s="1"/>
      <c r="BCI14" s="1"/>
      <c r="BCJ14" s="1"/>
      <c r="BCK14" s="1"/>
      <c r="BCL14" s="1"/>
      <c r="BCM14" s="1"/>
      <c r="BCN14" s="1"/>
      <c r="BCO14" s="1"/>
      <c r="BCP14" s="1"/>
      <c r="BCQ14" s="1"/>
      <c r="BCR14" s="1"/>
      <c r="BCS14" s="1"/>
      <c r="BCT14" s="1"/>
      <c r="BCU14" s="1"/>
      <c r="BCV14" s="1"/>
      <c r="BCW14" s="1"/>
      <c r="BCX14" s="1"/>
      <c r="BCY14" s="1"/>
      <c r="BCZ14" s="1"/>
      <c r="BDA14" s="1"/>
      <c r="BDB14" s="1"/>
      <c r="BDC14" s="1"/>
      <c r="BDD14" s="1"/>
      <c r="BDE14" s="1"/>
      <c r="BDF14" s="1"/>
      <c r="BDG14" s="1"/>
      <c r="BDH14" s="1"/>
      <c r="BDI14" s="1"/>
      <c r="BDJ14" s="1"/>
      <c r="BDK14" s="1"/>
      <c r="BDL14" s="1"/>
      <c r="BDM14" s="1"/>
      <c r="BDN14" s="1"/>
      <c r="BDO14" s="1"/>
      <c r="BDP14" s="1"/>
      <c r="BDQ14" s="1"/>
      <c r="BDR14" s="1"/>
      <c r="BDS14" s="1"/>
      <c r="BDT14" s="1"/>
      <c r="BDU14" s="1"/>
      <c r="BDV14" s="1"/>
      <c r="BDW14" s="1"/>
      <c r="BDX14" s="1"/>
      <c r="BDY14" s="1"/>
      <c r="BDZ14" s="1"/>
      <c r="BEA14" s="1"/>
      <c r="BEB14" s="1"/>
      <c r="BEC14" s="1"/>
      <c r="BED14" s="1"/>
      <c r="BEE14" s="1"/>
      <c r="BEF14" s="1"/>
      <c r="BEG14" s="1"/>
      <c r="BEH14" s="1"/>
      <c r="BEI14" s="1"/>
      <c r="BEJ14" s="1"/>
      <c r="BEK14" s="1"/>
      <c r="BEL14" s="1"/>
      <c r="BEM14" s="1"/>
      <c r="BEN14" s="1"/>
      <c r="BEO14" s="1"/>
      <c r="BEP14" s="1"/>
      <c r="BEQ14" s="1"/>
      <c r="BER14" s="1"/>
      <c r="BES14" s="1"/>
      <c r="BET14" s="1"/>
      <c r="BEU14" s="1"/>
      <c r="BEV14" s="1"/>
      <c r="BEW14" s="1"/>
      <c r="BEX14" s="1"/>
      <c r="BEY14" s="1"/>
      <c r="BEZ14" s="1"/>
      <c r="BFA14" s="1"/>
      <c r="BFB14" s="1"/>
      <c r="BFC14" s="1"/>
      <c r="BFD14" s="1"/>
      <c r="BFE14" s="1"/>
      <c r="BFF14" s="1"/>
      <c r="BFG14" s="1"/>
      <c r="BFH14" s="1"/>
      <c r="BFI14" s="1"/>
      <c r="BFJ14" s="1"/>
      <c r="BFK14" s="1"/>
      <c r="BFL14" s="1"/>
      <c r="BFM14" s="1"/>
      <c r="BFN14" s="1"/>
      <c r="BFO14" s="1"/>
      <c r="BFP14" s="1"/>
      <c r="BFQ14" s="1"/>
      <c r="BFR14" s="1"/>
      <c r="BFS14" s="1"/>
      <c r="BFT14" s="1"/>
      <c r="BFU14" s="1"/>
      <c r="BFV14" s="1"/>
      <c r="BFW14" s="1"/>
      <c r="BFX14" s="1"/>
      <c r="BFY14" s="1"/>
      <c r="BFZ14" s="1"/>
      <c r="BGA14" s="1"/>
      <c r="BGB14" s="1"/>
      <c r="BGC14" s="1"/>
      <c r="BGD14" s="1"/>
      <c r="BGE14" s="1"/>
      <c r="BGF14" s="1"/>
      <c r="BGG14" s="1"/>
      <c r="BGH14" s="1"/>
      <c r="BGI14" s="1"/>
      <c r="BGJ14" s="1"/>
      <c r="BGK14" s="1"/>
      <c r="BGL14" s="1"/>
      <c r="BGM14" s="1"/>
      <c r="BGN14" s="1"/>
      <c r="BGO14" s="1"/>
      <c r="BGP14" s="1"/>
      <c r="BGQ14" s="1"/>
      <c r="BGR14" s="1"/>
      <c r="BGS14" s="1"/>
      <c r="BGT14" s="1"/>
      <c r="BGU14" s="1"/>
      <c r="BGV14" s="1"/>
      <c r="BGW14" s="1"/>
      <c r="BGX14" s="1"/>
      <c r="BGY14" s="1"/>
      <c r="BGZ14" s="1"/>
      <c r="BHA14" s="1"/>
      <c r="BHB14" s="1"/>
      <c r="BHC14" s="1"/>
      <c r="BHD14" s="1"/>
      <c r="BHE14" s="1"/>
      <c r="BHF14" s="1"/>
      <c r="BHG14" s="1"/>
      <c r="BHH14" s="1"/>
      <c r="BHI14" s="1"/>
      <c r="BHJ14" s="1"/>
      <c r="BHK14" s="1"/>
      <c r="BHL14" s="1"/>
      <c r="BHM14" s="1"/>
      <c r="BHN14" s="1"/>
      <c r="BHO14" s="1"/>
      <c r="BHP14" s="1"/>
      <c r="BHQ14" s="1"/>
      <c r="BHR14" s="1"/>
      <c r="BHS14" s="1"/>
      <c r="BHT14" s="1"/>
      <c r="BHU14" s="1"/>
      <c r="BHV14" s="1"/>
      <c r="BHW14" s="1"/>
      <c r="BHX14" s="1"/>
      <c r="BHY14" s="1"/>
      <c r="BHZ14" s="1"/>
      <c r="BIA14" s="1"/>
      <c r="BIB14" s="1"/>
      <c r="BIC14" s="1"/>
      <c r="BID14" s="1"/>
      <c r="BIE14" s="1"/>
      <c r="BIF14" s="1"/>
      <c r="BIG14" s="1"/>
      <c r="BIH14" s="1"/>
      <c r="BII14" s="1"/>
      <c r="BIJ14" s="1"/>
      <c r="BIK14" s="1"/>
      <c r="BIL14" s="1"/>
      <c r="BIM14" s="1"/>
      <c r="BIN14" s="1"/>
      <c r="BIO14" s="1"/>
      <c r="BIP14" s="1"/>
      <c r="BIQ14" s="1"/>
      <c r="BIR14" s="1"/>
      <c r="BIS14" s="1"/>
      <c r="BIT14" s="1"/>
      <c r="BIU14" s="1"/>
      <c r="BIV14" s="1"/>
      <c r="BIW14" s="1"/>
      <c r="BIX14" s="1"/>
      <c r="BIY14" s="1"/>
      <c r="BIZ14" s="1"/>
      <c r="BJA14" s="1"/>
      <c r="BJB14" s="1"/>
      <c r="BJC14" s="1"/>
      <c r="BJD14" s="1"/>
      <c r="BJE14" s="1"/>
      <c r="BJF14" s="1"/>
      <c r="BJG14" s="1"/>
      <c r="BJH14" s="1"/>
      <c r="BJI14" s="1"/>
      <c r="BJJ14" s="1"/>
      <c r="BJK14" s="1"/>
      <c r="BJL14" s="1"/>
      <c r="BJM14" s="1"/>
      <c r="BJN14" s="1"/>
      <c r="BJO14" s="1"/>
      <c r="BJP14" s="1"/>
      <c r="BJQ14" s="1"/>
      <c r="BJR14" s="1"/>
      <c r="BJS14" s="1"/>
      <c r="BJT14" s="1"/>
      <c r="BJU14" s="1"/>
      <c r="BJV14" s="1"/>
      <c r="BJW14" s="1"/>
      <c r="BJX14" s="1"/>
      <c r="BJY14" s="1"/>
      <c r="BJZ14" s="1"/>
      <c r="BKA14" s="1"/>
      <c r="BKB14" s="1"/>
      <c r="BKC14" s="1"/>
      <c r="BKD14" s="1"/>
      <c r="BKE14" s="1"/>
      <c r="BKF14" s="1"/>
      <c r="BKG14" s="1"/>
      <c r="BKH14" s="1"/>
      <c r="BKI14" s="1"/>
      <c r="BKJ14" s="1"/>
      <c r="BKK14" s="1"/>
      <c r="BKL14" s="1"/>
      <c r="BKM14" s="1"/>
      <c r="BKN14" s="1"/>
      <c r="BKO14" s="1"/>
      <c r="BKP14" s="1"/>
      <c r="BKQ14" s="1"/>
      <c r="BKR14" s="1"/>
      <c r="BKS14" s="1"/>
      <c r="BKT14" s="1"/>
      <c r="BKU14" s="1"/>
      <c r="BKV14" s="1"/>
      <c r="BKW14" s="1"/>
      <c r="BKX14" s="1"/>
      <c r="BKY14" s="1"/>
      <c r="BKZ14" s="1"/>
      <c r="BLA14" s="1"/>
      <c r="BLB14" s="1"/>
      <c r="BLC14" s="1"/>
      <c r="BLD14" s="1"/>
      <c r="BLE14" s="1"/>
      <c r="BLF14" s="1"/>
      <c r="BLG14" s="1"/>
      <c r="BLH14" s="1"/>
      <c r="BLI14" s="1"/>
      <c r="BLJ14" s="1"/>
      <c r="BLK14" s="1"/>
      <c r="BLL14" s="1"/>
      <c r="BLM14" s="1"/>
      <c r="BLN14" s="1"/>
      <c r="BLO14" s="1"/>
      <c r="BLP14" s="1"/>
      <c r="BLQ14" s="1"/>
      <c r="BLR14" s="1"/>
      <c r="BLS14" s="1"/>
      <c r="BLT14" s="1"/>
      <c r="BLU14" s="1"/>
      <c r="BLV14" s="1"/>
      <c r="BLW14" s="1"/>
      <c r="BLX14" s="1"/>
      <c r="BLY14" s="1"/>
      <c r="BLZ14" s="1"/>
      <c r="BMA14" s="1"/>
      <c r="BMB14" s="1"/>
      <c r="BMC14" s="1"/>
      <c r="BMD14" s="1"/>
      <c r="BME14" s="1"/>
      <c r="BMF14" s="1"/>
      <c r="BMG14" s="1"/>
      <c r="BMH14" s="1"/>
      <c r="BMI14" s="1"/>
      <c r="BMJ14" s="1"/>
      <c r="BMK14" s="1"/>
      <c r="BML14" s="1"/>
      <c r="BMM14" s="1"/>
      <c r="BMN14" s="1"/>
      <c r="BMO14" s="1"/>
      <c r="BMP14" s="1"/>
      <c r="BMQ14" s="1"/>
      <c r="BMR14" s="1"/>
      <c r="BMS14" s="1"/>
      <c r="BMT14" s="1"/>
      <c r="BMU14" s="1"/>
      <c r="BMV14" s="1"/>
      <c r="BMW14" s="1"/>
      <c r="BMX14" s="1"/>
      <c r="BMY14" s="1"/>
      <c r="BMZ14" s="1"/>
      <c r="BNA14" s="1"/>
      <c r="BNB14" s="1"/>
      <c r="BNC14" s="1"/>
      <c r="BND14" s="1"/>
      <c r="BNE14" s="1"/>
      <c r="BNF14" s="1"/>
      <c r="BNG14" s="1"/>
      <c r="BNH14" s="1"/>
      <c r="BNI14" s="1"/>
      <c r="BNJ14" s="1"/>
      <c r="BNK14" s="1"/>
      <c r="BNL14" s="1"/>
      <c r="BNM14" s="1"/>
      <c r="BNN14" s="1"/>
      <c r="BNO14" s="1"/>
      <c r="BNP14" s="1"/>
      <c r="BNQ14" s="1"/>
      <c r="BNR14" s="1"/>
      <c r="BNS14" s="1"/>
      <c r="BNT14" s="1"/>
      <c r="BNU14" s="1"/>
      <c r="BNV14" s="1"/>
      <c r="BNW14" s="1"/>
      <c r="BNX14" s="1"/>
      <c r="BNY14" s="1"/>
      <c r="BNZ14" s="1"/>
      <c r="BOA14" s="1"/>
      <c r="BOB14" s="1"/>
      <c r="BOC14" s="1"/>
      <c r="BOD14" s="1"/>
      <c r="BOE14" s="1"/>
      <c r="BOF14" s="1"/>
      <c r="BOG14" s="1"/>
      <c r="BOH14" s="1"/>
      <c r="BOI14" s="1"/>
      <c r="BOJ14" s="1"/>
      <c r="BOK14" s="1"/>
      <c r="BOL14" s="1"/>
      <c r="BOM14" s="1"/>
      <c r="BON14" s="1"/>
      <c r="BOO14" s="1"/>
      <c r="BOP14" s="1"/>
      <c r="BOQ14" s="1"/>
      <c r="BOR14" s="1"/>
      <c r="BOS14" s="1"/>
      <c r="BOT14" s="1"/>
      <c r="BOU14" s="1"/>
      <c r="BOV14" s="1"/>
      <c r="BOW14" s="1"/>
      <c r="BOX14" s="1"/>
      <c r="BOY14" s="1"/>
      <c r="BOZ14" s="1"/>
      <c r="BPA14" s="1"/>
      <c r="BPB14" s="1"/>
      <c r="BPC14" s="1"/>
      <c r="BPD14" s="1"/>
      <c r="BPE14" s="1"/>
      <c r="BPF14" s="1"/>
      <c r="BPG14" s="1"/>
      <c r="BPH14" s="1"/>
      <c r="BPI14" s="1"/>
      <c r="BPJ14" s="1"/>
      <c r="BPK14" s="1"/>
      <c r="BPL14" s="1"/>
      <c r="BPM14" s="1"/>
      <c r="BPN14" s="1"/>
      <c r="BPO14" s="1"/>
      <c r="BPP14" s="1"/>
      <c r="BPQ14" s="1"/>
      <c r="BPR14" s="1"/>
      <c r="BPS14" s="1"/>
      <c r="BPT14" s="1"/>
      <c r="BPU14" s="1"/>
      <c r="BPV14" s="1"/>
      <c r="BPW14" s="1"/>
      <c r="BPX14" s="1"/>
      <c r="BPY14" s="1"/>
      <c r="BPZ14" s="1"/>
      <c r="BQA14" s="1"/>
      <c r="BQB14" s="1"/>
      <c r="BQC14" s="1"/>
      <c r="BQD14" s="1"/>
      <c r="BQE14" s="1"/>
      <c r="BQF14" s="1"/>
      <c r="BQG14" s="1"/>
      <c r="BQH14" s="1"/>
      <c r="BQI14" s="1"/>
      <c r="BQJ14" s="1"/>
      <c r="BQK14" s="1"/>
      <c r="BQL14" s="1"/>
      <c r="BQM14" s="1"/>
      <c r="BQN14" s="1"/>
      <c r="BQO14" s="1"/>
      <c r="BQP14" s="1"/>
      <c r="BQQ14" s="1"/>
      <c r="BQR14" s="1"/>
      <c r="BQS14" s="1"/>
      <c r="BQT14" s="1"/>
      <c r="BQU14" s="1"/>
      <c r="BQV14" s="1"/>
      <c r="BQW14" s="1"/>
      <c r="BQX14" s="1"/>
      <c r="BQY14" s="1"/>
      <c r="BQZ14" s="1"/>
      <c r="BRA14" s="1"/>
      <c r="BRB14" s="1"/>
      <c r="BRC14" s="1"/>
      <c r="BRD14" s="1"/>
      <c r="BRE14" s="1"/>
      <c r="BRF14" s="1"/>
      <c r="BRG14" s="1"/>
      <c r="BRH14" s="1"/>
      <c r="BRI14" s="1"/>
      <c r="BRJ14" s="1"/>
      <c r="BRK14" s="1"/>
      <c r="BRL14" s="1"/>
      <c r="BRM14" s="1"/>
      <c r="BRN14" s="1"/>
      <c r="BRO14" s="1"/>
      <c r="BRP14" s="1"/>
      <c r="BRQ14" s="1"/>
      <c r="BRR14" s="1"/>
      <c r="BRS14" s="1"/>
      <c r="BRT14" s="1"/>
      <c r="BRU14" s="1"/>
      <c r="BRV14" s="1"/>
      <c r="BRW14" s="1"/>
      <c r="BRX14" s="1"/>
      <c r="BRY14" s="1"/>
      <c r="BRZ14" s="1"/>
      <c r="BSA14" s="1"/>
      <c r="BSB14" s="1"/>
      <c r="BSC14" s="1"/>
      <c r="BSD14" s="1"/>
      <c r="BSE14" s="1"/>
      <c r="BSF14" s="1"/>
      <c r="BSG14" s="1"/>
      <c r="BSH14" s="1"/>
      <c r="BSI14" s="1"/>
      <c r="BSJ14" s="1"/>
      <c r="BSK14" s="1"/>
      <c r="BSL14" s="1"/>
      <c r="BSM14" s="1"/>
      <c r="BSN14" s="1"/>
      <c r="BSO14" s="1"/>
      <c r="BSP14" s="1"/>
      <c r="BSQ14" s="1"/>
      <c r="BSR14" s="1"/>
      <c r="BSS14" s="1"/>
      <c r="BST14" s="1"/>
      <c r="BSU14" s="1"/>
      <c r="BSV14" s="1"/>
      <c r="BSW14" s="1"/>
      <c r="BSX14" s="1"/>
      <c r="BSY14" s="1"/>
      <c r="BSZ14" s="1"/>
      <c r="BTA14" s="1"/>
      <c r="BTB14" s="1"/>
      <c r="BTC14" s="1"/>
      <c r="BTD14" s="1"/>
      <c r="BTE14" s="1"/>
      <c r="BTF14" s="1"/>
      <c r="BTG14" s="1"/>
      <c r="BTH14" s="1"/>
      <c r="BTI14" s="1"/>
      <c r="BTJ14" s="1"/>
      <c r="BTK14" s="1"/>
      <c r="BTL14" s="1"/>
      <c r="BTM14" s="1"/>
      <c r="BTN14" s="1"/>
      <c r="BTO14" s="1"/>
      <c r="BTP14" s="1"/>
      <c r="BTQ14" s="1"/>
      <c r="BTR14" s="1"/>
      <c r="BTS14" s="1"/>
      <c r="BTT14" s="1"/>
      <c r="BTU14" s="1"/>
      <c r="BTV14" s="1"/>
      <c r="BTW14" s="1"/>
      <c r="BTX14" s="1"/>
      <c r="BTY14" s="1"/>
      <c r="BTZ14" s="1"/>
      <c r="BUA14" s="1"/>
      <c r="BUB14" s="1"/>
      <c r="BUC14" s="1"/>
      <c r="BUD14" s="1"/>
      <c r="BUE14" s="1"/>
      <c r="BUF14" s="1"/>
      <c r="BUG14" s="1"/>
      <c r="BUH14" s="1"/>
      <c r="BUI14" s="1"/>
      <c r="BUJ14" s="1"/>
      <c r="BUK14" s="1"/>
      <c r="BUL14" s="1"/>
      <c r="BUM14" s="1"/>
      <c r="BUN14" s="1"/>
      <c r="BUO14" s="1"/>
      <c r="BUP14" s="1"/>
      <c r="BUQ14" s="1"/>
      <c r="BUR14" s="1"/>
      <c r="BUS14" s="1"/>
      <c r="BUT14" s="1"/>
      <c r="BUU14" s="1"/>
      <c r="BUV14" s="1"/>
      <c r="BUW14" s="1"/>
      <c r="BUX14" s="1"/>
      <c r="BUY14" s="1"/>
      <c r="BUZ14" s="1"/>
      <c r="BVA14" s="1"/>
      <c r="BVB14" s="1"/>
      <c r="BVC14" s="1"/>
      <c r="BVD14" s="1"/>
      <c r="BVE14" s="1"/>
      <c r="BVF14" s="1"/>
      <c r="BVG14" s="1"/>
      <c r="BVH14" s="1"/>
      <c r="BVI14" s="1"/>
      <c r="BVJ14" s="1"/>
      <c r="BVK14" s="1"/>
      <c r="BVL14" s="1"/>
      <c r="BVM14" s="1"/>
      <c r="BVN14" s="1"/>
      <c r="BVO14" s="1"/>
      <c r="BVP14" s="1"/>
      <c r="BVQ14" s="1"/>
      <c r="BVR14" s="1"/>
      <c r="BVS14" s="1"/>
      <c r="BVT14" s="1"/>
      <c r="BVU14" s="1"/>
      <c r="BVV14" s="1"/>
      <c r="BVW14" s="1"/>
      <c r="BVX14" s="1"/>
      <c r="BVY14" s="1"/>
      <c r="BVZ14" s="1"/>
      <c r="BWA14" s="1"/>
      <c r="BWB14" s="1"/>
      <c r="BWC14" s="1"/>
      <c r="BWD14" s="1"/>
      <c r="BWE14" s="1"/>
      <c r="BWF14" s="1"/>
      <c r="BWG14" s="1"/>
      <c r="BWH14" s="1"/>
      <c r="BWI14" s="1"/>
      <c r="BWJ14" s="1"/>
      <c r="BWK14" s="1"/>
      <c r="BWL14" s="1"/>
      <c r="BWM14" s="1"/>
      <c r="BWN14" s="1"/>
      <c r="BWO14" s="1"/>
      <c r="BWP14" s="1"/>
      <c r="BWQ14" s="1"/>
      <c r="BWR14" s="1"/>
      <c r="BWS14" s="1"/>
      <c r="BWT14" s="1"/>
      <c r="BWU14" s="1"/>
      <c r="BWV14" s="1"/>
      <c r="BWW14" s="1"/>
      <c r="BWX14" s="1"/>
      <c r="BWY14" s="1"/>
      <c r="BWZ14" s="1"/>
      <c r="BXA14" s="1"/>
      <c r="BXB14" s="1"/>
      <c r="BXC14" s="1"/>
      <c r="BXD14" s="1"/>
      <c r="BXE14" s="1"/>
      <c r="BXF14" s="1"/>
      <c r="BXG14" s="1"/>
      <c r="BXH14" s="1"/>
      <c r="BXI14" s="1"/>
      <c r="BXJ14" s="1"/>
      <c r="BXK14" s="1"/>
      <c r="BXL14" s="1"/>
      <c r="BXM14" s="1"/>
      <c r="BXN14" s="1"/>
      <c r="BXO14" s="1"/>
      <c r="BXP14" s="1"/>
      <c r="BXQ14" s="1"/>
      <c r="BXR14" s="1"/>
      <c r="BXS14" s="1"/>
      <c r="BXT14" s="1"/>
      <c r="BXU14" s="1"/>
      <c r="BXV14" s="1"/>
      <c r="BXW14" s="1"/>
      <c r="BXX14" s="1"/>
      <c r="BXY14" s="1"/>
      <c r="BXZ14" s="1"/>
      <c r="BYA14" s="1"/>
      <c r="BYB14" s="1"/>
      <c r="BYC14" s="1"/>
      <c r="BYD14" s="1"/>
      <c r="BYE14" s="1"/>
      <c r="BYF14" s="1"/>
      <c r="BYG14" s="1"/>
      <c r="BYH14" s="1"/>
      <c r="BYI14" s="1"/>
      <c r="BYJ14" s="1"/>
      <c r="BYK14" s="1"/>
      <c r="BYL14" s="1"/>
      <c r="BYM14" s="1"/>
      <c r="BYN14" s="1"/>
      <c r="BYO14" s="1"/>
      <c r="BYP14" s="1"/>
      <c r="BYQ14" s="1"/>
      <c r="BYR14" s="1"/>
      <c r="BYS14" s="1"/>
      <c r="BYT14" s="1"/>
      <c r="BYU14" s="1"/>
      <c r="BYV14" s="1"/>
      <c r="BYW14" s="1"/>
      <c r="BYX14" s="1"/>
      <c r="BYY14" s="1"/>
      <c r="BYZ14" s="1"/>
      <c r="BZA14" s="1"/>
      <c r="BZB14" s="1"/>
      <c r="BZC14" s="1"/>
      <c r="BZD14" s="1"/>
      <c r="BZE14" s="1"/>
      <c r="BZF14" s="1"/>
      <c r="BZG14" s="1"/>
      <c r="BZH14" s="1"/>
      <c r="BZI14" s="1"/>
      <c r="BZJ14" s="1"/>
      <c r="BZK14" s="1"/>
      <c r="BZL14" s="1"/>
      <c r="BZM14" s="1"/>
      <c r="BZN14" s="1"/>
      <c r="BZO14" s="1"/>
      <c r="BZP14" s="1"/>
      <c r="BZQ14" s="1"/>
      <c r="BZR14" s="1"/>
      <c r="BZS14" s="1"/>
      <c r="BZT14" s="1"/>
      <c r="BZU14" s="1"/>
      <c r="BZV14" s="1"/>
      <c r="BZW14" s="1"/>
      <c r="BZX14" s="1"/>
      <c r="BZY14" s="1"/>
      <c r="BZZ14" s="1"/>
      <c r="CAA14" s="1"/>
      <c r="CAB14" s="1"/>
      <c r="CAC14" s="1"/>
      <c r="CAD14" s="1"/>
      <c r="CAE14" s="1"/>
      <c r="CAF14" s="1"/>
      <c r="CAG14" s="1"/>
      <c r="CAH14" s="1"/>
      <c r="CAI14" s="1"/>
      <c r="CAJ14" s="1"/>
      <c r="CAK14" s="1"/>
      <c r="CAL14" s="1"/>
      <c r="CAM14" s="1"/>
      <c r="CAN14" s="1"/>
      <c r="CAO14" s="1"/>
      <c r="CAP14" s="1"/>
      <c r="CAQ14" s="1"/>
      <c r="CAR14" s="1"/>
      <c r="CAS14" s="1"/>
      <c r="CAT14" s="1"/>
      <c r="CAU14" s="1"/>
      <c r="CAV14" s="1"/>
      <c r="CAW14" s="1"/>
      <c r="CAX14" s="1"/>
      <c r="CAY14" s="1"/>
      <c r="CAZ14" s="1"/>
      <c r="CBA14" s="1"/>
      <c r="CBB14" s="1"/>
      <c r="CBC14" s="1"/>
      <c r="CBD14" s="1"/>
      <c r="CBE14" s="1"/>
      <c r="CBF14" s="1"/>
      <c r="CBG14" s="1"/>
      <c r="CBH14" s="1"/>
      <c r="CBI14" s="1"/>
      <c r="CBJ14" s="1"/>
      <c r="CBK14" s="1"/>
      <c r="CBL14" s="1"/>
      <c r="CBM14" s="1"/>
      <c r="CBN14" s="1"/>
      <c r="CBO14" s="1"/>
      <c r="CBP14" s="1"/>
      <c r="CBQ14" s="1"/>
      <c r="CBR14" s="1"/>
      <c r="CBS14" s="1"/>
      <c r="CBT14" s="1"/>
      <c r="CBU14" s="1"/>
      <c r="CBV14" s="1"/>
      <c r="CBW14" s="1"/>
      <c r="CBX14" s="1"/>
      <c r="CBY14" s="1"/>
      <c r="CBZ14" s="1"/>
      <c r="CCA14" s="1"/>
      <c r="CCB14" s="1"/>
      <c r="CCC14" s="1"/>
      <c r="CCD14" s="1"/>
      <c r="CCE14" s="1"/>
      <c r="CCF14" s="1"/>
      <c r="CCG14" s="1"/>
      <c r="CCH14" s="1"/>
      <c r="CCI14" s="1"/>
      <c r="CCJ14" s="1"/>
      <c r="CCK14" s="1"/>
      <c r="CCL14" s="1"/>
      <c r="CCM14" s="1"/>
      <c r="CCN14" s="1"/>
      <c r="CCO14" s="1"/>
      <c r="CCP14" s="1"/>
      <c r="CCQ14" s="1"/>
      <c r="CCR14" s="1"/>
      <c r="CCS14" s="1"/>
      <c r="CCT14" s="1"/>
      <c r="CCU14" s="1"/>
      <c r="CCV14" s="1"/>
      <c r="CCW14" s="1"/>
      <c r="CCX14" s="1"/>
      <c r="CCY14" s="1"/>
      <c r="CCZ14" s="1"/>
      <c r="CDA14" s="1"/>
      <c r="CDB14" s="1"/>
      <c r="CDC14" s="1"/>
      <c r="CDD14" s="1"/>
      <c r="CDE14" s="1"/>
      <c r="CDF14" s="1"/>
      <c r="CDG14" s="1"/>
      <c r="CDH14" s="1"/>
      <c r="CDI14" s="1"/>
      <c r="CDJ14" s="1"/>
      <c r="CDK14" s="1"/>
      <c r="CDL14" s="1"/>
      <c r="CDM14" s="1"/>
      <c r="CDN14" s="1"/>
      <c r="CDO14" s="1"/>
      <c r="CDP14" s="1"/>
      <c r="CDQ14" s="1"/>
      <c r="CDR14" s="1"/>
      <c r="CDS14" s="1"/>
      <c r="CDT14" s="1"/>
      <c r="CDU14" s="1"/>
      <c r="CDV14" s="1"/>
      <c r="CDW14" s="1"/>
      <c r="CDX14" s="1"/>
      <c r="CDY14" s="1"/>
      <c r="CDZ14" s="1"/>
      <c r="CEA14" s="1"/>
      <c r="CEB14" s="1"/>
      <c r="CEC14" s="1"/>
      <c r="CED14" s="1"/>
      <c r="CEE14" s="1"/>
      <c r="CEF14" s="1"/>
      <c r="CEG14" s="1"/>
      <c r="CEH14" s="1"/>
      <c r="CEI14" s="1"/>
      <c r="CEJ14" s="1"/>
      <c r="CEK14" s="1"/>
      <c r="CEL14" s="1"/>
      <c r="CEM14" s="1"/>
      <c r="CEN14" s="1"/>
      <c r="CEO14" s="1"/>
      <c r="CEP14" s="1"/>
      <c r="CEQ14" s="1"/>
      <c r="CER14" s="1"/>
      <c r="CES14" s="1"/>
      <c r="CET14" s="1"/>
      <c r="CEU14" s="1"/>
      <c r="CEV14" s="1"/>
      <c r="CEW14" s="1"/>
      <c r="CEX14" s="1"/>
      <c r="CEY14" s="1"/>
      <c r="CEZ14" s="1"/>
      <c r="CFA14" s="1"/>
      <c r="CFB14" s="1"/>
      <c r="CFC14" s="1"/>
      <c r="CFD14" s="1"/>
      <c r="CFE14" s="1"/>
      <c r="CFF14" s="1"/>
      <c r="CFG14" s="1"/>
      <c r="CFH14" s="1"/>
      <c r="CFI14" s="1"/>
      <c r="CFJ14" s="1"/>
      <c r="CFK14" s="1"/>
      <c r="CFL14" s="1"/>
      <c r="CFM14" s="1"/>
      <c r="CFN14" s="1"/>
      <c r="CFO14" s="1"/>
      <c r="CFP14" s="1"/>
      <c r="CFQ14" s="1"/>
      <c r="CFR14" s="1"/>
      <c r="CFS14" s="1"/>
      <c r="CFT14" s="1"/>
      <c r="CFU14" s="1"/>
      <c r="CFV14" s="1"/>
      <c r="CFW14" s="1"/>
      <c r="CFX14" s="1"/>
      <c r="CFY14" s="1"/>
      <c r="CFZ14" s="1"/>
      <c r="CGA14" s="1"/>
      <c r="CGB14" s="1"/>
      <c r="CGC14" s="1"/>
      <c r="CGD14" s="1"/>
      <c r="CGE14" s="1"/>
      <c r="CGF14" s="1"/>
      <c r="CGG14" s="1"/>
      <c r="CGH14" s="1"/>
      <c r="CGI14" s="1"/>
      <c r="CGJ14" s="1"/>
      <c r="CGK14" s="1"/>
      <c r="CGL14" s="1"/>
      <c r="CGM14" s="1"/>
      <c r="CGN14" s="1"/>
      <c r="CGO14" s="1"/>
      <c r="CGP14" s="1"/>
      <c r="CGQ14" s="1"/>
      <c r="CGR14" s="1"/>
      <c r="CGS14" s="1"/>
      <c r="CGT14" s="1"/>
      <c r="CGU14" s="1"/>
      <c r="CGV14" s="1"/>
      <c r="CGW14" s="1"/>
      <c r="CGX14" s="1"/>
      <c r="CGY14" s="1"/>
      <c r="CGZ14" s="1"/>
      <c r="CHA14" s="1"/>
      <c r="CHB14" s="1"/>
      <c r="CHC14" s="1"/>
      <c r="CHD14" s="1"/>
      <c r="CHE14" s="1"/>
      <c r="CHF14" s="1"/>
      <c r="CHG14" s="1"/>
      <c r="CHH14" s="1"/>
      <c r="CHI14" s="1"/>
      <c r="CHJ14" s="1"/>
      <c r="CHK14" s="1"/>
      <c r="CHL14" s="1"/>
      <c r="CHM14" s="1"/>
      <c r="CHN14" s="1"/>
      <c r="CHO14" s="1"/>
      <c r="CHP14" s="1"/>
      <c r="CHQ14" s="1"/>
      <c r="CHR14" s="1"/>
      <c r="CHS14" s="1"/>
      <c r="CHT14" s="1"/>
      <c r="CHU14" s="1"/>
      <c r="CHV14" s="1"/>
      <c r="CHW14" s="1"/>
      <c r="CHX14" s="1"/>
      <c r="CHY14" s="1"/>
      <c r="CHZ14" s="1"/>
      <c r="CIA14" s="1"/>
      <c r="CIB14" s="1"/>
      <c r="CIC14" s="1"/>
      <c r="CID14" s="1"/>
      <c r="CIE14" s="1"/>
      <c r="CIF14" s="1"/>
      <c r="CIG14" s="1"/>
      <c r="CIH14" s="1"/>
      <c r="CII14" s="1"/>
      <c r="CIJ14" s="1"/>
      <c r="CIK14" s="1"/>
      <c r="CIL14" s="1"/>
      <c r="CIM14" s="1"/>
      <c r="CIN14" s="1"/>
      <c r="CIO14" s="1"/>
      <c r="CIP14" s="1"/>
      <c r="CIQ14" s="1"/>
      <c r="CIR14" s="1"/>
      <c r="CIS14" s="1"/>
      <c r="CIT14" s="1"/>
      <c r="CIU14" s="1"/>
      <c r="CIV14" s="1"/>
      <c r="CIW14" s="1"/>
      <c r="CIX14" s="1"/>
      <c r="CIY14" s="1"/>
      <c r="CIZ14" s="1"/>
      <c r="CJA14" s="1"/>
      <c r="CJB14" s="1"/>
      <c r="CJC14" s="1"/>
      <c r="CJD14" s="1"/>
      <c r="CJE14" s="1"/>
      <c r="CJF14" s="1"/>
      <c r="CJG14" s="1"/>
      <c r="CJH14" s="1"/>
      <c r="CJI14" s="1"/>
      <c r="CJJ14" s="1"/>
      <c r="CJK14" s="1"/>
      <c r="CJL14" s="1"/>
      <c r="CJM14" s="1"/>
      <c r="CJN14" s="1"/>
      <c r="CJO14" s="1"/>
      <c r="CJP14" s="1"/>
      <c r="CJQ14" s="1"/>
      <c r="CJR14" s="1"/>
      <c r="CJS14" s="1"/>
      <c r="CJT14" s="1"/>
      <c r="CJU14" s="1"/>
      <c r="CJV14" s="1"/>
      <c r="CJW14" s="1"/>
      <c r="CJX14" s="1"/>
      <c r="CJY14" s="1"/>
      <c r="CJZ14" s="1"/>
      <c r="CKA14" s="1"/>
      <c r="CKB14" s="1"/>
      <c r="CKC14" s="1"/>
      <c r="CKD14" s="1"/>
      <c r="CKE14" s="1"/>
      <c r="CKF14" s="1"/>
      <c r="CKG14" s="1"/>
      <c r="CKH14" s="1"/>
      <c r="CKI14" s="1"/>
      <c r="CKJ14" s="1"/>
      <c r="CKK14" s="1"/>
      <c r="CKL14" s="1"/>
      <c r="CKM14" s="1"/>
      <c r="CKN14" s="1"/>
      <c r="CKO14" s="1"/>
      <c r="CKP14" s="1"/>
      <c r="CKQ14" s="1"/>
      <c r="CKR14" s="1"/>
      <c r="CKS14" s="1"/>
      <c r="CKT14" s="1"/>
      <c r="CKU14" s="1"/>
      <c r="CKV14" s="1"/>
      <c r="CKW14" s="1"/>
      <c r="CKX14" s="1"/>
      <c r="CKY14" s="1"/>
      <c r="CKZ14" s="1"/>
      <c r="CLA14" s="1"/>
      <c r="CLB14" s="1"/>
      <c r="CLC14" s="1"/>
      <c r="CLD14" s="1"/>
      <c r="CLE14" s="1"/>
      <c r="CLF14" s="1"/>
      <c r="CLG14" s="1"/>
      <c r="CLH14" s="1"/>
      <c r="CLI14" s="1"/>
      <c r="CLJ14" s="1"/>
      <c r="CLK14" s="1"/>
      <c r="CLL14" s="1"/>
      <c r="CLM14" s="1"/>
      <c r="CLN14" s="1"/>
      <c r="CLO14" s="1"/>
      <c r="CLP14" s="1"/>
      <c r="CLQ14" s="1"/>
      <c r="CLR14" s="1"/>
      <c r="CLS14" s="1"/>
      <c r="CLT14" s="1"/>
      <c r="CLU14" s="1"/>
      <c r="CLV14" s="1"/>
      <c r="CLW14" s="1"/>
      <c r="CLX14" s="1"/>
      <c r="CLY14" s="1"/>
      <c r="CLZ14" s="1"/>
      <c r="CMA14" s="1"/>
      <c r="CMB14" s="1"/>
      <c r="CMC14" s="1"/>
      <c r="CMD14" s="1"/>
      <c r="CME14" s="1"/>
      <c r="CMF14" s="1"/>
      <c r="CMG14" s="1"/>
      <c r="CMH14" s="1"/>
      <c r="CMI14" s="1"/>
      <c r="CMJ14" s="1"/>
      <c r="CMK14" s="1"/>
      <c r="CML14" s="1"/>
      <c r="CMM14" s="1"/>
      <c r="CMN14" s="1"/>
      <c r="CMO14" s="1"/>
      <c r="CMP14" s="1"/>
      <c r="CMQ14" s="1"/>
      <c r="CMR14" s="1"/>
      <c r="CMS14" s="1"/>
      <c r="CMT14" s="1"/>
      <c r="CMU14" s="1"/>
      <c r="CMV14" s="1"/>
      <c r="CMW14" s="1"/>
      <c r="CMX14" s="1"/>
      <c r="CMY14" s="1"/>
      <c r="CMZ14" s="1"/>
      <c r="CNA14" s="1"/>
      <c r="CNB14" s="1"/>
      <c r="CNC14" s="1"/>
      <c r="CND14" s="1"/>
      <c r="CNE14" s="1"/>
      <c r="CNF14" s="1"/>
      <c r="CNG14" s="1"/>
      <c r="CNH14" s="1"/>
      <c r="CNI14" s="1"/>
      <c r="CNJ14" s="1"/>
      <c r="CNK14" s="1"/>
      <c r="CNL14" s="1"/>
      <c r="CNM14" s="1"/>
      <c r="CNN14" s="1"/>
      <c r="CNO14" s="1"/>
      <c r="CNP14" s="1"/>
      <c r="CNQ14" s="1"/>
      <c r="CNR14" s="1"/>
      <c r="CNS14" s="1"/>
      <c r="CNT14" s="1"/>
      <c r="CNU14" s="1"/>
      <c r="CNV14" s="1"/>
      <c r="CNW14" s="1"/>
      <c r="CNX14" s="1"/>
      <c r="CNY14" s="1"/>
      <c r="CNZ14" s="1"/>
      <c r="COA14" s="1"/>
      <c r="COB14" s="1"/>
      <c r="COC14" s="1"/>
      <c r="COD14" s="1"/>
      <c r="COE14" s="1"/>
      <c r="COF14" s="1"/>
      <c r="COG14" s="1"/>
      <c r="COH14" s="1"/>
      <c r="COI14" s="1"/>
      <c r="COJ14" s="1"/>
      <c r="COK14" s="1"/>
      <c r="COL14" s="1"/>
      <c r="COM14" s="1"/>
      <c r="CON14" s="1"/>
      <c r="COO14" s="1"/>
      <c r="COP14" s="1"/>
      <c r="COQ14" s="1"/>
      <c r="COR14" s="1"/>
      <c r="COS14" s="1"/>
      <c r="COT14" s="1"/>
      <c r="COU14" s="1"/>
      <c r="COV14" s="1"/>
      <c r="COW14" s="1"/>
      <c r="COX14" s="1"/>
      <c r="COY14" s="1"/>
      <c r="COZ14" s="1"/>
      <c r="CPA14" s="1"/>
      <c r="CPB14" s="1"/>
      <c r="CPC14" s="1"/>
      <c r="CPD14" s="1"/>
      <c r="CPE14" s="1"/>
      <c r="CPF14" s="1"/>
      <c r="CPG14" s="1"/>
      <c r="CPH14" s="1"/>
      <c r="CPI14" s="1"/>
      <c r="CPJ14" s="1"/>
      <c r="CPK14" s="1"/>
      <c r="CPL14" s="1"/>
      <c r="CPM14" s="1"/>
      <c r="CPN14" s="1"/>
      <c r="CPO14" s="1"/>
      <c r="CPP14" s="1"/>
      <c r="CPQ14" s="1"/>
      <c r="CPR14" s="1"/>
      <c r="CPS14" s="1"/>
      <c r="CPT14" s="1"/>
      <c r="CPU14" s="1"/>
      <c r="CPV14" s="1"/>
      <c r="CPW14" s="1"/>
      <c r="CPX14" s="1"/>
      <c r="CPY14" s="1"/>
      <c r="CPZ14" s="1"/>
      <c r="CQA14" s="1"/>
      <c r="CQB14" s="1"/>
      <c r="CQC14" s="1"/>
      <c r="CQD14" s="1"/>
      <c r="CQE14" s="1"/>
      <c r="CQF14" s="1"/>
      <c r="CQG14" s="1"/>
      <c r="CQH14" s="1"/>
      <c r="CQI14" s="1"/>
      <c r="CQJ14" s="1"/>
      <c r="CQK14" s="1"/>
      <c r="CQL14" s="1"/>
      <c r="CQM14" s="1"/>
      <c r="CQN14" s="1"/>
      <c r="CQO14" s="1"/>
      <c r="CQP14" s="1"/>
      <c r="CQQ14" s="1"/>
      <c r="CQR14" s="1"/>
      <c r="CQS14" s="1"/>
      <c r="CQT14" s="1"/>
      <c r="CQU14" s="1"/>
      <c r="CQV14" s="1"/>
      <c r="CQW14" s="1"/>
      <c r="CQX14" s="1"/>
      <c r="CQY14" s="1"/>
      <c r="CQZ14" s="1"/>
      <c r="CRA14" s="1"/>
      <c r="CRB14" s="1"/>
      <c r="CRC14" s="1"/>
      <c r="CRD14" s="1"/>
      <c r="CRE14" s="1"/>
      <c r="CRF14" s="1"/>
      <c r="CRG14" s="1"/>
      <c r="CRH14" s="1"/>
      <c r="CRI14" s="1"/>
      <c r="CRJ14" s="1"/>
      <c r="CRK14" s="1"/>
      <c r="CRL14" s="1"/>
      <c r="CRM14" s="1"/>
      <c r="CRN14" s="1"/>
      <c r="CRO14" s="1"/>
      <c r="CRP14" s="1"/>
      <c r="CRQ14" s="1"/>
      <c r="CRR14" s="1"/>
      <c r="CRS14" s="1"/>
      <c r="CRT14" s="1"/>
      <c r="CRU14" s="1"/>
      <c r="CRV14" s="1"/>
      <c r="CRW14" s="1"/>
      <c r="CRX14" s="1"/>
      <c r="CRY14" s="1"/>
      <c r="CRZ14" s="1"/>
      <c r="CSA14" s="1"/>
      <c r="CSB14" s="1"/>
      <c r="CSC14" s="1"/>
      <c r="CSD14" s="1"/>
      <c r="CSE14" s="1"/>
      <c r="CSF14" s="1"/>
      <c r="CSG14" s="1"/>
      <c r="CSH14" s="1"/>
      <c r="CSI14" s="1"/>
      <c r="CSJ14" s="1"/>
      <c r="CSK14" s="1"/>
      <c r="CSL14" s="1"/>
      <c r="CSM14" s="1"/>
      <c r="CSN14" s="1"/>
      <c r="CSO14" s="1"/>
      <c r="CSP14" s="1"/>
      <c r="CSQ14" s="1"/>
      <c r="CSR14" s="1"/>
      <c r="CSS14" s="1"/>
      <c r="CST14" s="1"/>
      <c r="CSU14" s="1"/>
      <c r="CSV14" s="1"/>
      <c r="CSW14" s="1"/>
      <c r="CSX14" s="1"/>
      <c r="CSY14" s="1"/>
      <c r="CSZ14" s="1"/>
      <c r="CTA14" s="1"/>
      <c r="CTB14" s="1"/>
      <c r="CTC14" s="1"/>
      <c r="CTD14" s="1"/>
      <c r="CTE14" s="1"/>
      <c r="CTF14" s="1"/>
      <c r="CTG14" s="1"/>
      <c r="CTH14" s="1"/>
      <c r="CTI14" s="1"/>
      <c r="CTJ14" s="1"/>
      <c r="CTK14" s="1"/>
      <c r="CTL14" s="1"/>
      <c r="CTM14" s="1"/>
      <c r="CTN14" s="1"/>
      <c r="CTO14" s="1"/>
      <c r="CTP14" s="1"/>
      <c r="CTQ14" s="1"/>
      <c r="CTR14" s="1"/>
      <c r="CTS14" s="1"/>
      <c r="CTT14" s="1"/>
      <c r="CTU14" s="1"/>
      <c r="CTV14" s="1"/>
      <c r="CTW14" s="1"/>
      <c r="CTX14" s="1"/>
      <c r="CTY14" s="1"/>
      <c r="CTZ14" s="1"/>
      <c r="CUA14" s="1"/>
      <c r="CUB14" s="1"/>
      <c r="CUC14" s="1"/>
      <c r="CUD14" s="1"/>
      <c r="CUE14" s="1"/>
      <c r="CUF14" s="1"/>
      <c r="CUG14" s="1"/>
      <c r="CUH14" s="1"/>
      <c r="CUI14" s="1"/>
      <c r="CUJ14" s="1"/>
      <c r="CUK14" s="1"/>
      <c r="CUL14" s="1"/>
      <c r="CUM14" s="1"/>
      <c r="CUN14" s="1"/>
      <c r="CUO14" s="1"/>
      <c r="CUP14" s="1"/>
      <c r="CUQ14" s="1"/>
      <c r="CUR14" s="1"/>
      <c r="CUS14" s="1"/>
      <c r="CUT14" s="1"/>
      <c r="CUU14" s="1"/>
      <c r="CUV14" s="1"/>
      <c r="CUW14" s="1"/>
      <c r="CUX14" s="1"/>
      <c r="CUY14" s="1"/>
      <c r="CUZ14" s="1"/>
      <c r="CVA14" s="1"/>
      <c r="CVB14" s="1"/>
      <c r="CVC14" s="1"/>
      <c r="CVD14" s="1"/>
      <c r="CVE14" s="1"/>
      <c r="CVF14" s="1"/>
      <c r="CVG14" s="1"/>
      <c r="CVH14" s="1"/>
      <c r="CVI14" s="1"/>
      <c r="CVJ14" s="1"/>
      <c r="CVK14" s="1"/>
      <c r="CVL14" s="1"/>
      <c r="CVM14" s="1"/>
      <c r="CVN14" s="1"/>
      <c r="CVO14" s="1"/>
      <c r="CVP14" s="1"/>
      <c r="CVQ14" s="1"/>
      <c r="CVR14" s="1"/>
      <c r="CVS14" s="1"/>
      <c r="CVT14" s="1"/>
      <c r="CVU14" s="1"/>
      <c r="CVV14" s="1"/>
      <c r="CVW14" s="1"/>
      <c r="CVX14" s="1"/>
      <c r="CVY14" s="1"/>
      <c r="CVZ14" s="1"/>
      <c r="CWA14" s="1"/>
      <c r="CWB14" s="1"/>
      <c r="CWC14" s="1"/>
      <c r="CWD14" s="1"/>
      <c r="CWE14" s="1"/>
      <c r="CWF14" s="1"/>
      <c r="CWG14" s="1"/>
      <c r="CWH14" s="1"/>
      <c r="CWI14" s="1"/>
      <c r="CWJ14" s="1"/>
      <c r="CWK14" s="1"/>
      <c r="CWL14" s="1"/>
      <c r="CWM14" s="1"/>
      <c r="CWN14" s="1"/>
      <c r="CWO14" s="1"/>
      <c r="CWP14" s="1"/>
      <c r="CWQ14" s="1"/>
      <c r="CWR14" s="1"/>
      <c r="CWS14" s="1"/>
      <c r="CWT14" s="1"/>
      <c r="CWU14" s="1"/>
      <c r="CWV14" s="1"/>
      <c r="CWW14" s="1"/>
      <c r="CWX14" s="1"/>
      <c r="CWY14" s="1"/>
      <c r="CWZ14" s="1"/>
      <c r="CXA14" s="1"/>
      <c r="CXB14" s="1"/>
      <c r="CXC14" s="1"/>
      <c r="CXD14" s="1"/>
      <c r="CXE14" s="1"/>
      <c r="CXF14" s="1"/>
      <c r="CXG14" s="1"/>
      <c r="CXH14" s="1"/>
      <c r="CXI14" s="1"/>
      <c r="CXJ14" s="1"/>
      <c r="CXK14" s="1"/>
      <c r="CXL14" s="1"/>
      <c r="CXM14" s="1"/>
      <c r="CXN14" s="1"/>
      <c r="CXO14" s="1"/>
      <c r="CXP14" s="1"/>
      <c r="CXQ14" s="1"/>
      <c r="CXR14" s="1"/>
      <c r="CXS14" s="1"/>
      <c r="CXT14" s="1"/>
      <c r="CXU14" s="1"/>
      <c r="CXV14" s="1"/>
      <c r="CXW14" s="1"/>
      <c r="CXX14" s="1"/>
      <c r="CXY14" s="1"/>
      <c r="CXZ14" s="1"/>
      <c r="CYA14" s="1"/>
      <c r="CYB14" s="1"/>
      <c r="CYC14" s="1"/>
      <c r="CYD14" s="1"/>
      <c r="CYE14" s="1"/>
      <c r="CYF14" s="1"/>
      <c r="CYG14" s="1"/>
      <c r="CYH14" s="1"/>
      <c r="CYI14" s="1"/>
      <c r="CYJ14" s="1"/>
      <c r="CYK14" s="1"/>
      <c r="CYL14" s="1"/>
      <c r="CYM14" s="1"/>
      <c r="CYN14" s="1"/>
      <c r="CYO14" s="1"/>
      <c r="CYP14" s="1"/>
      <c r="CYQ14" s="1"/>
      <c r="CYR14" s="1"/>
      <c r="CYS14" s="1"/>
      <c r="CYT14" s="1"/>
      <c r="CYU14" s="1"/>
      <c r="CYV14" s="1"/>
      <c r="CYW14" s="1"/>
      <c r="CYX14" s="1"/>
      <c r="CYY14" s="1"/>
      <c r="CYZ14" s="1"/>
      <c r="CZA14" s="1"/>
      <c r="CZB14" s="1"/>
      <c r="CZC14" s="1"/>
      <c r="CZD14" s="1"/>
      <c r="CZE14" s="1"/>
      <c r="CZF14" s="1"/>
      <c r="CZG14" s="1"/>
      <c r="CZH14" s="1"/>
      <c r="CZI14" s="1"/>
      <c r="CZJ14" s="1"/>
      <c r="CZK14" s="1"/>
      <c r="CZL14" s="1"/>
      <c r="CZM14" s="1"/>
      <c r="CZN14" s="1"/>
      <c r="CZO14" s="1"/>
      <c r="CZP14" s="1"/>
      <c r="CZQ14" s="1"/>
      <c r="CZR14" s="1"/>
      <c r="CZS14" s="1"/>
      <c r="CZT14" s="1"/>
      <c r="CZU14" s="1"/>
      <c r="CZV14" s="1"/>
      <c r="CZW14" s="1"/>
      <c r="CZX14" s="1"/>
      <c r="CZY14" s="1"/>
      <c r="CZZ14" s="1"/>
      <c r="DAA14" s="1"/>
      <c r="DAB14" s="1"/>
      <c r="DAC14" s="1"/>
      <c r="DAD14" s="1"/>
      <c r="DAE14" s="1"/>
      <c r="DAF14" s="1"/>
      <c r="DAG14" s="1"/>
      <c r="DAH14" s="1"/>
      <c r="DAI14" s="1"/>
      <c r="DAJ14" s="1"/>
      <c r="DAK14" s="1"/>
      <c r="DAL14" s="1"/>
      <c r="DAM14" s="1"/>
      <c r="DAN14" s="1"/>
      <c r="DAO14" s="1"/>
      <c r="DAP14" s="1"/>
      <c r="DAQ14" s="1"/>
      <c r="DAR14" s="1"/>
      <c r="DAS14" s="1"/>
      <c r="DAT14" s="1"/>
      <c r="DAU14" s="1"/>
      <c r="DAV14" s="1"/>
      <c r="DAW14" s="1"/>
      <c r="DAX14" s="1"/>
      <c r="DAY14" s="1"/>
      <c r="DAZ14" s="1"/>
      <c r="DBA14" s="1"/>
      <c r="DBB14" s="1"/>
      <c r="DBC14" s="1"/>
      <c r="DBD14" s="1"/>
      <c r="DBE14" s="1"/>
      <c r="DBF14" s="1"/>
      <c r="DBG14" s="1"/>
      <c r="DBH14" s="1"/>
      <c r="DBI14" s="1"/>
      <c r="DBJ14" s="1"/>
      <c r="DBK14" s="1"/>
      <c r="DBL14" s="1"/>
      <c r="DBM14" s="1"/>
      <c r="DBN14" s="1"/>
      <c r="DBO14" s="1"/>
      <c r="DBP14" s="1"/>
      <c r="DBQ14" s="1"/>
      <c r="DBR14" s="1"/>
      <c r="DBS14" s="1"/>
      <c r="DBT14" s="1"/>
      <c r="DBU14" s="1"/>
      <c r="DBV14" s="1"/>
      <c r="DBW14" s="1"/>
      <c r="DBX14" s="1"/>
      <c r="DBY14" s="1"/>
      <c r="DBZ14" s="1"/>
      <c r="DCA14" s="1"/>
      <c r="DCB14" s="1"/>
      <c r="DCC14" s="1"/>
      <c r="DCD14" s="1"/>
      <c r="DCE14" s="1"/>
      <c r="DCF14" s="1"/>
      <c r="DCG14" s="1"/>
      <c r="DCH14" s="1"/>
      <c r="DCI14" s="1"/>
      <c r="DCJ14" s="1"/>
      <c r="DCK14" s="1"/>
      <c r="DCL14" s="1"/>
      <c r="DCM14" s="1"/>
      <c r="DCN14" s="1"/>
      <c r="DCO14" s="1"/>
      <c r="DCP14" s="1"/>
      <c r="DCQ14" s="1"/>
      <c r="DCR14" s="1"/>
      <c r="DCS14" s="1"/>
      <c r="DCT14" s="1"/>
      <c r="DCU14" s="1"/>
      <c r="DCV14" s="1"/>
      <c r="DCW14" s="1"/>
      <c r="DCX14" s="1"/>
      <c r="DCY14" s="1"/>
      <c r="DCZ14" s="1"/>
      <c r="DDA14" s="1"/>
      <c r="DDB14" s="1"/>
      <c r="DDC14" s="1"/>
      <c r="DDD14" s="1"/>
      <c r="DDE14" s="1"/>
      <c r="DDF14" s="1"/>
      <c r="DDG14" s="1"/>
      <c r="DDH14" s="1"/>
      <c r="DDI14" s="1"/>
      <c r="DDJ14" s="1"/>
      <c r="DDK14" s="1"/>
      <c r="DDL14" s="1"/>
      <c r="DDM14" s="1"/>
      <c r="DDN14" s="1"/>
      <c r="DDO14" s="1"/>
      <c r="DDP14" s="1"/>
      <c r="DDQ14" s="1"/>
      <c r="DDR14" s="1"/>
      <c r="DDS14" s="1"/>
      <c r="DDT14" s="1"/>
      <c r="DDU14" s="1"/>
      <c r="DDV14" s="1"/>
      <c r="DDW14" s="1"/>
      <c r="DDX14" s="1"/>
      <c r="DDY14" s="1"/>
      <c r="DDZ14" s="1"/>
      <c r="DEA14" s="1"/>
      <c r="DEB14" s="1"/>
      <c r="DEC14" s="1"/>
      <c r="DED14" s="1"/>
      <c r="DEE14" s="1"/>
      <c r="DEF14" s="1"/>
      <c r="DEG14" s="1"/>
      <c r="DEH14" s="1"/>
      <c r="DEI14" s="1"/>
      <c r="DEJ14" s="1"/>
      <c r="DEK14" s="1"/>
      <c r="DEL14" s="1"/>
      <c r="DEM14" s="1"/>
      <c r="DEN14" s="1"/>
      <c r="DEO14" s="1"/>
      <c r="DEP14" s="1"/>
      <c r="DEQ14" s="1"/>
      <c r="DER14" s="1"/>
      <c r="DES14" s="1"/>
      <c r="DET14" s="1"/>
      <c r="DEU14" s="1"/>
      <c r="DEV14" s="1"/>
      <c r="DEW14" s="1"/>
      <c r="DEX14" s="1"/>
      <c r="DEY14" s="1"/>
      <c r="DEZ14" s="1"/>
      <c r="DFA14" s="1"/>
      <c r="DFB14" s="1"/>
      <c r="DFC14" s="1"/>
      <c r="DFD14" s="1"/>
      <c r="DFE14" s="1"/>
      <c r="DFF14" s="1"/>
      <c r="DFG14" s="1"/>
      <c r="DFH14" s="1"/>
      <c r="DFI14" s="1"/>
      <c r="DFJ14" s="1"/>
      <c r="DFK14" s="1"/>
      <c r="DFL14" s="1"/>
      <c r="DFM14" s="1"/>
      <c r="DFN14" s="1"/>
      <c r="DFO14" s="1"/>
      <c r="DFP14" s="1"/>
      <c r="DFQ14" s="1"/>
      <c r="DFR14" s="1"/>
      <c r="DFS14" s="1"/>
      <c r="DFT14" s="1"/>
      <c r="DFU14" s="1"/>
      <c r="DFV14" s="1"/>
      <c r="DFW14" s="1"/>
      <c r="DFX14" s="1"/>
      <c r="DFY14" s="1"/>
      <c r="DFZ14" s="1"/>
      <c r="DGA14" s="1"/>
      <c r="DGB14" s="1"/>
      <c r="DGC14" s="1"/>
      <c r="DGD14" s="1"/>
      <c r="DGE14" s="1"/>
      <c r="DGF14" s="1"/>
      <c r="DGG14" s="1"/>
      <c r="DGH14" s="1"/>
      <c r="DGI14" s="1"/>
      <c r="DGJ14" s="1"/>
      <c r="DGK14" s="1"/>
      <c r="DGL14" s="1"/>
      <c r="DGM14" s="1"/>
      <c r="DGN14" s="1"/>
      <c r="DGO14" s="1"/>
      <c r="DGP14" s="1"/>
      <c r="DGQ14" s="1"/>
      <c r="DGR14" s="1"/>
      <c r="DGS14" s="1"/>
      <c r="DGT14" s="1"/>
      <c r="DGU14" s="1"/>
      <c r="DGV14" s="1"/>
      <c r="DGW14" s="1"/>
      <c r="DGX14" s="1"/>
      <c r="DGY14" s="1"/>
      <c r="DGZ14" s="1"/>
      <c r="DHA14" s="1"/>
      <c r="DHB14" s="1"/>
      <c r="DHC14" s="1"/>
      <c r="DHD14" s="1"/>
      <c r="DHE14" s="1"/>
      <c r="DHF14" s="1"/>
      <c r="DHG14" s="1"/>
      <c r="DHH14" s="1"/>
      <c r="DHI14" s="1"/>
      <c r="DHJ14" s="1"/>
      <c r="DHK14" s="1"/>
      <c r="DHL14" s="1"/>
      <c r="DHM14" s="1"/>
      <c r="DHN14" s="1"/>
      <c r="DHO14" s="1"/>
      <c r="DHP14" s="1"/>
      <c r="DHQ14" s="1"/>
      <c r="DHR14" s="1"/>
      <c r="DHS14" s="1"/>
      <c r="DHT14" s="1"/>
      <c r="DHU14" s="1"/>
      <c r="DHV14" s="1"/>
      <c r="DHW14" s="1"/>
      <c r="DHX14" s="1"/>
      <c r="DHY14" s="1"/>
      <c r="DHZ14" s="1"/>
      <c r="DIA14" s="1"/>
      <c r="DIB14" s="1"/>
      <c r="DIC14" s="1"/>
      <c r="DID14" s="1"/>
      <c r="DIE14" s="1"/>
      <c r="DIF14" s="1"/>
      <c r="DIG14" s="1"/>
      <c r="DIH14" s="1"/>
      <c r="DII14" s="1"/>
      <c r="DIJ14" s="1"/>
      <c r="DIK14" s="1"/>
      <c r="DIL14" s="1"/>
      <c r="DIM14" s="1"/>
      <c r="DIN14" s="1"/>
      <c r="DIO14" s="1"/>
      <c r="DIP14" s="1"/>
      <c r="DIQ14" s="1"/>
      <c r="DIR14" s="1"/>
      <c r="DIS14" s="1"/>
      <c r="DIT14" s="1"/>
      <c r="DIU14" s="1"/>
      <c r="DIV14" s="1"/>
      <c r="DIW14" s="1"/>
      <c r="DIX14" s="1"/>
      <c r="DIY14" s="1"/>
      <c r="DIZ14" s="1"/>
      <c r="DJA14" s="1"/>
      <c r="DJB14" s="1"/>
      <c r="DJC14" s="1"/>
      <c r="DJD14" s="1"/>
      <c r="DJE14" s="1"/>
      <c r="DJF14" s="1"/>
      <c r="DJG14" s="1"/>
      <c r="DJH14" s="1"/>
      <c r="DJI14" s="1"/>
      <c r="DJJ14" s="1"/>
      <c r="DJK14" s="1"/>
      <c r="DJL14" s="1"/>
      <c r="DJM14" s="1"/>
      <c r="DJN14" s="1"/>
      <c r="DJO14" s="1"/>
      <c r="DJP14" s="1"/>
      <c r="DJQ14" s="1"/>
      <c r="DJR14" s="1"/>
      <c r="DJS14" s="1"/>
      <c r="DJT14" s="1"/>
      <c r="DJU14" s="1"/>
      <c r="DJV14" s="1"/>
      <c r="DJW14" s="1"/>
      <c r="DJX14" s="1"/>
      <c r="DJY14" s="1"/>
      <c r="DJZ14" s="1"/>
      <c r="DKA14" s="1"/>
      <c r="DKB14" s="1"/>
      <c r="DKC14" s="1"/>
      <c r="DKD14" s="1"/>
      <c r="DKE14" s="1"/>
      <c r="DKF14" s="1"/>
      <c r="DKG14" s="1"/>
      <c r="DKH14" s="1"/>
      <c r="DKI14" s="1"/>
      <c r="DKJ14" s="1"/>
      <c r="DKK14" s="1"/>
      <c r="DKL14" s="1"/>
      <c r="DKM14" s="1"/>
      <c r="DKN14" s="1"/>
      <c r="DKO14" s="1"/>
      <c r="DKP14" s="1"/>
      <c r="DKQ14" s="1"/>
      <c r="DKR14" s="1"/>
      <c r="DKS14" s="1"/>
      <c r="DKT14" s="1"/>
      <c r="DKU14" s="1"/>
      <c r="DKV14" s="1"/>
      <c r="DKW14" s="1"/>
      <c r="DKX14" s="1"/>
      <c r="DKY14" s="1"/>
      <c r="DKZ14" s="1"/>
      <c r="DLA14" s="1"/>
      <c r="DLB14" s="1"/>
      <c r="DLC14" s="1"/>
      <c r="DLD14" s="1"/>
      <c r="DLE14" s="1"/>
      <c r="DLF14" s="1"/>
      <c r="DLG14" s="1"/>
      <c r="DLH14" s="1"/>
      <c r="DLI14" s="1"/>
      <c r="DLJ14" s="1"/>
      <c r="DLK14" s="1"/>
      <c r="DLL14" s="1"/>
      <c r="DLM14" s="1"/>
      <c r="DLN14" s="1"/>
      <c r="DLO14" s="1"/>
      <c r="DLP14" s="1"/>
      <c r="DLQ14" s="1"/>
      <c r="DLR14" s="1"/>
      <c r="DLS14" s="1"/>
      <c r="DLT14" s="1"/>
      <c r="DLU14" s="1"/>
      <c r="DLV14" s="1"/>
      <c r="DLW14" s="1"/>
      <c r="DLX14" s="1"/>
      <c r="DLY14" s="1"/>
      <c r="DLZ14" s="1"/>
      <c r="DMA14" s="1"/>
      <c r="DMB14" s="1"/>
      <c r="DMC14" s="1"/>
      <c r="DMD14" s="1"/>
      <c r="DME14" s="1"/>
      <c r="DMF14" s="1"/>
      <c r="DMG14" s="1"/>
      <c r="DMH14" s="1"/>
      <c r="DMI14" s="1"/>
      <c r="DMJ14" s="1"/>
      <c r="DMK14" s="1"/>
      <c r="DML14" s="1"/>
      <c r="DMM14" s="1"/>
      <c r="DMN14" s="1"/>
      <c r="DMO14" s="1"/>
      <c r="DMP14" s="1"/>
      <c r="DMQ14" s="1"/>
      <c r="DMR14" s="1"/>
      <c r="DMS14" s="1"/>
      <c r="DMT14" s="1"/>
      <c r="DMU14" s="1"/>
      <c r="DMV14" s="1"/>
      <c r="DMW14" s="1"/>
      <c r="DMX14" s="1"/>
      <c r="DMY14" s="1"/>
      <c r="DMZ14" s="1"/>
      <c r="DNA14" s="1"/>
      <c r="DNB14" s="1"/>
      <c r="DNC14" s="1"/>
      <c r="DND14" s="1"/>
      <c r="DNE14" s="1"/>
      <c r="DNF14" s="1"/>
      <c r="DNG14" s="1"/>
      <c r="DNH14" s="1"/>
      <c r="DNI14" s="1"/>
      <c r="DNJ14" s="1"/>
      <c r="DNK14" s="1"/>
      <c r="DNL14" s="1"/>
      <c r="DNM14" s="1"/>
      <c r="DNN14" s="1"/>
      <c r="DNO14" s="1"/>
      <c r="DNP14" s="1"/>
      <c r="DNQ14" s="1"/>
      <c r="DNR14" s="1"/>
      <c r="DNS14" s="1"/>
      <c r="DNT14" s="1"/>
      <c r="DNU14" s="1"/>
      <c r="DNV14" s="1"/>
      <c r="DNW14" s="1"/>
      <c r="DNX14" s="1"/>
      <c r="DNY14" s="1"/>
      <c r="DNZ14" s="1"/>
      <c r="DOA14" s="1"/>
      <c r="DOB14" s="1"/>
      <c r="DOC14" s="1"/>
      <c r="DOD14" s="1"/>
      <c r="DOE14" s="1"/>
      <c r="DOF14" s="1"/>
      <c r="DOG14" s="1"/>
      <c r="DOH14" s="1"/>
      <c r="DOI14" s="1"/>
      <c r="DOJ14" s="1"/>
      <c r="DOK14" s="1"/>
      <c r="DOL14" s="1"/>
      <c r="DOM14" s="1"/>
      <c r="DON14" s="1"/>
      <c r="DOO14" s="1"/>
      <c r="DOP14" s="1"/>
      <c r="DOQ14" s="1"/>
      <c r="DOR14" s="1"/>
      <c r="DOS14" s="1"/>
      <c r="DOT14" s="1"/>
      <c r="DOU14" s="1"/>
      <c r="DOV14" s="1"/>
      <c r="DOW14" s="1"/>
      <c r="DOX14" s="1"/>
      <c r="DOY14" s="1"/>
      <c r="DOZ14" s="1"/>
      <c r="DPA14" s="1"/>
      <c r="DPB14" s="1"/>
      <c r="DPC14" s="1"/>
      <c r="DPD14" s="1"/>
      <c r="DPE14" s="1"/>
      <c r="DPF14" s="1"/>
      <c r="DPG14" s="1"/>
      <c r="DPH14" s="1"/>
      <c r="DPI14" s="1"/>
      <c r="DPJ14" s="1"/>
      <c r="DPK14" s="1"/>
      <c r="DPL14" s="1"/>
      <c r="DPM14" s="1"/>
      <c r="DPN14" s="1"/>
      <c r="DPO14" s="1"/>
      <c r="DPP14" s="1"/>
      <c r="DPQ14" s="1"/>
      <c r="DPR14" s="1"/>
      <c r="DPS14" s="1"/>
      <c r="DPT14" s="1"/>
      <c r="DPU14" s="1"/>
      <c r="DPV14" s="1"/>
      <c r="DPW14" s="1"/>
      <c r="DPX14" s="1"/>
      <c r="DPY14" s="1"/>
      <c r="DPZ14" s="1"/>
      <c r="DQA14" s="1"/>
      <c r="DQB14" s="1"/>
      <c r="DQC14" s="1"/>
      <c r="DQD14" s="1"/>
      <c r="DQE14" s="1"/>
      <c r="DQF14" s="1"/>
      <c r="DQG14" s="1"/>
      <c r="DQH14" s="1"/>
      <c r="DQI14" s="1"/>
      <c r="DQJ14" s="1"/>
      <c r="DQK14" s="1"/>
      <c r="DQL14" s="1"/>
      <c r="DQM14" s="1"/>
      <c r="DQN14" s="1"/>
      <c r="DQO14" s="1"/>
      <c r="DQP14" s="1"/>
      <c r="DQQ14" s="1"/>
      <c r="DQR14" s="1"/>
      <c r="DQS14" s="1"/>
      <c r="DQT14" s="1"/>
      <c r="DQU14" s="1"/>
      <c r="DQV14" s="1"/>
      <c r="DQW14" s="1"/>
      <c r="DQX14" s="1"/>
      <c r="DQY14" s="1"/>
      <c r="DQZ14" s="1"/>
      <c r="DRA14" s="1"/>
      <c r="DRB14" s="1"/>
      <c r="DRC14" s="1"/>
      <c r="DRD14" s="1"/>
      <c r="DRE14" s="1"/>
      <c r="DRF14" s="1"/>
      <c r="DRG14" s="1"/>
      <c r="DRH14" s="1"/>
      <c r="DRI14" s="1"/>
      <c r="DRJ14" s="1"/>
      <c r="DRK14" s="1"/>
      <c r="DRL14" s="1"/>
      <c r="DRM14" s="1"/>
      <c r="DRN14" s="1"/>
      <c r="DRO14" s="1"/>
      <c r="DRP14" s="1"/>
      <c r="DRQ14" s="1"/>
      <c r="DRR14" s="1"/>
      <c r="DRS14" s="1"/>
      <c r="DRT14" s="1"/>
      <c r="DRU14" s="1"/>
      <c r="DRV14" s="1"/>
      <c r="DRW14" s="1"/>
      <c r="DRX14" s="1"/>
      <c r="DRY14" s="1"/>
      <c r="DRZ14" s="1"/>
      <c r="DSA14" s="1"/>
      <c r="DSB14" s="1"/>
      <c r="DSC14" s="1"/>
      <c r="DSD14" s="1"/>
      <c r="DSE14" s="1"/>
      <c r="DSF14" s="1"/>
      <c r="DSG14" s="1"/>
      <c r="DSH14" s="1"/>
      <c r="DSI14" s="1"/>
      <c r="DSJ14" s="1"/>
      <c r="DSK14" s="1"/>
      <c r="DSL14" s="1"/>
      <c r="DSM14" s="1"/>
      <c r="DSN14" s="1"/>
      <c r="DSO14" s="1"/>
      <c r="DSP14" s="1"/>
      <c r="DSQ14" s="1"/>
      <c r="DSR14" s="1"/>
      <c r="DSS14" s="1"/>
      <c r="DST14" s="1"/>
      <c r="DSU14" s="1"/>
      <c r="DSV14" s="1"/>
      <c r="DSW14" s="1"/>
      <c r="DSX14" s="1"/>
      <c r="DSY14" s="1"/>
      <c r="DSZ14" s="1"/>
      <c r="DTA14" s="1"/>
      <c r="DTB14" s="1"/>
      <c r="DTC14" s="1"/>
      <c r="DTD14" s="1"/>
      <c r="DTE14" s="1"/>
      <c r="DTF14" s="1"/>
      <c r="DTG14" s="1"/>
      <c r="DTH14" s="1"/>
      <c r="DTI14" s="1"/>
      <c r="DTJ14" s="1"/>
      <c r="DTK14" s="1"/>
      <c r="DTL14" s="1"/>
      <c r="DTM14" s="1"/>
      <c r="DTN14" s="1"/>
      <c r="DTO14" s="1"/>
      <c r="DTP14" s="1"/>
      <c r="DTQ14" s="1"/>
      <c r="DTR14" s="1"/>
      <c r="DTS14" s="1"/>
      <c r="DTT14" s="1"/>
      <c r="DTU14" s="1"/>
      <c r="DTV14" s="1"/>
      <c r="DTW14" s="1"/>
      <c r="DTX14" s="1"/>
      <c r="DTY14" s="1"/>
      <c r="DTZ14" s="1"/>
      <c r="DUA14" s="1"/>
      <c r="DUB14" s="1"/>
      <c r="DUC14" s="1"/>
      <c r="DUD14" s="1"/>
      <c r="DUE14" s="1"/>
      <c r="DUF14" s="1"/>
      <c r="DUG14" s="1"/>
      <c r="DUH14" s="1"/>
      <c r="DUI14" s="1"/>
      <c r="DUJ14" s="1"/>
      <c r="DUK14" s="1"/>
      <c r="DUL14" s="1"/>
      <c r="DUM14" s="1"/>
      <c r="DUN14" s="1"/>
      <c r="DUO14" s="1"/>
      <c r="DUP14" s="1"/>
      <c r="DUQ14" s="1"/>
      <c r="DUR14" s="1"/>
      <c r="DUS14" s="1"/>
      <c r="DUT14" s="1"/>
      <c r="DUU14" s="1"/>
      <c r="DUV14" s="1"/>
      <c r="DUW14" s="1"/>
      <c r="DUX14" s="1"/>
      <c r="DUY14" s="1"/>
      <c r="DUZ14" s="1"/>
      <c r="DVA14" s="1"/>
      <c r="DVB14" s="1"/>
      <c r="DVC14" s="1"/>
      <c r="DVD14" s="1"/>
      <c r="DVE14" s="1"/>
      <c r="DVF14" s="1"/>
      <c r="DVG14" s="1"/>
      <c r="DVH14" s="1"/>
      <c r="DVI14" s="1"/>
      <c r="DVJ14" s="1"/>
      <c r="DVK14" s="1"/>
      <c r="DVL14" s="1"/>
      <c r="DVM14" s="1"/>
      <c r="DVN14" s="1"/>
      <c r="DVO14" s="1"/>
      <c r="DVP14" s="1"/>
      <c r="DVQ14" s="1"/>
      <c r="DVR14" s="1"/>
      <c r="DVS14" s="1"/>
      <c r="DVT14" s="1"/>
      <c r="DVU14" s="1"/>
      <c r="DVV14" s="1"/>
      <c r="DVW14" s="1"/>
      <c r="DVX14" s="1"/>
      <c r="DVY14" s="1"/>
      <c r="DVZ14" s="1"/>
      <c r="DWA14" s="1"/>
      <c r="DWB14" s="1"/>
      <c r="DWC14" s="1"/>
      <c r="DWD14" s="1"/>
      <c r="DWE14" s="1"/>
      <c r="DWF14" s="1"/>
      <c r="DWG14" s="1"/>
      <c r="DWH14" s="1"/>
      <c r="DWI14" s="1"/>
      <c r="DWJ14" s="1"/>
      <c r="DWK14" s="1"/>
      <c r="DWL14" s="1"/>
      <c r="DWM14" s="1"/>
      <c r="DWN14" s="1"/>
      <c r="DWO14" s="1"/>
      <c r="DWP14" s="1"/>
      <c r="DWQ14" s="1"/>
      <c r="DWR14" s="1"/>
      <c r="DWS14" s="1"/>
      <c r="DWT14" s="1"/>
      <c r="DWU14" s="1"/>
      <c r="DWV14" s="1"/>
      <c r="DWW14" s="1"/>
      <c r="DWX14" s="1"/>
      <c r="DWY14" s="1"/>
      <c r="DWZ14" s="1"/>
      <c r="DXA14" s="1"/>
      <c r="DXB14" s="1"/>
      <c r="DXC14" s="1"/>
      <c r="DXD14" s="1"/>
      <c r="DXE14" s="1"/>
      <c r="DXF14" s="1"/>
      <c r="DXG14" s="1"/>
      <c r="DXH14" s="1"/>
      <c r="DXI14" s="1"/>
      <c r="DXJ14" s="1"/>
      <c r="DXK14" s="1"/>
      <c r="DXL14" s="1"/>
      <c r="DXM14" s="1"/>
      <c r="DXN14" s="1"/>
      <c r="DXO14" s="1"/>
      <c r="DXP14" s="1"/>
      <c r="DXQ14" s="1"/>
      <c r="DXR14" s="1"/>
      <c r="DXS14" s="1"/>
      <c r="DXT14" s="1"/>
      <c r="DXU14" s="1"/>
      <c r="DXV14" s="1"/>
      <c r="DXW14" s="1"/>
      <c r="DXX14" s="1"/>
      <c r="DXY14" s="1"/>
      <c r="DXZ14" s="1"/>
      <c r="DYA14" s="1"/>
      <c r="DYB14" s="1"/>
      <c r="DYC14" s="1"/>
      <c r="DYD14" s="1"/>
      <c r="DYE14" s="1"/>
      <c r="DYF14" s="1"/>
      <c r="DYG14" s="1"/>
      <c r="DYH14" s="1"/>
      <c r="DYI14" s="1"/>
      <c r="DYJ14" s="1"/>
      <c r="DYK14" s="1"/>
      <c r="DYL14" s="1"/>
      <c r="DYM14" s="1"/>
      <c r="DYN14" s="1"/>
      <c r="DYO14" s="1"/>
      <c r="DYP14" s="1"/>
      <c r="DYQ14" s="1"/>
      <c r="DYR14" s="1"/>
      <c r="DYS14" s="1"/>
      <c r="DYT14" s="1"/>
      <c r="DYU14" s="1"/>
      <c r="DYV14" s="1"/>
      <c r="DYW14" s="1"/>
      <c r="DYX14" s="1"/>
      <c r="DYY14" s="1"/>
      <c r="DYZ14" s="1"/>
      <c r="DZA14" s="1"/>
      <c r="DZB14" s="1"/>
      <c r="DZC14" s="1"/>
      <c r="DZD14" s="1"/>
      <c r="DZE14" s="1"/>
      <c r="DZF14" s="1"/>
      <c r="DZG14" s="1"/>
      <c r="DZH14" s="1"/>
      <c r="DZI14" s="1"/>
      <c r="DZJ14" s="1"/>
      <c r="DZK14" s="1"/>
      <c r="DZL14" s="1"/>
      <c r="DZM14" s="1"/>
      <c r="DZN14" s="1"/>
      <c r="DZO14" s="1"/>
      <c r="DZP14" s="1"/>
      <c r="DZQ14" s="1"/>
      <c r="DZR14" s="1"/>
      <c r="DZS14" s="1"/>
      <c r="DZT14" s="1"/>
      <c r="DZU14" s="1"/>
      <c r="DZV14" s="1"/>
      <c r="DZW14" s="1"/>
      <c r="DZX14" s="1"/>
      <c r="DZY14" s="1"/>
      <c r="DZZ14" s="1"/>
      <c r="EAA14" s="1"/>
      <c r="EAB14" s="1"/>
      <c r="EAC14" s="1"/>
      <c r="EAD14" s="1"/>
      <c r="EAE14" s="1"/>
      <c r="EAF14" s="1"/>
      <c r="EAG14" s="1"/>
      <c r="EAH14" s="1"/>
      <c r="EAI14" s="1"/>
      <c r="EAJ14" s="1"/>
      <c r="EAK14" s="1"/>
      <c r="EAL14" s="1"/>
      <c r="EAM14" s="1"/>
      <c r="EAN14" s="1"/>
      <c r="EAO14" s="1"/>
      <c r="EAP14" s="1"/>
      <c r="EAQ14" s="1"/>
      <c r="EAR14" s="1"/>
      <c r="EAS14" s="1"/>
      <c r="EAT14" s="1"/>
      <c r="EAU14" s="1"/>
      <c r="EAV14" s="1"/>
      <c r="EAW14" s="1"/>
      <c r="EAX14" s="1"/>
      <c r="EAY14" s="1"/>
      <c r="EAZ14" s="1"/>
      <c r="EBA14" s="1"/>
      <c r="EBB14" s="1"/>
      <c r="EBC14" s="1"/>
      <c r="EBD14" s="1"/>
      <c r="EBE14" s="1"/>
      <c r="EBF14" s="1"/>
      <c r="EBG14" s="1"/>
      <c r="EBH14" s="1"/>
      <c r="EBI14" s="1"/>
      <c r="EBJ14" s="1"/>
      <c r="EBK14" s="1"/>
      <c r="EBL14" s="1"/>
      <c r="EBM14" s="1"/>
      <c r="EBN14" s="1"/>
      <c r="EBO14" s="1"/>
      <c r="EBP14" s="1"/>
      <c r="EBQ14" s="1"/>
      <c r="EBR14" s="1"/>
      <c r="EBS14" s="1"/>
      <c r="EBT14" s="1"/>
      <c r="EBU14" s="1"/>
      <c r="EBV14" s="1"/>
      <c r="EBW14" s="1"/>
      <c r="EBX14" s="1"/>
      <c r="EBY14" s="1"/>
      <c r="EBZ14" s="1"/>
      <c r="ECA14" s="1"/>
      <c r="ECB14" s="1"/>
      <c r="ECC14" s="1"/>
      <c r="ECD14" s="1"/>
      <c r="ECE14" s="1"/>
      <c r="ECF14" s="1"/>
      <c r="ECG14" s="1"/>
      <c r="ECH14" s="1"/>
      <c r="ECI14" s="1"/>
      <c r="ECJ14" s="1"/>
      <c r="ECK14" s="1"/>
      <c r="ECL14" s="1"/>
      <c r="ECM14" s="1"/>
      <c r="ECN14" s="1"/>
      <c r="ECO14" s="1"/>
      <c r="ECP14" s="1"/>
      <c r="ECQ14" s="1"/>
      <c r="ECR14" s="1"/>
      <c r="ECS14" s="1"/>
      <c r="ECT14" s="1"/>
      <c r="ECU14" s="1"/>
      <c r="ECV14" s="1"/>
      <c r="ECW14" s="1"/>
      <c r="ECX14" s="1"/>
      <c r="ECY14" s="1"/>
      <c r="ECZ14" s="1"/>
      <c r="EDA14" s="1"/>
      <c r="EDB14" s="1"/>
      <c r="EDC14" s="1"/>
      <c r="EDD14" s="1"/>
      <c r="EDE14" s="1"/>
      <c r="EDF14" s="1"/>
      <c r="EDG14" s="1"/>
      <c r="EDH14" s="1"/>
      <c r="EDI14" s="1"/>
      <c r="EDJ14" s="1"/>
      <c r="EDK14" s="1"/>
      <c r="EDL14" s="1"/>
      <c r="EDM14" s="1"/>
      <c r="EDN14" s="1"/>
      <c r="EDO14" s="1"/>
      <c r="EDP14" s="1"/>
      <c r="EDQ14" s="1"/>
      <c r="EDR14" s="1"/>
      <c r="EDS14" s="1"/>
      <c r="EDT14" s="1"/>
      <c r="EDU14" s="1"/>
      <c r="EDV14" s="1"/>
      <c r="EDW14" s="1"/>
      <c r="EDX14" s="1"/>
      <c r="EDY14" s="1"/>
      <c r="EDZ14" s="1"/>
      <c r="EEA14" s="1"/>
      <c r="EEB14" s="1"/>
      <c r="EEC14" s="1"/>
      <c r="EED14" s="1"/>
      <c r="EEE14" s="1"/>
      <c r="EEF14" s="1"/>
      <c r="EEG14" s="1"/>
      <c r="EEH14" s="1"/>
      <c r="EEI14" s="1"/>
      <c r="EEJ14" s="1"/>
      <c r="EEK14" s="1"/>
      <c r="EEL14" s="1"/>
      <c r="EEM14" s="1"/>
      <c r="EEN14" s="1"/>
      <c r="EEO14" s="1"/>
      <c r="EEP14" s="1"/>
      <c r="EEQ14" s="1"/>
      <c r="EER14" s="1"/>
      <c r="EES14" s="1"/>
      <c r="EET14" s="1"/>
      <c r="EEU14" s="1"/>
      <c r="EEV14" s="1"/>
      <c r="EEW14" s="1"/>
      <c r="EEX14" s="1"/>
      <c r="EEY14" s="1"/>
      <c r="EEZ14" s="1"/>
      <c r="EFA14" s="1"/>
      <c r="EFB14" s="1"/>
      <c r="EFC14" s="1"/>
      <c r="EFD14" s="1"/>
      <c r="EFE14" s="1"/>
      <c r="EFF14" s="1"/>
      <c r="EFG14" s="1"/>
      <c r="EFH14" s="1"/>
      <c r="EFI14" s="1"/>
      <c r="EFJ14" s="1"/>
      <c r="EFK14" s="1"/>
      <c r="EFL14" s="1"/>
      <c r="EFM14" s="1"/>
      <c r="EFN14" s="1"/>
      <c r="EFO14" s="1"/>
      <c r="EFP14" s="1"/>
      <c r="EFQ14" s="1"/>
      <c r="EFR14" s="1"/>
      <c r="EFS14" s="1"/>
      <c r="EFT14" s="1"/>
      <c r="EFU14" s="1"/>
      <c r="EFV14" s="1"/>
      <c r="EFW14" s="1"/>
      <c r="EFX14" s="1"/>
      <c r="EFY14" s="1"/>
      <c r="EFZ14" s="1"/>
      <c r="EGA14" s="1"/>
      <c r="EGB14" s="1"/>
      <c r="EGC14" s="1"/>
      <c r="EGD14" s="1"/>
      <c r="EGE14" s="1"/>
      <c r="EGF14" s="1"/>
      <c r="EGG14" s="1"/>
      <c r="EGH14" s="1"/>
      <c r="EGI14" s="1"/>
      <c r="EGJ14" s="1"/>
      <c r="EGK14" s="1"/>
      <c r="EGL14" s="1"/>
      <c r="EGM14" s="1"/>
      <c r="EGN14" s="1"/>
      <c r="EGO14" s="1"/>
      <c r="EGP14" s="1"/>
      <c r="EGQ14" s="1"/>
      <c r="EGR14" s="1"/>
      <c r="EGS14" s="1"/>
      <c r="EGT14" s="1"/>
      <c r="EGU14" s="1"/>
      <c r="EGV14" s="1"/>
      <c r="EGW14" s="1"/>
      <c r="EGX14" s="1"/>
      <c r="EGY14" s="1"/>
      <c r="EGZ14" s="1"/>
      <c r="EHA14" s="1"/>
      <c r="EHB14" s="1"/>
      <c r="EHC14" s="1"/>
      <c r="EHD14" s="1"/>
      <c r="EHE14" s="1"/>
      <c r="EHF14" s="1"/>
      <c r="EHG14" s="1"/>
      <c r="EHH14" s="1"/>
      <c r="EHI14" s="1"/>
      <c r="EHJ14" s="1"/>
      <c r="EHK14" s="1"/>
      <c r="EHL14" s="1"/>
      <c r="EHM14" s="1"/>
      <c r="EHN14" s="1"/>
      <c r="EHO14" s="1"/>
      <c r="EHP14" s="1"/>
      <c r="EHQ14" s="1"/>
      <c r="EHR14" s="1"/>
      <c r="EHS14" s="1"/>
      <c r="EHT14" s="1"/>
      <c r="EHU14" s="1"/>
      <c r="EHV14" s="1"/>
      <c r="EHW14" s="1"/>
      <c r="EHX14" s="1"/>
      <c r="EHY14" s="1"/>
      <c r="EHZ14" s="1"/>
      <c r="EIA14" s="1"/>
      <c r="EIB14" s="1"/>
      <c r="EIC14" s="1"/>
      <c r="EID14" s="1"/>
      <c r="EIE14" s="1"/>
      <c r="EIF14" s="1"/>
      <c r="EIG14" s="1"/>
      <c r="EIH14" s="1"/>
      <c r="EII14" s="1"/>
      <c r="EIJ14" s="1"/>
      <c r="EIK14" s="1"/>
      <c r="EIL14" s="1"/>
      <c r="EIM14" s="1"/>
      <c r="EIN14" s="1"/>
      <c r="EIO14" s="1"/>
      <c r="EIP14" s="1"/>
      <c r="EIQ14" s="1"/>
      <c r="EIR14" s="1"/>
      <c r="EIS14" s="1"/>
      <c r="EIT14" s="1"/>
      <c r="EIU14" s="1"/>
      <c r="EIV14" s="1"/>
      <c r="EIW14" s="1"/>
      <c r="EIX14" s="1"/>
      <c r="EIY14" s="1"/>
      <c r="EIZ14" s="1"/>
      <c r="EJA14" s="1"/>
      <c r="EJB14" s="1"/>
      <c r="EJC14" s="1"/>
      <c r="EJD14" s="1"/>
      <c r="EJE14" s="1"/>
      <c r="EJF14" s="1"/>
      <c r="EJG14" s="1"/>
      <c r="EJH14" s="1"/>
      <c r="EJI14" s="1"/>
      <c r="EJJ14" s="1"/>
      <c r="EJK14" s="1"/>
      <c r="EJL14" s="1"/>
      <c r="EJM14" s="1"/>
      <c r="EJN14" s="1"/>
      <c r="EJO14" s="1"/>
      <c r="EJP14" s="1"/>
      <c r="EJQ14" s="1"/>
      <c r="EJR14" s="1"/>
      <c r="EJS14" s="1"/>
      <c r="EJT14" s="1"/>
      <c r="EJU14" s="1"/>
      <c r="EJV14" s="1"/>
      <c r="EJW14" s="1"/>
      <c r="EJX14" s="1"/>
      <c r="EJY14" s="1"/>
      <c r="EJZ14" s="1"/>
      <c r="EKA14" s="1"/>
      <c r="EKB14" s="1"/>
      <c r="EKC14" s="1"/>
      <c r="EKD14" s="1"/>
      <c r="EKE14" s="1"/>
      <c r="EKF14" s="1"/>
      <c r="EKG14" s="1"/>
      <c r="EKH14" s="1"/>
      <c r="EKI14" s="1"/>
      <c r="EKJ14" s="1"/>
      <c r="EKK14" s="1"/>
      <c r="EKL14" s="1"/>
      <c r="EKM14" s="1"/>
      <c r="EKN14" s="1"/>
      <c r="EKO14" s="1"/>
      <c r="EKP14" s="1"/>
      <c r="EKQ14" s="1"/>
      <c r="EKR14" s="1"/>
      <c r="EKS14" s="1"/>
      <c r="EKT14" s="1"/>
      <c r="EKU14" s="1"/>
      <c r="EKV14" s="1"/>
      <c r="EKW14" s="1"/>
      <c r="EKX14" s="1"/>
      <c r="EKY14" s="1"/>
      <c r="EKZ14" s="1"/>
      <c r="ELA14" s="1"/>
      <c r="ELB14" s="1"/>
      <c r="ELC14" s="1"/>
      <c r="ELD14" s="1"/>
      <c r="ELE14" s="1"/>
      <c r="ELF14" s="1"/>
      <c r="ELG14" s="1"/>
      <c r="ELH14" s="1"/>
      <c r="ELI14" s="1"/>
      <c r="ELJ14" s="1"/>
      <c r="ELK14" s="1"/>
      <c r="ELL14" s="1"/>
      <c r="ELM14" s="1"/>
      <c r="ELN14" s="1"/>
      <c r="ELO14" s="1"/>
      <c r="ELP14" s="1"/>
      <c r="ELQ14" s="1"/>
      <c r="ELR14" s="1"/>
      <c r="ELS14" s="1"/>
      <c r="ELT14" s="1"/>
      <c r="ELU14" s="1"/>
      <c r="ELV14" s="1"/>
      <c r="ELW14" s="1"/>
      <c r="ELX14" s="1"/>
      <c r="ELY14" s="1"/>
      <c r="ELZ14" s="1"/>
      <c r="EMA14" s="1"/>
      <c r="EMB14" s="1"/>
      <c r="EMC14" s="1"/>
      <c r="EMD14" s="1"/>
      <c r="EME14" s="1"/>
      <c r="EMF14" s="1"/>
      <c r="EMG14" s="1"/>
      <c r="EMH14" s="1"/>
      <c r="EMI14" s="1"/>
      <c r="EMJ14" s="1"/>
      <c r="EMK14" s="1"/>
      <c r="EML14" s="1"/>
      <c r="EMM14" s="1"/>
      <c r="EMN14" s="1"/>
      <c r="EMO14" s="1"/>
      <c r="EMP14" s="1"/>
      <c r="EMQ14" s="1"/>
      <c r="EMR14" s="1"/>
      <c r="EMS14" s="1"/>
      <c r="EMT14" s="1"/>
      <c r="EMU14" s="1"/>
      <c r="EMV14" s="1"/>
      <c r="EMW14" s="1"/>
      <c r="EMX14" s="1"/>
      <c r="EMY14" s="1"/>
      <c r="EMZ14" s="1"/>
      <c r="ENA14" s="1"/>
      <c r="ENB14" s="1"/>
      <c r="ENC14" s="1"/>
      <c r="END14" s="1"/>
      <c r="ENE14" s="1"/>
      <c r="ENF14" s="1"/>
      <c r="ENG14" s="1"/>
      <c r="ENH14" s="1"/>
      <c r="ENI14" s="1"/>
      <c r="ENJ14" s="1"/>
      <c r="ENK14" s="1"/>
      <c r="ENL14" s="1"/>
      <c r="ENM14" s="1"/>
      <c r="ENN14" s="1"/>
      <c r="ENO14" s="1"/>
      <c r="ENP14" s="1"/>
      <c r="ENQ14" s="1"/>
      <c r="ENR14" s="1"/>
      <c r="ENS14" s="1"/>
      <c r="ENT14" s="1"/>
      <c r="ENU14" s="1"/>
      <c r="ENV14" s="1"/>
      <c r="ENW14" s="1"/>
      <c r="ENX14" s="1"/>
      <c r="ENY14" s="1"/>
      <c r="ENZ14" s="1"/>
      <c r="EOA14" s="1"/>
      <c r="EOB14" s="1"/>
      <c r="EOC14" s="1"/>
      <c r="EOD14" s="1"/>
      <c r="EOE14" s="1"/>
      <c r="EOF14" s="1"/>
      <c r="EOG14" s="1"/>
      <c r="EOH14" s="1"/>
      <c r="EOI14" s="1"/>
      <c r="EOJ14" s="1"/>
      <c r="EOK14" s="1"/>
      <c r="EOL14" s="1"/>
      <c r="EOM14" s="1"/>
      <c r="EON14" s="1"/>
      <c r="EOO14" s="1"/>
      <c r="EOP14" s="1"/>
      <c r="EOQ14" s="1"/>
      <c r="EOR14" s="1"/>
      <c r="EOS14" s="1"/>
      <c r="EOT14" s="1"/>
      <c r="EOU14" s="1"/>
      <c r="EOV14" s="1"/>
      <c r="EOW14" s="1"/>
      <c r="EOX14" s="1"/>
      <c r="EOY14" s="1"/>
      <c r="EOZ14" s="1"/>
      <c r="EPA14" s="1"/>
      <c r="EPB14" s="1"/>
      <c r="EPC14" s="1"/>
      <c r="EPD14" s="1"/>
      <c r="EPE14" s="1"/>
      <c r="EPF14" s="1"/>
      <c r="EPG14" s="1"/>
      <c r="EPH14" s="1"/>
      <c r="EPI14" s="1"/>
      <c r="EPJ14" s="1"/>
      <c r="EPK14" s="1"/>
      <c r="EPL14" s="1"/>
      <c r="EPM14" s="1"/>
      <c r="EPN14" s="1"/>
      <c r="EPO14" s="1"/>
      <c r="EPP14" s="1"/>
      <c r="EPQ14" s="1"/>
      <c r="EPR14" s="1"/>
      <c r="EPS14" s="1"/>
      <c r="EPT14" s="1"/>
      <c r="EPU14" s="1"/>
      <c r="EPV14" s="1"/>
      <c r="EPW14" s="1"/>
      <c r="EPX14" s="1"/>
      <c r="EPY14" s="1"/>
      <c r="EPZ14" s="1"/>
      <c r="EQA14" s="1"/>
      <c r="EQB14" s="1"/>
      <c r="EQC14" s="1"/>
      <c r="EQD14" s="1"/>
      <c r="EQE14" s="1"/>
      <c r="EQF14" s="1"/>
      <c r="EQG14" s="1"/>
      <c r="EQH14" s="1"/>
      <c r="EQI14" s="1"/>
      <c r="EQJ14" s="1"/>
      <c r="EQK14" s="1"/>
      <c r="EQL14" s="1"/>
      <c r="EQM14" s="1"/>
      <c r="EQN14" s="1"/>
      <c r="EQO14" s="1"/>
      <c r="EQP14" s="1"/>
      <c r="EQQ14" s="1"/>
      <c r="EQR14" s="1"/>
      <c r="EQS14" s="1"/>
      <c r="EQT14" s="1"/>
      <c r="EQU14" s="1"/>
      <c r="EQV14" s="1"/>
      <c r="EQW14" s="1"/>
      <c r="EQX14" s="1"/>
      <c r="EQY14" s="1"/>
      <c r="EQZ14" s="1"/>
      <c r="ERA14" s="1"/>
      <c r="ERB14" s="1"/>
      <c r="ERC14" s="1"/>
      <c r="ERD14" s="1"/>
      <c r="ERE14" s="1"/>
      <c r="ERF14" s="1"/>
      <c r="ERG14" s="1"/>
      <c r="ERH14" s="1"/>
      <c r="ERI14" s="1"/>
      <c r="ERJ14" s="1"/>
      <c r="ERK14" s="1"/>
      <c r="ERL14" s="1"/>
      <c r="ERM14" s="1"/>
      <c r="ERN14" s="1"/>
      <c r="ERO14" s="1"/>
      <c r="ERP14" s="1"/>
      <c r="ERQ14" s="1"/>
      <c r="ERR14" s="1"/>
      <c r="ERS14" s="1"/>
      <c r="ERT14" s="1"/>
      <c r="ERU14" s="1"/>
      <c r="ERV14" s="1"/>
      <c r="ERW14" s="1"/>
      <c r="ERX14" s="1"/>
      <c r="ERY14" s="1"/>
      <c r="ERZ14" s="1"/>
      <c r="ESA14" s="1"/>
      <c r="ESB14" s="1"/>
      <c r="ESC14" s="1"/>
      <c r="ESD14" s="1"/>
      <c r="ESE14" s="1"/>
      <c r="ESF14" s="1"/>
      <c r="ESG14" s="1"/>
      <c r="ESH14" s="1"/>
      <c r="ESI14" s="1"/>
      <c r="ESJ14" s="1"/>
      <c r="ESK14" s="1"/>
      <c r="ESL14" s="1"/>
      <c r="ESM14" s="1"/>
      <c r="ESN14" s="1"/>
      <c r="ESO14" s="1"/>
      <c r="ESP14" s="1"/>
      <c r="ESQ14" s="1"/>
      <c r="ESR14" s="1"/>
      <c r="ESS14" s="1"/>
      <c r="EST14" s="1"/>
      <c r="ESU14" s="1"/>
      <c r="ESV14" s="1"/>
      <c r="ESW14" s="1"/>
      <c r="ESX14" s="1"/>
      <c r="ESY14" s="1"/>
      <c r="ESZ14" s="1"/>
      <c r="ETA14" s="1"/>
      <c r="ETB14" s="1"/>
      <c r="ETC14" s="1"/>
      <c r="ETD14" s="1"/>
      <c r="ETE14" s="1"/>
      <c r="ETF14" s="1"/>
      <c r="ETG14" s="1"/>
      <c r="ETH14" s="1"/>
      <c r="ETI14" s="1"/>
      <c r="ETJ14" s="1"/>
      <c r="ETK14" s="1"/>
      <c r="ETL14" s="1"/>
      <c r="ETM14" s="1"/>
      <c r="ETN14" s="1"/>
      <c r="ETO14" s="1"/>
      <c r="ETP14" s="1"/>
      <c r="ETQ14" s="1"/>
      <c r="ETR14" s="1"/>
      <c r="ETS14" s="1"/>
      <c r="ETT14" s="1"/>
      <c r="ETU14" s="1"/>
      <c r="ETV14" s="1"/>
      <c r="ETW14" s="1"/>
      <c r="ETX14" s="1"/>
      <c r="ETY14" s="1"/>
      <c r="ETZ14" s="1"/>
      <c r="EUA14" s="1"/>
      <c r="EUB14" s="1"/>
      <c r="EUC14" s="1"/>
      <c r="EUD14" s="1"/>
      <c r="EUE14" s="1"/>
      <c r="EUF14" s="1"/>
      <c r="EUG14" s="1"/>
      <c r="EUH14" s="1"/>
      <c r="EUI14" s="1"/>
      <c r="EUJ14" s="1"/>
      <c r="EUK14" s="1"/>
      <c r="EUL14" s="1"/>
      <c r="EUM14" s="1"/>
      <c r="EUN14" s="1"/>
      <c r="EUO14" s="1"/>
      <c r="EUP14" s="1"/>
      <c r="EUQ14" s="1"/>
      <c r="EUR14" s="1"/>
      <c r="EUS14" s="1"/>
      <c r="EUT14" s="1"/>
      <c r="EUU14" s="1"/>
      <c r="EUV14" s="1"/>
      <c r="EUW14" s="1"/>
      <c r="EUX14" s="1"/>
      <c r="EUY14" s="1"/>
      <c r="EUZ14" s="1"/>
      <c r="EVA14" s="1"/>
      <c r="EVB14" s="1"/>
      <c r="EVC14" s="1"/>
      <c r="EVD14" s="1"/>
      <c r="EVE14" s="1"/>
      <c r="EVF14" s="1"/>
      <c r="EVG14" s="1"/>
      <c r="EVH14" s="1"/>
      <c r="EVI14" s="1"/>
      <c r="EVJ14" s="1"/>
      <c r="EVK14" s="1"/>
      <c r="EVL14" s="1"/>
      <c r="EVM14" s="1"/>
      <c r="EVN14" s="1"/>
      <c r="EVO14" s="1"/>
      <c r="EVP14" s="1"/>
      <c r="EVQ14" s="1"/>
      <c r="EVR14" s="1"/>
      <c r="EVS14" s="1"/>
      <c r="EVT14" s="1"/>
      <c r="EVU14" s="1"/>
      <c r="EVV14" s="1"/>
      <c r="EVW14" s="1"/>
      <c r="EVX14" s="1"/>
      <c r="EVY14" s="1"/>
      <c r="EVZ14" s="1"/>
      <c r="EWA14" s="1"/>
      <c r="EWB14" s="1"/>
      <c r="EWC14" s="1"/>
      <c r="EWD14" s="1"/>
      <c r="EWE14" s="1"/>
      <c r="EWF14" s="1"/>
      <c r="EWG14" s="1"/>
      <c r="EWH14" s="1"/>
      <c r="EWI14" s="1"/>
      <c r="EWJ14" s="1"/>
      <c r="EWK14" s="1"/>
      <c r="EWL14" s="1"/>
      <c r="EWM14" s="1"/>
      <c r="EWN14" s="1"/>
      <c r="EWO14" s="1"/>
      <c r="EWP14" s="1"/>
      <c r="EWQ14" s="1"/>
      <c r="EWR14" s="1"/>
      <c r="EWS14" s="1"/>
      <c r="EWT14" s="1"/>
      <c r="EWU14" s="1"/>
      <c r="EWV14" s="1"/>
      <c r="EWW14" s="1"/>
      <c r="EWX14" s="1"/>
      <c r="EWY14" s="1"/>
      <c r="EWZ14" s="1"/>
      <c r="EXA14" s="1"/>
      <c r="EXB14" s="1"/>
      <c r="EXC14" s="1"/>
      <c r="EXD14" s="1"/>
      <c r="EXE14" s="1"/>
      <c r="EXF14" s="1"/>
      <c r="EXG14" s="1"/>
      <c r="EXH14" s="1"/>
      <c r="EXI14" s="1"/>
      <c r="EXJ14" s="1"/>
      <c r="EXK14" s="1"/>
      <c r="EXL14" s="1"/>
      <c r="EXM14" s="1"/>
      <c r="EXN14" s="1"/>
      <c r="EXO14" s="1"/>
      <c r="EXP14" s="1"/>
      <c r="EXQ14" s="1"/>
      <c r="EXR14" s="1"/>
      <c r="EXS14" s="1"/>
      <c r="EXT14" s="1"/>
      <c r="EXU14" s="1"/>
      <c r="EXV14" s="1"/>
      <c r="EXW14" s="1"/>
      <c r="EXX14" s="1"/>
      <c r="EXY14" s="1"/>
      <c r="EXZ14" s="1"/>
      <c r="EYA14" s="1"/>
      <c r="EYB14" s="1"/>
      <c r="EYC14" s="1"/>
      <c r="EYD14" s="1"/>
      <c r="EYE14" s="1"/>
      <c r="EYF14" s="1"/>
      <c r="EYG14" s="1"/>
      <c r="EYH14" s="1"/>
      <c r="EYI14" s="1"/>
      <c r="EYJ14" s="1"/>
      <c r="EYK14" s="1"/>
      <c r="EYL14" s="1"/>
      <c r="EYM14" s="1"/>
      <c r="EYN14" s="1"/>
      <c r="EYO14" s="1"/>
      <c r="EYP14" s="1"/>
      <c r="EYQ14" s="1"/>
      <c r="EYR14" s="1"/>
      <c r="EYS14" s="1"/>
      <c r="EYT14" s="1"/>
      <c r="EYU14" s="1"/>
      <c r="EYV14" s="1"/>
      <c r="EYW14" s="1"/>
      <c r="EYX14" s="1"/>
      <c r="EYY14" s="1"/>
      <c r="EYZ14" s="1"/>
      <c r="EZA14" s="1"/>
      <c r="EZB14" s="1"/>
      <c r="EZC14" s="1"/>
      <c r="EZD14" s="1"/>
      <c r="EZE14" s="1"/>
      <c r="EZF14" s="1"/>
      <c r="EZG14" s="1"/>
      <c r="EZH14" s="1"/>
      <c r="EZI14" s="1"/>
      <c r="EZJ14" s="1"/>
      <c r="EZK14" s="1"/>
      <c r="EZL14" s="1"/>
      <c r="EZM14" s="1"/>
      <c r="EZN14" s="1"/>
      <c r="EZO14" s="1"/>
      <c r="EZP14" s="1"/>
      <c r="EZQ14" s="1"/>
      <c r="EZR14" s="1"/>
      <c r="EZS14" s="1"/>
      <c r="EZT14" s="1"/>
      <c r="EZU14" s="1"/>
      <c r="EZV14" s="1"/>
      <c r="EZW14" s="1"/>
      <c r="EZX14" s="1"/>
      <c r="EZY14" s="1"/>
      <c r="EZZ14" s="1"/>
      <c r="FAA14" s="1"/>
      <c r="FAB14" s="1"/>
      <c r="FAC14" s="1"/>
      <c r="FAD14" s="1"/>
      <c r="FAE14" s="1"/>
      <c r="FAF14" s="1"/>
      <c r="FAG14" s="1"/>
      <c r="FAH14" s="1"/>
      <c r="FAI14" s="1"/>
      <c r="FAJ14" s="1"/>
      <c r="FAK14" s="1"/>
      <c r="FAL14" s="1"/>
      <c r="FAM14" s="1"/>
      <c r="FAN14" s="1"/>
      <c r="FAO14" s="1"/>
      <c r="FAP14" s="1"/>
      <c r="FAQ14" s="1"/>
      <c r="FAR14" s="1"/>
      <c r="FAS14" s="1"/>
      <c r="FAT14" s="1"/>
      <c r="FAU14" s="1"/>
      <c r="FAV14" s="1"/>
      <c r="FAW14" s="1"/>
      <c r="FAX14" s="1"/>
      <c r="FAY14" s="1"/>
      <c r="FAZ14" s="1"/>
      <c r="FBA14" s="1"/>
      <c r="FBB14" s="1"/>
      <c r="FBC14" s="1"/>
      <c r="FBD14" s="1"/>
      <c r="FBE14" s="1"/>
      <c r="FBF14" s="1"/>
      <c r="FBG14" s="1"/>
      <c r="FBH14" s="1"/>
      <c r="FBI14" s="1"/>
      <c r="FBJ14" s="1"/>
      <c r="FBK14" s="1"/>
      <c r="FBL14" s="1"/>
      <c r="FBM14" s="1"/>
      <c r="FBN14" s="1"/>
      <c r="FBO14" s="1"/>
      <c r="FBP14" s="1"/>
      <c r="FBQ14" s="1"/>
      <c r="FBR14" s="1"/>
      <c r="FBS14" s="1"/>
      <c r="FBT14" s="1"/>
      <c r="FBU14" s="1"/>
      <c r="FBV14" s="1"/>
      <c r="FBW14" s="1"/>
      <c r="FBX14" s="1"/>
      <c r="FBY14" s="1"/>
      <c r="FBZ14" s="1"/>
      <c r="FCA14" s="1"/>
      <c r="FCB14" s="1"/>
      <c r="FCC14" s="1"/>
      <c r="FCD14" s="1"/>
      <c r="FCE14" s="1"/>
      <c r="FCF14" s="1"/>
      <c r="FCG14" s="1"/>
      <c r="FCH14" s="1"/>
      <c r="FCI14" s="1"/>
      <c r="FCJ14" s="1"/>
      <c r="FCK14" s="1"/>
      <c r="FCL14" s="1"/>
      <c r="FCM14" s="1"/>
      <c r="FCN14" s="1"/>
      <c r="FCO14" s="1"/>
      <c r="FCP14" s="1"/>
      <c r="FCQ14" s="1"/>
      <c r="FCR14" s="1"/>
      <c r="FCS14" s="1"/>
      <c r="FCT14" s="1"/>
      <c r="FCU14" s="1"/>
      <c r="FCV14" s="1"/>
      <c r="FCW14" s="1"/>
      <c r="FCX14" s="1"/>
      <c r="FCY14" s="1"/>
      <c r="FCZ14" s="1"/>
      <c r="FDA14" s="1"/>
      <c r="FDB14" s="1"/>
      <c r="FDC14" s="1"/>
      <c r="FDD14" s="1"/>
      <c r="FDE14" s="1"/>
      <c r="FDF14" s="1"/>
      <c r="FDG14" s="1"/>
      <c r="FDH14" s="1"/>
      <c r="FDI14" s="1"/>
      <c r="FDJ14" s="1"/>
      <c r="FDK14" s="1"/>
      <c r="FDL14" s="1"/>
      <c r="FDM14" s="1"/>
      <c r="FDN14" s="1"/>
      <c r="FDO14" s="1"/>
      <c r="FDP14" s="1"/>
      <c r="FDQ14" s="1"/>
      <c r="FDR14" s="1"/>
      <c r="FDS14" s="1"/>
      <c r="FDT14" s="1"/>
      <c r="FDU14" s="1"/>
      <c r="FDV14" s="1"/>
      <c r="FDW14" s="1"/>
      <c r="FDX14" s="1"/>
      <c r="FDY14" s="1"/>
      <c r="FDZ14" s="1"/>
      <c r="FEA14" s="1"/>
      <c r="FEB14" s="1"/>
      <c r="FEC14" s="1"/>
      <c r="FED14" s="1"/>
      <c r="FEE14" s="1"/>
      <c r="FEF14" s="1"/>
      <c r="FEG14" s="1"/>
      <c r="FEH14" s="1"/>
      <c r="FEI14" s="1"/>
      <c r="FEJ14" s="1"/>
      <c r="FEK14" s="1"/>
      <c r="FEL14" s="1"/>
      <c r="FEM14" s="1"/>
      <c r="FEN14" s="1"/>
      <c r="FEO14" s="1"/>
      <c r="FEP14" s="1"/>
      <c r="FEQ14" s="1"/>
      <c r="FER14" s="1"/>
      <c r="FES14" s="1"/>
      <c r="FET14" s="1"/>
      <c r="FEU14" s="1"/>
      <c r="FEV14" s="1"/>
      <c r="FEW14" s="1"/>
      <c r="FEX14" s="1"/>
      <c r="FEY14" s="1"/>
      <c r="FEZ14" s="1"/>
      <c r="FFA14" s="1"/>
      <c r="FFB14" s="1"/>
      <c r="FFC14" s="1"/>
      <c r="FFD14" s="1"/>
      <c r="FFE14" s="1"/>
      <c r="FFF14" s="1"/>
      <c r="FFG14" s="1"/>
      <c r="FFH14" s="1"/>
      <c r="FFI14" s="1"/>
      <c r="FFJ14" s="1"/>
      <c r="FFK14" s="1"/>
      <c r="FFL14" s="1"/>
      <c r="FFM14" s="1"/>
      <c r="FFN14" s="1"/>
      <c r="FFO14" s="1"/>
      <c r="FFP14" s="1"/>
      <c r="FFQ14" s="1"/>
      <c r="FFR14" s="1"/>
      <c r="FFS14" s="1"/>
      <c r="FFT14" s="1"/>
      <c r="FFU14" s="1"/>
      <c r="FFV14" s="1"/>
      <c r="FFW14" s="1"/>
      <c r="FFX14" s="1"/>
      <c r="FFY14" s="1"/>
      <c r="FFZ14" s="1"/>
      <c r="FGA14" s="1"/>
      <c r="FGB14" s="1"/>
      <c r="FGC14" s="1"/>
      <c r="FGD14" s="1"/>
      <c r="FGE14" s="1"/>
      <c r="FGF14" s="1"/>
      <c r="FGG14" s="1"/>
      <c r="FGH14" s="1"/>
      <c r="FGI14" s="1"/>
      <c r="FGJ14" s="1"/>
      <c r="FGK14" s="1"/>
      <c r="FGL14" s="1"/>
      <c r="FGM14" s="1"/>
      <c r="FGN14" s="1"/>
      <c r="FGO14" s="1"/>
      <c r="FGP14" s="1"/>
      <c r="FGQ14" s="1"/>
      <c r="FGR14" s="1"/>
      <c r="FGS14" s="1"/>
      <c r="FGT14" s="1"/>
      <c r="FGU14" s="1"/>
      <c r="FGV14" s="1"/>
      <c r="FGW14" s="1"/>
      <c r="FGX14" s="1"/>
      <c r="FGY14" s="1"/>
      <c r="FGZ14" s="1"/>
      <c r="FHA14" s="1"/>
      <c r="FHB14" s="1"/>
      <c r="FHC14" s="1"/>
      <c r="FHD14" s="1"/>
      <c r="FHE14" s="1"/>
      <c r="FHF14" s="1"/>
      <c r="FHG14" s="1"/>
      <c r="FHH14" s="1"/>
      <c r="FHI14" s="1"/>
      <c r="FHJ14" s="1"/>
      <c r="FHK14" s="1"/>
      <c r="FHL14" s="1"/>
      <c r="FHM14" s="1"/>
      <c r="FHN14" s="1"/>
      <c r="FHO14" s="1"/>
      <c r="FHP14" s="1"/>
      <c r="FHQ14" s="1"/>
      <c r="FHR14" s="1"/>
      <c r="FHS14" s="1"/>
      <c r="FHT14" s="1"/>
      <c r="FHU14" s="1"/>
      <c r="FHV14" s="1"/>
      <c r="FHW14" s="1"/>
      <c r="FHX14" s="1"/>
      <c r="FHY14" s="1"/>
      <c r="FHZ14" s="1"/>
      <c r="FIA14" s="1"/>
      <c r="FIB14" s="1"/>
      <c r="FIC14" s="1"/>
      <c r="FID14" s="1"/>
      <c r="FIE14" s="1"/>
      <c r="FIF14" s="1"/>
      <c r="FIG14" s="1"/>
      <c r="FIH14" s="1"/>
      <c r="FII14" s="1"/>
      <c r="FIJ14" s="1"/>
      <c r="FIK14" s="1"/>
      <c r="FIL14" s="1"/>
      <c r="FIM14" s="1"/>
      <c r="FIN14" s="1"/>
      <c r="FIO14" s="1"/>
      <c r="FIP14" s="1"/>
      <c r="FIQ14" s="1"/>
      <c r="FIR14" s="1"/>
      <c r="FIS14" s="1"/>
      <c r="FIT14" s="1"/>
      <c r="FIU14" s="1"/>
      <c r="FIV14" s="1"/>
      <c r="FIW14" s="1"/>
      <c r="FIX14" s="1"/>
      <c r="FIY14" s="1"/>
      <c r="FIZ14" s="1"/>
      <c r="FJA14" s="1"/>
      <c r="FJB14" s="1"/>
      <c r="FJC14" s="1"/>
      <c r="FJD14" s="1"/>
      <c r="FJE14" s="1"/>
      <c r="FJF14" s="1"/>
      <c r="FJG14" s="1"/>
      <c r="FJH14" s="1"/>
      <c r="FJI14" s="1"/>
      <c r="FJJ14" s="1"/>
      <c r="FJK14" s="1"/>
      <c r="FJL14" s="1"/>
      <c r="FJM14" s="1"/>
      <c r="FJN14" s="1"/>
      <c r="FJO14" s="1"/>
      <c r="FJP14" s="1"/>
      <c r="FJQ14" s="1"/>
      <c r="FJR14" s="1"/>
      <c r="FJS14" s="1"/>
      <c r="FJT14" s="1"/>
      <c r="FJU14" s="1"/>
      <c r="FJV14" s="1"/>
      <c r="FJW14" s="1"/>
      <c r="FJX14" s="1"/>
      <c r="FJY14" s="1"/>
      <c r="FJZ14" s="1"/>
      <c r="FKA14" s="1"/>
      <c r="FKB14" s="1"/>
      <c r="FKC14" s="1"/>
      <c r="FKD14" s="1"/>
      <c r="FKE14" s="1"/>
      <c r="FKF14" s="1"/>
      <c r="FKG14" s="1"/>
      <c r="FKH14" s="1"/>
      <c r="FKI14" s="1"/>
      <c r="FKJ14" s="1"/>
      <c r="FKK14" s="1"/>
      <c r="FKL14" s="1"/>
      <c r="FKM14" s="1"/>
      <c r="FKN14" s="1"/>
      <c r="FKO14" s="1"/>
      <c r="FKP14" s="1"/>
      <c r="FKQ14" s="1"/>
      <c r="FKR14" s="1"/>
      <c r="FKS14" s="1"/>
      <c r="FKT14" s="1"/>
      <c r="FKU14" s="1"/>
      <c r="FKV14" s="1"/>
      <c r="FKW14" s="1"/>
      <c r="FKX14" s="1"/>
      <c r="FKY14" s="1"/>
      <c r="FKZ14" s="1"/>
      <c r="FLA14" s="1"/>
      <c r="FLB14" s="1"/>
      <c r="FLC14" s="1"/>
      <c r="FLD14" s="1"/>
      <c r="FLE14" s="1"/>
      <c r="FLF14" s="1"/>
      <c r="FLG14" s="1"/>
      <c r="FLH14" s="1"/>
      <c r="FLI14" s="1"/>
      <c r="FLJ14" s="1"/>
      <c r="FLK14" s="1"/>
      <c r="FLL14" s="1"/>
      <c r="FLM14" s="1"/>
      <c r="FLN14" s="1"/>
      <c r="FLO14" s="1"/>
      <c r="FLP14" s="1"/>
      <c r="FLQ14" s="1"/>
      <c r="FLR14" s="1"/>
      <c r="FLS14" s="1"/>
      <c r="FLT14" s="1"/>
      <c r="FLU14" s="1"/>
      <c r="FLV14" s="1"/>
      <c r="FLW14" s="1"/>
      <c r="FLX14" s="1"/>
      <c r="FLY14" s="1"/>
      <c r="FLZ14" s="1"/>
      <c r="FMA14" s="1"/>
      <c r="FMB14" s="1"/>
      <c r="FMC14" s="1"/>
      <c r="FMD14" s="1"/>
      <c r="FME14" s="1"/>
      <c r="FMF14" s="1"/>
      <c r="FMG14" s="1"/>
      <c r="FMH14" s="1"/>
      <c r="FMI14" s="1"/>
      <c r="FMJ14" s="1"/>
      <c r="FMK14" s="1"/>
      <c r="FML14" s="1"/>
      <c r="FMM14" s="1"/>
      <c r="FMN14" s="1"/>
      <c r="FMO14" s="1"/>
      <c r="FMP14" s="1"/>
      <c r="FMQ14" s="1"/>
      <c r="FMR14" s="1"/>
      <c r="FMS14" s="1"/>
      <c r="FMT14" s="1"/>
      <c r="FMU14" s="1"/>
      <c r="FMV14" s="1"/>
      <c r="FMW14" s="1"/>
      <c r="FMX14" s="1"/>
      <c r="FMY14" s="1"/>
      <c r="FMZ14" s="1"/>
      <c r="FNA14" s="1"/>
      <c r="FNB14" s="1"/>
      <c r="FNC14" s="1"/>
      <c r="FND14" s="1"/>
      <c r="FNE14" s="1"/>
      <c r="FNF14" s="1"/>
      <c r="FNG14" s="1"/>
      <c r="FNH14" s="1"/>
      <c r="FNI14" s="1"/>
      <c r="FNJ14" s="1"/>
      <c r="FNK14" s="1"/>
      <c r="FNL14" s="1"/>
      <c r="FNM14" s="1"/>
      <c r="FNN14" s="1"/>
      <c r="FNO14" s="1"/>
      <c r="FNP14" s="1"/>
      <c r="FNQ14" s="1"/>
      <c r="FNR14" s="1"/>
      <c r="FNS14" s="1"/>
      <c r="FNT14" s="1"/>
      <c r="FNU14" s="1"/>
      <c r="FNV14" s="1"/>
      <c r="FNW14" s="1"/>
      <c r="FNX14" s="1"/>
      <c r="FNY14" s="1"/>
      <c r="FNZ14" s="1"/>
      <c r="FOA14" s="1"/>
      <c r="FOB14" s="1"/>
      <c r="FOC14" s="1"/>
      <c r="FOD14" s="1"/>
      <c r="FOE14" s="1"/>
      <c r="FOF14" s="1"/>
      <c r="FOG14" s="1"/>
      <c r="FOH14" s="1"/>
      <c r="FOI14" s="1"/>
      <c r="FOJ14" s="1"/>
      <c r="FOK14" s="1"/>
      <c r="FOL14" s="1"/>
      <c r="FOM14" s="1"/>
      <c r="FON14" s="1"/>
      <c r="FOO14" s="1"/>
      <c r="FOP14" s="1"/>
      <c r="FOQ14" s="1"/>
      <c r="FOR14" s="1"/>
      <c r="FOS14" s="1"/>
      <c r="FOT14" s="1"/>
      <c r="FOU14" s="1"/>
      <c r="FOV14" s="1"/>
      <c r="FOW14" s="1"/>
      <c r="FOX14" s="1"/>
      <c r="FOY14" s="1"/>
      <c r="FOZ14" s="1"/>
      <c r="FPA14" s="1"/>
      <c r="FPB14" s="1"/>
      <c r="FPC14" s="1"/>
      <c r="FPD14" s="1"/>
      <c r="FPE14" s="1"/>
      <c r="FPF14" s="1"/>
      <c r="FPG14" s="1"/>
      <c r="FPH14" s="1"/>
      <c r="FPI14" s="1"/>
      <c r="FPJ14" s="1"/>
      <c r="FPK14" s="1"/>
      <c r="FPL14" s="1"/>
      <c r="FPM14" s="1"/>
      <c r="FPN14" s="1"/>
      <c r="FPO14" s="1"/>
      <c r="FPP14" s="1"/>
      <c r="FPQ14" s="1"/>
      <c r="FPR14" s="1"/>
      <c r="FPS14" s="1"/>
      <c r="FPT14" s="1"/>
      <c r="FPU14" s="1"/>
      <c r="FPV14" s="1"/>
      <c r="FPW14" s="1"/>
      <c r="FPX14" s="1"/>
      <c r="FPY14" s="1"/>
      <c r="FPZ14" s="1"/>
      <c r="FQA14" s="1"/>
      <c r="FQB14" s="1"/>
      <c r="FQC14" s="1"/>
      <c r="FQD14" s="1"/>
      <c r="FQE14" s="1"/>
      <c r="FQF14" s="1"/>
      <c r="FQG14" s="1"/>
      <c r="FQH14" s="1"/>
      <c r="FQI14" s="1"/>
      <c r="FQJ14" s="1"/>
      <c r="FQK14" s="1"/>
      <c r="FQL14" s="1"/>
      <c r="FQM14" s="1"/>
      <c r="FQN14" s="1"/>
      <c r="FQO14" s="1"/>
      <c r="FQP14" s="1"/>
      <c r="FQQ14" s="1"/>
      <c r="FQR14" s="1"/>
      <c r="FQS14" s="1"/>
      <c r="FQT14" s="1"/>
      <c r="FQU14" s="1"/>
      <c r="FQV14" s="1"/>
      <c r="FQW14" s="1"/>
      <c r="FQX14" s="1"/>
      <c r="FQY14" s="1"/>
      <c r="FQZ14" s="1"/>
      <c r="FRA14" s="1"/>
      <c r="FRB14" s="1"/>
      <c r="FRC14" s="1"/>
      <c r="FRD14" s="1"/>
      <c r="FRE14" s="1"/>
      <c r="FRF14" s="1"/>
      <c r="FRG14" s="1"/>
      <c r="FRH14" s="1"/>
      <c r="FRI14" s="1"/>
      <c r="FRJ14" s="1"/>
      <c r="FRK14" s="1"/>
      <c r="FRL14" s="1"/>
      <c r="FRM14" s="1"/>
      <c r="FRN14" s="1"/>
      <c r="FRO14" s="1"/>
      <c r="FRP14" s="1"/>
      <c r="FRQ14" s="1"/>
      <c r="FRR14" s="1"/>
      <c r="FRS14" s="1"/>
      <c r="FRT14" s="1"/>
      <c r="FRU14" s="1"/>
      <c r="FRV14" s="1"/>
      <c r="FRW14" s="1"/>
      <c r="FRX14" s="1"/>
      <c r="FRY14" s="1"/>
      <c r="FRZ14" s="1"/>
      <c r="FSA14" s="1"/>
      <c r="FSB14" s="1"/>
      <c r="FSC14" s="1"/>
      <c r="FSD14" s="1"/>
      <c r="FSE14" s="1"/>
      <c r="FSF14" s="1"/>
      <c r="FSG14" s="1"/>
      <c r="FSH14" s="1"/>
      <c r="FSI14" s="1"/>
      <c r="FSJ14" s="1"/>
      <c r="FSK14" s="1"/>
      <c r="FSL14" s="1"/>
      <c r="FSM14" s="1"/>
      <c r="FSN14" s="1"/>
      <c r="FSO14" s="1"/>
      <c r="FSP14" s="1"/>
      <c r="FSQ14" s="1"/>
      <c r="FSR14" s="1"/>
      <c r="FSS14" s="1"/>
      <c r="FST14" s="1"/>
      <c r="FSU14" s="1"/>
      <c r="FSV14" s="1"/>
      <c r="FSW14" s="1"/>
      <c r="FSX14" s="1"/>
      <c r="FSY14" s="1"/>
      <c r="FSZ14" s="1"/>
      <c r="FTA14" s="1"/>
      <c r="FTB14" s="1"/>
      <c r="FTC14" s="1"/>
      <c r="FTD14" s="1"/>
      <c r="FTE14" s="1"/>
      <c r="FTF14" s="1"/>
      <c r="FTG14" s="1"/>
      <c r="FTH14" s="1"/>
      <c r="FTI14" s="1"/>
      <c r="FTJ14" s="1"/>
      <c r="FTK14" s="1"/>
      <c r="FTL14" s="1"/>
      <c r="FTM14" s="1"/>
      <c r="FTN14" s="1"/>
      <c r="FTO14" s="1"/>
      <c r="FTP14" s="1"/>
      <c r="FTQ14" s="1"/>
      <c r="FTR14" s="1"/>
      <c r="FTS14" s="1"/>
      <c r="FTT14" s="1"/>
      <c r="FTU14" s="1"/>
      <c r="FTV14" s="1"/>
      <c r="FTW14" s="1"/>
      <c r="FTX14" s="1"/>
      <c r="FTY14" s="1"/>
      <c r="FTZ14" s="1"/>
      <c r="FUA14" s="1"/>
      <c r="FUB14" s="1"/>
      <c r="FUC14" s="1"/>
      <c r="FUD14" s="1"/>
      <c r="FUE14" s="1"/>
      <c r="FUF14" s="1"/>
      <c r="FUG14" s="1"/>
      <c r="FUH14" s="1"/>
      <c r="FUI14" s="1"/>
      <c r="FUJ14" s="1"/>
      <c r="FUK14" s="1"/>
      <c r="FUL14" s="1"/>
      <c r="FUM14" s="1"/>
      <c r="FUN14" s="1"/>
      <c r="FUO14" s="1"/>
      <c r="FUP14" s="1"/>
      <c r="FUQ14" s="1"/>
      <c r="FUR14" s="1"/>
      <c r="FUS14" s="1"/>
      <c r="FUT14" s="1"/>
      <c r="FUU14" s="1"/>
      <c r="FUV14" s="1"/>
      <c r="FUW14" s="1"/>
      <c r="FUX14" s="1"/>
      <c r="FUY14" s="1"/>
      <c r="FUZ14" s="1"/>
      <c r="FVA14" s="1"/>
      <c r="FVB14" s="1"/>
      <c r="FVC14" s="1"/>
      <c r="FVD14" s="1"/>
      <c r="FVE14" s="1"/>
      <c r="FVF14" s="1"/>
      <c r="FVG14" s="1"/>
      <c r="FVH14" s="1"/>
      <c r="FVI14" s="1"/>
      <c r="FVJ14" s="1"/>
      <c r="FVK14" s="1"/>
      <c r="FVL14" s="1"/>
      <c r="FVM14" s="1"/>
      <c r="FVN14" s="1"/>
      <c r="FVO14" s="1"/>
      <c r="FVP14" s="1"/>
      <c r="FVQ14" s="1"/>
      <c r="FVR14" s="1"/>
      <c r="FVS14" s="1"/>
      <c r="FVT14" s="1"/>
      <c r="FVU14" s="1"/>
      <c r="FVV14" s="1"/>
      <c r="FVW14" s="1"/>
      <c r="FVX14" s="1"/>
      <c r="FVY14" s="1"/>
      <c r="FVZ14" s="1"/>
      <c r="FWA14" s="1"/>
      <c r="FWB14" s="1"/>
      <c r="FWC14" s="1"/>
      <c r="FWD14" s="1"/>
      <c r="FWE14" s="1"/>
      <c r="FWF14" s="1"/>
      <c r="FWG14" s="1"/>
      <c r="FWH14" s="1"/>
      <c r="FWI14" s="1"/>
      <c r="FWJ14" s="1"/>
      <c r="FWK14" s="1"/>
      <c r="FWL14" s="1"/>
      <c r="FWM14" s="1"/>
      <c r="FWN14" s="1"/>
      <c r="FWO14" s="1"/>
      <c r="FWP14" s="1"/>
      <c r="FWQ14" s="1"/>
      <c r="FWR14" s="1"/>
      <c r="FWS14" s="1"/>
      <c r="FWT14" s="1"/>
      <c r="FWU14" s="1"/>
      <c r="FWV14" s="1"/>
      <c r="FWW14" s="1"/>
      <c r="FWX14" s="1"/>
      <c r="FWY14" s="1"/>
      <c r="FWZ14" s="1"/>
      <c r="FXA14" s="1"/>
      <c r="FXB14" s="1"/>
      <c r="FXC14" s="1"/>
      <c r="FXD14" s="1"/>
      <c r="FXE14" s="1"/>
      <c r="FXF14" s="1"/>
      <c r="FXG14" s="1"/>
      <c r="FXH14" s="1"/>
      <c r="FXI14" s="1"/>
      <c r="FXJ14" s="1"/>
      <c r="FXK14" s="1"/>
      <c r="FXL14" s="1"/>
      <c r="FXM14" s="1"/>
      <c r="FXN14" s="1"/>
      <c r="FXO14" s="1"/>
      <c r="FXP14" s="1"/>
      <c r="FXQ14" s="1"/>
      <c r="FXR14" s="1"/>
      <c r="FXS14" s="1"/>
      <c r="FXT14" s="1"/>
      <c r="FXU14" s="1"/>
      <c r="FXV14" s="1"/>
      <c r="FXW14" s="1"/>
      <c r="FXX14" s="1"/>
      <c r="FXY14" s="1"/>
      <c r="FXZ14" s="1"/>
      <c r="FYA14" s="1"/>
      <c r="FYB14" s="1"/>
      <c r="FYC14" s="1"/>
      <c r="FYD14" s="1"/>
      <c r="FYE14" s="1"/>
      <c r="FYF14" s="1"/>
      <c r="FYG14" s="1"/>
      <c r="FYH14" s="1"/>
      <c r="FYI14" s="1"/>
      <c r="FYJ14" s="1"/>
      <c r="FYK14" s="1"/>
      <c r="FYL14" s="1"/>
      <c r="FYM14" s="1"/>
      <c r="FYN14" s="1"/>
      <c r="FYO14" s="1"/>
      <c r="FYP14" s="1"/>
      <c r="FYQ14" s="1"/>
      <c r="FYR14" s="1"/>
      <c r="FYS14" s="1"/>
      <c r="FYT14" s="1"/>
      <c r="FYU14" s="1"/>
      <c r="FYV14" s="1"/>
      <c r="FYW14" s="1"/>
      <c r="FYX14" s="1"/>
      <c r="FYY14" s="1"/>
      <c r="FYZ14" s="1"/>
      <c r="FZA14" s="1"/>
      <c r="FZB14" s="1"/>
      <c r="FZC14" s="1"/>
      <c r="FZD14" s="1"/>
      <c r="FZE14" s="1"/>
      <c r="FZF14" s="1"/>
      <c r="FZG14" s="1"/>
      <c r="FZH14" s="1"/>
      <c r="FZI14" s="1"/>
      <c r="FZJ14" s="1"/>
      <c r="FZK14" s="1"/>
      <c r="FZL14" s="1"/>
      <c r="FZM14" s="1"/>
      <c r="FZN14" s="1"/>
      <c r="FZO14" s="1"/>
      <c r="FZP14" s="1"/>
      <c r="FZQ14" s="1"/>
      <c r="FZR14" s="1"/>
      <c r="FZS14" s="1"/>
      <c r="FZT14" s="1"/>
      <c r="FZU14" s="1"/>
      <c r="FZV14" s="1"/>
      <c r="FZW14" s="1"/>
      <c r="FZX14" s="1"/>
      <c r="FZY14" s="1"/>
      <c r="FZZ14" s="1"/>
      <c r="GAA14" s="1"/>
      <c r="GAB14" s="1"/>
      <c r="GAC14" s="1"/>
      <c r="GAD14" s="1"/>
      <c r="GAE14" s="1"/>
      <c r="GAF14" s="1"/>
      <c r="GAG14" s="1"/>
      <c r="GAH14" s="1"/>
      <c r="GAI14" s="1"/>
      <c r="GAJ14" s="1"/>
      <c r="GAK14" s="1"/>
      <c r="GAL14" s="1"/>
      <c r="GAM14" s="1"/>
      <c r="GAN14" s="1"/>
      <c r="GAO14" s="1"/>
      <c r="GAP14" s="1"/>
      <c r="GAQ14" s="1"/>
      <c r="GAR14" s="1"/>
      <c r="GAS14" s="1"/>
      <c r="GAT14" s="1"/>
      <c r="GAU14" s="1"/>
      <c r="GAV14" s="1"/>
      <c r="GAW14" s="1"/>
      <c r="GAX14" s="1"/>
      <c r="GAY14" s="1"/>
      <c r="GAZ14" s="1"/>
      <c r="GBA14" s="1"/>
      <c r="GBB14" s="1"/>
      <c r="GBC14" s="1"/>
      <c r="GBD14" s="1"/>
      <c r="GBE14" s="1"/>
      <c r="GBF14" s="1"/>
      <c r="GBG14" s="1"/>
      <c r="GBH14" s="1"/>
      <c r="GBI14" s="1"/>
      <c r="GBJ14" s="1"/>
      <c r="GBK14" s="1"/>
      <c r="GBL14" s="1"/>
      <c r="GBM14" s="1"/>
      <c r="GBN14" s="1"/>
      <c r="GBO14" s="1"/>
      <c r="GBP14" s="1"/>
      <c r="GBQ14" s="1"/>
      <c r="GBR14" s="1"/>
      <c r="GBS14" s="1"/>
      <c r="GBT14" s="1"/>
      <c r="GBU14" s="1"/>
      <c r="GBV14" s="1"/>
      <c r="GBW14" s="1"/>
      <c r="GBX14" s="1"/>
      <c r="GBY14" s="1"/>
      <c r="GBZ14" s="1"/>
      <c r="GCA14" s="1"/>
      <c r="GCB14" s="1"/>
      <c r="GCC14" s="1"/>
      <c r="GCD14" s="1"/>
      <c r="GCE14" s="1"/>
      <c r="GCF14" s="1"/>
      <c r="GCG14" s="1"/>
      <c r="GCH14" s="1"/>
      <c r="GCI14" s="1"/>
      <c r="GCJ14" s="1"/>
      <c r="GCK14" s="1"/>
      <c r="GCL14" s="1"/>
      <c r="GCM14" s="1"/>
      <c r="GCN14" s="1"/>
      <c r="GCO14" s="1"/>
      <c r="GCP14" s="1"/>
      <c r="GCQ14" s="1"/>
      <c r="GCR14" s="1"/>
      <c r="GCS14" s="1"/>
      <c r="GCT14" s="1"/>
      <c r="GCU14" s="1"/>
      <c r="GCV14" s="1"/>
      <c r="GCW14" s="1"/>
      <c r="GCX14" s="1"/>
      <c r="GCY14" s="1"/>
      <c r="GCZ14" s="1"/>
      <c r="GDA14" s="1"/>
      <c r="GDB14" s="1"/>
      <c r="GDC14" s="1"/>
      <c r="GDD14" s="1"/>
      <c r="GDE14" s="1"/>
      <c r="GDF14" s="1"/>
      <c r="GDG14" s="1"/>
      <c r="GDH14" s="1"/>
      <c r="GDI14" s="1"/>
      <c r="GDJ14" s="1"/>
      <c r="GDK14" s="1"/>
      <c r="GDL14" s="1"/>
      <c r="GDM14" s="1"/>
      <c r="GDN14" s="1"/>
      <c r="GDO14" s="1"/>
      <c r="GDP14" s="1"/>
      <c r="GDQ14" s="1"/>
      <c r="GDR14" s="1"/>
      <c r="GDS14" s="1"/>
      <c r="GDT14" s="1"/>
      <c r="GDU14" s="1"/>
      <c r="GDV14" s="1"/>
      <c r="GDW14" s="1"/>
      <c r="GDX14" s="1"/>
      <c r="GDY14" s="1"/>
      <c r="GDZ14" s="1"/>
      <c r="GEA14" s="1"/>
      <c r="GEB14" s="1"/>
      <c r="GEC14" s="1"/>
      <c r="GED14" s="1"/>
      <c r="GEE14" s="1"/>
      <c r="GEF14" s="1"/>
      <c r="GEG14" s="1"/>
      <c r="GEH14" s="1"/>
      <c r="GEI14" s="1"/>
      <c r="GEJ14" s="1"/>
      <c r="GEK14" s="1"/>
      <c r="GEL14" s="1"/>
      <c r="GEM14" s="1"/>
      <c r="GEN14" s="1"/>
      <c r="GEO14" s="1"/>
      <c r="GEP14" s="1"/>
      <c r="GEQ14" s="1"/>
      <c r="GER14" s="1"/>
      <c r="GES14" s="1"/>
      <c r="GET14" s="1"/>
      <c r="GEU14" s="1"/>
      <c r="GEV14" s="1"/>
      <c r="GEW14" s="1"/>
      <c r="GEX14" s="1"/>
      <c r="GEY14" s="1"/>
      <c r="GEZ14" s="1"/>
      <c r="GFA14" s="1"/>
      <c r="GFB14" s="1"/>
      <c r="GFC14" s="1"/>
      <c r="GFD14" s="1"/>
      <c r="GFE14" s="1"/>
      <c r="GFF14" s="1"/>
      <c r="GFG14" s="1"/>
      <c r="GFH14" s="1"/>
      <c r="GFI14" s="1"/>
      <c r="GFJ14" s="1"/>
      <c r="GFK14" s="1"/>
      <c r="GFL14" s="1"/>
      <c r="GFM14" s="1"/>
      <c r="GFN14" s="1"/>
      <c r="GFO14" s="1"/>
      <c r="GFP14" s="1"/>
      <c r="GFQ14" s="1"/>
      <c r="GFR14" s="1"/>
      <c r="GFS14" s="1"/>
      <c r="GFT14" s="1"/>
      <c r="GFU14" s="1"/>
      <c r="GFV14" s="1"/>
      <c r="GFW14" s="1"/>
      <c r="GFX14" s="1"/>
      <c r="GFY14" s="1"/>
      <c r="GFZ14" s="1"/>
      <c r="GGA14" s="1"/>
      <c r="GGB14" s="1"/>
      <c r="GGC14" s="1"/>
      <c r="GGD14" s="1"/>
      <c r="GGE14" s="1"/>
      <c r="GGF14" s="1"/>
      <c r="GGG14" s="1"/>
      <c r="GGH14" s="1"/>
      <c r="GGI14" s="1"/>
      <c r="GGJ14" s="1"/>
      <c r="GGK14" s="1"/>
      <c r="GGL14" s="1"/>
      <c r="GGM14" s="1"/>
      <c r="GGN14" s="1"/>
      <c r="GGO14" s="1"/>
      <c r="GGP14" s="1"/>
      <c r="GGQ14" s="1"/>
      <c r="GGR14" s="1"/>
      <c r="GGS14" s="1"/>
      <c r="GGT14" s="1"/>
      <c r="GGU14" s="1"/>
      <c r="GGV14" s="1"/>
      <c r="GGW14" s="1"/>
      <c r="GGX14" s="1"/>
      <c r="GGY14" s="1"/>
      <c r="GGZ14" s="1"/>
      <c r="GHA14" s="1"/>
      <c r="GHB14" s="1"/>
      <c r="GHC14" s="1"/>
      <c r="GHD14" s="1"/>
      <c r="GHE14" s="1"/>
      <c r="GHF14" s="1"/>
      <c r="GHG14" s="1"/>
      <c r="GHH14" s="1"/>
      <c r="GHI14" s="1"/>
      <c r="GHJ14" s="1"/>
      <c r="GHK14" s="1"/>
      <c r="GHL14" s="1"/>
      <c r="GHM14" s="1"/>
      <c r="GHN14" s="1"/>
      <c r="GHO14" s="1"/>
      <c r="GHP14" s="1"/>
      <c r="GHQ14" s="1"/>
      <c r="GHR14" s="1"/>
      <c r="GHS14" s="1"/>
      <c r="GHT14" s="1"/>
      <c r="GHU14" s="1"/>
      <c r="GHV14" s="1"/>
      <c r="GHW14" s="1"/>
      <c r="GHX14" s="1"/>
      <c r="GHY14" s="1"/>
      <c r="GHZ14" s="1"/>
      <c r="GIA14" s="1"/>
      <c r="GIB14" s="1"/>
      <c r="GIC14" s="1"/>
      <c r="GID14" s="1"/>
      <c r="GIE14" s="1"/>
      <c r="GIF14" s="1"/>
      <c r="GIG14" s="1"/>
      <c r="GIH14" s="1"/>
      <c r="GII14" s="1"/>
      <c r="GIJ14" s="1"/>
      <c r="GIK14" s="1"/>
      <c r="GIL14" s="1"/>
      <c r="GIM14" s="1"/>
      <c r="GIN14" s="1"/>
      <c r="GIO14" s="1"/>
      <c r="GIP14" s="1"/>
      <c r="GIQ14" s="1"/>
      <c r="GIR14" s="1"/>
      <c r="GIS14" s="1"/>
      <c r="GIT14" s="1"/>
      <c r="GIU14" s="1"/>
      <c r="GIV14" s="1"/>
      <c r="GIW14" s="1"/>
      <c r="GIX14" s="1"/>
      <c r="GIY14" s="1"/>
      <c r="GIZ14" s="1"/>
      <c r="GJA14" s="1"/>
      <c r="GJB14" s="1"/>
      <c r="GJC14" s="1"/>
      <c r="GJD14" s="1"/>
      <c r="GJE14" s="1"/>
      <c r="GJF14" s="1"/>
      <c r="GJG14" s="1"/>
      <c r="GJH14" s="1"/>
      <c r="GJI14" s="1"/>
      <c r="GJJ14" s="1"/>
      <c r="GJK14" s="1"/>
      <c r="GJL14" s="1"/>
      <c r="GJM14" s="1"/>
      <c r="GJN14" s="1"/>
      <c r="GJO14" s="1"/>
      <c r="GJP14" s="1"/>
      <c r="GJQ14" s="1"/>
      <c r="GJR14" s="1"/>
      <c r="GJS14" s="1"/>
      <c r="GJT14" s="1"/>
      <c r="GJU14" s="1"/>
      <c r="GJV14" s="1"/>
      <c r="GJW14" s="1"/>
      <c r="GJX14" s="1"/>
      <c r="GJY14" s="1"/>
      <c r="GJZ14" s="1"/>
      <c r="GKA14" s="1"/>
      <c r="GKB14" s="1"/>
      <c r="GKC14" s="1"/>
      <c r="GKD14" s="1"/>
      <c r="GKE14" s="1"/>
      <c r="GKF14" s="1"/>
      <c r="GKG14" s="1"/>
      <c r="GKH14" s="1"/>
      <c r="GKI14" s="1"/>
      <c r="GKJ14" s="1"/>
      <c r="GKK14" s="1"/>
      <c r="GKL14" s="1"/>
      <c r="GKM14" s="1"/>
      <c r="GKN14" s="1"/>
      <c r="GKO14" s="1"/>
      <c r="GKP14" s="1"/>
      <c r="GKQ14" s="1"/>
      <c r="GKR14" s="1"/>
      <c r="GKS14" s="1"/>
      <c r="GKT14" s="1"/>
      <c r="GKU14" s="1"/>
      <c r="GKV14" s="1"/>
      <c r="GKW14" s="1"/>
      <c r="GKX14" s="1"/>
      <c r="GKY14" s="1"/>
      <c r="GKZ14" s="1"/>
      <c r="GLA14" s="1"/>
      <c r="GLB14" s="1"/>
      <c r="GLC14" s="1"/>
      <c r="GLD14" s="1"/>
      <c r="GLE14" s="1"/>
      <c r="GLF14" s="1"/>
      <c r="GLG14" s="1"/>
      <c r="GLH14" s="1"/>
      <c r="GLI14" s="1"/>
      <c r="GLJ14" s="1"/>
      <c r="GLK14" s="1"/>
      <c r="GLL14" s="1"/>
      <c r="GLM14" s="1"/>
      <c r="GLN14" s="1"/>
      <c r="GLO14" s="1"/>
      <c r="GLP14" s="1"/>
      <c r="GLQ14" s="1"/>
      <c r="GLR14" s="1"/>
      <c r="GLS14" s="1"/>
      <c r="GLT14" s="1"/>
      <c r="GLU14" s="1"/>
      <c r="GLV14" s="1"/>
      <c r="GLW14" s="1"/>
      <c r="GLX14" s="1"/>
      <c r="GLY14" s="1"/>
      <c r="GLZ14" s="1"/>
      <c r="GMA14" s="1"/>
      <c r="GMB14" s="1"/>
      <c r="GMC14" s="1"/>
      <c r="GMD14" s="1"/>
      <c r="GME14" s="1"/>
      <c r="GMF14" s="1"/>
      <c r="GMG14" s="1"/>
      <c r="GMH14" s="1"/>
      <c r="GMI14" s="1"/>
      <c r="GMJ14" s="1"/>
      <c r="GMK14" s="1"/>
      <c r="GML14" s="1"/>
      <c r="GMM14" s="1"/>
      <c r="GMN14" s="1"/>
      <c r="GMO14" s="1"/>
      <c r="GMP14" s="1"/>
      <c r="GMQ14" s="1"/>
      <c r="GMR14" s="1"/>
      <c r="GMS14" s="1"/>
      <c r="GMT14" s="1"/>
      <c r="GMU14" s="1"/>
      <c r="GMV14" s="1"/>
      <c r="GMW14" s="1"/>
      <c r="GMX14" s="1"/>
      <c r="GMY14" s="1"/>
      <c r="GMZ14" s="1"/>
      <c r="GNA14" s="1"/>
      <c r="GNB14" s="1"/>
      <c r="GNC14" s="1"/>
      <c r="GND14" s="1"/>
      <c r="GNE14" s="1"/>
      <c r="GNF14" s="1"/>
      <c r="GNG14" s="1"/>
      <c r="GNH14" s="1"/>
      <c r="GNI14" s="1"/>
      <c r="GNJ14" s="1"/>
      <c r="GNK14" s="1"/>
      <c r="GNL14" s="1"/>
      <c r="GNM14" s="1"/>
      <c r="GNN14" s="1"/>
      <c r="GNO14" s="1"/>
      <c r="GNP14" s="1"/>
      <c r="GNQ14" s="1"/>
      <c r="GNR14" s="1"/>
      <c r="GNS14" s="1"/>
      <c r="GNT14" s="1"/>
      <c r="GNU14" s="1"/>
      <c r="GNV14" s="1"/>
      <c r="GNW14" s="1"/>
      <c r="GNX14" s="1"/>
      <c r="GNY14" s="1"/>
      <c r="GNZ14" s="1"/>
      <c r="GOA14" s="1"/>
      <c r="GOB14" s="1"/>
      <c r="GOC14" s="1"/>
      <c r="GOD14" s="1"/>
      <c r="GOE14" s="1"/>
      <c r="GOF14" s="1"/>
      <c r="GOG14" s="1"/>
      <c r="GOH14" s="1"/>
      <c r="GOI14" s="1"/>
      <c r="GOJ14" s="1"/>
      <c r="GOK14" s="1"/>
      <c r="GOL14" s="1"/>
      <c r="GOM14" s="1"/>
      <c r="GON14" s="1"/>
      <c r="GOO14" s="1"/>
      <c r="GOP14" s="1"/>
      <c r="GOQ14" s="1"/>
      <c r="GOR14" s="1"/>
      <c r="GOS14" s="1"/>
      <c r="GOT14" s="1"/>
      <c r="GOU14" s="1"/>
      <c r="GOV14" s="1"/>
      <c r="GOW14" s="1"/>
      <c r="GOX14" s="1"/>
      <c r="GOY14" s="1"/>
      <c r="GOZ14" s="1"/>
      <c r="GPA14" s="1"/>
      <c r="GPB14" s="1"/>
      <c r="GPC14" s="1"/>
      <c r="GPD14" s="1"/>
      <c r="GPE14" s="1"/>
      <c r="GPF14" s="1"/>
      <c r="GPG14" s="1"/>
      <c r="GPH14" s="1"/>
      <c r="GPI14" s="1"/>
      <c r="GPJ14" s="1"/>
      <c r="GPK14" s="1"/>
      <c r="GPL14" s="1"/>
      <c r="GPM14" s="1"/>
      <c r="GPN14" s="1"/>
      <c r="GPO14" s="1"/>
      <c r="GPP14" s="1"/>
      <c r="GPQ14" s="1"/>
      <c r="GPR14" s="1"/>
      <c r="GPS14" s="1"/>
      <c r="GPT14" s="1"/>
      <c r="GPU14" s="1"/>
      <c r="GPV14" s="1"/>
      <c r="GPW14" s="1"/>
      <c r="GPX14" s="1"/>
      <c r="GPY14" s="1"/>
      <c r="GPZ14" s="1"/>
      <c r="GQA14" s="1"/>
      <c r="GQB14" s="1"/>
      <c r="GQC14" s="1"/>
      <c r="GQD14" s="1"/>
      <c r="GQE14" s="1"/>
      <c r="GQF14" s="1"/>
      <c r="GQG14" s="1"/>
      <c r="GQH14" s="1"/>
      <c r="GQI14" s="1"/>
      <c r="GQJ14" s="1"/>
      <c r="GQK14" s="1"/>
      <c r="GQL14" s="1"/>
      <c r="GQM14" s="1"/>
      <c r="GQN14" s="1"/>
      <c r="GQO14" s="1"/>
      <c r="GQP14" s="1"/>
      <c r="GQQ14" s="1"/>
      <c r="GQR14" s="1"/>
      <c r="GQS14" s="1"/>
      <c r="GQT14" s="1"/>
      <c r="GQU14" s="1"/>
      <c r="GQV14" s="1"/>
      <c r="GQW14" s="1"/>
      <c r="GQX14" s="1"/>
      <c r="GQY14" s="1"/>
      <c r="GQZ14" s="1"/>
      <c r="GRA14" s="1"/>
      <c r="GRB14" s="1"/>
      <c r="GRC14" s="1"/>
      <c r="GRD14" s="1"/>
      <c r="GRE14" s="1"/>
      <c r="GRF14" s="1"/>
      <c r="GRG14" s="1"/>
      <c r="GRH14" s="1"/>
      <c r="GRI14" s="1"/>
      <c r="GRJ14" s="1"/>
      <c r="GRK14" s="1"/>
      <c r="GRL14" s="1"/>
      <c r="GRM14" s="1"/>
      <c r="GRN14" s="1"/>
      <c r="GRO14" s="1"/>
      <c r="GRP14" s="1"/>
      <c r="GRQ14" s="1"/>
      <c r="GRR14" s="1"/>
      <c r="GRS14" s="1"/>
      <c r="GRT14" s="1"/>
      <c r="GRU14" s="1"/>
      <c r="GRV14" s="1"/>
      <c r="GRW14" s="1"/>
      <c r="GRX14" s="1"/>
      <c r="GRY14" s="1"/>
      <c r="GRZ14" s="1"/>
      <c r="GSA14" s="1"/>
      <c r="GSB14" s="1"/>
      <c r="GSC14" s="1"/>
      <c r="GSD14" s="1"/>
      <c r="GSE14" s="1"/>
      <c r="GSF14" s="1"/>
      <c r="GSG14" s="1"/>
      <c r="GSH14" s="1"/>
      <c r="GSI14" s="1"/>
      <c r="GSJ14" s="1"/>
      <c r="GSK14" s="1"/>
      <c r="GSL14" s="1"/>
      <c r="GSM14" s="1"/>
      <c r="GSN14" s="1"/>
      <c r="GSO14" s="1"/>
      <c r="GSP14" s="1"/>
      <c r="GSQ14" s="1"/>
      <c r="GSR14" s="1"/>
      <c r="GSS14" s="1"/>
      <c r="GST14" s="1"/>
      <c r="GSU14" s="1"/>
      <c r="GSV14" s="1"/>
      <c r="GSW14" s="1"/>
      <c r="GSX14" s="1"/>
      <c r="GSY14" s="1"/>
      <c r="GSZ14" s="1"/>
      <c r="GTA14" s="1"/>
      <c r="GTB14" s="1"/>
      <c r="GTC14" s="1"/>
      <c r="GTD14" s="1"/>
      <c r="GTE14" s="1"/>
      <c r="GTF14" s="1"/>
      <c r="GTG14" s="1"/>
      <c r="GTH14" s="1"/>
      <c r="GTI14" s="1"/>
      <c r="GTJ14" s="1"/>
      <c r="GTK14" s="1"/>
      <c r="GTL14" s="1"/>
      <c r="GTM14" s="1"/>
      <c r="GTN14" s="1"/>
      <c r="GTO14" s="1"/>
      <c r="GTP14" s="1"/>
      <c r="GTQ14" s="1"/>
      <c r="GTR14" s="1"/>
      <c r="GTS14" s="1"/>
      <c r="GTT14" s="1"/>
      <c r="GTU14" s="1"/>
      <c r="GTV14" s="1"/>
      <c r="GTW14" s="1"/>
      <c r="GTX14" s="1"/>
      <c r="GTY14" s="1"/>
      <c r="GTZ14" s="1"/>
      <c r="GUA14" s="1"/>
      <c r="GUB14" s="1"/>
      <c r="GUC14" s="1"/>
      <c r="GUD14" s="1"/>
      <c r="GUE14" s="1"/>
      <c r="GUF14" s="1"/>
      <c r="GUG14" s="1"/>
      <c r="GUH14" s="1"/>
      <c r="GUI14" s="1"/>
      <c r="GUJ14" s="1"/>
      <c r="GUK14" s="1"/>
      <c r="GUL14" s="1"/>
      <c r="GUM14" s="1"/>
      <c r="GUN14" s="1"/>
      <c r="GUO14" s="1"/>
      <c r="GUP14" s="1"/>
      <c r="GUQ14" s="1"/>
      <c r="GUR14" s="1"/>
      <c r="GUS14" s="1"/>
      <c r="GUT14" s="1"/>
      <c r="GUU14" s="1"/>
      <c r="GUV14" s="1"/>
      <c r="GUW14" s="1"/>
      <c r="GUX14" s="1"/>
      <c r="GUY14" s="1"/>
      <c r="GUZ14" s="1"/>
      <c r="GVA14" s="1"/>
      <c r="GVB14" s="1"/>
      <c r="GVC14" s="1"/>
      <c r="GVD14" s="1"/>
      <c r="GVE14" s="1"/>
      <c r="GVF14" s="1"/>
      <c r="GVG14" s="1"/>
      <c r="GVH14" s="1"/>
      <c r="GVI14" s="1"/>
      <c r="GVJ14" s="1"/>
      <c r="GVK14" s="1"/>
      <c r="GVL14" s="1"/>
      <c r="GVM14" s="1"/>
      <c r="GVN14" s="1"/>
      <c r="GVO14" s="1"/>
      <c r="GVP14" s="1"/>
      <c r="GVQ14" s="1"/>
      <c r="GVR14" s="1"/>
      <c r="GVS14" s="1"/>
      <c r="GVT14" s="1"/>
      <c r="GVU14" s="1"/>
      <c r="GVV14" s="1"/>
      <c r="GVW14" s="1"/>
      <c r="GVX14" s="1"/>
      <c r="GVY14" s="1"/>
      <c r="GVZ14" s="1"/>
      <c r="GWA14" s="1"/>
      <c r="GWB14" s="1"/>
      <c r="GWC14" s="1"/>
      <c r="GWD14" s="1"/>
      <c r="GWE14" s="1"/>
      <c r="GWF14" s="1"/>
      <c r="GWG14" s="1"/>
      <c r="GWH14" s="1"/>
      <c r="GWI14" s="1"/>
      <c r="GWJ14" s="1"/>
      <c r="GWK14" s="1"/>
      <c r="GWL14" s="1"/>
      <c r="GWM14" s="1"/>
      <c r="GWN14" s="1"/>
      <c r="GWO14" s="1"/>
      <c r="GWP14" s="1"/>
      <c r="GWQ14" s="1"/>
      <c r="GWR14" s="1"/>
      <c r="GWS14" s="1"/>
      <c r="GWT14" s="1"/>
      <c r="GWU14" s="1"/>
      <c r="GWV14" s="1"/>
      <c r="GWW14" s="1"/>
      <c r="GWX14" s="1"/>
      <c r="GWY14" s="1"/>
      <c r="GWZ14" s="1"/>
      <c r="GXA14" s="1"/>
      <c r="GXB14" s="1"/>
      <c r="GXC14" s="1"/>
      <c r="GXD14" s="1"/>
      <c r="GXE14" s="1"/>
      <c r="GXF14" s="1"/>
      <c r="GXG14" s="1"/>
      <c r="GXH14" s="1"/>
      <c r="GXI14" s="1"/>
      <c r="GXJ14" s="1"/>
      <c r="GXK14" s="1"/>
      <c r="GXL14" s="1"/>
      <c r="GXM14" s="1"/>
      <c r="GXN14" s="1"/>
      <c r="GXO14" s="1"/>
      <c r="GXP14" s="1"/>
      <c r="GXQ14" s="1"/>
      <c r="GXR14" s="1"/>
      <c r="GXS14" s="1"/>
      <c r="GXT14" s="1"/>
      <c r="GXU14" s="1"/>
      <c r="GXV14" s="1"/>
      <c r="GXW14" s="1"/>
      <c r="GXX14" s="1"/>
      <c r="GXY14" s="1"/>
      <c r="GXZ14" s="1"/>
      <c r="GYA14" s="1"/>
      <c r="GYB14" s="1"/>
      <c r="GYC14" s="1"/>
      <c r="GYD14" s="1"/>
      <c r="GYE14" s="1"/>
      <c r="GYF14" s="1"/>
      <c r="GYG14" s="1"/>
      <c r="GYH14" s="1"/>
      <c r="GYI14" s="1"/>
      <c r="GYJ14" s="1"/>
      <c r="GYK14" s="1"/>
      <c r="GYL14" s="1"/>
      <c r="GYM14" s="1"/>
      <c r="GYN14" s="1"/>
      <c r="GYO14" s="1"/>
      <c r="GYP14" s="1"/>
      <c r="GYQ14" s="1"/>
      <c r="GYR14" s="1"/>
      <c r="GYS14" s="1"/>
      <c r="GYT14" s="1"/>
      <c r="GYU14" s="1"/>
      <c r="GYV14" s="1"/>
      <c r="GYW14" s="1"/>
      <c r="GYX14" s="1"/>
      <c r="GYY14" s="1"/>
      <c r="GYZ14" s="1"/>
      <c r="GZA14" s="1"/>
      <c r="GZB14" s="1"/>
      <c r="GZC14" s="1"/>
      <c r="GZD14" s="1"/>
      <c r="GZE14" s="1"/>
      <c r="GZF14" s="1"/>
      <c r="GZG14" s="1"/>
      <c r="GZH14" s="1"/>
      <c r="GZI14" s="1"/>
      <c r="GZJ14" s="1"/>
      <c r="GZK14" s="1"/>
      <c r="GZL14" s="1"/>
      <c r="GZM14" s="1"/>
      <c r="GZN14" s="1"/>
      <c r="GZO14" s="1"/>
      <c r="GZP14" s="1"/>
      <c r="GZQ14" s="1"/>
      <c r="GZR14" s="1"/>
      <c r="GZS14" s="1"/>
      <c r="GZT14" s="1"/>
      <c r="GZU14" s="1"/>
      <c r="GZV14" s="1"/>
      <c r="GZW14" s="1"/>
      <c r="GZX14" s="1"/>
      <c r="GZY14" s="1"/>
      <c r="GZZ14" s="1"/>
      <c r="HAA14" s="1"/>
      <c r="HAB14" s="1"/>
      <c r="HAC14" s="1"/>
      <c r="HAD14" s="1"/>
      <c r="HAE14" s="1"/>
      <c r="HAF14" s="1"/>
      <c r="HAG14" s="1"/>
      <c r="HAH14" s="1"/>
      <c r="HAI14" s="1"/>
      <c r="HAJ14" s="1"/>
      <c r="HAK14" s="1"/>
      <c r="HAL14" s="1"/>
      <c r="HAM14" s="1"/>
      <c r="HAN14" s="1"/>
      <c r="HAO14" s="1"/>
      <c r="HAP14" s="1"/>
      <c r="HAQ14" s="1"/>
      <c r="HAR14" s="1"/>
      <c r="HAS14" s="1"/>
      <c r="HAT14" s="1"/>
      <c r="HAU14" s="1"/>
      <c r="HAV14" s="1"/>
      <c r="HAW14" s="1"/>
      <c r="HAX14" s="1"/>
      <c r="HAY14" s="1"/>
      <c r="HAZ14" s="1"/>
      <c r="HBA14" s="1"/>
      <c r="HBB14" s="1"/>
      <c r="HBC14" s="1"/>
      <c r="HBD14" s="1"/>
      <c r="HBE14" s="1"/>
      <c r="HBF14" s="1"/>
      <c r="HBG14" s="1"/>
      <c r="HBH14" s="1"/>
      <c r="HBI14" s="1"/>
      <c r="HBJ14" s="1"/>
      <c r="HBK14" s="1"/>
      <c r="HBL14" s="1"/>
      <c r="HBM14" s="1"/>
      <c r="HBN14" s="1"/>
      <c r="HBO14" s="1"/>
      <c r="HBP14" s="1"/>
      <c r="HBQ14" s="1"/>
      <c r="HBR14" s="1"/>
      <c r="HBS14" s="1"/>
      <c r="HBT14" s="1"/>
      <c r="HBU14" s="1"/>
      <c r="HBV14" s="1"/>
      <c r="HBW14" s="1"/>
      <c r="HBX14" s="1"/>
      <c r="HBY14" s="1"/>
      <c r="HBZ14" s="1"/>
      <c r="HCA14" s="1"/>
      <c r="HCB14" s="1"/>
      <c r="HCC14" s="1"/>
      <c r="HCD14" s="1"/>
      <c r="HCE14" s="1"/>
      <c r="HCF14" s="1"/>
      <c r="HCG14" s="1"/>
      <c r="HCH14" s="1"/>
      <c r="HCI14" s="1"/>
      <c r="HCJ14" s="1"/>
      <c r="HCK14" s="1"/>
      <c r="HCL14" s="1"/>
      <c r="HCM14" s="1"/>
      <c r="HCN14" s="1"/>
      <c r="HCO14" s="1"/>
      <c r="HCP14" s="1"/>
      <c r="HCQ14" s="1"/>
      <c r="HCR14" s="1"/>
      <c r="HCS14" s="1"/>
      <c r="HCT14" s="1"/>
      <c r="HCU14" s="1"/>
      <c r="HCV14" s="1"/>
      <c r="HCW14" s="1"/>
      <c r="HCX14" s="1"/>
      <c r="HCY14" s="1"/>
      <c r="HCZ14" s="1"/>
      <c r="HDA14" s="1"/>
      <c r="HDB14" s="1"/>
      <c r="HDC14" s="1"/>
      <c r="HDD14" s="1"/>
      <c r="HDE14" s="1"/>
      <c r="HDF14" s="1"/>
      <c r="HDG14" s="1"/>
      <c r="HDH14" s="1"/>
      <c r="HDI14" s="1"/>
      <c r="HDJ14" s="1"/>
      <c r="HDK14" s="1"/>
      <c r="HDL14" s="1"/>
      <c r="HDM14" s="1"/>
      <c r="HDN14" s="1"/>
      <c r="HDO14" s="1"/>
      <c r="HDP14" s="1"/>
      <c r="HDQ14" s="1"/>
      <c r="HDR14" s="1"/>
      <c r="HDS14" s="1"/>
      <c r="HDT14" s="1"/>
      <c r="HDU14" s="1"/>
      <c r="HDV14" s="1"/>
      <c r="HDW14" s="1"/>
      <c r="HDX14" s="1"/>
      <c r="HDY14" s="1"/>
      <c r="HDZ14" s="1"/>
      <c r="HEA14" s="1"/>
      <c r="HEB14" s="1"/>
      <c r="HEC14" s="1"/>
      <c r="HED14" s="1"/>
      <c r="HEE14" s="1"/>
      <c r="HEF14" s="1"/>
      <c r="HEG14" s="1"/>
      <c r="HEH14" s="1"/>
      <c r="HEI14" s="1"/>
      <c r="HEJ14" s="1"/>
      <c r="HEK14" s="1"/>
      <c r="HEL14" s="1"/>
      <c r="HEM14" s="1"/>
      <c r="HEN14" s="1"/>
      <c r="HEO14" s="1"/>
      <c r="HEP14" s="1"/>
      <c r="HEQ14" s="1"/>
      <c r="HER14" s="1"/>
      <c r="HES14" s="1"/>
      <c r="HET14" s="1"/>
      <c r="HEU14" s="1"/>
      <c r="HEV14" s="1"/>
      <c r="HEW14" s="1"/>
      <c r="HEX14" s="1"/>
      <c r="HEY14" s="1"/>
      <c r="HEZ14" s="1"/>
      <c r="HFA14" s="1"/>
      <c r="HFB14" s="1"/>
      <c r="HFC14" s="1"/>
      <c r="HFD14" s="1"/>
      <c r="HFE14" s="1"/>
      <c r="HFF14" s="1"/>
      <c r="HFG14" s="1"/>
      <c r="HFH14" s="1"/>
      <c r="HFI14" s="1"/>
      <c r="HFJ14" s="1"/>
      <c r="HFK14" s="1"/>
      <c r="HFL14" s="1"/>
      <c r="HFM14" s="1"/>
      <c r="HFN14" s="1"/>
      <c r="HFO14" s="1"/>
      <c r="HFP14" s="1"/>
      <c r="HFQ14" s="1"/>
      <c r="HFR14" s="1"/>
      <c r="HFS14" s="1"/>
      <c r="HFT14" s="1"/>
      <c r="HFU14" s="1"/>
      <c r="HFV14" s="1"/>
      <c r="HFW14" s="1"/>
      <c r="HFX14" s="1"/>
      <c r="HFY14" s="1"/>
      <c r="HFZ14" s="1"/>
      <c r="HGA14" s="1"/>
      <c r="HGB14" s="1"/>
      <c r="HGC14" s="1"/>
      <c r="HGD14" s="1"/>
      <c r="HGE14" s="1"/>
      <c r="HGF14" s="1"/>
      <c r="HGG14" s="1"/>
      <c r="HGH14" s="1"/>
      <c r="HGI14" s="1"/>
      <c r="HGJ14" s="1"/>
      <c r="HGK14" s="1"/>
      <c r="HGL14" s="1"/>
      <c r="HGM14" s="1"/>
      <c r="HGN14" s="1"/>
      <c r="HGO14" s="1"/>
      <c r="HGP14" s="1"/>
      <c r="HGQ14" s="1"/>
      <c r="HGR14" s="1"/>
      <c r="HGS14" s="1"/>
      <c r="HGT14" s="1"/>
      <c r="HGU14" s="1"/>
      <c r="HGV14" s="1"/>
      <c r="HGW14" s="1"/>
      <c r="HGX14" s="1"/>
      <c r="HGY14" s="1"/>
      <c r="HGZ14" s="1"/>
      <c r="HHA14" s="1"/>
      <c r="HHB14" s="1"/>
      <c r="HHC14" s="1"/>
      <c r="HHD14" s="1"/>
      <c r="HHE14" s="1"/>
      <c r="HHF14" s="1"/>
      <c r="HHG14" s="1"/>
      <c r="HHH14" s="1"/>
      <c r="HHI14" s="1"/>
      <c r="HHJ14" s="1"/>
      <c r="HHK14" s="1"/>
      <c r="HHL14" s="1"/>
      <c r="HHM14" s="1"/>
      <c r="HHN14" s="1"/>
      <c r="HHO14" s="1"/>
      <c r="HHP14" s="1"/>
      <c r="HHQ14" s="1"/>
      <c r="HHR14" s="1"/>
      <c r="HHS14" s="1"/>
      <c r="HHT14" s="1"/>
      <c r="HHU14" s="1"/>
      <c r="HHV14" s="1"/>
      <c r="HHW14" s="1"/>
      <c r="HHX14" s="1"/>
      <c r="HHY14" s="1"/>
      <c r="HHZ14" s="1"/>
      <c r="HIA14" s="1"/>
      <c r="HIB14" s="1"/>
      <c r="HIC14" s="1"/>
      <c r="HID14" s="1"/>
      <c r="HIE14" s="1"/>
      <c r="HIF14" s="1"/>
      <c r="HIG14" s="1"/>
      <c r="HIH14" s="1"/>
      <c r="HII14" s="1"/>
      <c r="HIJ14" s="1"/>
      <c r="HIK14" s="1"/>
      <c r="HIL14" s="1"/>
      <c r="HIM14" s="1"/>
      <c r="HIN14" s="1"/>
      <c r="HIO14" s="1"/>
      <c r="HIP14" s="1"/>
      <c r="HIQ14" s="1"/>
      <c r="HIR14" s="1"/>
      <c r="HIS14" s="1"/>
      <c r="HIT14" s="1"/>
      <c r="HIU14" s="1"/>
      <c r="HIV14" s="1"/>
      <c r="HIW14" s="1"/>
      <c r="HIX14" s="1"/>
      <c r="HIY14" s="1"/>
      <c r="HIZ14" s="1"/>
      <c r="HJA14" s="1"/>
      <c r="HJB14" s="1"/>
      <c r="HJC14" s="1"/>
      <c r="HJD14" s="1"/>
      <c r="HJE14" s="1"/>
      <c r="HJF14" s="1"/>
      <c r="HJG14" s="1"/>
      <c r="HJH14" s="1"/>
      <c r="HJI14" s="1"/>
      <c r="HJJ14" s="1"/>
      <c r="HJK14" s="1"/>
      <c r="HJL14" s="1"/>
      <c r="HJM14" s="1"/>
      <c r="HJN14" s="1"/>
      <c r="HJO14" s="1"/>
      <c r="HJP14" s="1"/>
      <c r="HJQ14" s="1"/>
      <c r="HJR14" s="1"/>
      <c r="HJS14" s="1"/>
      <c r="HJT14" s="1"/>
      <c r="HJU14" s="1"/>
      <c r="HJV14" s="1"/>
      <c r="HJW14" s="1"/>
      <c r="HJX14" s="1"/>
      <c r="HJY14" s="1"/>
      <c r="HJZ14" s="1"/>
      <c r="HKA14" s="1"/>
      <c r="HKB14" s="1"/>
      <c r="HKC14" s="1"/>
      <c r="HKD14" s="1"/>
      <c r="HKE14" s="1"/>
      <c r="HKF14" s="1"/>
      <c r="HKG14" s="1"/>
      <c r="HKH14" s="1"/>
      <c r="HKI14" s="1"/>
      <c r="HKJ14" s="1"/>
      <c r="HKK14" s="1"/>
      <c r="HKL14" s="1"/>
      <c r="HKM14" s="1"/>
      <c r="HKN14" s="1"/>
      <c r="HKO14" s="1"/>
      <c r="HKP14" s="1"/>
      <c r="HKQ14" s="1"/>
      <c r="HKR14" s="1"/>
      <c r="HKS14" s="1"/>
      <c r="HKT14" s="1"/>
      <c r="HKU14" s="1"/>
      <c r="HKV14" s="1"/>
      <c r="HKW14" s="1"/>
      <c r="HKX14" s="1"/>
      <c r="HKY14" s="1"/>
      <c r="HKZ14" s="1"/>
      <c r="HLA14" s="1"/>
      <c r="HLB14" s="1"/>
      <c r="HLC14" s="1"/>
      <c r="HLD14" s="1"/>
      <c r="HLE14" s="1"/>
      <c r="HLF14" s="1"/>
      <c r="HLG14" s="1"/>
      <c r="HLH14" s="1"/>
      <c r="HLI14" s="1"/>
      <c r="HLJ14" s="1"/>
      <c r="HLK14" s="1"/>
      <c r="HLL14" s="1"/>
      <c r="HLM14" s="1"/>
      <c r="HLN14" s="1"/>
      <c r="HLO14" s="1"/>
      <c r="HLP14" s="1"/>
      <c r="HLQ14" s="1"/>
      <c r="HLR14" s="1"/>
      <c r="HLS14" s="1"/>
      <c r="HLT14" s="1"/>
      <c r="HLU14" s="1"/>
      <c r="HLV14" s="1"/>
      <c r="HLW14" s="1"/>
      <c r="HLX14" s="1"/>
      <c r="HLY14" s="1"/>
      <c r="HLZ14" s="1"/>
      <c r="HMA14" s="1"/>
      <c r="HMB14" s="1"/>
      <c r="HMC14" s="1"/>
      <c r="HMD14" s="1"/>
      <c r="HME14" s="1"/>
      <c r="HMF14" s="1"/>
      <c r="HMG14" s="1"/>
      <c r="HMH14" s="1"/>
      <c r="HMI14" s="1"/>
      <c r="HMJ14" s="1"/>
      <c r="HMK14" s="1"/>
      <c r="HML14" s="1"/>
      <c r="HMM14" s="1"/>
      <c r="HMN14" s="1"/>
      <c r="HMO14" s="1"/>
      <c r="HMP14" s="1"/>
      <c r="HMQ14" s="1"/>
      <c r="HMR14" s="1"/>
      <c r="HMS14" s="1"/>
      <c r="HMT14" s="1"/>
      <c r="HMU14" s="1"/>
      <c r="HMV14" s="1"/>
      <c r="HMW14" s="1"/>
      <c r="HMX14" s="1"/>
      <c r="HMY14" s="1"/>
      <c r="HMZ14" s="1"/>
      <c r="HNA14" s="1"/>
      <c r="HNB14" s="1"/>
      <c r="HNC14" s="1"/>
      <c r="HND14" s="1"/>
      <c r="HNE14" s="1"/>
      <c r="HNF14" s="1"/>
      <c r="HNG14" s="1"/>
      <c r="HNH14" s="1"/>
      <c r="HNI14" s="1"/>
      <c r="HNJ14" s="1"/>
      <c r="HNK14" s="1"/>
      <c r="HNL14" s="1"/>
      <c r="HNM14" s="1"/>
      <c r="HNN14" s="1"/>
      <c r="HNO14" s="1"/>
      <c r="HNP14" s="1"/>
      <c r="HNQ14" s="1"/>
      <c r="HNR14" s="1"/>
      <c r="HNS14" s="1"/>
      <c r="HNT14" s="1"/>
      <c r="HNU14" s="1"/>
      <c r="HNV14" s="1"/>
      <c r="HNW14" s="1"/>
      <c r="HNX14" s="1"/>
      <c r="HNY14" s="1"/>
      <c r="HNZ14" s="1"/>
      <c r="HOA14" s="1"/>
      <c r="HOB14" s="1"/>
      <c r="HOC14" s="1"/>
      <c r="HOD14" s="1"/>
      <c r="HOE14" s="1"/>
      <c r="HOF14" s="1"/>
      <c r="HOG14" s="1"/>
      <c r="HOH14" s="1"/>
      <c r="HOI14" s="1"/>
      <c r="HOJ14" s="1"/>
      <c r="HOK14" s="1"/>
      <c r="HOL14" s="1"/>
      <c r="HOM14" s="1"/>
      <c r="HON14" s="1"/>
      <c r="HOO14" s="1"/>
      <c r="HOP14" s="1"/>
      <c r="HOQ14" s="1"/>
      <c r="HOR14" s="1"/>
      <c r="HOS14" s="1"/>
      <c r="HOT14" s="1"/>
      <c r="HOU14" s="1"/>
      <c r="HOV14" s="1"/>
      <c r="HOW14" s="1"/>
      <c r="HOX14" s="1"/>
      <c r="HOY14" s="1"/>
      <c r="HOZ14" s="1"/>
      <c r="HPA14" s="1"/>
      <c r="HPB14" s="1"/>
      <c r="HPC14" s="1"/>
      <c r="HPD14" s="1"/>
      <c r="HPE14" s="1"/>
      <c r="HPF14" s="1"/>
      <c r="HPG14" s="1"/>
      <c r="HPH14" s="1"/>
      <c r="HPI14" s="1"/>
      <c r="HPJ14" s="1"/>
      <c r="HPK14" s="1"/>
      <c r="HPL14" s="1"/>
      <c r="HPM14" s="1"/>
      <c r="HPN14" s="1"/>
      <c r="HPO14" s="1"/>
      <c r="HPP14" s="1"/>
      <c r="HPQ14" s="1"/>
      <c r="HPR14" s="1"/>
      <c r="HPS14" s="1"/>
      <c r="HPT14" s="1"/>
      <c r="HPU14" s="1"/>
      <c r="HPV14" s="1"/>
      <c r="HPW14" s="1"/>
      <c r="HPX14" s="1"/>
      <c r="HPY14" s="1"/>
      <c r="HPZ14" s="1"/>
      <c r="HQA14" s="1"/>
      <c r="HQB14" s="1"/>
      <c r="HQC14" s="1"/>
      <c r="HQD14" s="1"/>
      <c r="HQE14" s="1"/>
      <c r="HQF14" s="1"/>
      <c r="HQG14" s="1"/>
      <c r="HQH14" s="1"/>
      <c r="HQI14" s="1"/>
      <c r="HQJ14" s="1"/>
      <c r="HQK14" s="1"/>
      <c r="HQL14" s="1"/>
      <c r="HQM14" s="1"/>
      <c r="HQN14" s="1"/>
      <c r="HQO14" s="1"/>
      <c r="HQP14" s="1"/>
      <c r="HQQ14" s="1"/>
      <c r="HQR14" s="1"/>
      <c r="HQS14" s="1"/>
      <c r="HQT14" s="1"/>
      <c r="HQU14" s="1"/>
      <c r="HQV14" s="1"/>
      <c r="HQW14" s="1"/>
      <c r="HQX14" s="1"/>
      <c r="HQY14" s="1"/>
      <c r="HQZ14" s="1"/>
      <c r="HRA14" s="1"/>
      <c r="HRB14" s="1"/>
      <c r="HRC14" s="1"/>
      <c r="HRD14" s="1"/>
      <c r="HRE14" s="1"/>
      <c r="HRF14" s="1"/>
      <c r="HRG14" s="1"/>
      <c r="HRH14" s="1"/>
      <c r="HRI14" s="1"/>
      <c r="HRJ14" s="1"/>
      <c r="HRK14" s="1"/>
      <c r="HRL14" s="1"/>
      <c r="HRM14" s="1"/>
      <c r="HRN14" s="1"/>
      <c r="HRO14" s="1"/>
      <c r="HRP14" s="1"/>
      <c r="HRQ14" s="1"/>
      <c r="HRR14" s="1"/>
      <c r="HRS14" s="1"/>
      <c r="HRT14" s="1"/>
      <c r="HRU14" s="1"/>
      <c r="HRV14" s="1"/>
      <c r="HRW14" s="1"/>
      <c r="HRX14" s="1"/>
      <c r="HRY14" s="1"/>
      <c r="HRZ14" s="1"/>
      <c r="HSA14" s="1"/>
      <c r="HSB14" s="1"/>
      <c r="HSC14" s="1"/>
      <c r="HSD14" s="1"/>
      <c r="HSE14" s="1"/>
      <c r="HSF14" s="1"/>
      <c r="HSG14" s="1"/>
      <c r="HSH14" s="1"/>
      <c r="HSI14" s="1"/>
      <c r="HSJ14" s="1"/>
      <c r="HSK14" s="1"/>
      <c r="HSL14" s="1"/>
      <c r="HSM14" s="1"/>
      <c r="HSN14" s="1"/>
      <c r="HSO14" s="1"/>
      <c r="HSP14" s="1"/>
      <c r="HSQ14" s="1"/>
      <c r="HSR14" s="1"/>
      <c r="HSS14" s="1"/>
      <c r="HST14" s="1"/>
      <c r="HSU14" s="1"/>
      <c r="HSV14" s="1"/>
      <c r="HSW14" s="1"/>
      <c r="HSX14" s="1"/>
      <c r="HSY14" s="1"/>
      <c r="HSZ14" s="1"/>
      <c r="HTA14" s="1"/>
      <c r="HTB14" s="1"/>
      <c r="HTC14" s="1"/>
      <c r="HTD14" s="1"/>
      <c r="HTE14" s="1"/>
      <c r="HTF14" s="1"/>
      <c r="HTG14" s="1"/>
      <c r="HTH14" s="1"/>
      <c r="HTI14" s="1"/>
      <c r="HTJ14" s="1"/>
      <c r="HTK14" s="1"/>
      <c r="HTL14" s="1"/>
      <c r="HTM14" s="1"/>
      <c r="HTN14" s="1"/>
      <c r="HTO14" s="1"/>
      <c r="HTP14" s="1"/>
      <c r="HTQ14" s="1"/>
      <c r="HTR14" s="1"/>
      <c r="HTS14" s="1"/>
      <c r="HTT14" s="1"/>
      <c r="HTU14" s="1"/>
      <c r="HTV14" s="1"/>
      <c r="HTW14" s="1"/>
      <c r="HTX14" s="1"/>
      <c r="HTY14" s="1"/>
      <c r="HTZ14" s="1"/>
      <c r="HUA14" s="1"/>
      <c r="HUB14" s="1"/>
      <c r="HUC14" s="1"/>
      <c r="HUD14" s="1"/>
      <c r="HUE14" s="1"/>
      <c r="HUF14" s="1"/>
      <c r="HUG14" s="1"/>
      <c r="HUH14" s="1"/>
      <c r="HUI14" s="1"/>
      <c r="HUJ14" s="1"/>
      <c r="HUK14" s="1"/>
      <c r="HUL14" s="1"/>
      <c r="HUM14" s="1"/>
      <c r="HUN14" s="1"/>
      <c r="HUO14" s="1"/>
      <c r="HUP14" s="1"/>
      <c r="HUQ14" s="1"/>
      <c r="HUR14" s="1"/>
      <c r="HUS14" s="1"/>
      <c r="HUT14" s="1"/>
      <c r="HUU14" s="1"/>
      <c r="HUV14" s="1"/>
      <c r="HUW14" s="1"/>
      <c r="HUX14" s="1"/>
      <c r="HUY14" s="1"/>
      <c r="HUZ14" s="1"/>
      <c r="HVA14" s="1"/>
      <c r="HVB14" s="1"/>
      <c r="HVC14" s="1"/>
      <c r="HVD14" s="1"/>
      <c r="HVE14" s="1"/>
      <c r="HVF14" s="1"/>
      <c r="HVG14" s="1"/>
      <c r="HVH14" s="1"/>
      <c r="HVI14" s="1"/>
      <c r="HVJ14" s="1"/>
      <c r="HVK14" s="1"/>
      <c r="HVL14" s="1"/>
      <c r="HVM14" s="1"/>
      <c r="HVN14" s="1"/>
      <c r="HVO14" s="1"/>
      <c r="HVP14" s="1"/>
      <c r="HVQ14" s="1"/>
      <c r="HVR14" s="1"/>
      <c r="HVS14" s="1"/>
      <c r="HVT14" s="1"/>
      <c r="HVU14" s="1"/>
      <c r="HVV14" s="1"/>
      <c r="HVW14" s="1"/>
      <c r="HVX14" s="1"/>
      <c r="HVY14" s="1"/>
      <c r="HVZ14" s="1"/>
      <c r="HWA14" s="1"/>
      <c r="HWB14" s="1"/>
      <c r="HWC14" s="1"/>
      <c r="HWD14" s="1"/>
      <c r="HWE14" s="1"/>
      <c r="HWF14" s="1"/>
      <c r="HWG14" s="1"/>
      <c r="HWH14" s="1"/>
      <c r="HWI14" s="1"/>
      <c r="HWJ14" s="1"/>
      <c r="HWK14" s="1"/>
      <c r="HWL14" s="1"/>
      <c r="HWM14" s="1"/>
      <c r="HWN14" s="1"/>
      <c r="HWO14" s="1"/>
      <c r="HWP14" s="1"/>
      <c r="HWQ14" s="1"/>
      <c r="HWR14" s="1"/>
      <c r="HWS14" s="1"/>
      <c r="HWT14" s="1"/>
      <c r="HWU14" s="1"/>
      <c r="HWV14" s="1"/>
      <c r="HWW14" s="1"/>
      <c r="HWX14" s="1"/>
      <c r="HWY14" s="1"/>
      <c r="HWZ14" s="1"/>
      <c r="HXA14" s="1"/>
      <c r="HXB14" s="1"/>
      <c r="HXC14" s="1"/>
      <c r="HXD14" s="1"/>
      <c r="HXE14" s="1"/>
      <c r="HXF14" s="1"/>
      <c r="HXG14" s="1"/>
      <c r="HXH14" s="1"/>
      <c r="HXI14" s="1"/>
      <c r="HXJ14" s="1"/>
      <c r="HXK14" s="1"/>
      <c r="HXL14" s="1"/>
      <c r="HXM14" s="1"/>
      <c r="HXN14" s="1"/>
      <c r="HXO14" s="1"/>
      <c r="HXP14" s="1"/>
      <c r="HXQ14" s="1"/>
      <c r="HXR14" s="1"/>
      <c r="HXS14" s="1"/>
      <c r="HXT14" s="1"/>
      <c r="HXU14" s="1"/>
      <c r="HXV14" s="1"/>
      <c r="HXW14" s="1"/>
      <c r="HXX14" s="1"/>
      <c r="HXY14" s="1"/>
      <c r="HXZ14" s="1"/>
      <c r="HYA14" s="1"/>
      <c r="HYB14" s="1"/>
      <c r="HYC14" s="1"/>
      <c r="HYD14" s="1"/>
      <c r="HYE14" s="1"/>
      <c r="HYF14" s="1"/>
      <c r="HYG14" s="1"/>
      <c r="HYH14" s="1"/>
      <c r="HYI14" s="1"/>
      <c r="HYJ14" s="1"/>
      <c r="HYK14" s="1"/>
      <c r="HYL14" s="1"/>
      <c r="HYM14" s="1"/>
      <c r="HYN14" s="1"/>
      <c r="HYO14" s="1"/>
      <c r="HYP14" s="1"/>
      <c r="HYQ14" s="1"/>
      <c r="HYR14" s="1"/>
      <c r="HYS14" s="1"/>
      <c r="HYT14" s="1"/>
      <c r="HYU14" s="1"/>
      <c r="HYV14" s="1"/>
      <c r="HYW14" s="1"/>
      <c r="HYX14" s="1"/>
      <c r="HYY14" s="1"/>
      <c r="HYZ14" s="1"/>
      <c r="HZA14" s="1"/>
      <c r="HZB14" s="1"/>
      <c r="HZC14" s="1"/>
      <c r="HZD14" s="1"/>
      <c r="HZE14" s="1"/>
      <c r="HZF14" s="1"/>
      <c r="HZG14" s="1"/>
      <c r="HZH14" s="1"/>
      <c r="HZI14" s="1"/>
      <c r="HZJ14" s="1"/>
      <c r="HZK14" s="1"/>
      <c r="HZL14" s="1"/>
      <c r="HZM14" s="1"/>
      <c r="HZN14" s="1"/>
      <c r="HZO14" s="1"/>
      <c r="HZP14" s="1"/>
      <c r="HZQ14" s="1"/>
      <c r="HZR14" s="1"/>
      <c r="HZS14" s="1"/>
      <c r="HZT14" s="1"/>
      <c r="HZU14" s="1"/>
      <c r="HZV14" s="1"/>
      <c r="HZW14" s="1"/>
      <c r="HZX14" s="1"/>
      <c r="HZY14" s="1"/>
      <c r="HZZ14" s="1"/>
      <c r="IAA14" s="1"/>
      <c r="IAB14" s="1"/>
      <c r="IAC14" s="1"/>
      <c r="IAD14" s="1"/>
      <c r="IAE14" s="1"/>
      <c r="IAF14" s="1"/>
      <c r="IAG14" s="1"/>
      <c r="IAH14" s="1"/>
      <c r="IAI14" s="1"/>
      <c r="IAJ14" s="1"/>
      <c r="IAK14" s="1"/>
      <c r="IAL14" s="1"/>
      <c r="IAM14" s="1"/>
      <c r="IAN14" s="1"/>
      <c r="IAO14" s="1"/>
      <c r="IAP14" s="1"/>
      <c r="IAQ14" s="1"/>
      <c r="IAR14" s="1"/>
      <c r="IAS14" s="1"/>
      <c r="IAT14" s="1"/>
      <c r="IAU14" s="1"/>
      <c r="IAV14" s="1"/>
      <c r="IAW14" s="1"/>
      <c r="IAX14" s="1"/>
      <c r="IAY14" s="1"/>
      <c r="IAZ14" s="1"/>
      <c r="IBA14" s="1"/>
      <c r="IBB14" s="1"/>
      <c r="IBC14" s="1"/>
      <c r="IBD14" s="1"/>
      <c r="IBE14" s="1"/>
      <c r="IBF14" s="1"/>
      <c r="IBG14" s="1"/>
      <c r="IBH14" s="1"/>
      <c r="IBI14" s="1"/>
      <c r="IBJ14" s="1"/>
      <c r="IBK14" s="1"/>
      <c r="IBL14" s="1"/>
      <c r="IBM14" s="1"/>
      <c r="IBN14" s="1"/>
      <c r="IBO14" s="1"/>
      <c r="IBP14" s="1"/>
      <c r="IBQ14" s="1"/>
      <c r="IBR14" s="1"/>
      <c r="IBS14" s="1"/>
      <c r="IBT14" s="1"/>
      <c r="IBU14" s="1"/>
      <c r="IBV14" s="1"/>
      <c r="IBW14" s="1"/>
      <c r="IBX14" s="1"/>
      <c r="IBY14" s="1"/>
      <c r="IBZ14" s="1"/>
      <c r="ICA14" s="1"/>
      <c r="ICB14" s="1"/>
      <c r="ICC14" s="1"/>
      <c r="ICD14" s="1"/>
      <c r="ICE14" s="1"/>
      <c r="ICF14" s="1"/>
      <c r="ICG14" s="1"/>
      <c r="ICH14" s="1"/>
      <c r="ICI14" s="1"/>
      <c r="ICJ14" s="1"/>
      <c r="ICK14" s="1"/>
      <c r="ICL14" s="1"/>
      <c r="ICM14" s="1"/>
      <c r="ICN14" s="1"/>
      <c r="ICO14" s="1"/>
      <c r="ICP14" s="1"/>
      <c r="ICQ14" s="1"/>
      <c r="ICR14" s="1"/>
      <c r="ICS14" s="1"/>
      <c r="ICT14" s="1"/>
      <c r="ICU14" s="1"/>
      <c r="ICV14" s="1"/>
      <c r="ICW14" s="1"/>
      <c r="ICX14" s="1"/>
      <c r="ICY14" s="1"/>
      <c r="ICZ14" s="1"/>
      <c r="IDA14" s="1"/>
      <c r="IDB14" s="1"/>
      <c r="IDC14" s="1"/>
      <c r="IDD14" s="1"/>
      <c r="IDE14" s="1"/>
      <c r="IDF14" s="1"/>
      <c r="IDG14" s="1"/>
      <c r="IDH14" s="1"/>
      <c r="IDI14" s="1"/>
      <c r="IDJ14" s="1"/>
      <c r="IDK14" s="1"/>
      <c r="IDL14" s="1"/>
      <c r="IDM14" s="1"/>
      <c r="IDN14" s="1"/>
      <c r="IDO14" s="1"/>
      <c r="IDP14" s="1"/>
      <c r="IDQ14" s="1"/>
      <c r="IDR14" s="1"/>
      <c r="IDS14" s="1"/>
      <c r="IDT14" s="1"/>
      <c r="IDU14" s="1"/>
      <c r="IDV14" s="1"/>
      <c r="IDW14" s="1"/>
      <c r="IDX14" s="1"/>
      <c r="IDY14" s="1"/>
      <c r="IDZ14" s="1"/>
      <c r="IEA14" s="1"/>
      <c r="IEB14" s="1"/>
      <c r="IEC14" s="1"/>
      <c r="IED14" s="1"/>
      <c r="IEE14" s="1"/>
      <c r="IEF14" s="1"/>
      <c r="IEG14" s="1"/>
      <c r="IEH14" s="1"/>
      <c r="IEI14" s="1"/>
      <c r="IEJ14" s="1"/>
      <c r="IEK14" s="1"/>
      <c r="IEL14" s="1"/>
      <c r="IEM14" s="1"/>
      <c r="IEN14" s="1"/>
      <c r="IEO14" s="1"/>
      <c r="IEP14" s="1"/>
      <c r="IEQ14" s="1"/>
      <c r="IER14" s="1"/>
      <c r="IES14" s="1"/>
      <c r="IET14" s="1"/>
      <c r="IEU14" s="1"/>
      <c r="IEV14" s="1"/>
      <c r="IEW14" s="1"/>
      <c r="IEX14" s="1"/>
      <c r="IEY14" s="1"/>
      <c r="IEZ14" s="1"/>
      <c r="IFA14" s="1"/>
      <c r="IFB14" s="1"/>
      <c r="IFC14" s="1"/>
      <c r="IFD14" s="1"/>
      <c r="IFE14" s="1"/>
      <c r="IFF14" s="1"/>
      <c r="IFG14" s="1"/>
      <c r="IFH14" s="1"/>
      <c r="IFI14" s="1"/>
      <c r="IFJ14" s="1"/>
      <c r="IFK14" s="1"/>
      <c r="IFL14" s="1"/>
      <c r="IFM14" s="1"/>
      <c r="IFN14" s="1"/>
      <c r="IFO14" s="1"/>
      <c r="IFP14" s="1"/>
      <c r="IFQ14" s="1"/>
      <c r="IFR14" s="1"/>
      <c r="IFS14" s="1"/>
      <c r="IFT14" s="1"/>
      <c r="IFU14" s="1"/>
      <c r="IFV14" s="1"/>
      <c r="IFW14" s="1"/>
      <c r="IFX14" s="1"/>
      <c r="IFY14" s="1"/>
      <c r="IFZ14" s="1"/>
      <c r="IGA14" s="1"/>
      <c r="IGB14" s="1"/>
      <c r="IGC14" s="1"/>
      <c r="IGD14" s="1"/>
      <c r="IGE14" s="1"/>
      <c r="IGF14" s="1"/>
      <c r="IGG14" s="1"/>
      <c r="IGH14" s="1"/>
      <c r="IGI14" s="1"/>
      <c r="IGJ14" s="1"/>
      <c r="IGK14" s="1"/>
      <c r="IGL14" s="1"/>
      <c r="IGM14" s="1"/>
      <c r="IGN14" s="1"/>
      <c r="IGO14" s="1"/>
      <c r="IGP14" s="1"/>
      <c r="IGQ14" s="1"/>
      <c r="IGR14" s="1"/>
      <c r="IGS14" s="1"/>
      <c r="IGT14" s="1"/>
      <c r="IGU14" s="1"/>
      <c r="IGV14" s="1"/>
      <c r="IGW14" s="1"/>
      <c r="IGX14" s="1"/>
      <c r="IGY14" s="1"/>
      <c r="IGZ14" s="1"/>
      <c r="IHA14" s="1"/>
      <c r="IHB14" s="1"/>
      <c r="IHC14" s="1"/>
      <c r="IHD14" s="1"/>
      <c r="IHE14" s="1"/>
      <c r="IHF14" s="1"/>
      <c r="IHG14" s="1"/>
      <c r="IHH14" s="1"/>
      <c r="IHI14" s="1"/>
      <c r="IHJ14" s="1"/>
      <c r="IHK14" s="1"/>
      <c r="IHL14" s="1"/>
      <c r="IHM14" s="1"/>
      <c r="IHN14" s="1"/>
      <c r="IHO14" s="1"/>
      <c r="IHP14" s="1"/>
      <c r="IHQ14" s="1"/>
      <c r="IHR14" s="1"/>
      <c r="IHS14" s="1"/>
      <c r="IHT14" s="1"/>
      <c r="IHU14" s="1"/>
      <c r="IHV14" s="1"/>
      <c r="IHW14" s="1"/>
      <c r="IHX14" s="1"/>
      <c r="IHY14" s="1"/>
      <c r="IHZ14" s="1"/>
      <c r="IIA14" s="1"/>
      <c r="IIB14" s="1"/>
      <c r="IIC14" s="1"/>
      <c r="IID14" s="1"/>
      <c r="IIE14" s="1"/>
      <c r="IIF14" s="1"/>
      <c r="IIG14" s="1"/>
      <c r="IIH14" s="1"/>
      <c r="III14" s="1"/>
      <c r="IIJ14" s="1"/>
      <c r="IIK14" s="1"/>
      <c r="IIL14" s="1"/>
      <c r="IIM14" s="1"/>
      <c r="IIN14" s="1"/>
      <c r="IIO14" s="1"/>
      <c r="IIP14" s="1"/>
      <c r="IIQ14" s="1"/>
      <c r="IIR14" s="1"/>
      <c r="IIS14" s="1"/>
      <c r="IIT14" s="1"/>
      <c r="IIU14" s="1"/>
      <c r="IIV14" s="1"/>
      <c r="IIW14" s="1"/>
      <c r="IIX14" s="1"/>
      <c r="IIY14" s="1"/>
      <c r="IIZ14" s="1"/>
      <c r="IJA14" s="1"/>
      <c r="IJB14" s="1"/>
      <c r="IJC14" s="1"/>
      <c r="IJD14" s="1"/>
      <c r="IJE14" s="1"/>
      <c r="IJF14" s="1"/>
      <c r="IJG14" s="1"/>
      <c r="IJH14" s="1"/>
      <c r="IJI14" s="1"/>
      <c r="IJJ14" s="1"/>
      <c r="IJK14" s="1"/>
      <c r="IJL14" s="1"/>
      <c r="IJM14" s="1"/>
      <c r="IJN14" s="1"/>
      <c r="IJO14" s="1"/>
      <c r="IJP14" s="1"/>
      <c r="IJQ14" s="1"/>
      <c r="IJR14" s="1"/>
      <c r="IJS14" s="1"/>
      <c r="IJT14" s="1"/>
      <c r="IJU14" s="1"/>
      <c r="IJV14" s="1"/>
      <c r="IJW14" s="1"/>
      <c r="IJX14" s="1"/>
      <c r="IJY14" s="1"/>
      <c r="IJZ14" s="1"/>
      <c r="IKA14" s="1"/>
      <c r="IKB14" s="1"/>
      <c r="IKC14" s="1"/>
      <c r="IKD14" s="1"/>
      <c r="IKE14" s="1"/>
      <c r="IKF14" s="1"/>
      <c r="IKG14" s="1"/>
      <c r="IKH14" s="1"/>
      <c r="IKI14" s="1"/>
      <c r="IKJ14" s="1"/>
      <c r="IKK14" s="1"/>
      <c r="IKL14" s="1"/>
      <c r="IKM14" s="1"/>
      <c r="IKN14" s="1"/>
      <c r="IKO14" s="1"/>
      <c r="IKP14" s="1"/>
      <c r="IKQ14" s="1"/>
      <c r="IKR14" s="1"/>
      <c r="IKS14" s="1"/>
      <c r="IKT14" s="1"/>
      <c r="IKU14" s="1"/>
      <c r="IKV14" s="1"/>
      <c r="IKW14" s="1"/>
      <c r="IKX14" s="1"/>
      <c r="IKY14" s="1"/>
      <c r="IKZ14" s="1"/>
      <c r="ILA14" s="1"/>
      <c r="ILB14" s="1"/>
      <c r="ILC14" s="1"/>
      <c r="ILD14" s="1"/>
      <c r="ILE14" s="1"/>
      <c r="ILF14" s="1"/>
      <c r="ILG14" s="1"/>
      <c r="ILH14" s="1"/>
      <c r="ILI14" s="1"/>
      <c r="ILJ14" s="1"/>
      <c r="ILK14" s="1"/>
      <c r="ILL14" s="1"/>
      <c r="ILM14" s="1"/>
      <c r="ILN14" s="1"/>
      <c r="ILO14" s="1"/>
      <c r="ILP14" s="1"/>
      <c r="ILQ14" s="1"/>
      <c r="ILR14" s="1"/>
      <c r="ILS14" s="1"/>
      <c r="ILT14" s="1"/>
      <c r="ILU14" s="1"/>
      <c r="ILV14" s="1"/>
      <c r="ILW14" s="1"/>
      <c r="ILX14" s="1"/>
      <c r="ILY14" s="1"/>
      <c r="ILZ14" s="1"/>
      <c r="IMA14" s="1"/>
      <c r="IMB14" s="1"/>
      <c r="IMC14" s="1"/>
      <c r="IMD14" s="1"/>
      <c r="IME14" s="1"/>
      <c r="IMF14" s="1"/>
      <c r="IMG14" s="1"/>
      <c r="IMH14" s="1"/>
      <c r="IMI14" s="1"/>
      <c r="IMJ14" s="1"/>
      <c r="IMK14" s="1"/>
      <c r="IML14" s="1"/>
      <c r="IMM14" s="1"/>
      <c r="IMN14" s="1"/>
      <c r="IMO14" s="1"/>
      <c r="IMP14" s="1"/>
      <c r="IMQ14" s="1"/>
      <c r="IMR14" s="1"/>
      <c r="IMS14" s="1"/>
      <c r="IMT14" s="1"/>
      <c r="IMU14" s="1"/>
      <c r="IMV14" s="1"/>
      <c r="IMW14" s="1"/>
      <c r="IMX14" s="1"/>
      <c r="IMY14" s="1"/>
      <c r="IMZ14" s="1"/>
      <c r="INA14" s="1"/>
      <c r="INB14" s="1"/>
      <c r="INC14" s="1"/>
      <c r="IND14" s="1"/>
      <c r="INE14" s="1"/>
      <c r="INF14" s="1"/>
      <c r="ING14" s="1"/>
      <c r="INH14" s="1"/>
      <c r="INI14" s="1"/>
      <c r="INJ14" s="1"/>
      <c r="INK14" s="1"/>
      <c r="INL14" s="1"/>
      <c r="INM14" s="1"/>
      <c r="INN14" s="1"/>
      <c r="INO14" s="1"/>
      <c r="INP14" s="1"/>
      <c r="INQ14" s="1"/>
      <c r="INR14" s="1"/>
      <c r="INS14" s="1"/>
      <c r="INT14" s="1"/>
      <c r="INU14" s="1"/>
      <c r="INV14" s="1"/>
      <c r="INW14" s="1"/>
      <c r="INX14" s="1"/>
      <c r="INY14" s="1"/>
      <c r="INZ14" s="1"/>
      <c r="IOA14" s="1"/>
      <c r="IOB14" s="1"/>
      <c r="IOC14" s="1"/>
      <c r="IOD14" s="1"/>
      <c r="IOE14" s="1"/>
      <c r="IOF14" s="1"/>
      <c r="IOG14" s="1"/>
      <c r="IOH14" s="1"/>
      <c r="IOI14" s="1"/>
      <c r="IOJ14" s="1"/>
      <c r="IOK14" s="1"/>
      <c r="IOL14" s="1"/>
      <c r="IOM14" s="1"/>
      <c r="ION14" s="1"/>
      <c r="IOO14" s="1"/>
      <c r="IOP14" s="1"/>
      <c r="IOQ14" s="1"/>
      <c r="IOR14" s="1"/>
      <c r="IOS14" s="1"/>
      <c r="IOT14" s="1"/>
      <c r="IOU14" s="1"/>
      <c r="IOV14" s="1"/>
      <c r="IOW14" s="1"/>
      <c r="IOX14" s="1"/>
      <c r="IOY14" s="1"/>
      <c r="IOZ14" s="1"/>
      <c r="IPA14" s="1"/>
      <c r="IPB14" s="1"/>
      <c r="IPC14" s="1"/>
      <c r="IPD14" s="1"/>
      <c r="IPE14" s="1"/>
      <c r="IPF14" s="1"/>
      <c r="IPG14" s="1"/>
      <c r="IPH14" s="1"/>
      <c r="IPI14" s="1"/>
      <c r="IPJ14" s="1"/>
      <c r="IPK14" s="1"/>
      <c r="IPL14" s="1"/>
      <c r="IPM14" s="1"/>
      <c r="IPN14" s="1"/>
      <c r="IPO14" s="1"/>
      <c r="IPP14" s="1"/>
      <c r="IPQ14" s="1"/>
      <c r="IPR14" s="1"/>
      <c r="IPS14" s="1"/>
      <c r="IPT14" s="1"/>
      <c r="IPU14" s="1"/>
      <c r="IPV14" s="1"/>
      <c r="IPW14" s="1"/>
      <c r="IPX14" s="1"/>
      <c r="IPY14" s="1"/>
      <c r="IPZ14" s="1"/>
      <c r="IQA14" s="1"/>
      <c r="IQB14" s="1"/>
      <c r="IQC14" s="1"/>
      <c r="IQD14" s="1"/>
      <c r="IQE14" s="1"/>
      <c r="IQF14" s="1"/>
      <c r="IQG14" s="1"/>
      <c r="IQH14" s="1"/>
      <c r="IQI14" s="1"/>
      <c r="IQJ14" s="1"/>
      <c r="IQK14" s="1"/>
      <c r="IQL14" s="1"/>
      <c r="IQM14" s="1"/>
      <c r="IQN14" s="1"/>
      <c r="IQO14" s="1"/>
      <c r="IQP14" s="1"/>
      <c r="IQQ14" s="1"/>
      <c r="IQR14" s="1"/>
      <c r="IQS14" s="1"/>
      <c r="IQT14" s="1"/>
      <c r="IQU14" s="1"/>
      <c r="IQV14" s="1"/>
      <c r="IQW14" s="1"/>
      <c r="IQX14" s="1"/>
      <c r="IQY14" s="1"/>
      <c r="IQZ14" s="1"/>
      <c r="IRA14" s="1"/>
      <c r="IRB14" s="1"/>
      <c r="IRC14" s="1"/>
      <c r="IRD14" s="1"/>
      <c r="IRE14" s="1"/>
      <c r="IRF14" s="1"/>
      <c r="IRG14" s="1"/>
      <c r="IRH14" s="1"/>
      <c r="IRI14" s="1"/>
      <c r="IRJ14" s="1"/>
      <c r="IRK14" s="1"/>
      <c r="IRL14" s="1"/>
      <c r="IRM14" s="1"/>
      <c r="IRN14" s="1"/>
      <c r="IRO14" s="1"/>
      <c r="IRP14" s="1"/>
      <c r="IRQ14" s="1"/>
      <c r="IRR14" s="1"/>
      <c r="IRS14" s="1"/>
      <c r="IRT14" s="1"/>
      <c r="IRU14" s="1"/>
      <c r="IRV14" s="1"/>
      <c r="IRW14" s="1"/>
      <c r="IRX14" s="1"/>
      <c r="IRY14" s="1"/>
      <c r="IRZ14" s="1"/>
      <c r="ISA14" s="1"/>
      <c r="ISB14" s="1"/>
      <c r="ISC14" s="1"/>
      <c r="ISD14" s="1"/>
      <c r="ISE14" s="1"/>
      <c r="ISF14" s="1"/>
      <c r="ISG14" s="1"/>
      <c r="ISH14" s="1"/>
      <c r="ISI14" s="1"/>
      <c r="ISJ14" s="1"/>
      <c r="ISK14" s="1"/>
      <c r="ISL14" s="1"/>
      <c r="ISM14" s="1"/>
      <c r="ISN14" s="1"/>
      <c r="ISO14" s="1"/>
      <c r="ISP14" s="1"/>
      <c r="ISQ14" s="1"/>
      <c r="ISR14" s="1"/>
      <c r="ISS14" s="1"/>
      <c r="IST14" s="1"/>
      <c r="ISU14" s="1"/>
      <c r="ISV14" s="1"/>
      <c r="ISW14" s="1"/>
      <c r="ISX14" s="1"/>
      <c r="ISY14" s="1"/>
      <c r="ISZ14" s="1"/>
      <c r="ITA14" s="1"/>
      <c r="ITB14" s="1"/>
      <c r="ITC14" s="1"/>
      <c r="ITD14" s="1"/>
      <c r="ITE14" s="1"/>
      <c r="ITF14" s="1"/>
      <c r="ITG14" s="1"/>
      <c r="ITH14" s="1"/>
      <c r="ITI14" s="1"/>
      <c r="ITJ14" s="1"/>
      <c r="ITK14" s="1"/>
      <c r="ITL14" s="1"/>
      <c r="ITM14" s="1"/>
      <c r="ITN14" s="1"/>
      <c r="ITO14" s="1"/>
      <c r="ITP14" s="1"/>
      <c r="ITQ14" s="1"/>
      <c r="ITR14" s="1"/>
      <c r="ITS14" s="1"/>
      <c r="ITT14" s="1"/>
      <c r="ITU14" s="1"/>
      <c r="ITV14" s="1"/>
      <c r="ITW14" s="1"/>
      <c r="ITX14" s="1"/>
      <c r="ITY14" s="1"/>
      <c r="ITZ14" s="1"/>
      <c r="IUA14" s="1"/>
      <c r="IUB14" s="1"/>
      <c r="IUC14" s="1"/>
      <c r="IUD14" s="1"/>
      <c r="IUE14" s="1"/>
      <c r="IUF14" s="1"/>
      <c r="IUG14" s="1"/>
      <c r="IUH14" s="1"/>
      <c r="IUI14" s="1"/>
      <c r="IUJ14" s="1"/>
      <c r="IUK14" s="1"/>
      <c r="IUL14" s="1"/>
      <c r="IUM14" s="1"/>
      <c r="IUN14" s="1"/>
      <c r="IUO14" s="1"/>
      <c r="IUP14" s="1"/>
      <c r="IUQ14" s="1"/>
      <c r="IUR14" s="1"/>
      <c r="IUS14" s="1"/>
      <c r="IUT14" s="1"/>
      <c r="IUU14" s="1"/>
      <c r="IUV14" s="1"/>
      <c r="IUW14" s="1"/>
      <c r="IUX14" s="1"/>
      <c r="IUY14" s="1"/>
      <c r="IUZ14" s="1"/>
      <c r="IVA14" s="1"/>
      <c r="IVB14" s="1"/>
      <c r="IVC14" s="1"/>
      <c r="IVD14" s="1"/>
      <c r="IVE14" s="1"/>
      <c r="IVF14" s="1"/>
      <c r="IVG14" s="1"/>
      <c r="IVH14" s="1"/>
      <c r="IVI14" s="1"/>
      <c r="IVJ14" s="1"/>
      <c r="IVK14" s="1"/>
      <c r="IVL14" s="1"/>
      <c r="IVM14" s="1"/>
      <c r="IVN14" s="1"/>
      <c r="IVO14" s="1"/>
      <c r="IVP14" s="1"/>
      <c r="IVQ14" s="1"/>
      <c r="IVR14" s="1"/>
      <c r="IVS14" s="1"/>
      <c r="IVT14" s="1"/>
      <c r="IVU14" s="1"/>
      <c r="IVV14" s="1"/>
      <c r="IVW14" s="1"/>
      <c r="IVX14" s="1"/>
      <c r="IVY14" s="1"/>
      <c r="IVZ14" s="1"/>
      <c r="IWA14" s="1"/>
      <c r="IWB14" s="1"/>
      <c r="IWC14" s="1"/>
      <c r="IWD14" s="1"/>
      <c r="IWE14" s="1"/>
      <c r="IWF14" s="1"/>
      <c r="IWG14" s="1"/>
      <c r="IWH14" s="1"/>
      <c r="IWI14" s="1"/>
      <c r="IWJ14" s="1"/>
      <c r="IWK14" s="1"/>
      <c r="IWL14" s="1"/>
      <c r="IWM14" s="1"/>
      <c r="IWN14" s="1"/>
      <c r="IWO14" s="1"/>
      <c r="IWP14" s="1"/>
      <c r="IWQ14" s="1"/>
      <c r="IWR14" s="1"/>
      <c r="IWS14" s="1"/>
      <c r="IWT14" s="1"/>
      <c r="IWU14" s="1"/>
      <c r="IWV14" s="1"/>
      <c r="IWW14" s="1"/>
      <c r="IWX14" s="1"/>
      <c r="IWY14" s="1"/>
      <c r="IWZ14" s="1"/>
      <c r="IXA14" s="1"/>
      <c r="IXB14" s="1"/>
      <c r="IXC14" s="1"/>
      <c r="IXD14" s="1"/>
      <c r="IXE14" s="1"/>
      <c r="IXF14" s="1"/>
      <c r="IXG14" s="1"/>
      <c r="IXH14" s="1"/>
      <c r="IXI14" s="1"/>
      <c r="IXJ14" s="1"/>
      <c r="IXK14" s="1"/>
      <c r="IXL14" s="1"/>
      <c r="IXM14" s="1"/>
      <c r="IXN14" s="1"/>
      <c r="IXO14" s="1"/>
      <c r="IXP14" s="1"/>
      <c r="IXQ14" s="1"/>
      <c r="IXR14" s="1"/>
      <c r="IXS14" s="1"/>
      <c r="IXT14" s="1"/>
      <c r="IXU14" s="1"/>
      <c r="IXV14" s="1"/>
      <c r="IXW14" s="1"/>
      <c r="IXX14" s="1"/>
      <c r="IXY14" s="1"/>
      <c r="IXZ14" s="1"/>
      <c r="IYA14" s="1"/>
      <c r="IYB14" s="1"/>
      <c r="IYC14" s="1"/>
      <c r="IYD14" s="1"/>
      <c r="IYE14" s="1"/>
      <c r="IYF14" s="1"/>
      <c r="IYG14" s="1"/>
      <c r="IYH14" s="1"/>
      <c r="IYI14" s="1"/>
      <c r="IYJ14" s="1"/>
      <c r="IYK14" s="1"/>
      <c r="IYL14" s="1"/>
      <c r="IYM14" s="1"/>
      <c r="IYN14" s="1"/>
      <c r="IYO14" s="1"/>
      <c r="IYP14" s="1"/>
      <c r="IYQ14" s="1"/>
      <c r="IYR14" s="1"/>
      <c r="IYS14" s="1"/>
      <c r="IYT14" s="1"/>
      <c r="IYU14" s="1"/>
      <c r="IYV14" s="1"/>
      <c r="IYW14" s="1"/>
      <c r="IYX14" s="1"/>
      <c r="IYY14" s="1"/>
      <c r="IYZ14" s="1"/>
      <c r="IZA14" s="1"/>
      <c r="IZB14" s="1"/>
      <c r="IZC14" s="1"/>
      <c r="IZD14" s="1"/>
      <c r="IZE14" s="1"/>
      <c r="IZF14" s="1"/>
      <c r="IZG14" s="1"/>
      <c r="IZH14" s="1"/>
      <c r="IZI14" s="1"/>
      <c r="IZJ14" s="1"/>
      <c r="IZK14" s="1"/>
      <c r="IZL14" s="1"/>
      <c r="IZM14" s="1"/>
      <c r="IZN14" s="1"/>
      <c r="IZO14" s="1"/>
      <c r="IZP14" s="1"/>
      <c r="IZQ14" s="1"/>
      <c r="IZR14" s="1"/>
      <c r="IZS14" s="1"/>
      <c r="IZT14" s="1"/>
      <c r="IZU14" s="1"/>
      <c r="IZV14" s="1"/>
      <c r="IZW14" s="1"/>
      <c r="IZX14" s="1"/>
      <c r="IZY14" s="1"/>
      <c r="IZZ14" s="1"/>
      <c r="JAA14" s="1"/>
      <c r="JAB14" s="1"/>
      <c r="JAC14" s="1"/>
      <c r="JAD14" s="1"/>
      <c r="JAE14" s="1"/>
      <c r="JAF14" s="1"/>
      <c r="JAG14" s="1"/>
      <c r="JAH14" s="1"/>
      <c r="JAI14" s="1"/>
      <c r="JAJ14" s="1"/>
      <c r="JAK14" s="1"/>
      <c r="JAL14" s="1"/>
      <c r="JAM14" s="1"/>
      <c r="JAN14" s="1"/>
      <c r="JAO14" s="1"/>
      <c r="JAP14" s="1"/>
      <c r="JAQ14" s="1"/>
      <c r="JAR14" s="1"/>
      <c r="JAS14" s="1"/>
      <c r="JAT14" s="1"/>
      <c r="JAU14" s="1"/>
      <c r="JAV14" s="1"/>
      <c r="JAW14" s="1"/>
      <c r="JAX14" s="1"/>
      <c r="JAY14" s="1"/>
      <c r="JAZ14" s="1"/>
      <c r="JBA14" s="1"/>
      <c r="JBB14" s="1"/>
      <c r="JBC14" s="1"/>
      <c r="JBD14" s="1"/>
      <c r="JBE14" s="1"/>
      <c r="JBF14" s="1"/>
      <c r="JBG14" s="1"/>
      <c r="JBH14" s="1"/>
      <c r="JBI14" s="1"/>
      <c r="JBJ14" s="1"/>
      <c r="JBK14" s="1"/>
      <c r="JBL14" s="1"/>
      <c r="JBM14" s="1"/>
      <c r="JBN14" s="1"/>
      <c r="JBO14" s="1"/>
      <c r="JBP14" s="1"/>
      <c r="JBQ14" s="1"/>
      <c r="JBR14" s="1"/>
      <c r="JBS14" s="1"/>
      <c r="JBT14" s="1"/>
      <c r="JBU14" s="1"/>
      <c r="JBV14" s="1"/>
      <c r="JBW14" s="1"/>
      <c r="JBX14" s="1"/>
      <c r="JBY14" s="1"/>
      <c r="JBZ14" s="1"/>
      <c r="JCA14" s="1"/>
      <c r="JCB14" s="1"/>
      <c r="JCC14" s="1"/>
      <c r="JCD14" s="1"/>
      <c r="JCE14" s="1"/>
      <c r="JCF14" s="1"/>
      <c r="JCG14" s="1"/>
      <c r="JCH14" s="1"/>
      <c r="JCI14" s="1"/>
      <c r="JCJ14" s="1"/>
      <c r="JCK14" s="1"/>
      <c r="JCL14" s="1"/>
      <c r="JCM14" s="1"/>
      <c r="JCN14" s="1"/>
      <c r="JCO14" s="1"/>
      <c r="JCP14" s="1"/>
      <c r="JCQ14" s="1"/>
      <c r="JCR14" s="1"/>
      <c r="JCS14" s="1"/>
      <c r="JCT14" s="1"/>
      <c r="JCU14" s="1"/>
      <c r="JCV14" s="1"/>
      <c r="JCW14" s="1"/>
      <c r="JCX14" s="1"/>
      <c r="JCY14" s="1"/>
      <c r="JCZ14" s="1"/>
      <c r="JDA14" s="1"/>
      <c r="JDB14" s="1"/>
      <c r="JDC14" s="1"/>
      <c r="JDD14" s="1"/>
      <c r="JDE14" s="1"/>
      <c r="JDF14" s="1"/>
      <c r="JDG14" s="1"/>
      <c r="JDH14" s="1"/>
      <c r="JDI14" s="1"/>
      <c r="JDJ14" s="1"/>
      <c r="JDK14" s="1"/>
      <c r="JDL14" s="1"/>
      <c r="JDM14" s="1"/>
      <c r="JDN14" s="1"/>
      <c r="JDO14" s="1"/>
      <c r="JDP14" s="1"/>
      <c r="JDQ14" s="1"/>
      <c r="JDR14" s="1"/>
      <c r="JDS14" s="1"/>
      <c r="JDT14" s="1"/>
      <c r="JDU14" s="1"/>
      <c r="JDV14" s="1"/>
      <c r="JDW14" s="1"/>
      <c r="JDX14" s="1"/>
      <c r="JDY14" s="1"/>
      <c r="JDZ14" s="1"/>
      <c r="JEA14" s="1"/>
      <c r="JEB14" s="1"/>
      <c r="JEC14" s="1"/>
      <c r="JED14" s="1"/>
      <c r="JEE14" s="1"/>
      <c r="JEF14" s="1"/>
      <c r="JEG14" s="1"/>
      <c r="JEH14" s="1"/>
      <c r="JEI14" s="1"/>
      <c r="JEJ14" s="1"/>
      <c r="JEK14" s="1"/>
      <c r="JEL14" s="1"/>
      <c r="JEM14" s="1"/>
      <c r="JEN14" s="1"/>
      <c r="JEO14" s="1"/>
      <c r="JEP14" s="1"/>
      <c r="JEQ14" s="1"/>
      <c r="JER14" s="1"/>
      <c r="JES14" s="1"/>
      <c r="JET14" s="1"/>
      <c r="JEU14" s="1"/>
      <c r="JEV14" s="1"/>
      <c r="JEW14" s="1"/>
      <c r="JEX14" s="1"/>
      <c r="JEY14" s="1"/>
      <c r="JEZ14" s="1"/>
      <c r="JFA14" s="1"/>
      <c r="JFB14" s="1"/>
      <c r="JFC14" s="1"/>
      <c r="JFD14" s="1"/>
      <c r="JFE14" s="1"/>
      <c r="JFF14" s="1"/>
      <c r="JFG14" s="1"/>
      <c r="JFH14" s="1"/>
      <c r="JFI14" s="1"/>
      <c r="JFJ14" s="1"/>
      <c r="JFK14" s="1"/>
      <c r="JFL14" s="1"/>
      <c r="JFM14" s="1"/>
      <c r="JFN14" s="1"/>
      <c r="JFO14" s="1"/>
      <c r="JFP14" s="1"/>
      <c r="JFQ14" s="1"/>
      <c r="JFR14" s="1"/>
      <c r="JFS14" s="1"/>
      <c r="JFT14" s="1"/>
      <c r="JFU14" s="1"/>
      <c r="JFV14" s="1"/>
      <c r="JFW14" s="1"/>
      <c r="JFX14" s="1"/>
      <c r="JFY14" s="1"/>
      <c r="JFZ14" s="1"/>
      <c r="JGA14" s="1"/>
      <c r="JGB14" s="1"/>
      <c r="JGC14" s="1"/>
      <c r="JGD14" s="1"/>
      <c r="JGE14" s="1"/>
      <c r="JGF14" s="1"/>
      <c r="JGG14" s="1"/>
      <c r="JGH14" s="1"/>
      <c r="JGI14" s="1"/>
      <c r="JGJ14" s="1"/>
      <c r="JGK14" s="1"/>
      <c r="JGL14" s="1"/>
      <c r="JGM14" s="1"/>
      <c r="JGN14" s="1"/>
      <c r="JGO14" s="1"/>
      <c r="JGP14" s="1"/>
      <c r="JGQ14" s="1"/>
      <c r="JGR14" s="1"/>
      <c r="JGS14" s="1"/>
      <c r="JGT14" s="1"/>
      <c r="JGU14" s="1"/>
      <c r="JGV14" s="1"/>
      <c r="JGW14" s="1"/>
      <c r="JGX14" s="1"/>
      <c r="JGY14" s="1"/>
      <c r="JGZ14" s="1"/>
      <c r="JHA14" s="1"/>
      <c r="JHB14" s="1"/>
      <c r="JHC14" s="1"/>
      <c r="JHD14" s="1"/>
      <c r="JHE14" s="1"/>
      <c r="JHF14" s="1"/>
      <c r="JHG14" s="1"/>
      <c r="JHH14" s="1"/>
      <c r="JHI14" s="1"/>
      <c r="JHJ14" s="1"/>
      <c r="JHK14" s="1"/>
      <c r="JHL14" s="1"/>
      <c r="JHM14" s="1"/>
      <c r="JHN14" s="1"/>
      <c r="JHO14" s="1"/>
      <c r="JHP14" s="1"/>
      <c r="JHQ14" s="1"/>
      <c r="JHR14" s="1"/>
      <c r="JHS14" s="1"/>
      <c r="JHT14" s="1"/>
      <c r="JHU14" s="1"/>
      <c r="JHV14" s="1"/>
      <c r="JHW14" s="1"/>
      <c r="JHX14" s="1"/>
      <c r="JHY14" s="1"/>
      <c r="JHZ14" s="1"/>
      <c r="JIA14" s="1"/>
      <c r="JIB14" s="1"/>
      <c r="JIC14" s="1"/>
      <c r="JID14" s="1"/>
      <c r="JIE14" s="1"/>
      <c r="JIF14" s="1"/>
      <c r="JIG14" s="1"/>
      <c r="JIH14" s="1"/>
      <c r="JII14" s="1"/>
      <c r="JIJ14" s="1"/>
      <c r="JIK14" s="1"/>
      <c r="JIL14" s="1"/>
      <c r="JIM14" s="1"/>
      <c r="JIN14" s="1"/>
      <c r="JIO14" s="1"/>
      <c r="JIP14" s="1"/>
      <c r="JIQ14" s="1"/>
      <c r="JIR14" s="1"/>
      <c r="JIS14" s="1"/>
      <c r="JIT14" s="1"/>
      <c r="JIU14" s="1"/>
      <c r="JIV14" s="1"/>
      <c r="JIW14" s="1"/>
      <c r="JIX14" s="1"/>
      <c r="JIY14" s="1"/>
      <c r="JIZ14" s="1"/>
      <c r="JJA14" s="1"/>
      <c r="JJB14" s="1"/>
      <c r="JJC14" s="1"/>
      <c r="JJD14" s="1"/>
      <c r="JJE14" s="1"/>
      <c r="JJF14" s="1"/>
      <c r="JJG14" s="1"/>
      <c r="JJH14" s="1"/>
      <c r="JJI14" s="1"/>
      <c r="JJJ14" s="1"/>
      <c r="JJK14" s="1"/>
      <c r="JJL14" s="1"/>
      <c r="JJM14" s="1"/>
      <c r="JJN14" s="1"/>
      <c r="JJO14" s="1"/>
      <c r="JJP14" s="1"/>
      <c r="JJQ14" s="1"/>
      <c r="JJR14" s="1"/>
      <c r="JJS14" s="1"/>
      <c r="JJT14" s="1"/>
      <c r="JJU14" s="1"/>
      <c r="JJV14" s="1"/>
      <c r="JJW14" s="1"/>
      <c r="JJX14" s="1"/>
      <c r="JJY14" s="1"/>
      <c r="JJZ14" s="1"/>
      <c r="JKA14" s="1"/>
      <c r="JKB14" s="1"/>
      <c r="JKC14" s="1"/>
      <c r="JKD14" s="1"/>
      <c r="JKE14" s="1"/>
      <c r="JKF14" s="1"/>
      <c r="JKG14" s="1"/>
      <c r="JKH14" s="1"/>
      <c r="JKI14" s="1"/>
      <c r="JKJ14" s="1"/>
      <c r="JKK14" s="1"/>
      <c r="JKL14" s="1"/>
      <c r="JKM14" s="1"/>
      <c r="JKN14" s="1"/>
      <c r="JKO14" s="1"/>
      <c r="JKP14" s="1"/>
      <c r="JKQ14" s="1"/>
      <c r="JKR14" s="1"/>
      <c r="JKS14" s="1"/>
      <c r="JKT14" s="1"/>
      <c r="JKU14" s="1"/>
      <c r="JKV14" s="1"/>
      <c r="JKW14" s="1"/>
      <c r="JKX14" s="1"/>
      <c r="JKY14" s="1"/>
      <c r="JKZ14" s="1"/>
      <c r="JLA14" s="1"/>
      <c r="JLB14" s="1"/>
      <c r="JLC14" s="1"/>
      <c r="JLD14" s="1"/>
      <c r="JLE14" s="1"/>
      <c r="JLF14" s="1"/>
      <c r="JLG14" s="1"/>
      <c r="JLH14" s="1"/>
      <c r="JLI14" s="1"/>
      <c r="JLJ14" s="1"/>
      <c r="JLK14" s="1"/>
      <c r="JLL14" s="1"/>
      <c r="JLM14" s="1"/>
      <c r="JLN14" s="1"/>
      <c r="JLO14" s="1"/>
      <c r="JLP14" s="1"/>
      <c r="JLQ14" s="1"/>
      <c r="JLR14" s="1"/>
      <c r="JLS14" s="1"/>
      <c r="JLT14" s="1"/>
      <c r="JLU14" s="1"/>
      <c r="JLV14" s="1"/>
      <c r="JLW14" s="1"/>
      <c r="JLX14" s="1"/>
      <c r="JLY14" s="1"/>
      <c r="JLZ14" s="1"/>
      <c r="JMA14" s="1"/>
      <c r="JMB14" s="1"/>
      <c r="JMC14" s="1"/>
      <c r="JMD14" s="1"/>
      <c r="JME14" s="1"/>
      <c r="JMF14" s="1"/>
      <c r="JMG14" s="1"/>
      <c r="JMH14" s="1"/>
      <c r="JMI14" s="1"/>
      <c r="JMJ14" s="1"/>
      <c r="JMK14" s="1"/>
      <c r="JML14" s="1"/>
      <c r="JMM14" s="1"/>
      <c r="JMN14" s="1"/>
      <c r="JMO14" s="1"/>
      <c r="JMP14" s="1"/>
      <c r="JMQ14" s="1"/>
      <c r="JMR14" s="1"/>
      <c r="JMS14" s="1"/>
      <c r="JMT14" s="1"/>
      <c r="JMU14" s="1"/>
      <c r="JMV14" s="1"/>
      <c r="JMW14" s="1"/>
      <c r="JMX14" s="1"/>
      <c r="JMY14" s="1"/>
      <c r="JMZ14" s="1"/>
      <c r="JNA14" s="1"/>
      <c r="JNB14" s="1"/>
      <c r="JNC14" s="1"/>
      <c r="JND14" s="1"/>
      <c r="JNE14" s="1"/>
      <c r="JNF14" s="1"/>
      <c r="JNG14" s="1"/>
      <c r="JNH14" s="1"/>
      <c r="JNI14" s="1"/>
      <c r="JNJ14" s="1"/>
      <c r="JNK14" s="1"/>
      <c r="JNL14" s="1"/>
      <c r="JNM14" s="1"/>
      <c r="JNN14" s="1"/>
      <c r="JNO14" s="1"/>
      <c r="JNP14" s="1"/>
      <c r="JNQ14" s="1"/>
      <c r="JNR14" s="1"/>
      <c r="JNS14" s="1"/>
      <c r="JNT14" s="1"/>
      <c r="JNU14" s="1"/>
      <c r="JNV14" s="1"/>
      <c r="JNW14" s="1"/>
      <c r="JNX14" s="1"/>
      <c r="JNY14" s="1"/>
      <c r="JNZ14" s="1"/>
      <c r="JOA14" s="1"/>
      <c r="JOB14" s="1"/>
      <c r="JOC14" s="1"/>
      <c r="JOD14" s="1"/>
      <c r="JOE14" s="1"/>
      <c r="JOF14" s="1"/>
      <c r="JOG14" s="1"/>
      <c r="JOH14" s="1"/>
      <c r="JOI14" s="1"/>
      <c r="JOJ14" s="1"/>
      <c r="JOK14" s="1"/>
      <c r="JOL14" s="1"/>
      <c r="JOM14" s="1"/>
      <c r="JON14" s="1"/>
      <c r="JOO14" s="1"/>
      <c r="JOP14" s="1"/>
      <c r="JOQ14" s="1"/>
      <c r="JOR14" s="1"/>
      <c r="JOS14" s="1"/>
      <c r="JOT14" s="1"/>
      <c r="JOU14" s="1"/>
      <c r="JOV14" s="1"/>
      <c r="JOW14" s="1"/>
      <c r="JOX14" s="1"/>
      <c r="JOY14" s="1"/>
      <c r="JOZ14" s="1"/>
      <c r="JPA14" s="1"/>
      <c r="JPB14" s="1"/>
      <c r="JPC14" s="1"/>
      <c r="JPD14" s="1"/>
      <c r="JPE14" s="1"/>
      <c r="JPF14" s="1"/>
      <c r="JPG14" s="1"/>
      <c r="JPH14" s="1"/>
      <c r="JPI14" s="1"/>
      <c r="JPJ14" s="1"/>
      <c r="JPK14" s="1"/>
      <c r="JPL14" s="1"/>
      <c r="JPM14" s="1"/>
      <c r="JPN14" s="1"/>
      <c r="JPO14" s="1"/>
      <c r="JPP14" s="1"/>
      <c r="JPQ14" s="1"/>
      <c r="JPR14" s="1"/>
      <c r="JPS14" s="1"/>
      <c r="JPT14" s="1"/>
      <c r="JPU14" s="1"/>
      <c r="JPV14" s="1"/>
      <c r="JPW14" s="1"/>
      <c r="JPX14" s="1"/>
      <c r="JPY14" s="1"/>
      <c r="JPZ14" s="1"/>
      <c r="JQA14" s="1"/>
      <c r="JQB14" s="1"/>
      <c r="JQC14" s="1"/>
      <c r="JQD14" s="1"/>
      <c r="JQE14" s="1"/>
      <c r="JQF14" s="1"/>
      <c r="JQG14" s="1"/>
      <c r="JQH14" s="1"/>
      <c r="JQI14" s="1"/>
      <c r="JQJ14" s="1"/>
      <c r="JQK14" s="1"/>
      <c r="JQL14" s="1"/>
      <c r="JQM14" s="1"/>
      <c r="JQN14" s="1"/>
      <c r="JQO14" s="1"/>
      <c r="JQP14" s="1"/>
      <c r="JQQ14" s="1"/>
      <c r="JQR14" s="1"/>
      <c r="JQS14" s="1"/>
      <c r="JQT14" s="1"/>
      <c r="JQU14" s="1"/>
      <c r="JQV14" s="1"/>
      <c r="JQW14" s="1"/>
      <c r="JQX14" s="1"/>
      <c r="JQY14" s="1"/>
      <c r="JQZ14" s="1"/>
      <c r="JRA14" s="1"/>
      <c r="JRB14" s="1"/>
      <c r="JRC14" s="1"/>
      <c r="JRD14" s="1"/>
      <c r="JRE14" s="1"/>
      <c r="JRF14" s="1"/>
      <c r="JRG14" s="1"/>
      <c r="JRH14" s="1"/>
      <c r="JRI14" s="1"/>
      <c r="JRJ14" s="1"/>
      <c r="JRK14" s="1"/>
      <c r="JRL14" s="1"/>
      <c r="JRM14" s="1"/>
      <c r="JRN14" s="1"/>
      <c r="JRO14" s="1"/>
      <c r="JRP14" s="1"/>
      <c r="JRQ14" s="1"/>
      <c r="JRR14" s="1"/>
      <c r="JRS14" s="1"/>
      <c r="JRT14" s="1"/>
      <c r="JRU14" s="1"/>
      <c r="JRV14" s="1"/>
      <c r="JRW14" s="1"/>
      <c r="JRX14" s="1"/>
      <c r="JRY14" s="1"/>
      <c r="JRZ14" s="1"/>
      <c r="JSA14" s="1"/>
      <c r="JSB14" s="1"/>
      <c r="JSC14" s="1"/>
      <c r="JSD14" s="1"/>
      <c r="JSE14" s="1"/>
      <c r="JSF14" s="1"/>
      <c r="JSG14" s="1"/>
      <c r="JSH14" s="1"/>
      <c r="JSI14" s="1"/>
      <c r="JSJ14" s="1"/>
      <c r="JSK14" s="1"/>
      <c r="JSL14" s="1"/>
      <c r="JSM14" s="1"/>
      <c r="JSN14" s="1"/>
      <c r="JSO14" s="1"/>
      <c r="JSP14" s="1"/>
      <c r="JSQ14" s="1"/>
      <c r="JSR14" s="1"/>
      <c r="JSS14" s="1"/>
      <c r="JST14" s="1"/>
      <c r="JSU14" s="1"/>
      <c r="JSV14" s="1"/>
      <c r="JSW14" s="1"/>
      <c r="JSX14" s="1"/>
      <c r="JSY14" s="1"/>
      <c r="JSZ14" s="1"/>
      <c r="JTA14" s="1"/>
      <c r="JTB14" s="1"/>
      <c r="JTC14" s="1"/>
      <c r="JTD14" s="1"/>
      <c r="JTE14" s="1"/>
      <c r="JTF14" s="1"/>
      <c r="JTG14" s="1"/>
      <c r="JTH14" s="1"/>
      <c r="JTI14" s="1"/>
      <c r="JTJ14" s="1"/>
      <c r="JTK14" s="1"/>
      <c r="JTL14" s="1"/>
      <c r="JTM14" s="1"/>
      <c r="JTN14" s="1"/>
      <c r="JTO14" s="1"/>
      <c r="JTP14" s="1"/>
      <c r="JTQ14" s="1"/>
      <c r="JTR14" s="1"/>
      <c r="JTS14" s="1"/>
      <c r="JTT14" s="1"/>
      <c r="JTU14" s="1"/>
      <c r="JTV14" s="1"/>
      <c r="JTW14" s="1"/>
      <c r="JTX14" s="1"/>
      <c r="JTY14" s="1"/>
      <c r="JTZ14" s="1"/>
      <c r="JUA14" s="1"/>
      <c r="JUB14" s="1"/>
      <c r="JUC14" s="1"/>
      <c r="JUD14" s="1"/>
      <c r="JUE14" s="1"/>
      <c r="JUF14" s="1"/>
      <c r="JUG14" s="1"/>
      <c r="JUH14" s="1"/>
      <c r="JUI14" s="1"/>
      <c r="JUJ14" s="1"/>
      <c r="JUK14" s="1"/>
      <c r="JUL14" s="1"/>
      <c r="JUM14" s="1"/>
      <c r="JUN14" s="1"/>
      <c r="JUO14" s="1"/>
      <c r="JUP14" s="1"/>
      <c r="JUQ14" s="1"/>
      <c r="JUR14" s="1"/>
      <c r="JUS14" s="1"/>
      <c r="JUT14" s="1"/>
      <c r="JUU14" s="1"/>
      <c r="JUV14" s="1"/>
      <c r="JUW14" s="1"/>
      <c r="JUX14" s="1"/>
      <c r="JUY14" s="1"/>
      <c r="JUZ14" s="1"/>
      <c r="JVA14" s="1"/>
      <c r="JVB14" s="1"/>
      <c r="JVC14" s="1"/>
      <c r="JVD14" s="1"/>
      <c r="JVE14" s="1"/>
      <c r="JVF14" s="1"/>
      <c r="JVG14" s="1"/>
      <c r="JVH14" s="1"/>
      <c r="JVI14" s="1"/>
      <c r="JVJ14" s="1"/>
      <c r="JVK14" s="1"/>
      <c r="JVL14" s="1"/>
      <c r="JVM14" s="1"/>
      <c r="JVN14" s="1"/>
      <c r="JVO14" s="1"/>
      <c r="JVP14" s="1"/>
      <c r="JVQ14" s="1"/>
      <c r="JVR14" s="1"/>
      <c r="JVS14" s="1"/>
      <c r="JVT14" s="1"/>
      <c r="JVU14" s="1"/>
      <c r="JVV14" s="1"/>
      <c r="JVW14" s="1"/>
      <c r="JVX14" s="1"/>
      <c r="JVY14" s="1"/>
      <c r="JVZ14" s="1"/>
      <c r="JWA14" s="1"/>
      <c r="JWB14" s="1"/>
      <c r="JWC14" s="1"/>
      <c r="JWD14" s="1"/>
      <c r="JWE14" s="1"/>
      <c r="JWF14" s="1"/>
      <c r="JWG14" s="1"/>
      <c r="JWH14" s="1"/>
      <c r="JWI14" s="1"/>
      <c r="JWJ14" s="1"/>
      <c r="JWK14" s="1"/>
      <c r="JWL14" s="1"/>
      <c r="JWM14" s="1"/>
      <c r="JWN14" s="1"/>
      <c r="JWO14" s="1"/>
      <c r="JWP14" s="1"/>
      <c r="JWQ14" s="1"/>
      <c r="JWR14" s="1"/>
      <c r="JWS14" s="1"/>
      <c r="JWT14" s="1"/>
      <c r="JWU14" s="1"/>
      <c r="JWV14" s="1"/>
      <c r="JWW14" s="1"/>
      <c r="JWX14" s="1"/>
      <c r="JWY14" s="1"/>
      <c r="JWZ14" s="1"/>
      <c r="JXA14" s="1"/>
      <c r="JXB14" s="1"/>
      <c r="JXC14" s="1"/>
      <c r="JXD14" s="1"/>
      <c r="JXE14" s="1"/>
      <c r="JXF14" s="1"/>
      <c r="JXG14" s="1"/>
      <c r="JXH14" s="1"/>
      <c r="JXI14" s="1"/>
      <c r="JXJ14" s="1"/>
      <c r="JXK14" s="1"/>
      <c r="JXL14" s="1"/>
      <c r="JXM14" s="1"/>
      <c r="JXN14" s="1"/>
      <c r="JXO14" s="1"/>
      <c r="JXP14" s="1"/>
      <c r="JXQ14" s="1"/>
      <c r="JXR14" s="1"/>
      <c r="JXS14" s="1"/>
      <c r="JXT14" s="1"/>
      <c r="JXU14" s="1"/>
      <c r="JXV14" s="1"/>
      <c r="JXW14" s="1"/>
      <c r="JXX14" s="1"/>
      <c r="JXY14" s="1"/>
      <c r="JXZ14" s="1"/>
      <c r="JYA14" s="1"/>
      <c r="JYB14" s="1"/>
      <c r="JYC14" s="1"/>
      <c r="JYD14" s="1"/>
      <c r="JYE14" s="1"/>
      <c r="JYF14" s="1"/>
      <c r="JYG14" s="1"/>
      <c r="JYH14" s="1"/>
      <c r="JYI14" s="1"/>
      <c r="JYJ14" s="1"/>
      <c r="JYK14" s="1"/>
      <c r="JYL14" s="1"/>
      <c r="JYM14" s="1"/>
      <c r="JYN14" s="1"/>
      <c r="JYO14" s="1"/>
      <c r="JYP14" s="1"/>
      <c r="JYQ14" s="1"/>
      <c r="JYR14" s="1"/>
      <c r="JYS14" s="1"/>
      <c r="JYT14" s="1"/>
      <c r="JYU14" s="1"/>
      <c r="JYV14" s="1"/>
      <c r="JYW14" s="1"/>
      <c r="JYX14" s="1"/>
      <c r="JYY14" s="1"/>
      <c r="JYZ14" s="1"/>
      <c r="JZA14" s="1"/>
      <c r="JZB14" s="1"/>
      <c r="JZC14" s="1"/>
      <c r="JZD14" s="1"/>
      <c r="JZE14" s="1"/>
      <c r="JZF14" s="1"/>
      <c r="JZG14" s="1"/>
      <c r="JZH14" s="1"/>
      <c r="JZI14" s="1"/>
      <c r="JZJ14" s="1"/>
      <c r="JZK14" s="1"/>
      <c r="JZL14" s="1"/>
      <c r="JZM14" s="1"/>
      <c r="JZN14" s="1"/>
      <c r="JZO14" s="1"/>
      <c r="JZP14" s="1"/>
      <c r="JZQ14" s="1"/>
      <c r="JZR14" s="1"/>
      <c r="JZS14" s="1"/>
      <c r="JZT14" s="1"/>
      <c r="JZU14" s="1"/>
      <c r="JZV14" s="1"/>
      <c r="JZW14" s="1"/>
      <c r="JZX14" s="1"/>
      <c r="JZY14" s="1"/>
      <c r="JZZ14" s="1"/>
      <c r="KAA14" s="1"/>
      <c r="KAB14" s="1"/>
      <c r="KAC14" s="1"/>
      <c r="KAD14" s="1"/>
      <c r="KAE14" s="1"/>
      <c r="KAF14" s="1"/>
      <c r="KAG14" s="1"/>
      <c r="KAH14" s="1"/>
      <c r="KAI14" s="1"/>
      <c r="KAJ14" s="1"/>
      <c r="KAK14" s="1"/>
      <c r="KAL14" s="1"/>
      <c r="KAM14" s="1"/>
      <c r="KAN14" s="1"/>
      <c r="KAO14" s="1"/>
      <c r="KAP14" s="1"/>
      <c r="KAQ14" s="1"/>
      <c r="KAR14" s="1"/>
      <c r="KAS14" s="1"/>
      <c r="KAT14" s="1"/>
      <c r="KAU14" s="1"/>
      <c r="KAV14" s="1"/>
      <c r="KAW14" s="1"/>
      <c r="KAX14" s="1"/>
      <c r="KAY14" s="1"/>
      <c r="KAZ14" s="1"/>
      <c r="KBA14" s="1"/>
      <c r="KBB14" s="1"/>
      <c r="KBC14" s="1"/>
      <c r="KBD14" s="1"/>
      <c r="KBE14" s="1"/>
      <c r="KBF14" s="1"/>
      <c r="KBG14" s="1"/>
      <c r="KBH14" s="1"/>
      <c r="KBI14" s="1"/>
      <c r="KBJ14" s="1"/>
      <c r="KBK14" s="1"/>
      <c r="KBL14" s="1"/>
      <c r="KBM14" s="1"/>
      <c r="KBN14" s="1"/>
      <c r="KBO14" s="1"/>
      <c r="KBP14" s="1"/>
      <c r="KBQ14" s="1"/>
      <c r="KBR14" s="1"/>
      <c r="KBS14" s="1"/>
      <c r="KBT14" s="1"/>
      <c r="KBU14" s="1"/>
      <c r="KBV14" s="1"/>
      <c r="KBW14" s="1"/>
      <c r="KBX14" s="1"/>
      <c r="KBY14" s="1"/>
      <c r="KBZ14" s="1"/>
      <c r="KCA14" s="1"/>
      <c r="KCB14" s="1"/>
      <c r="KCC14" s="1"/>
      <c r="KCD14" s="1"/>
      <c r="KCE14" s="1"/>
      <c r="KCF14" s="1"/>
      <c r="KCG14" s="1"/>
      <c r="KCH14" s="1"/>
      <c r="KCI14" s="1"/>
      <c r="KCJ14" s="1"/>
      <c r="KCK14" s="1"/>
      <c r="KCL14" s="1"/>
      <c r="KCM14" s="1"/>
      <c r="KCN14" s="1"/>
      <c r="KCO14" s="1"/>
      <c r="KCP14" s="1"/>
      <c r="KCQ14" s="1"/>
      <c r="KCR14" s="1"/>
      <c r="KCS14" s="1"/>
      <c r="KCT14" s="1"/>
      <c r="KCU14" s="1"/>
      <c r="KCV14" s="1"/>
      <c r="KCW14" s="1"/>
      <c r="KCX14" s="1"/>
      <c r="KCY14" s="1"/>
      <c r="KCZ14" s="1"/>
      <c r="KDA14" s="1"/>
      <c r="KDB14" s="1"/>
      <c r="KDC14" s="1"/>
      <c r="KDD14" s="1"/>
      <c r="KDE14" s="1"/>
      <c r="KDF14" s="1"/>
      <c r="KDG14" s="1"/>
      <c r="KDH14" s="1"/>
      <c r="KDI14" s="1"/>
      <c r="KDJ14" s="1"/>
      <c r="KDK14" s="1"/>
      <c r="KDL14" s="1"/>
      <c r="KDM14" s="1"/>
      <c r="KDN14" s="1"/>
      <c r="KDO14" s="1"/>
      <c r="KDP14" s="1"/>
      <c r="KDQ14" s="1"/>
      <c r="KDR14" s="1"/>
      <c r="KDS14" s="1"/>
      <c r="KDT14" s="1"/>
      <c r="KDU14" s="1"/>
      <c r="KDV14" s="1"/>
      <c r="KDW14" s="1"/>
      <c r="KDX14" s="1"/>
      <c r="KDY14" s="1"/>
      <c r="KDZ14" s="1"/>
      <c r="KEA14" s="1"/>
      <c r="KEB14" s="1"/>
      <c r="KEC14" s="1"/>
      <c r="KED14" s="1"/>
      <c r="KEE14" s="1"/>
      <c r="KEF14" s="1"/>
      <c r="KEG14" s="1"/>
      <c r="KEH14" s="1"/>
      <c r="KEI14" s="1"/>
      <c r="KEJ14" s="1"/>
      <c r="KEK14" s="1"/>
      <c r="KEL14" s="1"/>
      <c r="KEM14" s="1"/>
      <c r="KEN14" s="1"/>
      <c r="KEO14" s="1"/>
      <c r="KEP14" s="1"/>
      <c r="KEQ14" s="1"/>
      <c r="KER14" s="1"/>
      <c r="KES14" s="1"/>
      <c r="KET14" s="1"/>
      <c r="KEU14" s="1"/>
      <c r="KEV14" s="1"/>
      <c r="KEW14" s="1"/>
      <c r="KEX14" s="1"/>
      <c r="KEY14" s="1"/>
      <c r="KEZ14" s="1"/>
      <c r="KFA14" s="1"/>
      <c r="KFB14" s="1"/>
      <c r="KFC14" s="1"/>
      <c r="KFD14" s="1"/>
      <c r="KFE14" s="1"/>
      <c r="KFF14" s="1"/>
      <c r="KFG14" s="1"/>
      <c r="KFH14" s="1"/>
      <c r="KFI14" s="1"/>
      <c r="KFJ14" s="1"/>
      <c r="KFK14" s="1"/>
      <c r="KFL14" s="1"/>
      <c r="KFM14" s="1"/>
      <c r="KFN14" s="1"/>
      <c r="KFO14" s="1"/>
      <c r="KFP14" s="1"/>
      <c r="KFQ14" s="1"/>
      <c r="KFR14" s="1"/>
      <c r="KFS14" s="1"/>
      <c r="KFT14" s="1"/>
      <c r="KFU14" s="1"/>
      <c r="KFV14" s="1"/>
      <c r="KFW14" s="1"/>
      <c r="KFX14" s="1"/>
      <c r="KFY14" s="1"/>
      <c r="KFZ14" s="1"/>
      <c r="KGA14" s="1"/>
      <c r="KGB14" s="1"/>
      <c r="KGC14" s="1"/>
      <c r="KGD14" s="1"/>
      <c r="KGE14" s="1"/>
      <c r="KGF14" s="1"/>
      <c r="KGG14" s="1"/>
      <c r="KGH14" s="1"/>
      <c r="KGI14" s="1"/>
      <c r="KGJ14" s="1"/>
      <c r="KGK14" s="1"/>
      <c r="KGL14" s="1"/>
      <c r="KGM14" s="1"/>
      <c r="KGN14" s="1"/>
      <c r="KGO14" s="1"/>
      <c r="KGP14" s="1"/>
      <c r="KGQ14" s="1"/>
      <c r="KGR14" s="1"/>
      <c r="KGS14" s="1"/>
      <c r="KGT14" s="1"/>
      <c r="KGU14" s="1"/>
      <c r="KGV14" s="1"/>
      <c r="KGW14" s="1"/>
      <c r="KGX14" s="1"/>
      <c r="KGY14" s="1"/>
      <c r="KGZ14" s="1"/>
      <c r="KHA14" s="1"/>
      <c r="KHB14" s="1"/>
      <c r="KHC14" s="1"/>
      <c r="KHD14" s="1"/>
      <c r="KHE14" s="1"/>
      <c r="KHF14" s="1"/>
      <c r="KHG14" s="1"/>
      <c r="KHH14" s="1"/>
      <c r="KHI14" s="1"/>
      <c r="KHJ14" s="1"/>
      <c r="KHK14" s="1"/>
      <c r="KHL14" s="1"/>
      <c r="KHM14" s="1"/>
      <c r="KHN14" s="1"/>
      <c r="KHO14" s="1"/>
      <c r="KHP14" s="1"/>
      <c r="KHQ14" s="1"/>
      <c r="KHR14" s="1"/>
      <c r="KHS14" s="1"/>
      <c r="KHT14" s="1"/>
      <c r="KHU14" s="1"/>
      <c r="KHV14" s="1"/>
      <c r="KHW14" s="1"/>
      <c r="KHX14" s="1"/>
      <c r="KHY14" s="1"/>
      <c r="KHZ14" s="1"/>
      <c r="KIA14" s="1"/>
      <c r="KIB14" s="1"/>
      <c r="KIC14" s="1"/>
      <c r="KID14" s="1"/>
      <c r="KIE14" s="1"/>
      <c r="KIF14" s="1"/>
      <c r="KIG14" s="1"/>
      <c r="KIH14" s="1"/>
      <c r="KII14" s="1"/>
      <c r="KIJ14" s="1"/>
      <c r="KIK14" s="1"/>
      <c r="KIL14" s="1"/>
      <c r="KIM14" s="1"/>
      <c r="KIN14" s="1"/>
      <c r="KIO14" s="1"/>
      <c r="KIP14" s="1"/>
      <c r="KIQ14" s="1"/>
      <c r="KIR14" s="1"/>
      <c r="KIS14" s="1"/>
      <c r="KIT14" s="1"/>
      <c r="KIU14" s="1"/>
      <c r="KIV14" s="1"/>
      <c r="KIW14" s="1"/>
      <c r="KIX14" s="1"/>
      <c r="KIY14" s="1"/>
      <c r="KIZ14" s="1"/>
      <c r="KJA14" s="1"/>
      <c r="KJB14" s="1"/>
      <c r="KJC14" s="1"/>
      <c r="KJD14" s="1"/>
      <c r="KJE14" s="1"/>
      <c r="KJF14" s="1"/>
      <c r="KJG14" s="1"/>
      <c r="KJH14" s="1"/>
      <c r="KJI14" s="1"/>
      <c r="KJJ14" s="1"/>
      <c r="KJK14" s="1"/>
      <c r="KJL14" s="1"/>
      <c r="KJM14" s="1"/>
      <c r="KJN14" s="1"/>
      <c r="KJO14" s="1"/>
      <c r="KJP14" s="1"/>
      <c r="KJQ14" s="1"/>
      <c r="KJR14" s="1"/>
      <c r="KJS14" s="1"/>
      <c r="KJT14" s="1"/>
      <c r="KJU14" s="1"/>
      <c r="KJV14" s="1"/>
      <c r="KJW14" s="1"/>
      <c r="KJX14" s="1"/>
      <c r="KJY14" s="1"/>
      <c r="KJZ14" s="1"/>
      <c r="KKA14" s="1"/>
      <c r="KKB14" s="1"/>
      <c r="KKC14" s="1"/>
      <c r="KKD14" s="1"/>
      <c r="KKE14" s="1"/>
      <c r="KKF14" s="1"/>
      <c r="KKG14" s="1"/>
      <c r="KKH14" s="1"/>
      <c r="KKI14" s="1"/>
      <c r="KKJ14" s="1"/>
      <c r="KKK14" s="1"/>
      <c r="KKL14" s="1"/>
      <c r="KKM14" s="1"/>
      <c r="KKN14" s="1"/>
      <c r="KKO14" s="1"/>
      <c r="KKP14" s="1"/>
      <c r="KKQ14" s="1"/>
      <c r="KKR14" s="1"/>
      <c r="KKS14" s="1"/>
      <c r="KKT14" s="1"/>
      <c r="KKU14" s="1"/>
      <c r="KKV14" s="1"/>
      <c r="KKW14" s="1"/>
      <c r="KKX14" s="1"/>
      <c r="KKY14" s="1"/>
      <c r="KKZ14" s="1"/>
      <c r="KLA14" s="1"/>
      <c r="KLB14" s="1"/>
      <c r="KLC14" s="1"/>
      <c r="KLD14" s="1"/>
      <c r="KLE14" s="1"/>
      <c r="KLF14" s="1"/>
      <c r="KLG14" s="1"/>
      <c r="KLH14" s="1"/>
      <c r="KLI14" s="1"/>
      <c r="KLJ14" s="1"/>
      <c r="KLK14" s="1"/>
      <c r="KLL14" s="1"/>
      <c r="KLM14" s="1"/>
      <c r="KLN14" s="1"/>
      <c r="KLO14" s="1"/>
      <c r="KLP14" s="1"/>
      <c r="KLQ14" s="1"/>
      <c r="KLR14" s="1"/>
      <c r="KLS14" s="1"/>
      <c r="KLT14" s="1"/>
      <c r="KLU14" s="1"/>
      <c r="KLV14" s="1"/>
      <c r="KLW14" s="1"/>
      <c r="KLX14" s="1"/>
      <c r="KLY14" s="1"/>
      <c r="KLZ14" s="1"/>
      <c r="KMA14" s="1"/>
      <c r="KMB14" s="1"/>
      <c r="KMC14" s="1"/>
      <c r="KMD14" s="1"/>
      <c r="KME14" s="1"/>
      <c r="KMF14" s="1"/>
      <c r="KMG14" s="1"/>
      <c r="KMH14" s="1"/>
      <c r="KMI14" s="1"/>
      <c r="KMJ14" s="1"/>
      <c r="KMK14" s="1"/>
      <c r="KML14" s="1"/>
      <c r="KMM14" s="1"/>
      <c r="KMN14" s="1"/>
      <c r="KMO14" s="1"/>
      <c r="KMP14" s="1"/>
      <c r="KMQ14" s="1"/>
      <c r="KMR14" s="1"/>
      <c r="KMS14" s="1"/>
      <c r="KMT14" s="1"/>
      <c r="KMU14" s="1"/>
      <c r="KMV14" s="1"/>
      <c r="KMW14" s="1"/>
      <c r="KMX14" s="1"/>
      <c r="KMY14" s="1"/>
      <c r="KMZ14" s="1"/>
      <c r="KNA14" s="1"/>
      <c r="KNB14" s="1"/>
      <c r="KNC14" s="1"/>
      <c r="KND14" s="1"/>
      <c r="KNE14" s="1"/>
      <c r="KNF14" s="1"/>
      <c r="KNG14" s="1"/>
      <c r="KNH14" s="1"/>
      <c r="KNI14" s="1"/>
      <c r="KNJ14" s="1"/>
      <c r="KNK14" s="1"/>
      <c r="KNL14" s="1"/>
      <c r="KNM14" s="1"/>
      <c r="KNN14" s="1"/>
      <c r="KNO14" s="1"/>
      <c r="KNP14" s="1"/>
      <c r="KNQ14" s="1"/>
      <c r="KNR14" s="1"/>
      <c r="KNS14" s="1"/>
      <c r="KNT14" s="1"/>
      <c r="KNU14" s="1"/>
      <c r="KNV14" s="1"/>
      <c r="KNW14" s="1"/>
      <c r="KNX14" s="1"/>
      <c r="KNY14" s="1"/>
      <c r="KNZ14" s="1"/>
      <c r="KOA14" s="1"/>
      <c r="KOB14" s="1"/>
      <c r="KOC14" s="1"/>
      <c r="KOD14" s="1"/>
      <c r="KOE14" s="1"/>
      <c r="KOF14" s="1"/>
      <c r="KOG14" s="1"/>
      <c r="KOH14" s="1"/>
      <c r="KOI14" s="1"/>
      <c r="KOJ14" s="1"/>
      <c r="KOK14" s="1"/>
      <c r="KOL14" s="1"/>
      <c r="KOM14" s="1"/>
      <c r="KON14" s="1"/>
      <c r="KOO14" s="1"/>
      <c r="KOP14" s="1"/>
      <c r="KOQ14" s="1"/>
      <c r="KOR14" s="1"/>
      <c r="KOS14" s="1"/>
      <c r="KOT14" s="1"/>
      <c r="KOU14" s="1"/>
      <c r="KOV14" s="1"/>
      <c r="KOW14" s="1"/>
      <c r="KOX14" s="1"/>
      <c r="KOY14" s="1"/>
      <c r="KOZ14" s="1"/>
      <c r="KPA14" s="1"/>
      <c r="KPB14" s="1"/>
      <c r="KPC14" s="1"/>
      <c r="KPD14" s="1"/>
      <c r="KPE14" s="1"/>
      <c r="KPF14" s="1"/>
      <c r="KPG14" s="1"/>
      <c r="KPH14" s="1"/>
      <c r="KPI14" s="1"/>
      <c r="KPJ14" s="1"/>
      <c r="KPK14" s="1"/>
      <c r="KPL14" s="1"/>
      <c r="KPM14" s="1"/>
      <c r="KPN14" s="1"/>
      <c r="KPO14" s="1"/>
      <c r="KPP14" s="1"/>
      <c r="KPQ14" s="1"/>
      <c r="KPR14" s="1"/>
      <c r="KPS14" s="1"/>
      <c r="KPT14" s="1"/>
      <c r="KPU14" s="1"/>
      <c r="KPV14" s="1"/>
      <c r="KPW14" s="1"/>
      <c r="KPX14" s="1"/>
      <c r="KPY14" s="1"/>
      <c r="KPZ14" s="1"/>
      <c r="KQA14" s="1"/>
      <c r="KQB14" s="1"/>
      <c r="KQC14" s="1"/>
      <c r="KQD14" s="1"/>
      <c r="KQE14" s="1"/>
      <c r="KQF14" s="1"/>
      <c r="KQG14" s="1"/>
      <c r="KQH14" s="1"/>
      <c r="KQI14" s="1"/>
      <c r="KQJ14" s="1"/>
      <c r="KQK14" s="1"/>
      <c r="KQL14" s="1"/>
      <c r="KQM14" s="1"/>
      <c r="KQN14" s="1"/>
      <c r="KQO14" s="1"/>
      <c r="KQP14" s="1"/>
      <c r="KQQ14" s="1"/>
      <c r="KQR14" s="1"/>
      <c r="KQS14" s="1"/>
      <c r="KQT14" s="1"/>
      <c r="KQU14" s="1"/>
      <c r="KQV14" s="1"/>
      <c r="KQW14" s="1"/>
      <c r="KQX14" s="1"/>
      <c r="KQY14" s="1"/>
      <c r="KQZ14" s="1"/>
      <c r="KRA14" s="1"/>
      <c r="KRB14" s="1"/>
      <c r="KRC14" s="1"/>
      <c r="KRD14" s="1"/>
      <c r="KRE14" s="1"/>
      <c r="KRF14" s="1"/>
      <c r="KRG14" s="1"/>
      <c r="KRH14" s="1"/>
      <c r="KRI14" s="1"/>
      <c r="KRJ14" s="1"/>
      <c r="KRK14" s="1"/>
      <c r="KRL14" s="1"/>
      <c r="KRM14" s="1"/>
      <c r="KRN14" s="1"/>
      <c r="KRO14" s="1"/>
      <c r="KRP14" s="1"/>
      <c r="KRQ14" s="1"/>
      <c r="KRR14" s="1"/>
      <c r="KRS14" s="1"/>
      <c r="KRT14" s="1"/>
      <c r="KRU14" s="1"/>
      <c r="KRV14" s="1"/>
      <c r="KRW14" s="1"/>
      <c r="KRX14" s="1"/>
      <c r="KRY14" s="1"/>
      <c r="KRZ14" s="1"/>
      <c r="KSA14" s="1"/>
      <c r="KSB14" s="1"/>
      <c r="KSC14" s="1"/>
      <c r="KSD14" s="1"/>
      <c r="KSE14" s="1"/>
      <c r="KSF14" s="1"/>
      <c r="KSG14" s="1"/>
      <c r="KSH14" s="1"/>
      <c r="KSI14" s="1"/>
      <c r="KSJ14" s="1"/>
      <c r="KSK14" s="1"/>
      <c r="KSL14" s="1"/>
      <c r="KSM14" s="1"/>
      <c r="KSN14" s="1"/>
      <c r="KSO14" s="1"/>
      <c r="KSP14" s="1"/>
      <c r="KSQ14" s="1"/>
      <c r="KSR14" s="1"/>
      <c r="KSS14" s="1"/>
      <c r="KST14" s="1"/>
      <c r="KSU14" s="1"/>
      <c r="KSV14" s="1"/>
      <c r="KSW14" s="1"/>
      <c r="KSX14" s="1"/>
      <c r="KSY14" s="1"/>
      <c r="KSZ14" s="1"/>
      <c r="KTA14" s="1"/>
      <c r="KTB14" s="1"/>
      <c r="KTC14" s="1"/>
      <c r="KTD14" s="1"/>
      <c r="KTE14" s="1"/>
      <c r="KTF14" s="1"/>
      <c r="KTG14" s="1"/>
      <c r="KTH14" s="1"/>
      <c r="KTI14" s="1"/>
      <c r="KTJ14" s="1"/>
      <c r="KTK14" s="1"/>
      <c r="KTL14" s="1"/>
      <c r="KTM14" s="1"/>
      <c r="KTN14" s="1"/>
      <c r="KTO14" s="1"/>
      <c r="KTP14" s="1"/>
      <c r="KTQ14" s="1"/>
      <c r="KTR14" s="1"/>
      <c r="KTS14" s="1"/>
      <c r="KTT14" s="1"/>
      <c r="KTU14" s="1"/>
      <c r="KTV14" s="1"/>
      <c r="KTW14" s="1"/>
      <c r="KTX14" s="1"/>
      <c r="KTY14" s="1"/>
      <c r="KTZ14" s="1"/>
      <c r="KUA14" s="1"/>
      <c r="KUB14" s="1"/>
      <c r="KUC14" s="1"/>
      <c r="KUD14" s="1"/>
      <c r="KUE14" s="1"/>
      <c r="KUF14" s="1"/>
      <c r="KUG14" s="1"/>
      <c r="KUH14" s="1"/>
      <c r="KUI14" s="1"/>
      <c r="KUJ14" s="1"/>
      <c r="KUK14" s="1"/>
      <c r="KUL14" s="1"/>
      <c r="KUM14" s="1"/>
      <c r="KUN14" s="1"/>
      <c r="KUO14" s="1"/>
      <c r="KUP14" s="1"/>
      <c r="KUQ14" s="1"/>
      <c r="KUR14" s="1"/>
      <c r="KUS14" s="1"/>
      <c r="KUT14" s="1"/>
      <c r="KUU14" s="1"/>
      <c r="KUV14" s="1"/>
      <c r="KUW14" s="1"/>
      <c r="KUX14" s="1"/>
      <c r="KUY14" s="1"/>
      <c r="KUZ14" s="1"/>
      <c r="KVA14" s="1"/>
      <c r="KVB14" s="1"/>
      <c r="KVC14" s="1"/>
      <c r="KVD14" s="1"/>
      <c r="KVE14" s="1"/>
      <c r="KVF14" s="1"/>
      <c r="KVG14" s="1"/>
      <c r="KVH14" s="1"/>
      <c r="KVI14" s="1"/>
      <c r="KVJ14" s="1"/>
      <c r="KVK14" s="1"/>
      <c r="KVL14" s="1"/>
      <c r="KVM14" s="1"/>
      <c r="KVN14" s="1"/>
      <c r="KVO14" s="1"/>
      <c r="KVP14" s="1"/>
      <c r="KVQ14" s="1"/>
      <c r="KVR14" s="1"/>
      <c r="KVS14" s="1"/>
      <c r="KVT14" s="1"/>
      <c r="KVU14" s="1"/>
      <c r="KVV14" s="1"/>
      <c r="KVW14" s="1"/>
      <c r="KVX14" s="1"/>
      <c r="KVY14" s="1"/>
      <c r="KVZ14" s="1"/>
      <c r="KWA14" s="1"/>
      <c r="KWB14" s="1"/>
      <c r="KWC14" s="1"/>
      <c r="KWD14" s="1"/>
      <c r="KWE14" s="1"/>
      <c r="KWF14" s="1"/>
      <c r="KWG14" s="1"/>
      <c r="KWH14" s="1"/>
      <c r="KWI14" s="1"/>
      <c r="KWJ14" s="1"/>
      <c r="KWK14" s="1"/>
      <c r="KWL14" s="1"/>
      <c r="KWM14" s="1"/>
      <c r="KWN14" s="1"/>
      <c r="KWO14" s="1"/>
      <c r="KWP14" s="1"/>
      <c r="KWQ14" s="1"/>
      <c r="KWR14" s="1"/>
      <c r="KWS14" s="1"/>
      <c r="KWT14" s="1"/>
      <c r="KWU14" s="1"/>
      <c r="KWV14" s="1"/>
      <c r="KWW14" s="1"/>
      <c r="KWX14" s="1"/>
      <c r="KWY14" s="1"/>
      <c r="KWZ14" s="1"/>
      <c r="KXA14" s="1"/>
      <c r="KXB14" s="1"/>
      <c r="KXC14" s="1"/>
      <c r="KXD14" s="1"/>
      <c r="KXE14" s="1"/>
      <c r="KXF14" s="1"/>
      <c r="KXG14" s="1"/>
      <c r="KXH14" s="1"/>
      <c r="KXI14" s="1"/>
      <c r="KXJ14" s="1"/>
      <c r="KXK14" s="1"/>
      <c r="KXL14" s="1"/>
      <c r="KXM14" s="1"/>
      <c r="KXN14" s="1"/>
      <c r="KXO14" s="1"/>
      <c r="KXP14" s="1"/>
      <c r="KXQ14" s="1"/>
      <c r="KXR14" s="1"/>
      <c r="KXS14" s="1"/>
      <c r="KXT14" s="1"/>
      <c r="KXU14" s="1"/>
      <c r="KXV14" s="1"/>
      <c r="KXW14" s="1"/>
      <c r="KXX14" s="1"/>
      <c r="KXY14" s="1"/>
      <c r="KXZ14" s="1"/>
      <c r="KYA14" s="1"/>
      <c r="KYB14" s="1"/>
      <c r="KYC14" s="1"/>
      <c r="KYD14" s="1"/>
      <c r="KYE14" s="1"/>
      <c r="KYF14" s="1"/>
      <c r="KYG14" s="1"/>
      <c r="KYH14" s="1"/>
      <c r="KYI14" s="1"/>
      <c r="KYJ14" s="1"/>
      <c r="KYK14" s="1"/>
      <c r="KYL14" s="1"/>
      <c r="KYM14" s="1"/>
      <c r="KYN14" s="1"/>
      <c r="KYO14" s="1"/>
      <c r="KYP14" s="1"/>
      <c r="KYQ14" s="1"/>
      <c r="KYR14" s="1"/>
      <c r="KYS14" s="1"/>
      <c r="KYT14" s="1"/>
      <c r="KYU14" s="1"/>
      <c r="KYV14" s="1"/>
      <c r="KYW14" s="1"/>
      <c r="KYX14" s="1"/>
      <c r="KYY14" s="1"/>
      <c r="KYZ14" s="1"/>
      <c r="KZA14" s="1"/>
      <c r="KZB14" s="1"/>
      <c r="KZC14" s="1"/>
      <c r="KZD14" s="1"/>
      <c r="KZE14" s="1"/>
      <c r="KZF14" s="1"/>
      <c r="KZG14" s="1"/>
      <c r="KZH14" s="1"/>
      <c r="KZI14" s="1"/>
      <c r="KZJ14" s="1"/>
      <c r="KZK14" s="1"/>
      <c r="KZL14" s="1"/>
      <c r="KZM14" s="1"/>
      <c r="KZN14" s="1"/>
      <c r="KZO14" s="1"/>
      <c r="KZP14" s="1"/>
      <c r="KZQ14" s="1"/>
      <c r="KZR14" s="1"/>
      <c r="KZS14" s="1"/>
      <c r="KZT14" s="1"/>
      <c r="KZU14" s="1"/>
      <c r="KZV14" s="1"/>
      <c r="KZW14" s="1"/>
      <c r="KZX14" s="1"/>
      <c r="KZY14" s="1"/>
      <c r="KZZ14" s="1"/>
      <c r="LAA14" s="1"/>
      <c r="LAB14" s="1"/>
      <c r="LAC14" s="1"/>
      <c r="LAD14" s="1"/>
      <c r="LAE14" s="1"/>
      <c r="LAF14" s="1"/>
      <c r="LAG14" s="1"/>
      <c r="LAH14" s="1"/>
      <c r="LAI14" s="1"/>
      <c r="LAJ14" s="1"/>
      <c r="LAK14" s="1"/>
      <c r="LAL14" s="1"/>
      <c r="LAM14" s="1"/>
      <c r="LAN14" s="1"/>
      <c r="LAO14" s="1"/>
      <c r="LAP14" s="1"/>
      <c r="LAQ14" s="1"/>
      <c r="LAR14" s="1"/>
      <c r="LAS14" s="1"/>
      <c r="LAT14" s="1"/>
      <c r="LAU14" s="1"/>
      <c r="LAV14" s="1"/>
      <c r="LAW14" s="1"/>
      <c r="LAX14" s="1"/>
      <c r="LAY14" s="1"/>
      <c r="LAZ14" s="1"/>
      <c r="LBA14" s="1"/>
      <c r="LBB14" s="1"/>
      <c r="LBC14" s="1"/>
      <c r="LBD14" s="1"/>
      <c r="LBE14" s="1"/>
      <c r="LBF14" s="1"/>
      <c r="LBG14" s="1"/>
      <c r="LBH14" s="1"/>
      <c r="LBI14" s="1"/>
      <c r="LBJ14" s="1"/>
      <c r="LBK14" s="1"/>
      <c r="LBL14" s="1"/>
      <c r="LBM14" s="1"/>
      <c r="LBN14" s="1"/>
      <c r="LBO14" s="1"/>
      <c r="LBP14" s="1"/>
      <c r="LBQ14" s="1"/>
      <c r="LBR14" s="1"/>
      <c r="LBS14" s="1"/>
      <c r="LBT14" s="1"/>
      <c r="LBU14" s="1"/>
      <c r="LBV14" s="1"/>
      <c r="LBW14" s="1"/>
      <c r="LBX14" s="1"/>
      <c r="LBY14" s="1"/>
      <c r="LBZ14" s="1"/>
      <c r="LCA14" s="1"/>
      <c r="LCB14" s="1"/>
      <c r="LCC14" s="1"/>
      <c r="LCD14" s="1"/>
      <c r="LCE14" s="1"/>
      <c r="LCF14" s="1"/>
      <c r="LCG14" s="1"/>
      <c r="LCH14" s="1"/>
      <c r="LCI14" s="1"/>
      <c r="LCJ14" s="1"/>
      <c r="LCK14" s="1"/>
      <c r="LCL14" s="1"/>
      <c r="LCM14" s="1"/>
      <c r="LCN14" s="1"/>
      <c r="LCO14" s="1"/>
      <c r="LCP14" s="1"/>
      <c r="LCQ14" s="1"/>
      <c r="LCR14" s="1"/>
      <c r="LCS14" s="1"/>
      <c r="LCT14" s="1"/>
      <c r="LCU14" s="1"/>
      <c r="LCV14" s="1"/>
      <c r="LCW14" s="1"/>
      <c r="LCX14" s="1"/>
      <c r="LCY14" s="1"/>
      <c r="LCZ14" s="1"/>
      <c r="LDA14" s="1"/>
      <c r="LDB14" s="1"/>
      <c r="LDC14" s="1"/>
      <c r="LDD14" s="1"/>
      <c r="LDE14" s="1"/>
      <c r="LDF14" s="1"/>
      <c r="LDG14" s="1"/>
      <c r="LDH14" s="1"/>
      <c r="LDI14" s="1"/>
      <c r="LDJ14" s="1"/>
      <c r="LDK14" s="1"/>
      <c r="LDL14" s="1"/>
      <c r="LDM14" s="1"/>
      <c r="LDN14" s="1"/>
      <c r="LDO14" s="1"/>
      <c r="LDP14" s="1"/>
      <c r="LDQ14" s="1"/>
      <c r="LDR14" s="1"/>
      <c r="LDS14" s="1"/>
      <c r="LDT14" s="1"/>
      <c r="LDU14" s="1"/>
      <c r="LDV14" s="1"/>
      <c r="LDW14" s="1"/>
      <c r="LDX14" s="1"/>
      <c r="LDY14" s="1"/>
      <c r="LDZ14" s="1"/>
      <c r="LEA14" s="1"/>
      <c r="LEB14" s="1"/>
      <c r="LEC14" s="1"/>
      <c r="LED14" s="1"/>
      <c r="LEE14" s="1"/>
      <c r="LEF14" s="1"/>
      <c r="LEG14" s="1"/>
      <c r="LEH14" s="1"/>
      <c r="LEI14" s="1"/>
      <c r="LEJ14" s="1"/>
      <c r="LEK14" s="1"/>
      <c r="LEL14" s="1"/>
      <c r="LEM14" s="1"/>
      <c r="LEN14" s="1"/>
      <c r="LEO14" s="1"/>
      <c r="LEP14" s="1"/>
      <c r="LEQ14" s="1"/>
      <c r="LER14" s="1"/>
      <c r="LES14" s="1"/>
      <c r="LET14" s="1"/>
      <c r="LEU14" s="1"/>
      <c r="LEV14" s="1"/>
      <c r="LEW14" s="1"/>
      <c r="LEX14" s="1"/>
      <c r="LEY14" s="1"/>
      <c r="LEZ14" s="1"/>
      <c r="LFA14" s="1"/>
      <c r="LFB14" s="1"/>
      <c r="LFC14" s="1"/>
      <c r="LFD14" s="1"/>
      <c r="LFE14" s="1"/>
      <c r="LFF14" s="1"/>
      <c r="LFG14" s="1"/>
      <c r="LFH14" s="1"/>
      <c r="LFI14" s="1"/>
      <c r="LFJ14" s="1"/>
      <c r="LFK14" s="1"/>
      <c r="LFL14" s="1"/>
      <c r="LFM14" s="1"/>
      <c r="LFN14" s="1"/>
      <c r="LFO14" s="1"/>
      <c r="LFP14" s="1"/>
      <c r="LFQ14" s="1"/>
      <c r="LFR14" s="1"/>
      <c r="LFS14" s="1"/>
      <c r="LFT14" s="1"/>
      <c r="LFU14" s="1"/>
      <c r="LFV14" s="1"/>
      <c r="LFW14" s="1"/>
      <c r="LFX14" s="1"/>
      <c r="LFY14" s="1"/>
      <c r="LFZ14" s="1"/>
      <c r="LGA14" s="1"/>
      <c r="LGB14" s="1"/>
      <c r="LGC14" s="1"/>
      <c r="LGD14" s="1"/>
      <c r="LGE14" s="1"/>
      <c r="LGF14" s="1"/>
      <c r="LGG14" s="1"/>
      <c r="LGH14" s="1"/>
      <c r="LGI14" s="1"/>
      <c r="LGJ14" s="1"/>
      <c r="LGK14" s="1"/>
      <c r="LGL14" s="1"/>
      <c r="LGM14" s="1"/>
      <c r="LGN14" s="1"/>
      <c r="LGO14" s="1"/>
      <c r="LGP14" s="1"/>
      <c r="LGQ14" s="1"/>
      <c r="LGR14" s="1"/>
      <c r="LGS14" s="1"/>
      <c r="LGT14" s="1"/>
      <c r="LGU14" s="1"/>
      <c r="LGV14" s="1"/>
      <c r="LGW14" s="1"/>
      <c r="LGX14" s="1"/>
      <c r="LGY14" s="1"/>
      <c r="LGZ14" s="1"/>
      <c r="LHA14" s="1"/>
      <c r="LHB14" s="1"/>
      <c r="LHC14" s="1"/>
      <c r="LHD14" s="1"/>
      <c r="LHE14" s="1"/>
      <c r="LHF14" s="1"/>
      <c r="LHG14" s="1"/>
      <c r="LHH14" s="1"/>
      <c r="LHI14" s="1"/>
      <c r="LHJ14" s="1"/>
      <c r="LHK14" s="1"/>
      <c r="LHL14" s="1"/>
      <c r="LHM14" s="1"/>
      <c r="LHN14" s="1"/>
      <c r="LHO14" s="1"/>
      <c r="LHP14" s="1"/>
      <c r="LHQ14" s="1"/>
      <c r="LHR14" s="1"/>
      <c r="LHS14" s="1"/>
      <c r="LHT14" s="1"/>
      <c r="LHU14" s="1"/>
      <c r="LHV14" s="1"/>
      <c r="LHW14" s="1"/>
      <c r="LHX14" s="1"/>
      <c r="LHY14" s="1"/>
      <c r="LHZ14" s="1"/>
      <c r="LIA14" s="1"/>
      <c r="LIB14" s="1"/>
      <c r="LIC14" s="1"/>
      <c r="LID14" s="1"/>
      <c r="LIE14" s="1"/>
      <c r="LIF14" s="1"/>
      <c r="LIG14" s="1"/>
      <c r="LIH14" s="1"/>
      <c r="LII14" s="1"/>
      <c r="LIJ14" s="1"/>
      <c r="LIK14" s="1"/>
      <c r="LIL14" s="1"/>
      <c r="LIM14" s="1"/>
      <c r="LIN14" s="1"/>
      <c r="LIO14" s="1"/>
      <c r="LIP14" s="1"/>
      <c r="LIQ14" s="1"/>
      <c r="LIR14" s="1"/>
      <c r="LIS14" s="1"/>
      <c r="LIT14" s="1"/>
      <c r="LIU14" s="1"/>
      <c r="LIV14" s="1"/>
      <c r="LIW14" s="1"/>
      <c r="LIX14" s="1"/>
      <c r="LIY14" s="1"/>
      <c r="LIZ14" s="1"/>
      <c r="LJA14" s="1"/>
      <c r="LJB14" s="1"/>
      <c r="LJC14" s="1"/>
      <c r="LJD14" s="1"/>
      <c r="LJE14" s="1"/>
      <c r="LJF14" s="1"/>
      <c r="LJG14" s="1"/>
      <c r="LJH14" s="1"/>
      <c r="LJI14" s="1"/>
      <c r="LJJ14" s="1"/>
      <c r="LJK14" s="1"/>
      <c r="LJL14" s="1"/>
      <c r="LJM14" s="1"/>
      <c r="LJN14" s="1"/>
      <c r="LJO14" s="1"/>
      <c r="LJP14" s="1"/>
      <c r="LJQ14" s="1"/>
      <c r="LJR14" s="1"/>
      <c r="LJS14" s="1"/>
      <c r="LJT14" s="1"/>
      <c r="LJU14" s="1"/>
      <c r="LJV14" s="1"/>
      <c r="LJW14" s="1"/>
      <c r="LJX14" s="1"/>
      <c r="LJY14" s="1"/>
      <c r="LJZ14" s="1"/>
      <c r="LKA14" s="1"/>
      <c r="LKB14" s="1"/>
      <c r="LKC14" s="1"/>
      <c r="LKD14" s="1"/>
      <c r="LKE14" s="1"/>
      <c r="LKF14" s="1"/>
      <c r="LKG14" s="1"/>
      <c r="LKH14" s="1"/>
      <c r="LKI14" s="1"/>
      <c r="LKJ14" s="1"/>
      <c r="LKK14" s="1"/>
      <c r="LKL14" s="1"/>
      <c r="LKM14" s="1"/>
      <c r="LKN14" s="1"/>
      <c r="LKO14" s="1"/>
      <c r="LKP14" s="1"/>
      <c r="LKQ14" s="1"/>
      <c r="LKR14" s="1"/>
      <c r="LKS14" s="1"/>
      <c r="LKT14" s="1"/>
      <c r="LKU14" s="1"/>
      <c r="LKV14" s="1"/>
      <c r="LKW14" s="1"/>
      <c r="LKX14" s="1"/>
      <c r="LKY14" s="1"/>
      <c r="LKZ14" s="1"/>
      <c r="LLA14" s="1"/>
      <c r="LLB14" s="1"/>
      <c r="LLC14" s="1"/>
      <c r="LLD14" s="1"/>
      <c r="LLE14" s="1"/>
      <c r="LLF14" s="1"/>
      <c r="LLG14" s="1"/>
      <c r="LLH14" s="1"/>
      <c r="LLI14" s="1"/>
      <c r="LLJ14" s="1"/>
      <c r="LLK14" s="1"/>
      <c r="LLL14" s="1"/>
      <c r="LLM14" s="1"/>
      <c r="LLN14" s="1"/>
      <c r="LLO14" s="1"/>
      <c r="LLP14" s="1"/>
      <c r="LLQ14" s="1"/>
      <c r="LLR14" s="1"/>
      <c r="LLS14" s="1"/>
      <c r="LLT14" s="1"/>
      <c r="LLU14" s="1"/>
      <c r="LLV14" s="1"/>
      <c r="LLW14" s="1"/>
      <c r="LLX14" s="1"/>
      <c r="LLY14" s="1"/>
      <c r="LLZ14" s="1"/>
      <c r="LMA14" s="1"/>
      <c r="LMB14" s="1"/>
      <c r="LMC14" s="1"/>
      <c r="LMD14" s="1"/>
      <c r="LME14" s="1"/>
      <c r="LMF14" s="1"/>
      <c r="LMG14" s="1"/>
      <c r="LMH14" s="1"/>
      <c r="LMI14" s="1"/>
      <c r="LMJ14" s="1"/>
      <c r="LMK14" s="1"/>
      <c r="LML14" s="1"/>
      <c r="LMM14" s="1"/>
      <c r="LMN14" s="1"/>
      <c r="LMO14" s="1"/>
      <c r="LMP14" s="1"/>
      <c r="LMQ14" s="1"/>
      <c r="LMR14" s="1"/>
      <c r="LMS14" s="1"/>
      <c r="LMT14" s="1"/>
      <c r="LMU14" s="1"/>
      <c r="LMV14" s="1"/>
      <c r="LMW14" s="1"/>
      <c r="LMX14" s="1"/>
      <c r="LMY14" s="1"/>
      <c r="LMZ14" s="1"/>
      <c r="LNA14" s="1"/>
      <c r="LNB14" s="1"/>
      <c r="LNC14" s="1"/>
      <c r="LND14" s="1"/>
      <c r="LNE14" s="1"/>
      <c r="LNF14" s="1"/>
      <c r="LNG14" s="1"/>
      <c r="LNH14" s="1"/>
      <c r="LNI14" s="1"/>
      <c r="LNJ14" s="1"/>
      <c r="LNK14" s="1"/>
      <c r="LNL14" s="1"/>
      <c r="LNM14" s="1"/>
      <c r="LNN14" s="1"/>
      <c r="LNO14" s="1"/>
      <c r="LNP14" s="1"/>
      <c r="LNQ14" s="1"/>
      <c r="LNR14" s="1"/>
      <c r="LNS14" s="1"/>
      <c r="LNT14" s="1"/>
      <c r="LNU14" s="1"/>
      <c r="LNV14" s="1"/>
      <c r="LNW14" s="1"/>
      <c r="LNX14" s="1"/>
      <c r="LNY14" s="1"/>
      <c r="LNZ14" s="1"/>
      <c r="LOA14" s="1"/>
      <c r="LOB14" s="1"/>
      <c r="LOC14" s="1"/>
      <c r="LOD14" s="1"/>
      <c r="LOE14" s="1"/>
      <c r="LOF14" s="1"/>
      <c r="LOG14" s="1"/>
      <c r="LOH14" s="1"/>
      <c r="LOI14" s="1"/>
      <c r="LOJ14" s="1"/>
      <c r="LOK14" s="1"/>
      <c r="LOL14" s="1"/>
      <c r="LOM14" s="1"/>
      <c r="LON14" s="1"/>
      <c r="LOO14" s="1"/>
      <c r="LOP14" s="1"/>
      <c r="LOQ14" s="1"/>
      <c r="LOR14" s="1"/>
      <c r="LOS14" s="1"/>
      <c r="LOT14" s="1"/>
      <c r="LOU14" s="1"/>
      <c r="LOV14" s="1"/>
      <c r="LOW14" s="1"/>
      <c r="LOX14" s="1"/>
      <c r="LOY14" s="1"/>
      <c r="LOZ14" s="1"/>
      <c r="LPA14" s="1"/>
      <c r="LPB14" s="1"/>
      <c r="LPC14" s="1"/>
      <c r="LPD14" s="1"/>
      <c r="LPE14" s="1"/>
      <c r="LPF14" s="1"/>
      <c r="LPG14" s="1"/>
      <c r="LPH14" s="1"/>
      <c r="LPI14" s="1"/>
      <c r="LPJ14" s="1"/>
      <c r="LPK14" s="1"/>
      <c r="LPL14" s="1"/>
      <c r="LPM14" s="1"/>
      <c r="LPN14" s="1"/>
      <c r="LPO14" s="1"/>
      <c r="LPP14" s="1"/>
      <c r="LPQ14" s="1"/>
      <c r="LPR14" s="1"/>
      <c r="LPS14" s="1"/>
      <c r="LPT14" s="1"/>
      <c r="LPU14" s="1"/>
      <c r="LPV14" s="1"/>
      <c r="LPW14" s="1"/>
      <c r="LPX14" s="1"/>
      <c r="LPY14" s="1"/>
      <c r="LPZ14" s="1"/>
      <c r="LQA14" s="1"/>
      <c r="LQB14" s="1"/>
      <c r="LQC14" s="1"/>
      <c r="LQD14" s="1"/>
      <c r="LQE14" s="1"/>
      <c r="LQF14" s="1"/>
      <c r="LQG14" s="1"/>
      <c r="LQH14" s="1"/>
      <c r="LQI14" s="1"/>
      <c r="LQJ14" s="1"/>
      <c r="LQK14" s="1"/>
      <c r="LQL14" s="1"/>
      <c r="LQM14" s="1"/>
      <c r="LQN14" s="1"/>
      <c r="LQO14" s="1"/>
      <c r="LQP14" s="1"/>
      <c r="LQQ14" s="1"/>
      <c r="LQR14" s="1"/>
      <c r="LQS14" s="1"/>
      <c r="LQT14" s="1"/>
      <c r="LQU14" s="1"/>
      <c r="LQV14" s="1"/>
      <c r="LQW14" s="1"/>
      <c r="LQX14" s="1"/>
      <c r="LQY14" s="1"/>
      <c r="LQZ14" s="1"/>
      <c r="LRA14" s="1"/>
      <c r="LRB14" s="1"/>
      <c r="LRC14" s="1"/>
      <c r="LRD14" s="1"/>
      <c r="LRE14" s="1"/>
      <c r="LRF14" s="1"/>
      <c r="LRG14" s="1"/>
      <c r="LRH14" s="1"/>
      <c r="LRI14" s="1"/>
      <c r="LRJ14" s="1"/>
      <c r="LRK14" s="1"/>
      <c r="LRL14" s="1"/>
      <c r="LRM14" s="1"/>
      <c r="LRN14" s="1"/>
      <c r="LRO14" s="1"/>
      <c r="LRP14" s="1"/>
      <c r="LRQ14" s="1"/>
      <c r="LRR14" s="1"/>
      <c r="LRS14" s="1"/>
      <c r="LRT14" s="1"/>
      <c r="LRU14" s="1"/>
      <c r="LRV14" s="1"/>
      <c r="LRW14" s="1"/>
      <c r="LRX14" s="1"/>
      <c r="LRY14" s="1"/>
      <c r="LRZ14" s="1"/>
      <c r="LSA14" s="1"/>
      <c r="LSB14" s="1"/>
      <c r="LSC14" s="1"/>
      <c r="LSD14" s="1"/>
      <c r="LSE14" s="1"/>
      <c r="LSF14" s="1"/>
      <c r="LSG14" s="1"/>
      <c r="LSH14" s="1"/>
      <c r="LSI14" s="1"/>
      <c r="LSJ14" s="1"/>
      <c r="LSK14" s="1"/>
      <c r="LSL14" s="1"/>
      <c r="LSM14" s="1"/>
      <c r="LSN14" s="1"/>
      <c r="LSO14" s="1"/>
      <c r="LSP14" s="1"/>
      <c r="LSQ14" s="1"/>
      <c r="LSR14" s="1"/>
      <c r="LSS14" s="1"/>
      <c r="LST14" s="1"/>
      <c r="LSU14" s="1"/>
      <c r="LSV14" s="1"/>
      <c r="LSW14" s="1"/>
      <c r="LSX14" s="1"/>
      <c r="LSY14" s="1"/>
      <c r="LSZ14" s="1"/>
      <c r="LTA14" s="1"/>
      <c r="LTB14" s="1"/>
      <c r="LTC14" s="1"/>
      <c r="LTD14" s="1"/>
      <c r="LTE14" s="1"/>
      <c r="LTF14" s="1"/>
      <c r="LTG14" s="1"/>
      <c r="LTH14" s="1"/>
      <c r="LTI14" s="1"/>
      <c r="LTJ14" s="1"/>
      <c r="LTK14" s="1"/>
      <c r="LTL14" s="1"/>
      <c r="LTM14" s="1"/>
      <c r="LTN14" s="1"/>
      <c r="LTO14" s="1"/>
      <c r="LTP14" s="1"/>
      <c r="LTQ14" s="1"/>
      <c r="LTR14" s="1"/>
      <c r="LTS14" s="1"/>
      <c r="LTT14" s="1"/>
      <c r="LTU14" s="1"/>
      <c r="LTV14" s="1"/>
      <c r="LTW14" s="1"/>
      <c r="LTX14" s="1"/>
      <c r="LTY14" s="1"/>
      <c r="LTZ14" s="1"/>
      <c r="LUA14" s="1"/>
      <c r="LUB14" s="1"/>
      <c r="LUC14" s="1"/>
      <c r="LUD14" s="1"/>
      <c r="LUE14" s="1"/>
      <c r="LUF14" s="1"/>
      <c r="LUG14" s="1"/>
      <c r="LUH14" s="1"/>
      <c r="LUI14" s="1"/>
      <c r="LUJ14" s="1"/>
      <c r="LUK14" s="1"/>
      <c r="LUL14" s="1"/>
      <c r="LUM14" s="1"/>
      <c r="LUN14" s="1"/>
      <c r="LUO14" s="1"/>
      <c r="LUP14" s="1"/>
      <c r="LUQ14" s="1"/>
      <c r="LUR14" s="1"/>
      <c r="LUS14" s="1"/>
      <c r="LUT14" s="1"/>
      <c r="LUU14" s="1"/>
      <c r="LUV14" s="1"/>
      <c r="LUW14" s="1"/>
      <c r="LUX14" s="1"/>
      <c r="LUY14" s="1"/>
      <c r="LUZ14" s="1"/>
      <c r="LVA14" s="1"/>
      <c r="LVB14" s="1"/>
      <c r="LVC14" s="1"/>
      <c r="LVD14" s="1"/>
      <c r="LVE14" s="1"/>
      <c r="LVF14" s="1"/>
      <c r="LVG14" s="1"/>
      <c r="LVH14" s="1"/>
      <c r="LVI14" s="1"/>
      <c r="LVJ14" s="1"/>
      <c r="LVK14" s="1"/>
      <c r="LVL14" s="1"/>
      <c r="LVM14" s="1"/>
      <c r="LVN14" s="1"/>
      <c r="LVO14" s="1"/>
      <c r="LVP14" s="1"/>
      <c r="LVQ14" s="1"/>
      <c r="LVR14" s="1"/>
      <c r="LVS14" s="1"/>
      <c r="LVT14" s="1"/>
      <c r="LVU14" s="1"/>
      <c r="LVV14" s="1"/>
      <c r="LVW14" s="1"/>
      <c r="LVX14" s="1"/>
      <c r="LVY14" s="1"/>
      <c r="LVZ14" s="1"/>
      <c r="LWA14" s="1"/>
      <c r="LWB14" s="1"/>
      <c r="LWC14" s="1"/>
      <c r="LWD14" s="1"/>
      <c r="LWE14" s="1"/>
      <c r="LWF14" s="1"/>
      <c r="LWG14" s="1"/>
      <c r="LWH14" s="1"/>
      <c r="LWI14" s="1"/>
      <c r="LWJ14" s="1"/>
      <c r="LWK14" s="1"/>
      <c r="LWL14" s="1"/>
      <c r="LWM14" s="1"/>
      <c r="LWN14" s="1"/>
      <c r="LWO14" s="1"/>
      <c r="LWP14" s="1"/>
      <c r="LWQ14" s="1"/>
      <c r="LWR14" s="1"/>
      <c r="LWS14" s="1"/>
      <c r="LWT14" s="1"/>
      <c r="LWU14" s="1"/>
      <c r="LWV14" s="1"/>
      <c r="LWW14" s="1"/>
      <c r="LWX14" s="1"/>
      <c r="LWY14" s="1"/>
      <c r="LWZ14" s="1"/>
      <c r="LXA14" s="1"/>
      <c r="LXB14" s="1"/>
      <c r="LXC14" s="1"/>
      <c r="LXD14" s="1"/>
      <c r="LXE14" s="1"/>
      <c r="LXF14" s="1"/>
      <c r="LXG14" s="1"/>
      <c r="LXH14" s="1"/>
      <c r="LXI14" s="1"/>
      <c r="LXJ14" s="1"/>
      <c r="LXK14" s="1"/>
      <c r="LXL14" s="1"/>
      <c r="LXM14" s="1"/>
      <c r="LXN14" s="1"/>
      <c r="LXO14" s="1"/>
      <c r="LXP14" s="1"/>
      <c r="LXQ14" s="1"/>
      <c r="LXR14" s="1"/>
      <c r="LXS14" s="1"/>
      <c r="LXT14" s="1"/>
      <c r="LXU14" s="1"/>
      <c r="LXV14" s="1"/>
      <c r="LXW14" s="1"/>
      <c r="LXX14" s="1"/>
      <c r="LXY14" s="1"/>
      <c r="LXZ14" s="1"/>
      <c r="LYA14" s="1"/>
      <c r="LYB14" s="1"/>
      <c r="LYC14" s="1"/>
      <c r="LYD14" s="1"/>
      <c r="LYE14" s="1"/>
      <c r="LYF14" s="1"/>
      <c r="LYG14" s="1"/>
      <c r="LYH14" s="1"/>
      <c r="LYI14" s="1"/>
      <c r="LYJ14" s="1"/>
      <c r="LYK14" s="1"/>
      <c r="LYL14" s="1"/>
      <c r="LYM14" s="1"/>
      <c r="LYN14" s="1"/>
      <c r="LYO14" s="1"/>
      <c r="LYP14" s="1"/>
      <c r="LYQ14" s="1"/>
      <c r="LYR14" s="1"/>
      <c r="LYS14" s="1"/>
      <c r="LYT14" s="1"/>
      <c r="LYU14" s="1"/>
      <c r="LYV14" s="1"/>
      <c r="LYW14" s="1"/>
      <c r="LYX14" s="1"/>
      <c r="LYY14" s="1"/>
      <c r="LYZ14" s="1"/>
      <c r="LZA14" s="1"/>
      <c r="LZB14" s="1"/>
      <c r="LZC14" s="1"/>
      <c r="LZD14" s="1"/>
      <c r="LZE14" s="1"/>
      <c r="LZF14" s="1"/>
      <c r="LZG14" s="1"/>
      <c r="LZH14" s="1"/>
      <c r="LZI14" s="1"/>
      <c r="LZJ14" s="1"/>
      <c r="LZK14" s="1"/>
      <c r="LZL14" s="1"/>
      <c r="LZM14" s="1"/>
      <c r="LZN14" s="1"/>
      <c r="LZO14" s="1"/>
      <c r="LZP14" s="1"/>
      <c r="LZQ14" s="1"/>
      <c r="LZR14" s="1"/>
      <c r="LZS14" s="1"/>
      <c r="LZT14" s="1"/>
      <c r="LZU14" s="1"/>
      <c r="LZV14" s="1"/>
      <c r="LZW14" s="1"/>
      <c r="LZX14" s="1"/>
      <c r="LZY14" s="1"/>
      <c r="LZZ14" s="1"/>
      <c r="MAA14" s="1"/>
      <c r="MAB14" s="1"/>
      <c r="MAC14" s="1"/>
      <c r="MAD14" s="1"/>
      <c r="MAE14" s="1"/>
      <c r="MAF14" s="1"/>
      <c r="MAG14" s="1"/>
      <c r="MAH14" s="1"/>
      <c r="MAI14" s="1"/>
      <c r="MAJ14" s="1"/>
      <c r="MAK14" s="1"/>
      <c r="MAL14" s="1"/>
      <c r="MAM14" s="1"/>
      <c r="MAN14" s="1"/>
      <c r="MAO14" s="1"/>
      <c r="MAP14" s="1"/>
      <c r="MAQ14" s="1"/>
      <c r="MAR14" s="1"/>
      <c r="MAS14" s="1"/>
      <c r="MAT14" s="1"/>
      <c r="MAU14" s="1"/>
      <c r="MAV14" s="1"/>
      <c r="MAW14" s="1"/>
      <c r="MAX14" s="1"/>
      <c r="MAY14" s="1"/>
      <c r="MAZ14" s="1"/>
      <c r="MBA14" s="1"/>
      <c r="MBB14" s="1"/>
      <c r="MBC14" s="1"/>
      <c r="MBD14" s="1"/>
      <c r="MBE14" s="1"/>
      <c r="MBF14" s="1"/>
      <c r="MBG14" s="1"/>
      <c r="MBH14" s="1"/>
      <c r="MBI14" s="1"/>
      <c r="MBJ14" s="1"/>
      <c r="MBK14" s="1"/>
      <c r="MBL14" s="1"/>
      <c r="MBM14" s="1"/>
      <c r="MBN14" s="1"/>
      <c r="MBO14" s="1"/>
      <c r="MBP14" s="1"/>
      <c r="MBQ14" s="1"/>
      <c r="MBR14" s="1"/>
      <c r="MBS14" s="1"/>
      <c r="MBT14" s="1"/>
      <c r="MBU14" s="1"/>
      <c r="MBV14" s="1"/>
      <c r="MBW14" s="1"/>
      <c r="MBX14" s="1"/>
      <c r="MBY14" s="1"/>
      <c r="MBZ14" s="1"/>
      <c r="MCA14" s="1"/>
      <c r="MCB14" s="1"/>
      <c r="MCC14" s="1"/>
      <c r="MCD14" s="1"/>
      <c r="MCE14" s="1"/>
      <c r="MCF14" s="1"/>
      <c r="MCG14" s="1"/>
      <c r="MCH14" s="1"/>
      <c r="MCI14" s="1"/>
      <c r="MCJ14" s="1"/>
      <c r="MCK14" s="1"/>
      <c r="MCL14" s="1"/>
      <c r="MCM14" s="1"/>
      <c r="MCN14" s="1"/>
      <c r="MCO14" s="1"/>
      <c r="MCP14" s="1"/>
      <c r="MCQ14" s="1"/>
      <c r="MCR14" s="1"/>
      <c r="MCS14" s="1"/>
      <c r="MCT14" s="1"/>
      <c r="MCU14" s="1"/>
      <c r="MCV14" s="1"/>
      <c r="MCW14" s="1"/>
      <c r="MCX14" s="1"/>
      <c r="MCY14" s="1"/>
      <c r="MCZ14" s="1"/>
      <c r="MDA14" s="1"/>
      <c r="MDB14" s="1"/>
      <c r="MDC14" s="1"/>
      <c r="MDD14" s="1"/>
      <c r="MDE14" s="1"/>
      <c r="MDF14" s="1"/>
      <c r="MDG14" s="1"/>
      <c r="MDH14" s="1"/>
      <c r="MDI14" s="1"/>
      <c r="MDJ14" s="1"/>
      <c r="MDK14" s="1"/>
      <c r="MDL14" s="1"/>
      <c r="MDM14" s="1"/>
      <c r="MDN14" s="1"/>
      <c r="MDO14" s="1"/>
      <c r="MDP14" s="1"/>
      <c r="MDQ14" s="1"/>
      <c r="MDR14" s="1"/>
      <c r="MDS14" s="1"/>
      <c r="MDT14" s="1"/>
      <c r="MDU14" s="1"/>
      <c r="MDV14" s="1"/>
      <c r="MDW14" s="1"/>
      <c r="MDX14" s="1"/>
      <c r="MDY14" s="1"/>
      <c r="MDZ14" s="1"/>
      <c r="MEA14" s="1"/>
      <c r="MEB14" s="1"/>
      <c r="MEC14" s="1"/>
      <c r="MED14" s="1"/>
      <c r="MEE14" s="1"/>
      <c r="MEF14" s="1"/>
      <c r="MEG14" s="1"/>
      <c r="MEH14" s="1"/>
      <c r="MEI14" s="1"/>
      <c r="MEJ14" s="1"/>
      <c r="MEK14" s="1"/>
      <c r="MEL14" s="1"/>
      <c r="MEM14" s="1"/>
      <c r="MEN14" s="1"/>
      <c r="MEO14" s="1"/>
      <c r="MEP14" s="1"/>
      <c r="MEQ14" s="1"/>
      <c r="MER14" s="1"/>
      <c r="MES14" s="1"/>
      <c r="MET14" s="1"/>
      <c r="MEU14" s="1"/>
      <c r="MEV14" s="1"/>
      <c r="MEW14" s="1"/>
      <c r="MEX14" s="1"/>
      <c r="MEY14" s="1"/>
      <c r="MEZ14" s="1"/>
      <c r="MFA14" s="1"/>
      <c r="MFB14" s="1"/>
      <c r="MFC14" s="1"/>
      <c r="MFD14" s="1"/>
      <c r="MFE14" s="1"/>
      <c r="MFF14" s="1"/>
      <c r="MFG14" s="1"/>
      <c r="MFH14" s="1"/>
      <c r="MFI14" s="1"/>
      <c r="MFJ14" s="1"/>
      <c r="MFK14" s="1"/>
      <c r="MFL14" s="1"/>
      <c r="MFM14" s="1"/>
      <c r="MFN14" s="1"/>
      <c r="MFO14" s="1"/>
      <c r="MFP14" s="1"/>
      <c r="MFQ14" s="1"/>
      <c r="MFR14" s="1"/>
      <c r="MFS14" s="1"/>
      <c r="MFT14" s="1"/>
      <c r="MFU14" s="1"/>
      <c r="MFV14" s="1"/>
      <c r="MFW14" s="1"/>
      <c r="MFX14" s="1"/>
      <c r="MFY14" s="1"/>
      <c r="MFZ14" s="1"/>
      <c r="MGA14" s="1"/>
      <c r="MGB14" s="1"/>
      <c r="MGC14" s="1"/>
      <c r="MGD14" s="1"/>
      <c r="MGE14" s="1"/>
      <c r="MGF14" s="1"/>
      <c r="MGG14" s="1"/>
      <c r="MGH14" s="1"/>
      <c r="MGI14" s="1"/>
      <c r="MGJ14" s="1"/>
      <c r="MGK14" s="1"/>
      <c r="MGL14" s="1"/>
      <c r="MGM14" s="1"/>
      <c r="MGN14" s="1"/>
      <c r="MGO14" s="1"/>
      <c r="MGP14" s="1"/>
      <c r="MGQ14" s="1"/>
      <c r="MGR14" s="1"/>
      <c r="MGS14" s="1"/>
      <c r="MGT14" s="1"/>
      <c r="MGU14" s="1"/>
      <c r="MGV14" s="1"/>
      <c r="MGW14" s="1"/>
      <c r="MGX14" s="1"/>
      <c r="MGY14" s="1"/>
      <c r="MGZ14" s="1"/>
      <c r="MHA14" s="1"/>
      <c r="MHB14" s="1"/>
      <c r="MHC14" s="1"/>
      <c r="MHD14" s="1"/>
      <c r="MHE14" s="1"/>
      <c r="MHF14" s="1"/>
      <c r="MHG14" s="1"/>
      <c r="MHH14" s="1"/>
      <c r="MHI14" s="1"/>
      <c r="MHJ14" s="1"/>
      <c r="MHK14" s="1"/>
      <c r="MHL14" s="1"/>
      <c r="MHM14" s="1"/>
      <c r="MHN14" s="1"/>
      <c r="MHO14" s="1"/>
      <c r="MHP14" s="1"/>
      <c r="MHQ14" s="1"/>
      <c r="MHR14" s="1"/>
      <c r="MHS14" s="1"/>
      <c r="MHT14" s="1"/>
      <c r="MHU14" s="1"/>
      <c r="MHV14" s="1"/>
      <c r="MHW14" s="1"/>
      <c r="MHX14" s="1"/>
      <c r="MHY14" s="1"/>
      <c r="MHZ14" s="1"/>
      <c r="MIA14" s="1"/>
      <c r="MIB14" s="1"/>
      <c r="MIC14" s="1"/>
      <c r="MID14" s="1"/>
      <c r="MIE14" s="1"/>
      <c r="MIF14" s="1"/>
      <c r="MIG14" s="1"/>
      <c r="MIH14" s="1"/>
      <c r="MII14" s="1"/>
      <c r="MIJ14" s="1"/>
      <c r="MIK14" s="1"/>
      <c r="MIL14" s="1"/>
      <c r="MIM14" s="1"/>
      <c r="MIN14" s="1"/>
      <c r="MIO14" s="1"/>
      <c r="MIP14" s="1"/>
      <c r="MIQ14" s="1"/>
      <c r="MIR14" s="1"/>
      <c r="MIS14" s="1"/>
      <c r="MIT14" s="1"/>
      <c r="MIU14" s="1"/>
      <c r="MIV14" s="1"/>
      <c r="MIW14" s="1"/>
      <c r="MIX14" s="1"/>
      <c r="MIY14" s="1"/>
      <c r="MIZ14" s="1"/>
      <c r="MJA14" s="1"/>
      <c r="MJB14" s="1"/>
      <c r="MJC14" s="1"/>
      <c r="MJD14" s="1"/>
      <c r="MJE14" s="1"/>
      <c r="MJF14" s="1"/>
      <c r="MJG14" s="1"/>
      <c r="MJH14" s="1"/>
      <c r="MJI14" s="1"/>
      <c r="MJJ14" s="1"/>
      <c r="MJK14" s="1"/>
      <c r="MJL14" s="1"/>
      <c r="MJM14" s="1"/>
      <c r="MJN14" s="1"/>
      <c r="MJO14" s="1"/>
      <c r="MJP14" s="1"/>
      <c r="MJQ14" s="1"/>
      <c r="MJR14" s="1"/>
      <c r="MJS14" s="1"/>
      <c r="MJT14" s="1"/>
      <c r="MJU14" s="1"/>
      <c r="MJV14" s="1"/>
      <c r="MJW14" s="1"/>
      <c r="MJX14" s="1"/>
      <c r="MJY14" s="1"/>
      <c r="MJZ14" s="1"/>
      <c r="MKA14" s="1"/>
      <c r="MKB14" s="1"/>
      <c r="MKC14" s="1"/>
      <c r="MKD14" s="1"/>
      <c r="MKE14" s="1"/>
      <c r="MKF14" s="1"/>
      <c r="MKG14" s="1"/>
      <c r="MKH14" s="1"/>
      <c r="MKI14" s="1"/>
      <c r="MKJ14" s="1"/>
      <c r="MKK14" s="1"/>
      <c r="MKL14" s="1"/>
      <c r="MKM14" s="1"/>
      <c r="MKN14" s="1"/>
      <c r="MKO14" s="1"/>
      <c r="MKP14" s="1"/>
      <c r="MKQ14" s="1"/>
      <c r="MKR14" s="1"/>
      <c r="MKS14" s="1"/>
      <c r="MKT14" s="1"/>
      <c r="MKU14" s="1"/>
      <c r="MKV14" s="1"/>
      <c r="MKW14" s="1"/>
      <c r="MKX14" s="1"/>
      <c r="MKY14" s="1"/>
      <c r="MKZ14" s="1"/>
      <c r="MLA14" s="1"/>
      <c r="MLB14" s="1"/>
      <c r="MLC14" s="1"/>
      <c r="MLD14" s="1"/>
      <c r="MLE14" s="1"/>
      <c r="MLF14" s="1"/>
      <c r="MLG14" s="1"/>
      <c r="MLH14" s="1"/>
      <c r="MLI14" s="1"/>
      <c r="MLJ14" s="1"/>
      <c r="MLK14" s="1"/>
      <c r="MLL14" s="1"/>
      <c r="MLM14" s="1"/>
      <c r="MLN14" s="1"/>
      <c r="MLO14" s="1"/>
      <c r="MLP14" s="1"/>
      <c r="MLQ14" s="1"/>
      <c r="MLR14" s="1"/>
      <c r="MLS14" s="1"/>
      <c r="MLT14" s="1"/>
      <c r="MLU14" s="1"/>
      <c r="MLV14" s="1"/>
      <c r="MLW14" s="1"/>
      <c r="MLX14" s="1"/>
      <c r="MLY14" s="1"/>
      <c r="MLZ14" s="1"/>
      <c r="MMA14" s="1"/>
      <c r="MMB14" s="1"/>
      <c r="MMC14" s="1"/>
      <c r="MMD14" s="1"/>
      <c r="MME14" s="1"/>
      <c r="MMF14" s="1"/>
      <c r="MMG14" s="1"/>
      <c r="MMH14" s="1"/>
      <c r="MMI14" s="1"/>
      <c r="MMJ14" s="1"/>
      <c r="MMK14" s="1"/>
      <c r="MML14" s="1"/>
      <c r="MMM14" s="1"/>
      <c r="MMN14" s="1"/>
      <c r="MMO14" s="1"/>
      <c r="MMP14" s="1"/>
      <c r="MMQ14" s="1"/>
      <c r="MMR14" s="1"/>
      <c r="MMS14" s="1"/>
      <c r="MMT14" s="1"/>
      <c r="MMU14" s="1"/>
      <c r="MMV14" s="1"/>
      <c r="MMW14" s="1"/>
      <c r="MMX14" s="1"/>
      <c r="MMY14" s="1"/>
      <c r="MMZ14" s="1"/>
      <c r="MNA14" s="1"/>
      <c r="MNB14" s="1"/>
      <c r="MNC14" s="1"/>
      <c r="MND14" s="1"/>
      <c r="MNE14" s="1"/>
      <c r="MNF14" s="1"/>
      <c r="MNG14" s="1"/>
      <c r="MNH14" s="1"/>
      <c r="MNI14" s="1"/>
      <c r="MNJ14" s="1"/>
      <c r="MNK14" s="1"/>
      <c r="MNL14" s="1"/>
      <c r="MNM14" s="1"/>
      <c r="MNN14" s="1"/>
      <c r="MNO14" s="1"/>
      <c r="MNP14" s="1"/>
      <c r="MNQ14" s="1"/>
      <c r="MNR14" s="1"/>
      <c r="MNS14" s="1"/>
      <c r="MNT14" s="1"/>
      <c r="MNU14" s="1"/>
      <c r="MNV14" s="1"/>
      <c r="MNW14" s="1"/>
      <c r="MNX14" s="1"/>
      <c r="MNY14" s="1"/>
      <c r="MNZ14" s="1"/>
      <c r="MOA14" s="1"/>
      <c r="MOB14" s="1"/>
      <c r="MOC14" s="1"/>
      <c r="MOD14" s="1"/>
      <c r="MOE14" s="1"/>
      <c r="MOF14" s="1"/>
      <c r="MOG14" s="1"/>
      <c r="MOH14" s="1"/>
      <c r="MOI14" s="1"/>
      <c r="MOJ14" s="1"/>
      <c r="MOK14" s="1"/>
      <c r="MOL14" s="1"/>
      <c r="MOM14" s="1"/>
      <c r="MON14" s="1"/>
      <c r="MOO14" s="1"/>
      <c r="MOP14" s="1"/>
      <c r="MOQ14" s="1"/>
      <c r="MOR14" s="1"/>
      <c r="MOS14" s="1"/>
      <c r="MOT14" s="1"/>
      <c r="MOU14" s="1"/>
      <c r="MOV14" s="1"/>
      <c r="MOW14" s="1"/>
      <c r="MOX14" s="1"/>
      <c r="MOY14" s="1"/>
      <c r="MOZ14" s="1"/>
      <c r="MPA14" s="1"/>
      <c r="MPB14" s="1"/>
      <c r="MPC14" s="1"/>
      <c r="MPD14" s="1"/>
      <c r="MPE14" s="1"/>
      <c r="MPF14" s="1"/>
      <c r="MPG14" s="1"/>
      <c r="MPH14" s="1"/>
      <c r="MPI14" s="1"/>
      <c r="MPJ14" s="1"/>
      <c r="MPK14" s="1"/>
      <c r="MPL14" s="1"/>
      <c r="MPM14" s="1"/>
      <c r="MPN14" s="1"/>
      <c r="MPO14" s="1"/>
      <c r="MPP14" s="1"/>
      <c r="MPQ14" s="1"/>
      <c r="MPR14" s="1"/>
      <c r="MPS14" s="1"/>
      <c r="MPT14" s="1"/>
      <c r="MPU14" s="1"/>
      <c r="MPV14" s="1"/>
      <c r="MPW14" s="1"/>
      <c r="MPX14" s="1"/>
      <c r="MPY14" s="1"/>
      <c r="MPZ14" s="1"/>
      <c r="MQA14" s="1"/>
      <c r="MQB14" s="1"/>
      <c r="MQC14" s="1"/>
      <c r="MQD14" s="1"/>
      <c r="MQE14" s="1"/>
      <c r="MQF14" s="1"/>
      <c r="MQG14" s="1"/>
      <c r="MQH14" s="1"/>
      <c r="MQI14" s="1"/>
      <c r="MQJ14" s="1"/>
      <c r="MQK14" s="1"/>
      <c r="MQL14" s="1"/>
      <c r="MQM14" s="1"/>
      <c r="MQN14" s="1"/>
      <c r="MQO14" s="1"/>
      <c r="MQP14" s="1"/>
      <c r="MQQ14" s="1"/>
      <c r="MQR14" s="1"/>
      <c r="MQS14" s="1"/>
      <c r="MQT14" s="1"/>
      <c r="MQU14" s="1"/>
      <c r="MQV14" s="1"/>
      <c r="MQW14" s="1"/>
      <c r="MQX14" s="1"/>
      <c r="MQY14" s="1"/>
      <c r="MQZ14" s="1"/>
      <c r="MRA14" s="1"/>
      <c r="MRB14" s="1"/>
      <c r="MRC14" s="1"/>
      <c r="MRD14" s="1"/>
      <c r="MRE14" s="1"/>
      <c r="MRF14" s="1"/>
      <c r="MRG14" s="1"/>
      <c r="MRH14" s="1"/>
      <c r="MRI14" s="1"/>
      <c r="MRJ14" s="1"/>
      <c r="MRK14" s="1"/>
      <c r="MRL14" s="1"/>
      <c r="MRM14" s="1"/>
      <c r="MRN14" s="1"/>
      <c r="MRO14" s="1"/>
      <c r="MRP14" s="1"/>
      <c r="MRQ14" s="1"/>
      <c r="MRR14" s="1"/>
      <c r="MRS14" s="1"/>
      <c r="MRT14" s="1"/>
      <c r="MRU14" s="1"/>
      <c r="MRV14" s="1"/>
      <c r="MRW14" s="1"/>
      <c r="MRX14" s="1"/>
      <c r="MRY14" s="1"/>
      <c r="MRZ14" s="1"/>
      <c r="MSA14" s="1"/>
      <c r="MSB14" s="1"/>
      <c r="MSC14" s="1"/>
      <c r="MSD14" s="1"/>
      <c r="MSE14" s="1"/>
      <c r="MSF14" s="1"/>
      <c r="MSG14" s="1"/>
      <c r="MSH14" s="1"/>
      <c r="MSI14" s="1"/>
      <c r="MSJ14" s="1"/>
      <c r="MSK14" s="1"/>
      <c r="MSL14" s="1"/>
      <c r="MSM14" s="1"/>
      <c r="MSN14" s="1"/>
      <c r="MSO14" s="1"/>
      <c r="MSP14" s="1"/>
      <c r="MSQ14" s="1"/>
      <c r="MSR14" s="1"/>
      <c r="MSS14" s="1"/>
      <c r="MST14" s="1"/>
      <c r="MSU14" s="1"/>
      <c r="MSV14" s="1"/>
      <c r="MSW14" s="1"/>
      <c r="MSX14" s="1"/>
      <c r="MSY14" s="1"/>
      <c r="MSZ14" s="1"/>
      <c r="MTA14" s="1"/>
      <c r="MTB14" s="1"/>
      <c r="MTC14" s="1"/>
      <c r="MTD14" s="1"/>
      <c r="MTE14" s="1"/>
      <c r="MTF14" s="1"/>
      <c r="MTG14" s="1"/>
      <c r="MTH14" s="1"/>
      <c r="MTI14" s="1"/>
      <c r="MTJ14" s="1"/>
      <c r="MTK14" s="1"/>
      <c r="MTL14" s="1"/>
      <c r="MTM14" s="1"/>
      <c r="MTN14" s="1"/>
      <c r="MTO14" s="1"/>
      <c r="MTP14" s="1"/>
      <c r="MTQ14" s="1"/>
      <c r="MTR14" s="1"/>
      <c r="MTS14" s="1"/>
      <c r="MTT14" s="1"/>
      <c r="MTU14" s="1"/>
      <c r="MTV14" s="1"/>
      <c r="MTW14" s="1"/>
      <c r="MTX14" s="1"/>
      <c r="MTY14" s="1"/>
      <c r="MTZ14" s="1"/>
      <c r="MUA14" s="1"/>
      <c r="MUB14" s="1"/>
      <c r="MUC14" s="1"/>
      <c r="MUD14" s="1"/>
      <c r="MUE14" s="1"/>
      <c r="MUF14" s="1"/>
      <c r="MUG14" s="1"/>
      <c r="MUH14" s="1"/>
      <c r="MUI14" s="1"/>
      <c r="MUJ14" s="1"/>
      <c r="MUK14" s="1"/>
      <c r="MUL14" s="1"/>
      <c r="MUM14" s="1"/>
      <c r="MUN14" s="1"/>
      <c r="MUO14" s="1"/>
      <c r="MUP14" s="1"/>
      <c r="MUQ14" s="1"/>
      <c r="MUR14" s="1"/>
      <c r="MUS14" s="1"/>
      <c r="MUT14" s="1"/>
      <c r="MUU14" s="1"/>
      <c r="MUV14" s="1"/>
      <c r="MUW14" s="1"/>
      <c r="MUX14" s="1"/>
      <c r="MUY14" s="1"/>
      <c r="MUZ14" s="1"/>
      <c r="MVA14" s="1"/>
      <c r="MVB14" s="1"/>
      <c r="MVC14" s="1"/>
      <c r="MVD14" s="1"/>
      <c r="MVE14" s="1"/>
      <c r="MVF14" s="1"/>
      <c r="MVG14" s="1"/>
      <c r="MVH14" s="1"/>
      <c r="MVI14" s="1"/>
      <c r="MVJ14" s="1"/>
      <c r="MVK14" s="1"/>
      <c r="MVL14" s="1"/>
      <c r="MVM14" s="1"/>
      <c r="MVN14" s="1"/>
      <c r="MVO14" s="1"/>
      <c r="MVP14" s="1"/>
      <c r="MVQ14" s="1"/>
      <c r="MVR14" s="1"/>
      <c r="MVS14" s="1"/>
      <c r="MVT14" s="1"/>
      <c r="MVU14" s="1"/>
      <c r="MVV14" s="1"/>
      <c r="MVW14" s="1"/>
      <c r="MVX14" s="1"/>
      <c r="MVY14" s="1"/>
      <c r="MVZ14" s="1"/>
      <c r="MWA14" s="1"/>
      <c r="MWB14" s="1"/>
      <c r="MWC14" s="1"/>
      <c r="MWD14" s="1"/>
      <c r="MWE14" s="1"/>
      <c r="MWF14" s="1"/>
      <c r="MWG14" s="1"/>
      <c r="MWH14" s="1"/>
      <c r="MWI14" s="1"/>
      <c r="MWJ14" s="1"/>
      <c r="MWK14" s="1"/>
      <c r="MWL14" s="1"/>
      <c r="MWM14" s="1"/>
      <c r="MWN14" s="1"/>
      <c r="MWO14" s="1"/>
      <c r="MWP14" s="1"/>
      <c r="MWQ14" s="1"/>
      <c r="MWR14" s="1"/>
      <c r="MWS14" s="1"/>
      <c r="MWT14" s="1"/>
      <c r="MWU14" s="1"/>
      <c r="MWV14" s="1"/>
      <c r="MWW14" s="1"/>
      <c r="MWX14" s="1"/>
      <c r="MWY14" s="1"/>
      <c r="MWZ14" s="1"/>
      <c r="MXA14" s="1"/>
      <c r="MXB14" s="1"/>
      <c r="MXC14" s="1"/>
      <c r="MXD14" s="1"/>
      <c r="MXE14" s="1"/>
      <c r="MXF14" s="1"/>
      <c r="MXG14" s="1"/>
      <c r="MXH14" s="1"/>
      <c r="MXI14" s="1"/>
      <c r="MXJ14" s="1"/>
      <c r="MXK14" s="1"/>
      <c r="MXL14" s="1"/>
      <c r="MXM14" s="1"/>
      <c r="MXN14" s="1"/>
      <c r="MXO14" s="1"/>
      <c r="MXP14" s="1"/>
      <c r="MXQ14" s="1"/>
      <c r="MXR14" s="1"/>
      <c r="MXS14" s="1"/>
      <c r="MXT14" s="1"/>
      <c r="MXU14" s="1"/>
      <c r="MXV14" s="1"/>
      <c r="MXW14" s="1"/>
      <c r="MXX14" s="1"/>
      <c r="MXY14" s="1"/>
      <c r="MXZ14" s="1"/>
      <c r="MYA14" s="1"/>
      <c r="MYB14" s="1"/>
      <c r="MYC14" s="1"/>
      <c r="MYD14" s="1"/>
      <c r="MYE14" s="1"/>
      <c r="MYF14" s="1"/>
      <c r="MYG14" s="1"/>
      <c r="MYH14" s="1"/>
      <c r="MYI14" s="1"/>
      <c r="MYJ14" s="1"/>
      <c r="MYK14" s="1"/>
      <c r="MYL14" s="1"/>
      <c r="MYM14" s="1"/>
      <c r="MYN14" s="1"/>
      <c r="MYO14" s="1"/>
      <c r="MYP14" s="1"/>
      <c r="MYQ14" s="1"/>
      <c r="MYR14" s="1"/>
      <c r="MYS14" s="1"/>
      <c r="MYT14" s="1"/>
      <c r="MYU14" s="1"/>
      <c r="MYV14" s="1"/>
      <c r="MYW14" s="1"/>
      <c r="MYX14" s="1"/>
      <c r="MYY14" s="1"/>
      <c r="MYZ14" s="1"/>
      <c r="MZA14" s="1"/>
      <c r="MZB14" s="1"/>
      <c r="MZC14" s="1"/>
      <c r="MZD14" s="1"/>
      <c r="MZE14" s="1"/>
      <c r="MZF14" s="1"/>
      <c r="MZG14" s="1"/>
      <c r="MZH14" s="1"/>
      <c r="MZI14" s="1"/>
      <c r="MZJ14" s="1"/>
      <c r="MZK14" s="1"/>
      <c r="MZL14" s="1"/>
      <c r="MZM14" s="1"/>
      <c r="MZN14" s="1"/>
      <c r="MZO14" s="1"/>
      <c r="MZP14" s="1"/>
      <c r="MZQ14" s="1"/>
      <c r="MZR14" s="1"/>
      <c r="MZS14" s="1"/>
      <c r="MZT14" s="1"/>
      <c r="MZU14" s="1"/>
      <c r="MZV14" s="1"/>
      <c r="MZW14" s="1"/>
      <c r="MZX14" s="1"/>
      <c r="MZY14" s="1"/>
      <c r="MZZ14" s="1"/>
      <c r="NAA14" s="1"/>
      <c r="NAB14" s="1"/>
      <c r="NAC14" s="1"/>
      <c r="NAD14" s="1"/>
      <c r="NAE14" s="1"/>
      <c r="NAF14" s="1"/>
      <c r="NAG14" s="1"/>
      <c r="NAH14" s="1"/>
      <c r="NAI14" s="1"/>
      <c r="NAJ14" s="1"/>
      <c r="NAK14" s="1"/>
      <c r="NAL14" s="1"/>
      <c r="NAM14" s="1"/>
      <c r="NAN14" s="1"/>
      <c r="NAO14" s="1"/>
      <c r="NAP14" s="1"/>
      <c r="NAQ14" s="1"/>
      <c r="NAR14" s="1"/>
      <c r="NAS14" s="1"/>
      <c r="NAT14" s="1"/>
      <c r="NAU14" s="1"/>
      <c r="NAV14" s="1"/>
      <c r="NAW14" s="1"/>
      <c r="NAX14" s="1"/>
      <c r="NAY14" s="1"/>
      <c r="NAZ14" s="1"/>
      <c r="NBA14" s="1"/>
      <c r="NBB14" s="1"/>
      <c r="NBC14" s="1"/>
      <c r="NBD14" s="1"/>
      <c r="NBE14" s="1"/>
      <c r="NBF14" s="1"/>
      <c r="NBG14" s="1"/>
      <c r="NBH14" s="1"/>
      <c r="NBI14" s="1"/>
      <c r="NBJ14" s="1"/>
      <c r="NBK14" s="1"/>
      <c r="NBL14" s="1"/>
      <c r="NBM14" s="1"/>
      <c r="NBN14" s="1"/>
      <c r="NBO14" s="1"/>
      <c r="NBP14" s="1"/>
      <c r="NBQ14" s="1"/>
      <c r="NBR14" s="1"/>
      <c r="NBS14" s="1"/>
      <c r="NBT14" s="1"/>
      <c r="NBU14" s="1"/>
      <c r="NBV14" s="1"/>
      <c r="NBW14" s="1"/>
      <c r="NBX14" s="1"/>
      <c r="NBY14" s="1"/>
      <c r="NBZ14" s="1"/>
      <c r="NCA14" s="1"/>
      <c r="NCB14" s="1"/>
      <c r="NCC14" s="1"/>
      <c r="NCD14" s="1"/>
      <c r="NCE14" s="1"/>
      <c r="NCF14" s="1"/>
      <c r="NCG14" s="1"/>
      <c r="NCH14" s="1"/>
      <c r="NCI14" s="1"/>
      <c r="NCJ14" s="1"/>
      <c r="NCK14" s="1"/>
      <c r="NCL14" s="1"/>
      <c r="NCM14" s="1"/>
      <c r="NCN14" s="1"/>
      <c r="NCO14" s="1"/>
      <c r="NCP14" s="1"/>
      <c r="NCQ14" s="1"/>
      <c r="NCR14" s="1"/>
      <c r="NCS14" s="1"/>
      <c r="NCT14" s="1"/>
      <c r="NCU14" s="1"/>
      <c r="NCV14" s="1"/>
      <c r="NCW14" s="1"/>
      <c r="NCX14" s="1"/>
      <c r="NCY14" s="1"/>
      <c r="NCZ14" s="1"/>
      <c r="NDA14" s="1"/>
      <c r="NDB14" s="1"/>
      <c r="NDC14" s="1"/>
      <c r="NDD14" s="1"/>
      <c r="NDE14" s="1"/>
      <c r="NDF14" s="1"/>
      <c r="NDG14" s="1"/>
      <c r="NDH14" s="1"/>
      <c r="NDI14" s="1"/>
      <c r="NDJ14" s="1"/>
      <c r="NDK14" s="1"/>
      <c r="NDL14" s="1"/>
      <c r="NDM14" s="1"/>
      <c r="NDN14" s="1"/>
      <c r="NDO14" s="1"/>
      <c r="NDP14" s="1"/>
      <c r="NDQ14" s="1"/>
      <c r="NDR14" s="1"/>
      <c r="NDS14" s="1"/>
      <c r="NDT14" s="1"/>
      <c r="NDU14" s="1"/>
      <c r="NDV14" s="1"/>
      <c r="NDW14" s="1"/>
      <c r="NDX14" s="1"/>
      <c r="NDY14" s="1"/>
      <c r="NDZ14" s="1"/>
      <c r="NEA14" s="1"/>
      <c r="NEB14" s="1"/>
      <c r="NEC14" s="1"/>
      <c r="NED14" s="1"/>
      <c r="NEE14" s="1"/>
      <c r="NEF14" s="1"/>
      <c r="NEG14" s="1"/>
      <c r="NEH14" s="1"/>
      <c r="NEI14" s="1"/>
      <c r="NEJ14" s="1"/>
      <c r="NEK14" s="1"/>
      <c r="NEL14" s="1"/>
      <c r="NEM14" s="1"/>
      <c r="NEN14" s="1"/>
      <c r="NEO14" s="1"/>
      <c r="NEP14" s="1"/>
      <c r="NEQ14" s="1"/>
      <c r="NER14" s="1"/>
      <c r="NES14" s="1"/>
      <c r="NET14" s="1"/>
      <c r="NEU14" s="1"/>
      <c r="NEV14" s="1"/>
      <c r="NEW14" s="1"/>
      <c r="NEX14" s="1"/>
      <c r="NEY14" s="1"/>
      <c r="NEZ14" s="1"/>
      <c r="NFA14" s="1"/>
      <c r="NFB14" s="1"/>
      <c r="NFC14" s="1"/>
      <c r="NFD14" s="1"/>
      <c r="NFE14" s="1"/>
      <c r="NFF14" s="1"/>
      <c r="NFG14" s="1"/>
      <c r="NFH14" s="1"/>
      <c r="NFI14" s="1"/>
      <c r="NFJ14" s="1"/>
      <c r="NFK14" s="1"/>
      <c r="NFL14" s="1"/>
      <c r="NFM14" s="1"/>
      <c r="NFN14" s="1"/>
      <c r="NFO14" s="1"/>
      <c r="NFP14" s="1"/>
      <c r="NFQ14" s="1"/>
      <c r="NFR14" s="1"/>
      <c r="NFS14" s="1"/>
      <c r="NFT14" s="1"/>
      <c r="NFU14" s="1"/>
      <c r="NFV14" s="1"/>
      <c r="NFW14" s="1"/>
      <c r="NFX14" s="1"/>
      <c r="NFY14" s="1"/>
      <c r="NFZ14" s="1"/>
      <c r="NGA14" s="1"/>
      <c r="NGB14" s="1"/>
      <c r="NGC14" s="1"/>
      <c r="NGD14" s="1"/>
      <c r="NGE14" s="1"/>
      <c r="NGF14" s="1"/>
      <c r="NGG14" s="1"/>
      <c r="NGH14" s="1"/>
      <c r="NGI14" s="1"/>
      <c r="NGJ14" s="1"/>
      <c r="NGK14" s="1"/>
      <c r="NGL14" s="1"/>
      <c r="NGM14" s="1"/>
      <c r="NGN14" s="1"/>
      <c r="NGO14" s="1"/>
      <c r="NGP14" s="1"/>
      <c r="NGQ14" s="1"/>
      <c r="NGR14" s="1"/>
      <c r="NGS14" s="1"/>
      <c r="NGT14" s="1"/>
      <c r="NGU14" s="1"/>
      <c r="NGV14" s="1"/>
      <c r="NGW14" s="1"/>
      <c r="NGX14" s="1"/>
      <c r="NGY14" s="1"/>
      <c r="NGZ14" s="1"/>
      <c r="NHA14" s="1"/>
      <c r="NHB14" s="1"/>
      <c r="NHC14" s="1"/>
      <c r="NHD14" s="1"/>
      <c r="NHE14" s="1"/>
      <c r="NHF14" s="1"/>
      <c r="NHG14" s="1"/>
      <c r="NHH14" s="1"/>
      <c r="NHI14" s="1"/>
      <c r="NHJ14" s="1"/>
      <c r="NHK14" s="1"/>
      <c r="NHL14" s="1"/>
      <c r="NHM14" s="1"/>
      <c r="NHN14" s="1"/>
      <c r="NHO14" s="1"/>
      <c r="NHP14" s="1"/>
      <c r="NHQ14" s="1"/>
      <c r="NHR14" s="1"/>
      <c r="NHS14" s="1"/>
      <c r="NHT14" s="1"/>
      <c r="NHU14" s="1"/>
      <c r="NHV14" s="1"/>
      <c r="NHW14" s="1"/>
      <c r="NHX14" s="1"/>
      <c r="NHY14" s="1"/>
      <c r="NHZ14" s="1"/>
      <c r="NIA14" s="1"/>
      <c r="NIB14" s="1"/>
      <c r="NIC14" s="1"/>
      <c r="NID14" s="1"/>
      <c r="NIE14" s="1"/>
      <c r="NIF14" s="1"/>
      <c r="NIG14" s="1"/>
      <c r="NIH14" s="1"/>
      <c r="NII14" s="1"/>
      <c r="NIJ14" s="1"/>
      <c r="NIK14" s="1"/>
      <c r="NIL14" s="1"/>
      <c r="NIM14" s="1"/>
      <c r="NIN14" s="1"/>
      <c r="NIO14" s="1"/>
      <c r="NIP14" s="1"/>
      <c r="NIQ14" s="1"/>
      <c r="NIR14" s="1"/>
      <c r="NIS14" s="1"/>
      <c r="NIT14" s="1"/>
      <c r="NIU14" s="1"/>
      <c r="NIV14" s="1"/>
      <c r="NIW14" s="1"/>
      <c r="NIX14" s="1"/>
      <c r="NIY14" s="1"/>
      <c r="NIZ14" s="1"/>
      <c r="NJA14" s="1"/>
      <c r="NJB14" s="1"/>
      <c r="NJC14" s="1"/>
      <c r="NJD14" s="1"/>
      <c r="NJE14" s="1"/>
      <c r="NJF14" s="1"/>
      <c r="NJG14" s="1"/>
      <c r="NJH14" s="1"/>
      <c r="NJI14" s="1"/>
      <c r="NJJ14" s="1"/>
      <c r="NJK14" s="1"/>
      <c r="NJL14" s="1"/>
      <c r="NJM14" s="1"/>
      <c r="NJN14" s="1"/>
      <c r="NJO14" s="1"/>
      <c r="NJP14" s="1"/>
      <c r="NJQ14" s="1"/>
      <c r="NJR14" s="1"/>
      <c r="NJS14" s="1"/>
      <c r="NJT14" s="1"/>
      <c r="NJU14" s="1"/>
      <c r="NJV14" s="1"/>
      <c r="NJW14" s="1"/>
      <c r="NJX14" s="1"/>
      <c r="NJY14" s="1"/>
      <c r="NJZ14" s="1"/>
      <c r="NKA14" s="1"/>
      <c r="NKB14" s="1"/>
      <c r="NKC14" s="1"/>
      <c r="NKD14" s="1"/>
      <c r="NKE14" s="1"/>
      <c r="NKF14" s="1"/>
      <c r="NKG14" s="1"/>
      <c r="NKH14" s="1"/>
      <c r="NKI14" s="1"/>
      <c r="NKJ14" s="1"/>
      <c r="NKK14" s="1"/>
      <c r="NKL14" s="1"/>
      <c r="NKM14" s="1"/>
      <c r="NKN14" s="1"/>
      <c r="NKO14" s="1"/>
      <c r="NKP14" s="1"/>
      <c r="NKQ14" s="1"/>
      <c r="NKR14" s="1"/>
      <c r="NKS14" s="1"/>
      <c r="NKT14" s="1"/>
      <c r="NKU14" s="1"/>
      <c r="NKV14" s="1"/>
      <c r="NKW14" s="1"/>
      <c r="NKX14" s="1"/>
      <c r="NKY14" s="1"/>
      <c r="NKZ14" s="1"/>
      <c r="NLA14" s="1"/>
      <c r="NLB14" s="1"/>
      <c r="NLC14" s="1"/>
      <c r="NLD14" s="1"/>
      <c r="NLE14" s="1"/>
      <c r="NLF14" s="1"/>
      <c r="NLG14" s="1"/>
      <c r="NLH14" s="1"/>
      <c r="NLI14" s="1"/>
      <c r="NLJ14" s="1"/>
      <c r="NLK14" s="1"/>
      <c r="NLL14" s="1"/>
      <c r="NLM14" s="1"/>
      <c r="NLN14" s="1"/>
      <c r="NLO14" s="1"/>
      <c r="NLP14" s="1"/>
      <c r="NLQ14" s="1"/>
      <c r="NLR14" s="1"/>
      <c r="NLS14" s="1"/>
      <c r="NLT14" s="1"/>
      <c r="NLU14" s="1"/>
      <c r="NLV14" s="1"/>
      <c r="NLW14" s="1"/>
      <c r="NLX14" s="1"/>
      <c r="NLY14" s="1"/>
      <c r="NLZ14" s="1"/>
      <c r="NMA14" s="1"/>
      <c r="NMB14" s="1"/>
      <c r="NMC14" s="1"/>
      <c r="NMD14" s="1"/>
      <c r="NME14" s="1"/>
      <c r="NMF14" s="1"/>
      <c r="NMG14" s="1"/>
      <c r="NMH14" s="1"/>
      <c r="NMI14" s="1"/>
      <c r="NMJ14" s="1"/>
      <c r="NMK14" s="1"/>
      <c r="NML14" s="1"/>
      <c r="NMM14" s="1"/>
      <c r="NMN14" s="1"/>
      <c r="NMO14" s="1"/>
      <c r="NMP14" s="1"/>
      <c r="NMQ14" s="1"/>
      <c r="NMR14" s="1"/>
      <c r="NMS14" s="1"/>
      <c r="NMT14" s="1"/>
      <c r="NMU14" s="1"/>
      <c r="NMV14" s="1"/>
      <c r="NMW14" s="1"/>
      <c r="NMX14" s="1"/>
      <c r="NMY14" s="1"/>
      <c r="NMZ14" s="1"/>
      <c r="NNA14" s="1"/>
      <c r="NNB14" s="1"/>
      <c r="NNC14" s="1"/>
      <c r="NND14" s="1"/>
      <c r="NNE14" s="1"/>
      <c r="NNF14" s="1"/>
      <c r="NNG14" s="1"/>
      <c r="NNH14" s="1"/>
      <c r="NNI14" s="1"/>
      <c r="NNJ14" s="1"/>
      <c r="NNK14" s="1"/>
      <c r="NNL14" s="1"/>
      <c r="NNM14" s="1"/>
      <c r="NNN14" s="1"/>
      <c r="NNO14" s="1"/>
      <c r="NNP14" s="1"/>
      <c r="NNQ14" s="1"/>
      <c r="NNR14" s="1"/>
      <c r="NNS14" s="1"/>
      <c r="NNT14" s="1"/>
      <c r="NNU14" s="1"/>
      <c r="NNV14" s="1"/>
      <c r="NNW14" s="1"/>
      <c r="NNX14" s="1"/>
      <c r="NNY14" s="1"/>
      <c r="NNZ14" s="1"/>
      <c r="NOA14" s="1"/>
      <c r="NOB14" s="1"/>
      <c r="NOC14" s="1"/>
      <c r="NOD14" s="1"/>
      <c r="NOE14" s="1"/>
      <c r="NOF14" s="1"/>
      <c r="NOG14" s="1"/>
      <c r="NOH14" s="1"/>
      <c r="NOI14" s="1"/>
      <c r="NOJ14" s="1"/>
      <c r="NOK14" s="1"/>
      <c r="NOL14" s="1"/>
      <c r="NOM14" s="1"/>
      <c r="NON14" s="1"/>
      <c r="NOO14" s="1"/>
      <c r="NOP14" s="1"/>
      <c r="NOQ14" s="1"/>
      <c r="NOR14" s="1"/>
      <c r="NOS14" s="1"/>
      <c r="NOT14" s="1"/>
      <c r="NOU14" s="1"/>
      <c r="NOV14" s="1"/>
      <c r="NOW14" s="1"/>
      <c r="NOX14" s="1"/>
      <c r="NOY14" s="1"/>
      <c r="NOZ14" s="1"/>
      <c r="NPA14" s="1"/>
      <c r="NPB14" s="1"/>
      <c r="NPC14" s="1"/>
      <c r="NPD14" s="1"/>
      <c r="NPE14" s="1"/>
      <c r="NPF14" s="1"/>
      <c r="NPG14" s="1"/>
      <c r="NPH14" s="1"/>
      <c r="NPI14" s="1"/>
      <c r="NPJ14" s="1"/>
      <c r="NPK14" s="1"/>
      <c r="NPL14" s="1"/>
      <c r="NPM14" s="1"/>
      <c r="NPN14" s="1"/>
      <c r="NPO14" s="1"/>
      <c r="NPP14" s="1"/>
      <c r="NPQ14" s="1"/>
      <c r="NPR14" s="1"/>
      <c r="NPS14" s="1"/>
      <c r="NPT14" s="1"/>
      <c r="NPU14" s="1"/>
      <c r="NPV14" s="1"/>
      <c r="NPW14" s="1"/>
      <c r="NPX14" s="1"/>
      <c r="NPY14" s="1"/>
      <c r="NPZ14" s="1"/>
      <c r="NQA14" s="1"/>
      <c r="NQB14" s="1"/>
      <c r="NQC14" s="1"/>
      <c r="NQD14" s="1"/>
      <c r="NQE14" s="1"/>
      <c r="NQF14" s="1"/>
      <c r="NQG14" s="1"/>
      <c r="NQH14" s="1"/>
      <c r="NQI14" s="1"/>
      <c r="NQJ14" s="1"/>
      <c r="NQK14" s="1"/>
      <c r="NQL14" s="1"/>
      <c r="NQM14" s="1"/>
      <c r="NQN14" s="1"/>
      <c r="NQO14" s="1"/>
      <c r="NQP14" s="1"/>
      <c r="NQQ14" s="1"/>
      <c r="NQR14" s="1"/>
      <c r="NQS14" s="1"/>
      <c r="NQT14" s="1"/>
      <c r="NQU14" s="1"/>
      <c r="NQV14" s="1"/>
      <c r="NQW14" s="1"/>
      <c r="NQX14" s="1"/>
      <c r="NQY14" s="1"/>
      <c r="NQZ14" s="1"/>
      <c r="NRA14" s="1"/>
      <c r="NRB14" s="1"/>
      <c r="NRC14" s="1"/>
      <c r="NRD14" s="1"/>
      <c r="NRE14" s="1"/>
      <c r="NRF14" s="1"/>
      <c r="NRG14" s="1"/>
      <c r="NRH14" s="1"/>
      <c r="NRI14" s="1"/>
      <c r="NRJ14" s="1"/>
      <c r="NRK14" s="1"/>
      <c r="NRL14" s="1"/>
      <c r="NRM14" s="1"/>
      <c r="NRN14" s="1"/>
      <c r="NRO14" s="1"/>
      <c r="NRP14" s="1"/>
      <c r="NRQ14" s="1"/>
      <c r="NRR14" s="1"/>
      <c r="NRS14" s="1"/>
      <c r="NRT14" s="1"/>
      <c r="NRU14" s="1"/>
      <c r="NRV14" s="1"/>
      <c r="NRW14" s="1"/>
      <c r="NRX14" s="1"/>
      <c r="NRY14" s="1"/>
      <c r="NRZ14" s="1"/>
      <c r="NSA14" s="1"/>
      <c r="NSB14" s="1"/>
      <c r="NSC14" s="1"/>
      <c r="NSD14" s="1"/>
      <c r="NSE14" s="1"/>
      <c r="NSF14" s="1"/>
      <c r="NSG14" s="1"/>
      <c r="NSH14" s="1"/>
      <c r="NSI14" s="1"/>
      <c r="NSJ14" s="1"/>
      <c r="NSK14" s="1"/>
      <c r="NSL14" s="1"/>
      <c r="NSM14" s="1"/>
      <c r="NSN14" s="1"/>
      <c r="NSO14" s="1"/>
      <c r="NSP14" s="1"/>
      <c r="NSQ14" s="1"/>
      <c r="NSR14" s="1"/>
      <c r="NSS14" s="1"/>
      <c r="NST14" s="1"/>
      <c r="NSU14" s="1"/>
      <c r="NSV14" s="1"/>
      <c r="NSW14" s="1"/>
      <c r="NSX14" s="1"/>
      <c r="NSY14" s="1"/>
      <c r="NSZ14" s="1"/>
      <c r="NTA14" s="1"/>
      <c r="NTB14" s="1"/>
      <c r="NTC14" s="1"/>
      <c r="NTD14" s="1"/>
      <c r="NTE14" s="1"/>
      <c r="NTF14" s="1"/>
      <c r="NTG14" s="1"/>
      <c r="NTH14" s="1"/>
      <c r="NTI14" s="1"/>
      <c r="NTJ14" s="1"/>
      <c r="NTK14" s="1"/>
      <c r="NTL14" s="1"/>
      <c r="NTM14" s="1"/>
      <c r="NTN14" s="1"/>
      <c r="NTO14" s="1"/>
      <c r="NTP14" s="1"/>
      <c r="NTQ14" s="1"/>
      <c r="NTR14" s="1"/>
      <c r="NTS14" s="1"/>
      <c r="NTT14" s="1"/>
      <c r="NTU14" s="1"/>
      <c r="NTV14" s="1"/>
      <c r="NTW14" s="1"/>
      <c r="NTX14" s="1"/>
      <c r="NTY14" s="1"/>
      <c r="NTZ14" s="1"/>
      <c r="NUA14" s="1"/>
      <c r="NUB14" s="1"/>
      <c r="NUC14" s="1"/>
      <c r="NUD14" s="1"/>
      <c r="NUE14" s="1"/>
      <c r="NUF14" s="1"/>
      <c r="NUG14" s="1"/>
      <c r="NUH14" s="1"/>
      <c r="NUI14" s="1"/>
      <c r="NUJ14" s="1"/>
      <c r="NUK14" s="1"/>
      <c r="NUL14" s="1"/>
      <c r="NUM14" s="1"/>
      <c r="NUN14" s="1"/>
      <c r="NUO14" s="1"/>
      <c r="NUP14" s="1"/>
      <c r="NUQ14" s="1"/>
      <c r="NUR14" s="1"/>
      <c r="NUS14" s="1"/>
      <c r="NUT14" s="1"/>
      <c r="NUU14" s="1"/>
      <c r="NUV14" s="1"/>
      <c r="NUW14" s="1"/>
      <c r="NUX14" s="1"/>
      <c r="NUY14" s="1"/>
      <c r="NUZ14" s="1"/>
      <c r="NVA14" s="1"/>
      <c r="NVB14" s="1"/>
      <c r="NVC14" s="1"/>
      <c r="NVD14" s="1"/>
      <c r="NVE14" s="1"/>
      <c r="NVF14" s="1"/>
      <c r="NVG14" s="1"/>
      <c r="NVH14" s="1"/>
      <c r="NVI14" s="1"/>
      <c r="NVJ14" s="1"/>
      <c r="NVK14" s="1"/>
      <c r="NVL14" s="1"/>
      <c r="NVM14" s="1"/>
      <c r="NVN14" s="1"/>
      <c r="NVO14" s="1"/>
      <c r="NVP14" s="1"/>
      <c r="NVQ14" s="1"/>
      <c r="NVR14" s="1"/>
      <c r="NVS14" s="1"/>
      <c r="NVT14" s="1"/>
      <c r="NVU14" s="1"/>
      <c r="NVV14" s="1"/>
      <c r="NVW14" s="1"/>
      <c r="NVX14" s="1"/>
      <c r="NVY14" s="1"/>
      <c r="NVZ14" s="1"/>
      <c r="NWA14" s="1"/>
      <c r="NWB14" s="1"/>
      <c r="NWC14" s="1"/>
      <c r="NWD14" s="1"/>
      <c r="NWE14" s="1"/>
      <c r="NWF14" s="1"/>
      <c r="NWG14" s="1"/>
      <c r="NWH14" s="1"/>
      <c r="NWI14" s="1"/>
      <c r="NWJ14" s="1"/>
      <c r="NWK14" s="1"/>
      <c r="NWL14" s="1"/>
      <c r="NWM14" s="1"/>
      <c r="NWN14" s="1"/>
      <c r="NWO14" s="1"/>
      <c r="NWP14" s="1"/>
      <c r="NWQ14" s="1"/>
      <c r="NWR14" s="1"/>
      <c r="NWS14" s="1"/>
      <c r="NWT14" s="1"/>
      <c r="NWU14" s="1"/>
      <c r="NWV14" s="1"/>
      <c r="NWW14" s="1"/>
      <c r="NWX14" s="1"/>
      <c r="NWY14" s="1"/>
      <c r="NWZ14" s="1"/>
      <c r="NXA14" s="1"/>
      <c r="NXB14" s="1"/>
      <c r="NXC14" s="1"/>
      <c r="NXD14" s="1"/>
      <c r="NXE14" s="1"/>
      <c r="NXF14" s="1"/>
      <c r="NXG14" s="1"/>
      <c r="NXH14" s="1"/>
      <c r="NXI14" s="1"/>
      <c r="NXJ14" s="1"/>
      <c r="NXK14" s="1"/>
      <c r="NXL14" s="1"/>
      <c r="NXM14" s="1"/>
      <c r="NXN14" s="1"/>
      <c r="NXO14" s="1"/>
      <c r="NXP14" s="1"/>
      <c r="NXQ14" s="1"/>
      <c r="NXR14" s="1"/>
      <c r="NXS14" s="1"/>
      <c r="NXT14" s="1"/>
      <c r="NXU14" s="1"/>
      <c r="NXV14" s="1"/>
      <c r="NXW14" s="1"/>
      <c r="NXX14" s="1"/>
      <c r="NXY14" s="1"/>
      <c r="NXZ14" s="1"/>
      <c r="NYA14" s="1"/>
      <c r="NYB14" s="1"/>
      <c r="NYC14" s="1"/>
      <c r="NYD14" s="1"/>
      <c r="NYE14" s="1"/>
      <c r="NYF14" s="1"/>
      <c r="NYG14" s="1"/>
      <c r="NYH14" s="1"/>
      <c r="NYI14" s="1"/>
      <c r="NYJ14" s="1"/>
      <c r="NYK14" s="1"/>
      <c r="NYL14" s="1"/>
      <c r="NYM14" s="1"/>
      <c r="NYN14" s="1"/>
      <c r="NYO14" s="1"/>
      <c r="NYP14" s="1"/>
      <c r="NYQ14" s="1"/>
      <c r="NYR14" s="1"/>
      <c r="NYS14" s="1"/>
      <c r="NYT14" s="1"/>
      <c r="NYU14" s="1"/>
      <c r="NYV14" s="1"/>
      <c r="NYW14" s="1"/>
      <c r="NYX14" s="1"/>
      <c r="NYY14" s="1"/>
      <c r="NYZ14" s="1"/>
      <c r="NZA14" s="1"/>
      <c r="NZB14" s="1"/>
      <c r="NZC14" s="1"/>
      <c r="NZD14" s="1"/>
      <c r="NZE14" s="1"/>
      <c r="NZF14" s="1"/>
      <c r="NZG14" s="1"/>
      <c r="NZH14" s="1"/>
      <c r="NZI14" s="1"/>
      <c r="NZJ14" s="1"/>
      <c r="NZK14" s="1"/>
      <c r="NZL14" s="1"/>
      <c r="NZM14" s="1"/>
      <c r="NZN14" s="1"/>
      <c r="NZO14" s="1"/>
      <c r="NZP14" s="1"/>
      <c r="NZQ14" s="1"/>
      <c r="NZR14" s="1"/>
      <c r="NZS14" s="1"/>
      <c r="NZT14" s="1"/>
      <c r="NZU14" s="1"/>
      <c r="NZV14" s="1"/>
      <c r="NZW14" s="1"/>
      <c r="NZX14" s="1"/>
      <c r="NZY14" s="1"/>
      <c r="NZZ14" s="1"/>
      <c r="OAA14" s="1"/>
      <c r="OAB14" s="1"/>
      <c r="OAC14" s="1"/>
      <c r="OAD14" s="1"/>
      <c r="OAE14" s="1"/>
      <c r="OAF14" s="1"/>
      <c r="OAG14" s="1"/>
      <c r="OAH14" s="1"/>
      <c r="OAI14" s="1"/>
      <c r="OAJ14" s="1"/>
      <c r="OAK14" s="1"/>
      <c r="OAL14" s="1"/>
      <c r="OAM14" s="1"/>
      <c r="OAN14" s="1"/>
      <c r="OAO14" s="1"/>
      <c r="OAP14" s="1"/>
      <c r="OAQ14" s="1"/>
      <c r="OAR14" s="1"/>
      <c r="OAS14" s="1"/>
      <c r="OAT14" s="1"/>
      <c r="OAU14" s="1"/>
      <c r="OAV14" s="1"/>
      <c r="OAW14" s="1"/>
      <c r="OAX14" s="1"/>
      <c r="OAY14" s="1"/>
      <c r="OAZ14" s="1"/>
      <c r="OBA14" s="1"/>
      <c r="OBB14" s="1"/>
      <c r="OBC14" s="1"/>
      <c r="OBD14" s="1"/>
      <c r="OBE14" s="1"/>
      <c r="OBF14" s="1"/>
      <c r="OBG14" s="1"/>
      <c r="OBH14" s="1"/>
      <c r="OBI14" s="1"/>
      <c r="OBJ14" s="1"/>
      <c r="OBK14" s="1"/>
      <c r="OBL14" s="1"/>
      <c r="OBM14" s="1"/>
      <c r="OBN14" s="1"/>
      <c r="OBO14" s="1"/>
      <c r="OBP14" s="1"/>
      <c r="OBQ14" s="1"/>
      <c r="OBR14" s="1"/>
      <c r="OBS14" s="1"/>
      <c r="OBT14" s="1"/>
      <c r="OBU14" s="1"/>
      <c r="OBV14" s="1"/>
      <c r="OBW14" s="1"/>
      <c r="OBX14" s="1"/>
      <c r="OBY14" s="1"/>
      <c r="OBZ14" s="1"/>
      <c r="OCA14" s="1"/>
      <c r="OCB14" s="1"/>
      <c r="OCC14" s="1"/>
      <c r="OCD14" s="1"/>
      <c r="OCE14" s="1"/>
      <c r="OCF14" s="1"/>
      <c r="OCG14" s="1"/>
      <c r="OCH14" s="1"/>
      <c r="OCI14" s="1"/>
      <c r="OCJ14" s="1"/>
      <c r="OCK14" s="1"/>
      <c r="OCL14" s="1"/>
      <c r="OCM14" s="1"/>
      <c r="OCN14" s="1"/>
      <c r="OCO14" s="1"/>
      <c r="OCP14" s="1"/>
      <c r="OCQ14" s="1"/>
      <c r="OCR14" s="1"/>
      <c r="OCS14" s="1"/>
      <c r="OCT14" s="1"/>
      <c r="OCU14" s="1"/>
      <c r="OCV14" s="1"/>
      <c r="OCW14" s="1"/>
      <c r="OCX14" s="1"/>
      <c r="OCY14" s="1"/>
      <c r="OCZ14" s="1"/>
      <c r="ODA14" s="1"/>
      <c r="ODB14" s="1"/>
      <c r="ODC14" s="1"/>
      <c r="ODD14" s="1"/>
      <c r="ODE14" s="1"/>
      <c r="ODF14" s="1"/>
      <c r="ODG14" s="1"/>
      <c r="ODH14" s="1"/>
      <c r="ODI14" s="1"/>
      <c r="ODJ14" s="1"/>
      <c r="ODK14" s="1"/>
      <c r="ODL14" s="1"/>
      <c r="ODM14" s="1"/>
      <c r="ODN14" s="1"/>
      <c r="ODO14" s="1"/>
      <c r="ODP14" s="1"/>
      <c r="ODQ14" s="1"/>
      <c r="ODR14" s="1"/>
      <c r="ODS14" s="1"/>
      <c r="ODT14" s="1"/>
      <c r="ODU14" s="1"/>
      <c r="ODV14" s="1"/>
      <c r="ODW14" s="1"/>
      <c r="ODX14" s="1"/>
      <c r="ODY14" s="1"/>
      <c r="ODZ14" s="1"/>
      <c r="OEA14" s="1"/>
      <c r="OEB14" s="1"/>
      <c r="OEC14" s="1"/>
      <c r="OED14" s="1"/>
      <c r="OEE14" s="1"/>
      <c r="OEF14" s="1"/>
      <c r="OEG14" s="1"/>
      <c r="OEH14" s="1"/>
      <c r="OEI14" s="1"/>
      <c r="OEJ14" s="1"/>
      <c r="OEK14" s="1"/>
      <c r="OEL14" s="1"/>
      <c r="OEM14" s="1"/>
      <c r="OEN14" s="1"/>
      <c r="OEO14" s="1"/>
      <c r="OEP14" s="1"/>
      <c r="OEQ14" s="1"/>
      <c r="OER14" s="1"/>
      <c r="OES14" s="1"/>
      <c r="OET14" s="1"/>
      <c r="OEU14" s="1"/>
      <c r="OEV14" s="1"/>
      <c r="OEW14" s="1"/>
      <c r="OEX14" s="1"/>
      <c r="OEY14" s="1"/>
      <c r="OEZ14" s="1"/>
      <c r="OFA14" s="1"/>
      <c r="OFB14" s="1"/>
      <c r="OFC14" s="1"/>
      <c r="OFD14" s="1"/>
      <c r="OFE14" s="1"/>
      <c r="OFF14" s="1"/>
      <c r="OFG14" s="1"/>
      <c r="OFH14" s="1"/>
      <c r="OFI14" s="1"/>
      <c r="OFJ14" s="1"/>
      <c r="OFK14" s="1"/>
      <c r="OFL14" s="1"/>
      <c r="OFM14" s="1"/>
      <c r="OFN14" s="1"/>
      <c r="OFO14" s="1"/>
      <c r="OFP14" s="1"/>
      <c r="OFQ14" s="1"/>
      <c r="OFR14" s="1"/>
      <c r="OFS14" s="1"/>
      <c r="OFT14" s="1"/>
      <c r="OFU14" s="1"/>
      <c r="OFV14" s="1"/>
      <c r="OFW14" s="1"/>
      <c r="OFX14" s="1"/>
      <c r="OFY14" s="1"/>
      <c r="OFZ14" s="1"/>
      <c r="OGA14" s="1"/>
      <c r="OGB14" s="1"/>
      <c r="OGC14" s="1"/>
      <c r="OGD14" s="1"/>
      <c r="OGE14" s="1"/>
      <c r="OGF14" s="1"/>
      <c r="OGG14" s="1"/>
      <c r="OGH14" s="1"/>
      <c r="OGI14" s="1"/>
      <c r="OGJ14" s="1"/>
      <c r="OGK14" s="1"/>
      <c r="OGL14" s="1"/>
      <c r="OGM14" s="1"/>
      <c r="OGN14" s="1"/>
      <c r="OGO14" s="1"/>
      <c r="OGP14" s="1"/>
      <c r="OGQ14" s="1"/>
      <c r="OGR14" s="1"/>
      <c r="OGS14" s="1"/>
      <c r="OGT14" s="1"/>
      <c r="OGU14" s="1"/>
      <c r="OGV14" s="1"/>
      <c r="OGW14" s="1"/>
      <c r="OGX14" s="1"/>
      <c r="OGY14" s="1"/>
      <c r="OGZ14" s="1"/>
      <c r="OHA14" s="1"/>
      <c r="OHB14" s="1"/>
      <c r="OHC14" s="1"/>
      <c r="OHD14" s="1"/>
      <c r="OHE14" s="1"/>
      <c r="OHF14" s="1"/>
      <c r="OHG14" s="1"/>
      <c r="OHH14" s="1"/>
      <c r="OHI14" s="1"/>
      <c r="OHJ14" s="1"/>
      <c r="OHK14" s="1"/>
      <c r="OHL14" s="1"/>
      <c r="OHM14" s="1"/>
      <c r="OHN14" s="1"/>
      <c r="OHO14" s="1"/>
      <c r="OHP14" s="1"/>
      <c r="OHQ14" s="1"/>
      <c r="OHR14" s="1"/>
      <c r="OHS14" s="1"/>
      <c r="OHT14" s="1"/>
      <c r="OHU14" s="1"/>
      <c r="OHV14" s="1"/>
      <c r="OHW14" s="1"/>
      <c r="OHX14" s="1"/>
      <c r="OHY14" s="1"/>
      <c r="OHZ14" s="1"/>
      <c r="OIA14" s="1"/>
      <c r="OIB14" s="1"/>
      <c r="OIC14" s="1"/>
      <c r="OID14" s="1"/>
      <c r="OIE14" s="1"/>
      <c r="OIF14" s="1"/>
      <c r="OIG14" s="1"/>
      <c r="OIH14" s="1"/>
      <c r="OII14" s="1"/>
      <c r="OIJ14" s="1"/>
      <c r="OIK14" s="1"/>
      <c r="OIL14" s="1"/>
      <c r="OIM14" s="1"/>
      <c r="OIN14" s="1"/>
      <c r="OIO14" s="1"/>
      <c r="OIP14" s="1"/>
      <c r="OIQ14" s="1"/>
      <c r="OIR14" s="1"/>
      <c r="OIS14" s="1"/>
      <c r="OIT14" s="1"/>
      <c r="OIU14" s="1"/>
      <c r="OIV14" s="1"/>
      <c r="OIW14" s="1"/>
      <c r="OIX14" s="1"/>
      <c r="OIY14" s="1"/>
      <c r="OIZ14" s="1"/>
      <c r="OJA14" s="1"/>
      <c r="OJB14" s="1"/>
      <c r="OJC14" s="1"/>
      <c r="OJD14" s="1"/>
      <c r="OJE14" s="1"/>
      <c r="OJF14" s="1"/>
      <c r="OJG14" s="1"/>
      <c r="OJH14" s="1"/>
      <c r="OJI14" s="1"/>
      <c r="OJJ14" s="1"/>
      <c r="OJK14" s="1"/>
      <c r="OJL14" s="1"/>
      <c r="OJM14" s="1"/>
      <c r="OJN14" s="1"/>
      <c r="OJO14" s="1"/>
      <c r="OJP14" s="1"/>
      <c r="OJQ14" s="1"/>
      <c r="OJR14" s="1"/>
      <c r="OJS14" s="1"/>
      <c r="OJT14" s="1"/>
      <c r="OJU14" s="1"/>
      <c r="OJV14" s="1"/>
      <c r="OJW14" s="1"/>
      <c r="OJX14" s="1"/>
      <c r="OJY14" s="1"/>
      <c r="OJZ14" s="1"/>
      <c r="OKA14" s="1"/>
      <c r="OKB14" s="1"/>
      <c r="OKC14" s="1"/>
      <c r="OKD14" s="1"/>
      <c r="OKE14" s="1"/>
      <c r="OKF14" s="1"/>
      <c r="OKG14" s="1"/>
      <c r="OKH14" s="1"/>
      <c r="OKI14" s="1"/>
      <c r="OKJ14" s="1"/>
      <c r="OKK14" s="1"/>
      <c r="OKL14" s="1"/>
      <c r="OKM14" s="1"/>
      <c r="OKN14" s="1"/>
      <c r="OKO14" s="1"/>
      <c r="OKP14" s="1"/>
      <c r="OKQ14" s="1"/>
      <c r="OKR14" s="1"/>
      <c r="OKS14" s="1"/>
      <c r="OKT14" s="1"/>
      <c r="OKU14" s="1"/>
      <c r="OKV14" s="1"/>
      <c r="OKW14" s="1"/>
      <c r="OKX14" s="1"/>
      <c r="OKY14" s="1"/>
      <c r="OKZ14" s="1"/>
      <c r="OLA14" s="1"/>
      <c r="OLB14" s="1"/>
      <c r="OLC14" s="1"/>
      <c r="OLD14" s="1"/>
      <c r="OLE14" s="1"/>
      <c r="OLF14" s="1"/>
      <c r="OLG14" s="1"/>
      <c r="OLH14" s="1"/>
      <c r="OLI14" s="1"/>
      <c r="OLJ14" s="1"/>
      <c r="OLK14" s="1"/>
      <c r="OLL14" s="1"/>
      <c r="OLM14" s="1"/>
      <c r="OLN14" s="1"/>
      <c r="OLO14" s="1"/>
      <c r="OLP14" s="1"/>
      <c r="OLQ14" s="1"/>
      <c r="OLR14" s="1"/>
      <c r="OLS14" s="1"/>
      <c r="OLT14" s="1"/>
      <c r="OLU14" s="1"/>
      <c r="OLV14" s="1"/>
      <c r="OLW14" s="1"/>
      <c r="OLX14" s="1"/>
      <c r="OLY14" s="1"/>
      <c r="OLZ14" s="1"/>
      <c r="OMA14" s="1"/>
      <c r="OMB14" s="1"/>
      <c r="OMC14" s="1"/>
      <c r="OMD14" s="1"/>
      <c r="OME14" s="1"/>
      <c r="OMF14" s="1"/>
      <c r="OMG14" s="1"/>
      <c r="OMH14" s="1"/>
      <c r="OMI14" s="1"/>
      <c r="OMJ14" s="1"/>
      <c r="OMK14" s="1"/>
      <c r="OML14" s="1"/>
      <c r="OMM14" s="1"/>
      <c r="OMN14" s="1"/>
      <c r="OMO14" s="1"/>
      <c r="OMP14" s="1"/>
      <c r="OMQ14" s="1"/>
      <c r="OMR14" s="1"/>
      <c r="OMS14" s="1"/>
      <c r="OMT14" s="1"/>
      <c r="OMU14" s="1"/>
      <c r="OMV14" s="1"/>
      <c r="OMW14" s="1"/>
      <c r="OMX14" s="1"/>
      <c r="OMY14" s="1"/>
      <c r="OMZ14" s="1"/>
      <c r="ONA14" s="1"/>
      <c r="ONB14" s="1"/>
      <c r="ONC14" s="1"/>
      <c r="OND14" s="1"/>
      <c r="ONE14" s="1"/>
      <c r="ONF14" s="1"/>
      <c r="ONG14" s="1"/>
      <c r="ONH14" s="1"/>
      <c r="ONI14" s="1"/>
      <c r="ONJ14" s="1"/>
      <c r="ONK14" s="1"/>
      <c r="ONL14" s="1"/>
      <c r="ONM14" s="1"/>
      <c r="ONN14" s="1"/>
      <c r="ONO14" s="1"/>
      <c r="ONP14" s="1"/>
      <c r="ONQ14" s="1"/>
      <c r="ONR14" s="1"/>
      <c r="ONS14" s="1"/>
      <c r="ONT14" s="1"/>
      <c r="ONU14" s="1"/>
      <c r="ONV14" s="1"/>
      <c r="ONW14" s="1"/>
      <c r="ONX14" s="1"/>
      <c r="ONY14" s="1"/>
      <c r="ONZ14" s="1"/>
      <c r="OOA14" s="1"/>
      <c r="OOB14" s="1"/>
      <c r="OOC14" s="1"/>
      <c r="OOD14" s="1"/>
      <c r="OOE14" s="1"/>
      <c r="OOF14" s="1"/>
      <c r="OOG14" s="1"/>
      <c r="OOH14" s="1"/>
      <c r="OOI14" s="1"/>
      <c r="OOJ14" s="1"/>
      <c r="OOK14" s="1"/>
      <c r="OOL14" s="1"/>
      <c r="OOM14" s="1"/>
      <c r="OON14" s="1"/>
      <c r="OOO14" s="1"/>
      <c r="OOP14" s="1"/>
      <c r="OOQ14" s="1"/>
      <c r="OOR14" s="1"/>
      <c r="OOS14" s="1"/>
      <c r="OOT14" s="1"/>
      <c r="OOU14" s="1"/>
      <c r="OOV14" s="1"/>
      <c r="OOW14" s="1"/>
      <c r="OOX14" s="1"/>
      <c r="OOY14" s="1"/>
      <c r="OOZ14" s="1"/>
      <c r="OPA14" s="1"/>
      <c r="OPB14" s="1"/>
      <c r="OPC14" s="1"/>
      <c r="OPD14" s="1"/>
      <c r="OPE14" s="1"/>
      <c r="OPF14" s="1"/>
      <c r="OPG14" s="1"/>
      <c r="OPH14" s="1"/>
      <c r="OPI14" s="1"/>
      <c r="OPJ14" s="1"/>
      <c r="OPK14" s="1"/>
      <c r="OPL14" s="1"/>
      <c r="OPM14" s="1"/>
      <c r="OPN14" s="1"/>
      <c r="OPO14" s="1"/>
      <c r="OPP14" s="1"/>
      <c r="OPQ14" s="1"/>
      <c r="OPR14" s="1"/>
      <c r="OPS14" s="1"/>
      <c r="OPT14" s="1"/>
      <c r="OPU14" s="1"/>
      <c r="OPV14" s="1"/>
      <c r="OPW14" s="1"/>
      <c r="OPX14" s="1"/>
      <c r="OPY14" s="1"/>
      <c r="OPZ14" s="1"/>
      <c r="OQA14" s="1"/>
      <c r="OQB14" s="1"/>
      <c r="OQC14" s="1"/>
      <c r="OQD14" s="1"/>
      <c r="OQE14" s="1"/>
      <c r="OQF14" s="1"/>
      <c r="OQG14" s="1"/>
      <c r="OQH14" s="1"/>
      <c r="OQI14" s="1"/>
      <c r="OQJ14" s="1"/>
      <c r="OQK14" s="1"/>
      <c r="OQL14" s="1"/>
      <c r="OQM14" s="1"/>
      <c r="OQN14" s="1"/>
      <c r="OQO14" s="1"/>
      <c r="OQP14" s="1"/>
      <c r="OQQ14" s="1"/>
      <c r="OQR14" s="1"/>
      <c r="OQS14" s="1"/>
      <c r="OQT14" s="1"/>
      <c r="OQU14" s="1"/>
      <c r="OQV14" s="1"/>
      <c r="OQW14" s="1"/>
      <c r="OQX14" s="1"/>
      <c r="OQY14" s="1"/>
      <c r="OQZ14" s="1"/>
      <c r="ORA14" s="1"/>
      <c r="ORB14" s="1"/>
      <c r="ORC14" s="1"/>
      <c r="ORD14" s="1"/>
      <c r="ORE14" s="1"/>
      <c r="ORF14" s="1"/>
      <c r="ORG14" s="1"/>
      <c r="ORH14" s="1"/>
      <c r="ORI14" s="1"/>
      <c r="ORJ14" s="1"/>
      <c r="ORK14" s="1"/>
      <c r="ORL14" s="1"/>
      <c r="ORM14" s="1"/>
      <c r="ORN14" s="1"/>
      <c r="ORO14" s="1"/>
      <c r="ORP14" s="1"/>
      <c r="ORQ14" s="1"/>
      <c r="ORR14" s="1"/>
      <c r="ORS14" s="1"/>
      <c r="ORT14" s="1"/>
      <c r="ORU14" s="1"/>
      <c r="ORV14" s="1"/>
      <c r="ORW14" s="1"/>
      <c r="ORX14" s="1"/>
      <c r="ORY14" s="1"/>
      <c r="ORZ14" s="1"/>
      <c r="OSA14" s="1"/>
      <c r="OSB14" s="1"/>
      <c r="OSC14" s="1"/>
      <c r="OSD14" s="1"/>
      <c r="OSE14" s="1"/>
      <c r="OSF14" s="1"/>
      <c r="OSG14" s="1"/>
      <c r="OSH14" s="1"/>
      <c r="OSI14" s="1"/>
      <c r="OSJ14" s="1"/>
      <c r="OSK14" s="1"/>
      <c r="OSL14" s="1"/>
      <c r="OSM14" s="1"/>
      <c r="OSN14" s="1"/>
      <c r="OSO14" s="1"/>
      <c r="OSP14" s="1"/>
      <c r="OSQ14" s="1"/>
      <c r="OSR14" s="1"/>
      <c r="OSS14" s="1"/>
      <c r="OST14" s="1"/>
      <c r="OSU14" s="1"/>
      <c r="OSV14" s="1"/>
      <c r="OSW14" s="1"/>
      <c r="OSX14" s="1"/>
      <c r="OSY14" s="1"/>
      <c r="OSZ14" s="1"/>
      <c r="OTA14" s="1"/>
      <c r="OTB14" s="1"/>
      <c r="OTC14" s="1"/>
      <c r="OTD14" s="1"/>
      <c r="OTE14" s="1"/>
      <c r="OTF14" s="1"/>
      <c r="OTG14" s="1"/>
      <c r="OTH14" s="1"/>
      <c r="OTI14" s="1"/>
      <c r="OTJ14" s="1"/>
      <c r="OTK14" s="1"/>
      <c r="OTL14" s="1"/>
      <c r="OTM14" s="1"/>
      <c r="OTN14" s="1"/>
      <c r="OTO14" s="1"/>
      <c r="OTP14" s="1"/>
      <c r="OTQ14" s="1"/>
      <c r="OTR14" s="1"/>
      <c r="OTS14" s="1"/>
      <c r="OTT14" s="1"/>
      <c r="OTU14" s="1"/>
      <c r="OTV14" s="1"/>
      <c r="OTW14" s="1"/>
      <c r="OTX14" s="1"/>
      <c r="OTY14" s="1"/>
      <c r="OTZ14" s="1"/>
      <c r="OUA14" s="1"/>
      <c r="OUB14" s="1"/>
      <c r="OUC14" s="1"/>
      <c r="OUD14" s="1"/>
      <c r="OUE14" s="1"/>
      <c r="OUF14" s="1"/>
      <c r="OUG14" s="1"/>
      <c r="OUH14" s="1"/>
      <c r="OUI14" s="1"/>
      <c r="OUJ14" s="1"/>
      <c r="OUK14" s="1"/>
      <c r="OUL14" s="1"/>
      <c r="OUM14" s="1"/>
      <c r="OUN14" s="1"/>
      <c r="OUO14" s="1"/>
      <c r="OUP14" s="1"/>
      <c r="OUQ14" s="1"/>
      <c r="OUR14" s="1"/>
      <c r="OUS14" s="1"/>
      <c r="OUT14" s="1"/>
      <c r="OUU14" s="1"/>
      <c r="OUV14" s="1"/>
      <c r="OUW14" s="1"/>
      <c r="OUX14" s="1"/>
      <c r="OUY14" s="1"/>
      <c r="OUZ14" s="1"/>
      <c r="OVA14" s="1"/>
      <c r="OVB14" s="1"/>
      <c r="OVC14" s="1"/>
      <c r="OVD14" s="1"/>
      <c r="OVE14" s="1"/>
      <c r="OVF14" s="1"/>
      <c r="OVG14" s="1"/>
      <c r="OVH14" s="1"/>
      <c r="OVI14" s="1"/>
      <c r="OVJ14" s="1"/>
      <c r="OVK14" s="1"/>
      <c r="OVL14" s="1"/>
      <c r="OVM14" s="1"/>
      <c r="OVN14" s="1"/>
      <c r="OVO14" s="1"/>
      <c r="OVP14" s="1"/>
      <c r="OVQ14" s="1"/>
      <c r="OVR14" s="1"/>
      <c r="OVS14" s="1"/>
      <c r="OVT14" s="1"/>
      <c r="OVU14" s="1"/>
      <c r="OVV14" s="1"/>
      <c r="OVW14" s="1"/>
      <c r="OVX14" s="1"/>
      <c r="OVY14" s="1"/>
      <c r="OVZ14" s="1"/>
      <c r="OWA14" s="1"/>
      <c r="OWB14" s="1"/>
      <c r="OWC14" s="1"/>
      <c r="OWD14" s="1"/>
      <c r="OWE14" s="1"/>
      <c r="OWF14" s="1"/>
      <c r="OWG14" s="1"/>
      <c r="OWH14" s="1"/>
      <c r="OWI14" s="1"/>
      <c r="OWJ14" s="1"/>
      <c r="OWK14" s="1"/>
      <c r="OWL14" s="1"/>
      <c r="OWM14" s="1"/>
      <c r="OWN14" s="1"/>
      <c r="OWO14" s="1"/>
      <c r="OWP14" s="1"/>
      <c r="OWQ14" s="1"/>
      <c r="OWR14" s="1"/>
      <c r="OWS14" s="1"/>
      <c r="OWT14" s="1"/>
      <c r="OWU14" s="1"/>
      <c r="OWV14" s="1"/>
      <c r="OWW14" s="1"/>
      <c r="OWX14" s="1"/>
      <c r="OWY14" s="1"/>
      <c r="OWZ14" s="1"/>
      <c r="OXA14" s="1"/>
      <c r="OXB14" s="1"/>
      <c r="OXC14" s="1"/>
      <c r="OXD14" s="1"/>
      <c r="OXE14" s="1"/>
      <c r="OXF14" s="1"/>
      <c r="OXG14" s="1"/>
      <c r="OXH14" s="1"/>
      <c r="OXI14" s="1"/>
      <c r="OXJ14" s="1"/>
      <c r="OXK14" s="1"/>
      <c r="OXL14" s="1"/>
      <c r="OXM14" s="1"/>
      <c r="OXN14" s="1"/>
      <c r="OXO14" s="1"/>
      <c r="OXP14" s="1"/>
      <c r="OXQ14" s="1"/>
      <c r="OXR14" s="1"/>
      <c r="OXS14" s="1"/>
      <c r="OXT14" s="1"/>
      <c r="OXU14" s="1"/>
      <c r="OXV14" s="1"/>
      <c r="OXW14" s="1"/>
      <c r="OXX14" s="1"/>
      <c r="OXY14" s="1"/>
      <c r="OXZ14" s="1"/>
      <c r="OYA14" s="1"/>
      <c r="OYB14" s="1"/>
      <c r="OYC14" s="1"/>
      <c r="OYD14" s="1"/>
      <c r="OYE14" s="1"/>
      <c r="OYF14" s="1"/>
      <c r="OYG14" s="1"/>
      <c r="OYH14" s="1"/>
      <c r="OYI14" s="1"/>
      <c r="OYJ14" s="1"/>
      <c r="OYK14" s="1"/>
      <c r="OYL14" s="1"/>
      <c r="OYM14" s="1"/>
      <c r="OYN14" s="1"/>
      <c r="OYO14" s="1"/>
      <c r="OYP14" s="1"/>
      <c r="OYQ14" s="1"/>
      <c r="OYR14" s="1"/>
      <c r="OYS14" s="1"/>
      <c r="OYT14" s="1"/>
      <c r="OYU14" s="1"/>
      <c r="OYV14" s="1"/>
      <c r="OYW14" s="1"/>
      <c r="OYX14" s="1"/>
      <c r="OYY14" s="1"/>
      <c r="OYZ14" s="1"/>
      <c r="OZA14" s="1"/>
      <c r="OZB14" s="1"/>
      <c r="OZC14" s="1"/>
      <c r="OZD14" s="1"/>
      <c r="OZE14" s="1"/>
      <c r="OZF14" s="1"/>
      <c r="OZG14" s="1"/>
      <c r="OZH14" s="1"/>
      <c r="OZI14" s="1"/>
      <c r="OZJ14" s="1"/>
      <c r="OZK14" s="1"/>
      <c r="OZL14" s="1"/>
      <c r="OZM14" s="1"/>
      <c r="OZN14" s="1"/>
      <c r="OZO14" s="1"/>
      <c r="OZP14" s="1"/>
      <c r="OZQ14" s="1"/>
      <c r="OZR14" s="1"/>
      <c r="OZS14" s="1"/>
      <c r="OZT14" s="1"/>
      <c r="OZU14" s="1"/>
      <c r="OZV14" s="1"/>
      <c r="OZW14" s="1"/>
      <c r="OZX14" s="1"/>
      <c r="OZY14" s="1"/>
      <c r="OZZ14" s="1"/>
      <c r="PAA14" s="1"/>
      <c r="PAB14" s="1"/>
      <c r="PAC14" s="1"/>
      <c r="PAD14" s="1"/>
      <c r="PAE14" s="1"/>
      <c r="PAF14" s="1"/>
      <c r="PAG14" s="1"/>
      <c r="PAH14" s="1"/>
      <c r="PAI14" s="1"/>
      <c r="PAJ14" s="1"/>
      <c r="PAK14" s="1"/>
      <c r="PAL14" s="1"/>
      <c r="PAM14" s="1"/>
      <c r="PAN14" s="1"/>
      <c r="PAO14" s="1"/>
      <c r="PAP14" s="1"/>
      <c r="PAQ14" s="1"/>
      <c r="PAR14" s="1"/>
      <c r="PAS14" s="1"/>
      <c r="PAT14" s="1"/>
      <c r="PAU14" s="1"/>
      <c r="PAV14" s="1"/>
      <c r="PAW14" s="1"/>
      <c r="PAX14" s="1"/>
      <c r="PAY14" s="1"/>
      <c r="PAZ14" s="1"/>
      <c r="PBA14" s="1"/>
      <c r="PBB14" s="1"/>
      <c r="PBC14" s="1"/>
      <c r="PBD14" s="1"/>
      <c r="PBE14" s="1"/>
      <c r="PBF14" s="1"/>
      <c r="PBG14" s="1"/>
      <c r="PBH14" s="1"/>
      <c r="PBI14" s="1"/>
      <c r="PBJ14" s="1"/>
      <c r="PBK14" s="1"/>
      <c r="PBL14" s="1"/>
      <c r="PBM14" s="1"/>
      <c r="PBN14" s="1"/>
      <c r="PBO14" s="1"/>
      <c r="PBP14" s="1"/>
      <c r="PBQ14" s="1"/>
      <c r="PBR14" s="1"/>
      <c r="PBS14" s="1"/>
      <c r="PBT14" s="1"/>
      <c r="PBU14" s="1"/>
      <c r="PBV14" s="1"/>
      <c r="PBW14" s="1"/>
      <c r="PBX14" s="1"/>
      <c r="PBY14" s="1"/>
      <c r="PBZ14" s="1"/>
      <c r="PCA14" s="1"/>
      <c r="PCB14" s="1"/>
      <c r="PCC14" s="1"/>
      <c r="PCD14" s="1"/>
      <c r="PCE14" s="1"/>
      <c r="PCF14" s="1"/>
      <c r="PCG14" s="1"/>
      <c r="PCH14" s="1"/>
      <c r="PCI14" s="1"/>
      <c r="PCJ14" s="1"/>
      <c r="PCK14" s="1"/>
      <c r="PCL14" s="1"/>
      <c r="PCM14" s="1"/>
      <c r="PCN14" s="1"/>
      <c r="PCO14" s="1"/>
      <c r="PCP14" s="1"/>
      <c r="PCQ14" s="1"/>
      <c r="PCR14" s="1"/>
      <c r="PCS14" s="1"/>
      <c r="PCT14" s="1"/>
      <c r="PCU14" s="1"/>
      <c r="PCV14" s="1"/>
      <c r="PCW14" s="1"/>
      <c r="PCX14" s="1"/>
      <c r="PCY14" s="1"/>
      <c r="PCZ14" s="1"/>
      <c r="PDA14" s="1"/>
      <c r="PDB14" s="1"/>
      <c r="PDC14" s="1"/>
      <c r="PDD14" s="1"/>
      <c r="PDE14" s="1"/>
      <c r="PDF14" s="1"/>
      <c r="PDG14" s="1"/>
      <c r="PDH14" s="1"/>
      <c r="PDI14" s="1"/>
      <c r="PDJ14" s="1"/>
      <c r="PDK14" s="1"/>
      <c r="PDL14" s="1"/>
      <c r="PDM14" s="1"/>
      <c r="PDN14" s="1"/>
      <c r="PDO14" s="1"/>
      <c r="PDP14" s="1"/>
      <c r="PDQ14" s="1"/>
      <c r="PDR14" s="1"/>
      <c r="PDS14" s="1"/>
      <c r="PDT14" s="1"/>
      <c r="PDU14" s="1"/>
      <c r="PDV14" s="1"/>
      <c r="PDW14" s="1"/>
      <c r="PDX14" s="1"/>
      <c r="PDY14" s="1"/>
      <c r="PDZ14" s="1"/>
      <c r="PEA14" s="1"/>
      <c r="PEB14" s="1"/>
      <c r="PEC14" s="1"/>
      <c r="PED14" s="1"/>
      <c r="PEE14" s="1"/>
      <c r="PEF14" s="1"/>
      <c r="PEG14" s="1"/>
      <c r="PEH14" s="1"/>
      <c r="PEI14" s="1"/>
      <c r="PEJ14" s="1"/>
      <c r="PEK14" s="1"/>
      <c r="PEL14" s="1"/>
      <c r="PEM14" s="1"/>
      <c r="PEN14" s="1"/>
      <c r="PEO14" s="1"/>
      <c r="PEP14" s="1"/>
      <c r="PEQ14" s="1"/>
      <c r="PER14" s="1"/>
      <c r="PES14" s="1"/>
      <c r="PET14" s="1"/>
      <c r="PEU14" s="1"/>
      <c r="PEV14" s="1"/>
      <c r="PEW14" s="1"/>
      <c r="PEX14" s="1"/>
      <c r="PEY14" s="1"/>
      <c r="PEZ14" s="1"/>
      <c r="PFA14" s="1"/>
      <c r="PFB14" s="1"/>
      <c r="PFC14" s="1"/>
      <c r="PFD14" s="1"/>
      <c r="PFE14" s="1"/>
      <c r="PFF14" s="1"/>
      <c r="PFG14" s="1"/>
      <c r="PFH14" s="1"/>
      <c r="PFI14" s="1"/>
      <c r="PFJ14" s="1"/>
      <c r="PFK14" s="1"/>
      <c r="PFL14" s="1"/>
      <c r="PFM14" s="1"/>
      <c r="PFN14" s="1"/>
      <c r="PFO14" s="1"/>
      <c r="PFP14" s="1"/>
      <c r="PFQ14" s="1"/>
      <c r="PFR14" s="1"/>
      <c r="PFS14" s="1"/>
      <c r="PFT14" s="1"/>
      <c r="PFU14" s="1"/>
      <c r="PFV14" s="1"/>
      <c r="PFW14" s="1"/>
      <c r="PFX14" s="1"/>
      <c r="PFY14" s="1"/>
      <c r="PFZ14" s="1"/>
      <c r="PGA14" s="1"/>
      <c r="PGB14" s="1"/>
      <c r="PGC14" s="1"/>
      <c r="PGD14" s="1"/>
      <c r="PGE14" s="1"/>
      <c r="PGF14" s="1"/>
      <c r="PGG14" s="1"/>
      <c r="PGH14" s="1"/>
      <c r="PGI14" s="1"/>
      <c r="PGJ14" s="1"/>
      <c r="PGK14" s="1"/>
      <c r="PGL14" s="1"/>
      <c r="PGM14" s="1"/>
      <c r="PGN14" s="1"/>
      <c r="PGO14" s="1"/>
      <c r="PGP14" s="1"/>
      <c r="PGQ14" s="1"/>
      <c r="PGR14" s="1"/>
      <c r="PGS14" s="1"/>
      <c r="PGT14" s="1"/>
      <c r="PGU14" s="1"/>
      <c r="PGV14" s="1"/>
      <c r="PGW14" s="1"/>
      <c r="PGX14" s="1"/>
      <c r="PGY14" s="1"/>
      <c r="PGZ14" s="1"/>
      <c r="PHA14" s="1"/>
      <c r="PHB14" s="1"/>
      <c r="PHC14" s="1"/>
      <c r="PHD14" s="1"/>
      <c r="PHE14" s="1"/>
      <c r="PHF14" s="1"/>
      <c r="PHG14" s="1"/>
      <c r="PHH14" s="1"/>
      <c r="PHI14" s="1"/>
      <c r="PHJ14" s="1"/>
      <c r="PHK14" s="1"/>
      <c r="PHL14" s="1"/>
      <c r="PHM14" s="1"/>
      <c r="PHN14" s="1"/>
      <c r="PHO14" s="1"/>
      <c r="PHP14" s="1"/>
      <c r="PHQ14" s="1"/>
      <c r="PHR14" s="1"/>
      <c r="PHS14" s="1"/>
      <c r="PHT14" s="1"/>
      <c r="PHU14" s="1"/>
      <c r="PHV14" s="1"/>
      <c r="PHW14" s="1"/>
      <c r="PHX14" s="1"/>
      <c r="PHY14" s="1"/>
      <c r="PHZ14" s="1"/>
      <c r="PIA14" s="1"/>
      <c r="PIB14" s="1"/>
      <c r="PIC14" s="1"/>
      <c r="PID14" s="1"/>
      <c r="PIE14" s="1"/>
      <c r="PIF14" s="1"/>
      <c r="PIG14" s="1"/>
      <c r="PIH14" s="1"/>
      <c r="PII14" s="1"/>
      <c r="PIJ14" s="1"/>
      <c r="PIK14" s="1"/>
      <c r="PIL14" s="1"/>
      <c r="PIM14" s="1"/>
      <c r="PIN14" s="1"/>
      <c r="PIO14" s="1"/>
      <c r="PIP14" s="1"/>
      <c r="PIQ14" s="1"/>
      <c r="PIR14" s="1"/>
      <c r="PIS14" s="1"/>
      <c r="PIT14" s="1"/>
      <c r="PIU14" s="1"/>
      <c r="PIV14" s="1"/>
      <c r="PIW14" s="1"/>
      <c r="PIX14" s="1"/>
      <c r="PIY14" s="1"/>
      <c r="PIZ14" s="1"/>
      <c r="PJA14" s="1"/>
      <c r="PJB14" s="1"/>
      <c r="PJC14" s="1"/>
      <c r="PJD14" s="1"/>
      <c r="PJE14" s="1"/>
      <c r="PJF14" s="1"/>
      <c r="PJG14" s="1"/>
      <c r="PJH14" s="1"/>
      <c r="PJI14" s="1"/>
      <c r="PJJ14" s="1"/>
      <c r="PJK14" s="1"/>
      <c r="PJL14" s="1"/>
      <c r="PJM14" s="1"/>
      <c r="PJN14" s="1"/>
      <c r="PJO14" s="1"/>
      <c r="PJP14" s="1"/>
      <c r="PJQ14" s="1"/>
      <c r="PJR14" s="1"/>
      <c r="PJS14" s="1"/>
      <c r="PJT14" s="1"/>
      <c r="PJU14" s="1"/>
      <c r="PJV14" s="1"/>
      <c r="PJW14" s="1"/>
      <c r="PJX14" s="1"/>
      <c r="PJY14" s="1"/>
      <c r="PJZ14" s="1"/>
      <c r="PKA14" s="1"/>
      <c r="PKB14" s="1"/>
      <c r="PKC14" s="1"/>
      <c r="PKD14" s="1"/>
      <c r="PKE14" s="1"/>
      <c r="PKF14" s="1"/>
      <c r="PKG14" s="1"/>
      <c r="PKH14" s="1"/>
      <c r="PKI14" s="1"/>
      <c r="PKJ14" s="1"/>
      <c r="PKK14" s="1"/>
      <c r="PKL14" s="1"/>
      <c r="PKM14" s="1"/>
      <c r="PKN14" s="1"/>
      <c r="PKO14" s="1"/>
      <c r="PKP14" s="1"/>
      <c r="PKQ14" s="1"/>
      <c r="PKR14" s="1"/>
      <c r="PKS14" s="1"/>
      <c r="PKT14" s="1"/>
      <c r="PKU14" s="1"/>
      <c r="PKV14" s="1"/>
      <c r="PKW14" s="1"/>
      <c r="PKX14" s="1"/>
      <c r="PKY14" s="1"/>
      <c r="PKZ14" s="1"/>
      <c r="PLA14" s="1"/>
      <c r="PLB14" s="1"/>
      <c r="PLC14" s="1"/>
      <c r="PLD14" s="1"/>
      <c r="PLE14" s="1"/>
      <c r="PLF14" s="1"/>
      <c r="PLG14" s="1"/>
      <c r="PLH14" s="1"/>
      <c r="PLI14" s="1"/>
      <c r="PLJ14" s="1"/>
      <c r="PLK14" s="1"/>
      <c r="PLL14" s="1"/>
      <c r="PLM14" s="1"/>
      <c r="PLN14" s="1"/>
      <c r="PLO14" s="1"/>
      <c r="PLP14" s="1"/>
      <c r="PLQ14" s="1"/>
      <c r="PLR14" s="1"/>
      <c r="PLS14" s="1"/>
      <c r="PLT14" s="1"/>
      <c r="PLU14" s="1"/>
      <c r="PLV14" s="1"/>
      <c r="PLW14" s="1"/>
      <c r="PLX14" s="1"/>
      <c r="PLY14" s="1"/>
      <c r="PLZ14" s="1"/>
      <c r="PMA14" s="1"/>
      <c r="PMB14" s="1"/>
      <c r="PMC14" s="1"/>
      <c r="PMD14" s="1"/>
      <c r="PME14" s="1"/>
      <c r="PMF14" s="1"/>
      <c r="PMG14" s="1"/>
      <c r="PMH14" s="1"/>
      <c r="PMI14" s="1"/>
      <c r="PMJ14" s="1"/>
      <c r="PMK14" s="1"/>
      <c r="PML14" s="1"/>
      <c r="PMM14" s="1"/>
      <c r="PMN14" s="1"/>
      <c r="PMO14" s="1"/>
      <c r="PMP14" s="1"/>
      <c r="PMQ14" s="1"/>
      <c r="PMR14" s="1"/>
      <c r="PMS14" s="1"/>
      <c r="PMT14" s="1"/>
      <c r="PMU14" s="1"/>
      <c r="PMV14" s="1"/>
      <c r="PMW14" s="1"/>
      <c r="PMX14" s="1"/>
      <c r="PMY14" s="1"/>
      <c r="PMZ14" s="1"/>
      <c r="PNA14" s="1"/>
      <c r="PNB14" s="1"/>
      <c r="PNC14" s="1"/>
      <c r="PND14" s="1"/>
      <c r="PNE14" s="1"/>
      <c r="PNF14" s="1"/>
      <c r="PNG14" s="1"/>
      <c r="PNH14" s="1"/>
      <c r="PNI14" s="1"/>
      <c r="PNJ14" s="1"/>
      <c r="PNK14" s="1"/>
      <c r="PNL14" s="1"/>
      <c r="PNM14" s="1"/>
      <c r="PNN14" s="1"/>
      <c r="PNO14" s="1"/>
      <c r="PNP14" s="1"/>
      <c r="PNQ14" s="1"/>
      <c r="PNR14" s="1"/>
      <c r="PNS14" s="1"/>
      <c r="PNT14" s="1"/>
      <c r="PNU14" s="1"/>
      <c r="PNV14" s="1"/>
      <c r="PNW14" s="1"/>
      <c r="PNX14" s="1"/>
      <c r="PNY14" s="1"/>
      <c r="PNZ14" s="1"/>
      <c r="POA14" s="1"/>
      <c r="POB14" s="1"/>
      <c r="POC14" s="1"/>
      <c r="POD14" s="1"/>
      <c r="POE14" s="1"/>
      <c r="POF14" s="1"/>
      <c r="POG14" s="1"/>
      <c r="POH14" s="1"/>
      <c r="POI14" s="1"/>
      <c r="POJ14" s="1"/>
      <c r="POK14" s="1"/>
      <c r="POL14" s="1"/>
      <c r="POM14" s="1"/>
      <c r="PON14" s="1"/>
      <c r="POO14" s="1"/>
      <c r="POP14" s="1"/>
      <c r="POQ14" s="1"/>
      <c r="POR14" s="1"/>
      <c r="POS14" s="1"/>
      <c r="POT14" s="1"/>
      <c r="POU14" s="1"/>
      <c r="POV14" s="1"/>
      <c r="POW14" s="1"/>
      <c r="POX14" s="1"/>
      <c r="POY14" s="1"/>
      <c r="POZ14" s="1"/>
      <c r="PPA14" s="1"/>
      <c r="PPB14" s="1"/>
      <c r="PPC14" s="1"/>
      <c r="PPD14" s="1"/>
      <c r="PPE14" s="1"/>
      <c r="PPF14" s="1"/>
      <c r="PPG14" s="1"/>
      <c r="PPH14" s="1"/>
      <c r="PPI14" s="1"/>
      <c r="PPJ14" s="1"/>
      <c r="PPK14" s="1"/>
      <c r="PPL14" s="1"/>
      <c r="PPM14" s="1"/>
      <c r="PPN14" s="1"/>
      <c r="PPO14" s="1"/>
      <c r="PPP14" s="1"/>
      <c r="PPQ14" s="1"/>
      <c r="PPR14" s="1"/>
      <c r="PPS14" s="1"/>
      <c r="PPT14" s="1"/>
      <c r="PPU14" s="1"/>
      <c r="PPV14" s="1"/>
      <c r="PPW14" s="1"/>
      <c r="PPX14" s="1"/>
      <c r="PPY14" s="1"/>
      <c r="PPZ14" s="1"/>
      <c r="PQA14" s="1"/>
      <c r="PQB14" s="1"/>
      <c r="PQC14" s="1"/>
      <c r="PQD14" s="1"/>
      <c r="PQE14" s="1"/>
      <c r="PQF14" s="1"/>
      <c r="PQG14" s="1"/>
      <c r="PQH14" s="1"/>
      <c r="PQI14" s="1"/>
      <c r="PQJ14" s="1"/>
      <c r="PQK14" s="1"/>
      <c r="PQL14" s="1"/>
      <c r="PQM14" s="1"/>
      <c r="PQN14" s="1"/>
      <c r="PQO14" s="1"/>
      <c r="PQP14" s="1"/>
      <c r="PQQ14" s="1"/>
      <c r="PQR14" s="1"/>
      <c r="PQS14" s="1"/>
      <c r="PQT14" s="1"/>
      <c r="PQU14" s="1"/>
      <c r="PQV14" s="1"/>
      <c r="PQW14" s="1"/>
      <c r="PQX14" s="1"/>
      <c r="PQY14" s="1"/>
      <c r="PQZ14" s="1"/>
      <c r="PRA14" s="1"/>
      <c r="PRB14" s="1"/>
      <c r="PRC14" s="1"/>
      <c r="PRD14" s="1"/>
      <c r="PRE14" s="1"/>
      <c r="PRF14" s="1"/>
      <c r="PRG14" s="1"/>
      <c r="PRH14" s="1"/>
      <c r="PRI14" s="1"/>
      <c r="PRJ14" s="1"/>
      <c r="PRK14" s="1"/>
      <c r="PRL14" s="1"/>
      <c r="PRM14" s="1"/>
      <c r="PRN14" s="1"/>
      <c r="PRO14" s="1"/>
      <c r="PRP14" s="1"/>
      <c r="PRQ14" s="1"/>
      <c r="PRR14" s="1"/>
      <c r="PRS14" s="1"/>
      <c r="PRT14" s="1"/>
      <c r="PRU14" s="1"/>
      <c r="PRV14" s="1"/>
      <c r="PRW14" s="1"/>
      <c r="PRX14" s="1"/>
      <c r="PRY14" s="1"/>
      <c r="PRZ14" s="1"/>
      <c r="PSA14" s="1"/>
      <c r="PSB14" s="1"/>
      <c r="PSC14" s="1"/>
      <c r="PSD14" s="1"/>
      <c r="PSE14" s="1"/>
      <c r="PSF14" s="1"/>
      <c r="PSG14" s="1"/>
      <c r="PSH14" s="1"/>
      <c r="PSI14" s="1"/>
      <c r="PSJ14" s="1"/>
      <c r="PSK14" s="1"/>
      <c r="PSL14" s="1"/>
      <c r="PSM14" s="1"/>
      <c r="PSN14" s="1"/>
      <c r="PSO14" s="1"/>
      <c r="PSP14" s="1"/>
      <c r="PSQ14" s="1"/>
      <c r="PSR14" s="1"/>
      <c r="PSS14" s="1"/>
      <c r="PST14" s="1"/>
      <c r="PSU14" s="1"/>
      <c r="PSV14" s="1"/>
      <c r="PSW14" s="1"/>
      <c r="PSX14" s="1"/>
      <c r="PSY14" s="1"/>
      <c r="PSZ14" s="1"/>
      <c r="PTA14" s="1"/>
      <c r="PTB14" s="1"/>
      <c r="PTC14" s="1"/>
      <c r="PTD14" s="1"/>
      <c r="PTE14" s="1"/>
      <c r="PTF14" s="1"/>
      <c r="PTG14" s="1"/>
      <c r="PTH14" s="1"/>
      <c r="PTI14" s="1"/>
      <c r="PTJ14" s="1"/>
      <c r="PTK14" s="1"/>
      <c r="PTL14" s="1"/>
      <c r="PTM14" s="1"/>
      <c r="PTN14" s="1"/>
      <c r="PTO14" s="1"/>
      <c r="PTP14" s="1"/>
      <c r="PTQ14" s="1"/>
      <c r="PTR14" s="1"/>
      <c r="PTS14" s="1"/>
      <c r="PTT14" s="1"/>
      <c r="PTU14" s="1"/>
      <c r="PTV14" s="1"/>
      <c r="PTW14" s="1"/>
      <c r="PTX14" s="1"/>
      <c r="PTY14" s="1"/>
      <c r="PTZ14" s="1"/>
      <c r="PUA14" s="1"/>
      <c r="PUB14" s="1"/>
      <c r="PUC14" s="1"/>
      <c r="PUD14" s="1"/>
      <c r="PUE14" s="1"/>
      <c r="PUF14" s="1"/>
      <c r="PUG14" s="1"/>
      <c r="PUH14" s="1"/>
      <c r="PUI14" s="1"/>
      <c r="PUJ14" s="1"/>
      <c r="PUK14" s="1"/>
      <c r="PUL14" s="1"/>
      <c r="PUM14" s="1"/>
      <c r="PUN14" s="1"/>
      <c r="PUO14" s="1"/>
      <c r="PUP14" s="1"/>
      <c r="PUQ14" s="1"/>
      <c r="PUR14" s="1"/>
      <c r="PUS14" s="1"/>
      <c r="PUT14" s="1"/>
      <c r="PUU14" s="1"/>
      <c r="PUV14" s="1"/>
      <c r="PUW14" s="1"/>
      <c r="PUX14" s="1"/>
      <c r="PUY14" s="1"/>
      <c r="PUZ14" s="1"/>
      <c r="PVA14" s="1"/>
      <c r="PVB14" s="1"/>
      <c r="PVC14" s="1"/>
      <c r="PVD14" s="1"/>
      <c r="PVE14" s="1"/>
      <c r="PVF14" s="1"/>
      <c r="PVG14" s="1"/>
      <c r="PVH14" s="1"/>
      <c r="PVI14" s="1"/>
      <c r="PVJ14" s="1"/>
      <c r="PVK14" s="1"/>
      <c r="PVL14" s="1"/>
      <c r="PVM14" s="1"/>
      <c r="PVN14" s="1"/>
      <c r="PVO14" s="1"/>
      <c r="PVP14" s="1"/>
      <c r="PVQ14" s="1"/>
      <c r="PVR14" s="1"/>
      <c r="PVS14" s="1"/>
      <c r="PVT14" s="1"/>
      <c r="PVU14" s="1"/>
      <c r="PVV14" s="1"/>
      <c r="PVW14" s="1"/>
      <c r="PVX14" s="1"/>
      <c r="PVY14" s="1"/>
      <c r="PVZ14" s="1"/>
      <c r="PWA14" s="1"/>
      <c r="PWB14" s="1"/>
      <c r="PWC14" s="1"/>
      <c r="PWD14" s="1"/>
      <c r="PWE14" s="1"/>
      <c r="PWF14" s="1"/>
      <c r="PWG14" s="1"/>
      <c r="PWH14" s="1"/>
      <c r="PWI14" s="1"/>
      <c r="PWJ14" s="1"/>
      <c r="PWK14" s="1"/>
      <c r="PWL14" s="1"/>
      <c r="PWM14" s="1"/>
      <c r="PWN14" s="1"/>
      <c r="PWO14" s="1"/>
      <c r="PWP14" s="1"/>
      <c r="PWQ14" s="1"/>
      <c r="PWR14" s="1"/>
      <c r="PWS14" s="1"/>
      <c r="PWT14" s="1"/>
      <c r="PWU14" s="1"/>
      <c r="PWV14" s="1"/>
      <c r="PWW14" s="1"/>
      <c r="PWX14" s="1"/>
      <c r="PWY14" s="1"/>
      <c r="PWZ14" s="1"/>
      <c r="PXA14" s="1"/>
      <c r="PXB14" s="1"/>
      <c r="PXC14" s="1"/>
      <c r="PXD14" s="1"/>
      <c r="PXE14" s="1"/>
      <c r="PXF14" s="1"/>
      <c r="PXG14" s="1"/>
      <c r="PXH14" s="1"/>
      <c r="PXI14" s="1"/>
      <c r="PXJ14" s="1"/>
      <c r="PXK14" s="1"/>
      <c r="PXL14" s="1"/>
      <c r="PXM14" s="1"/>
      <c r="PXN14" s="1"/>
      <c r="PXO14" s="1"/>
      <c r="PXP14" s="1"/>
      <c r="PXQ14" s="1"/>
      <c r="PXR14" s="1"/>
      <c r="PXS14" s="1"/>
      <c r="PXT14" s="1"/>
      <c r="PXU14" s="1"/>
      <c r="PXV14" s="1"/>
      <c r="PXW14" s="1"/>
      <c r="PXX14" s="1"/>
      <c r="PXY14" s="1"/>
      <c r="PXZ14" s="1"/>
      <c r="PYA14" s="1"/>
      <c r="PYB14" s="1"/>
      <c r="PYC14" s="1"/>
      <c r="PYD14" s="1"/>
      <c r="PYE14" s="1"/>
      <c r="PYF14" s="1"/>
      <c r="PYG14" s="1"/>
      <c r="PYH14" s="1"/>
      <c r="PYI14" s="1"/>
      <c r="PYJ14" s="1"/>
      <c r="PYK14" s="1"/>
      <c r="PYL14" s="1"/>
      <c r="PYM14" s="1"/>
      <c r="PYN14" s="1"/>
      <c r="PYO14" s="1"/>
      <c r="PYP14" s="1"/>
      <c r="PYQ14" s="1"/>
      <c r="PYR14" s="1"/>
      <c r="PYS14" s="1"/>
      <c r="PYT14" s="1"/>
      <c r="PYU14" s="1"/>
      <c r="PYV14" s="1"/>
      <c r="PYW14" s="1"/>
      <c r="PYX14" s="1"/>
      <c r="PYY14" s="1"/>
      <c r="PYZ14" s="1"/>
      <c r="PZA14" s="1"/>
      <c r="PZB14" s="1"/>
      <c r="PZC14" s="1"/>
      <c r="PZD14" s="1"/>
      <c r="PZE14" s="1"/>
      <c r="PZF14" s="1"/>
      <c r="PZG14" s="1"/>
      <c r="PZH14" s="1"/>
      <c r="PZI14" s="1"/>
      <c r="PZJ14" s="1"/>
      <c r="PZK14" s="1"/>
      <c r="PZL14" s="1"/>
      <c r="PZM14" s="1"/>
      <c r="PZN14" s="1"/>
      <c r="PZO14" s="1"/>
      <c r="PZP14" s="1"/>
      <c r="PZQ14" s="1"/>
      <c r="PZR14" s="1"/>
      <c r="PZS14" s="1"/>
      <c r="PZT14" s="1"/>
      <c r="PZU14" s="1"/>
      <c r="PZV14" s="1"/>
      <c r="PZW14" s="1"/>
      <c r="PZX14" s="1"/>
      <c r="PZY14" s="1"/>
      <c r="PZZ14" s="1"/>
      <c r="QAA14" s="1"/>
      <c r="QAB14" s="1"/>
      <c r="QAC14" s="1"/>
      <c r="QAD14" s="1"/>
      <c r="QAE14" s="1"/>
      <c r="QAF14" s="1"/>
      <c r="QAG14" s="1"/>
      <c r="QAH14" s="1"/>
      <c r="QAI14" s="1"/>
      <c r="QAJ14" s="1"/>
      <c r="QAK14" s="1"/>
      <c r="QAL14" s="1"/>
      <c r="QAM14" s="1"/>
      <c r="QAN14" s="1"/>
      <c r="QAO14" s="1"/>
      <c r="QAP14" s="1"/>
      <c r="QAQ14" s="1"/>
      <c r="QAR14" s="1"/>
      <c r="QAS14" s="1"/>
      <c r="QAT14" s="1"/>
      <c r="QAU14" s="1"/>
      <c r="QAV14" s="1"/>
      <c r="QAW14" s="1"/>
      <c r="QAX14" s="1"/>
      <c r="QAY14" s="1"/>
      <c r="QAZ14" s="1"/>
      <c r="QBA14" s="1"/>
      <c r="QBB14" s="1"/>
      <c r="QBC14" s="1"/>
      <c r="QBD14" s="1"/>
      <c r="QBE14" s="1"/>
      <c r="QBF14" s="1"/>
      <c r="QBG14" s="1"/>
      <c r="QBH14" s="1"/>
      <c r="QBI14" s="1"/>
      <c r="QBJ14" s="1"/>
      <c r="QBK14" s="1"/>
      <c r="QBL14" s="1"/>
      <c r="QBM14" s="1"/>
      <c r="QBN14" s="1"/>
      <c r="QBO14" s="1"/>
      <c r="QBP14" s="1"/>
      <c r="QBQ14" s="1"/>
      <c r="QBR14" s="1"/>
      <c r="QBS14" s="1"/>
      <c r="QBT14" s="1"/>
      <c r="QBU14" s="1"/>
      <c r="QBV14" s="1"/>
      <c r="QBW14" s="1"/>
      <c r="QBX14" s="1"/>
      <c r="QBY14" s="1"/>
      <c r="QBZ14" s="1"/>
      <c r="QCA14" s="1"/>
      <c r="QCB14" s="1"/>
      <c r="QCC14" s="1"/>
      <c r="QCD14" s="1"/>
      <c r="QCE14" s="1"/>
      <c r="QCF14" s="1"/>
      <c r="QCG14" s="1"/>
      <c r="QCH14" s="1"/>
      <c r="QCI14" s="1"/>
      <c r="QCJ14" s="1"/>
      <c r="QCK14" s="1"/>
      <c r="QCL14" s="1"/>
      <c r="QCM14" s="1"/>
      <c r="QCN14" s="1"/>
      <c r="QCO14" s="1"/>
      <c r="QCP14" s="1"/>
      <c r="QCQ14" s="1"/>
      <c r="QCR14" s="1"/>
      <c r="QCS14" s="1"/>
      <c r="QCT14" s="1"/>
      <c r="QCU14" s="1"/>
      <c r="QCV14" s="1"/>
      <c r="QCW14" s="1"/>
      <c r="QCX14" s="1"/>
      <c r="QCY14" s="1"/>
      <c r="QCZ14" s="1"/>
      <c r="QDA14" s="1"/>
      <c r="QDB14" s="1"/>
      <c r="QDC14" s="1"/>
      <c r="QDD14" s="1"/>
      <c r="QDE14" s="1"/>
      <c r="QDF14" s="1"/>
      <c r="QDG14" s="1"/>
      <c r="QDH14" s="1"/>
      <c r="QDI14" s="1"/>
      <c r="QDJ14" s="1"/>
      <c r="QDK14" s="1"/>
      <c r="QDL14" s="1"/>
      <c r="QDM14" s="1"/>
      <c r="QDN14" s="1"/>
      <c r="QDO14" s="1"/>
      <c r="QDP14" s="1"/>
      <c r="QDQ14" s="1"/>
      <c r="QDR14" s="1"/>
      <c r="QDS14" s="1"/>
      <c r="QDT14" s="1"/>
      <c r="QDU14" s="1"/>
      <c r="QDV14" s="1"/>
      <c r="QDW14" s="1"/>
      <c r="QDX14" s="1"/>
      <c r="QDY14" s="1"/>
      <c r="QDZ14" s="1"/>
      <c r="QEA14" s="1"/>
      <c r="QEB14" s="1"/>
      <c r="QEC14" s="1"/>
      <c r="QED14" s="1"/>
      <c r="QEE14" s="1"/>
      <c r="QEF14" s="1"/>
      <c r="QEG14" s="1"/>
      <c r="QEH14" s="1"/>
      <c r="QEI14" s="1"/>
      <c r="QEJ14" s="1"/>
      <c r="QEK14" s="1"/>
      <c r="QEL14" s="1"/>
      <c r="QEM14" s="1"/>
      <c r="QEN14" s="1"/>
      <c r="QEO14" s="1"/>
      <c r="QEP14" s="1"/>
      <c r="QEQ14" s="1"/>
      <c r="QER14" s="1"/>
      <c r="QES14" s="1"/>
      <c r="QET14" s="1"/>
      <c r="QEU14" s="1"/>
      <c r="QEV14" s="1"/>
      <c r="QEW14" s="1"/>
      <c r="QEX14" s="1"/>
      <c r="QEY14" s="1"/>
      <c r="QEZ14" s="1"/>
      <c r="QFA14" s="1"/>
      <c r="QFB14" s="1"/>
      <c r="QFC14" s="1"/>
      <c r="QFD14" s="1"/>
      <c r="QFE14" s="1"/>
      <c r="QFF14" s="1"/>
      <c r="QFG14" s="1"/>
      <c r="QFH14" s="1"/>
      <c r="QFI14" s="1"/>
      <c r="QFJ14" s="1"/>
      <c r="QFK14" s="1"/>
      <c r="QFL14" s="1"/>
      <c r="QFM14" s="1"/>
      <c r="QFN14" s="1"/>
      <c r="QFO14" s="1"/>
      <c r="QFP14" s="1"/>
      <c r="QFQ14" s="1"/>
      <c r="QFR14" s="1"/>
      <c r="QFS14" s="1"/>
      <c r="QFT14" s="1"/>
      <c r="QFU14" s="1"/>
      <c r="QFV14" s="1"/>
      <c r="QFW14" s="1"/>
      <c r="QFX14" s="1"/>
      <c r="QFY14" s="1"/>
      <c r="QFZ14" s="1"/>
      <c r="QGA14" s="1"/>
      <c r="QGB14" s="1"/>
      <c r="QGC14" s="1"/>
      <c r="QGD14" s="1"/>
      <c r="QGE14" s="1"/>
      <c r="QGF14" s="1"/>
      <c r="QGG14" s="1"/>
      <c r="QGH14" s="1"/>
      <c r="QGI14" s="1"/>
      <c r="QGJ14" s="1"/>
      <c r="QGK14" s="1"/>
      <c r="QGL14" s="1"/>
      <c r="QGM14" s="1"/>
      <c r="QGN14" s="1"/>
      <c r="QGO14" s="1"/>
      <c r="QGP14" s="1"/>
      <c r="QGQ14" s="1"/>
      <c r="QGR14" s="1"/>
      <c r="QGS14" s="1"/>
      <c r="QGT14" s="1"/>
      <c r="QGU14" s="1"/>
      <c r="QGV14" s="1"/>
      <c r="QGW14" s="1"/>
      <c r="QGX14" s="1"/>
      <c r="QGY14" s="1"/>
      <c r="QGZ14" s="1"/>
      <c r="QHA14" s="1"/>
      <c r="QHB14" s="1"/>
      <c r="QHC14" s="1"/>
      <c r="QHD14" s="1"/>
      <c r="QHE14" s="1"/>
      <c r="QHF14" s="1"/>
      <c r="QHG14" s="1"/>
      <c r="QHH14" s="1"/>
      <c r="QHI14" s="1"/>
      <c r="QHJ14" s="1"/>
      <c r="QHK14" s="1"/>
      <c r="QHL14" s="1"/>
      <c r="QHM14" s="1"/>
      <c r="QHN14" s="1"/>
      <c r="QHO14" s="1"/>
      <c r="QHP14" s="1"/>
      <c r="QHQ14" s="1"/>
      <c r="QHR14" s="1"/>
      <c r="QHS14" s="1"/>
      <c r="QHT14" s="1"/>
      <c r="QHU14" s="1"/>
      <c r="QHV14" s="1"/>
      <c r="QHW14" s="1"/>
      <c r="QHX14" s="1"/>
      <c r="QHY14" s="1"/>
      <c r="QHZ14" s="1"/>
      <c r="QIA14" s="1"/>
      <c r="QIB14" s="1"/>
      <c r="QIC14" s="1"/>
      <c r="QID14" s="1"/>
      <c r="QIE14" s="1"/>
      <c r="QIF14" s="1"/>
      <c r="QIG14" s="1"/>
      <c r="QIH14" s="1"/>
      <c r="QII14" s="1"/>
      <c r="QIJ14" s="1"/>
      <c r="QIK14" s="1"/>
      <c r="QIL14" s="1"/>
      <c r="QIM14" s="1"/>
      <c r="QIN14" s="1"/>
      <c r="QIO14" s="1"/>
      <c r="QIP14" s="1"/>
      <c r="QIQ14" s="1"/>
      <c r="QIR14" s="1"/>
      <c r="QIS14" s="1"/>
      <c r="QIT14" s="1"/>
      <c r="QIU14" s="1"/>
      <c r="QIV14" s="1"/>
      <c r="QIW14" s="1"/>
      <c r="QIX14" s="1"/>
      <c r="QIY14" s="1"/>
      <c r="QIZ14" s="1"/>
      <c r="QJA14" s="1"/>
      <c r="QJB14" s="1"/>
      <c r="QJC14" s="1"/>
      <c r="QJD14" s="1"/>
      <c r="QJE14" s="1"/>
      <c r="QJF14" s="1"/>
      <c r="QJG14" s="1"/>
      <c r="QJH14" s="1"/>
      <c r="QJI14" s="1"/>
      <c r="QJJ14" s="1"/>
      <c r="QJK14" s="1"/>
      <c r="QJL14" s="1"/>
      <c r="QJM14" s="1"/>
      <c r="QJN14" s="1"/>
      <c r="QJO14" s="1"/>
      <c r="QJP14" s="1"/>
      <c r="QJQ14" s="1"/>
      <c r="QJR14" s="1"/>
      <c r="QJS14" s="1"/>
      <c r="QJT14" s="1"/>
      <c r="QJU14" s="1"/>
      <c r="QJV14" s="1"/>
      <c r="QJW14" s="1"/>
      <c r="QJX14" s="1"/>
      <c r="QJY14" s="1"/>
      <c r="QJZ14" s="1"/>
      <c r="QKA14" s="1"/>
      <c r="QKB14" s="1"/>
      <c r="QKC14" s="1"/>
      <c r="QKD14" s="1"/>
      <c r="QKE14" s="1"/>
      <c r="QKF14" s="1"/>
      <c r="QKG14" s="1"/>
      <c r="QKH14" s="1"/>
      <c r="QKI14" s="1"/>
      <c r="QKJ14" s="1"/>
      <c r="QKK14" s="1"/>
      <c r="QKL14" s="1"/>
      <c r="QKM14" s="1"/>
      <c r="QKN14" s="1"/>
      <c r="QKO14" s="1"/>
      <c r="QKP14" s="1"/>
      <c r="QKQ14" s="1"/>
      <c r="QKR14" s="1"/>
      <c r="QKS14" s="1"/>
      <c r="QKT14" s="1"/>
      <c r="QKU14" s="1"/>
      <c r="QKV14" s="1"/>
      <c r="QKW14" s="1"/>
      <c r="QKX14" s="1"/>
      <c r="QKY14" s="1"/>
      <c r="QKZ14" s="1"/>
      <c r="QLA14" s="1"/>
      <c r="QLB14" s="1"/>
      <c r="QLC14" s="1"/>
      <c r="QLD14" s="1"/>
      <c r="QLE14" s="1"/>
      <c r="QLF14" s="1"/>
      <c r="QLG14" s="1"/>
      <c r="QLH14" s="1"/>
      <c r="QLI14" s="1"/>
      <c r="QLJ14" s="1"/>
      <c r="QLK14" s="1"/>
      <c r="QLL14" s="1"/>
      <c r="QLM14" s="1"/>
      <c r="QLN14" s="1"/>
      <c r="QLO14" s="1"/>
      <c r="QLP14" s="1"/>
      <c r="QLQ14" s="1"/>
      <c r="QLR14" s="1"/>
      <c r="QLS14" s="1"/>
      <c r="QLT14" s="1"/>
      <c r="QLU14" s="1"/>
      <c r="QLV14" s="1"/>
      <c r="QLW14" s="1"/>
      <c r="QLX14" s="1"/>
      <c r="QLY14" s="1"/>
      <c r="QLZ14" s="1"/>
      <c r="QMA14" s="1"/>
      <c r="QMB14" s="1"/>
      <c r="QMC14" s="1"/>
      <c r="QMD14" s="1"/>
      <c r="QME14" s="1"/>
      <c r="QMF14" s="1"/>
      <c r="QMG14" s="1"/>
      <c r="QMH14" s="1"/>
      <c r="QMI14" s="1"/>
      <c r="QMJ14" s="1"/>
      <c r="QMK14" s="1"/>
      <c r="QML14" s="1"/>
      <c r="QMM14" s="1"/>
      <c r="QMN14" s="1"/>
      <c r="QMO14" s="1"/>
      <c r="QMP14" s="1"/>
      <c r="QMQ14" s="1"/>
      <c r="QMR14" s="1"/>
      <c r="QMS14" s="1"/>
      <c r="QMT14" s="1"/>
      <c r="QMU14" s="1"/>
      <c r="QMV14" s="1"/>
      <c r="QMW14" s="1"/>
      <c r="QMX14" s="1"/>
      <c r="QMY14" s="1"/>
      <c r="QMZ14" s="1"/>
      <c r="QNA14" s="1"/>
      <c r="QNB14" s="1"/>
      <c r="QNC14" s="1"/>
      <c r="QND14" s="1"/>
      <c r="QNE14" s="1"/>
      <c r="QNF14" s="1"/>
      <c r="QNG14" s="1"/>
      <c r="QNH14" s="1"/>
      <c r="QNI14" s="1"/>
      <c r="QNJ14" s="1"/>
      <c r="QNK14" s="1"/>
      <c r="QNL14" s="1"/>
      <c r="QNM14" s="1"/>
      <c r="QNN14" s="1"/>
      <c r="QNO14" s="1"/>
      <c r="QNP14" s="1"/>
      <c r="QNQ14" s="1"/>
      <c r="QNR14" s="1"/>
      <c r="QNS14" s="1"/>
      <c r="QNT14" s="1"/>
      <c r="QNU14" s="1"/>
      <c r="QNV14" s="1"/>
      <c r="QNW14" s="1"/>
      <c r="QNX14" s="1"/>
      <c r="QNY14" s="1"/>
      <c r="QNZ14" s="1"/>
      <c r="QOA14" s="1"/>
      <c r="QOB14" s="1"/>
      <c r="QOC14" s="1"/>
      <c r="QOD14" s="1"/>
      <c r="QOE14" s="1"/>
      <c r="QOF14" s="1"/>
      <c r="QOG14" s="1"/>
      <c r="QOH14" s="1"/>
      <c r="QOI14" s="1"/>
      <c r="QOJ14" s="1"/>
      <c r="QOK14" s="1"/>
      <c r="QOL14" s="1"/>
      <c r="QOM14" s="1"/>
      <c r="QON14" s="1"/>
      <c r="QOO14" s="1"/>
      <c r="QOP14" s="1"/>
      <c r="QOQ14" s="1"/>
      <c r="QOR14" s="1"/>
      <c r="QOS14" s="1"/>
      <c r="QOT14" s="1"/>
      <c r="QOU14" s="1"/>
      <c r="QOV14" s="1"/>
      <c r="QOW14" s="1"/>
      <c r="QOX14" s="1"/>
      <c r="QOY14" s="1"/>
      <c r="QOZ14" s="1"/>
      <c r="QPA14" s="1"/>
      <c r="QPB14" s="1"/>
      <c r="QPC14" s="1"/>
      <c r="QPD14" s="1"/>
      <c r="QPE14" s="1"/>
      <c r="QPF14" s="1"/>
      <c r="QPG14" s="1"/>
      <c r="QPH14" s="1"/>
      <c r="QPI14" s="1"/>
      <c r="QPJ14" s="1"/>
      <c r="QPK14" s="1"/>
      <c r="QPL14" s="1"/>
      <c r="QPM14" s="1"/>
      <c r="QPN14" s="1"/>
      <c r="QPO14" s="1"/>
      <c r="QPP14" s="1"/>
      <c r="QPQ14" s="1"/>
      <c r="QPR14" s="1"/>
      <c r="QPS14" s="1"/>
      <c r="QPT14" s="1"/>
      <c r="QPU14" s="1"/>
      <c r="QPV14" s="1"/>
      <c r="QPW14" s="1"/>
      <c r="QPX14" s="1"/>
      <c r="QPY14" s="1"/>
      <c r="QPZ14" s="1"/>
      <c r="QQA14" s="1"/>
      <c r="QQB14" s="1"/>
      <c r="QQC14" s="1"/>
      <c r="QQD14" s="1"/>
      <c r="QQE14" s="1"/>
      <c r="QQF14" s="1"/>
      <c r="QQG14" s="1"/>
      <c r="QQH14" s="1"/>
      <c r="QQI14" s="1"/>
      <c r="QQJ14" s="1"/>
      <c r="QQK14" s="1"/>
      <c r="QQL14" s="1"/>
      <c r="QQM14" s="1"/>
      <c r="QQN14" s="1"/>
      <c r="QQO14" s="1"/>
      <c r="QQP14" s="1"/>
      <c r="QQQ14" s="1"/>
      <c r="QQR14" s="1"/>
      <c r="QQS14" s="1"/>
      <c r="QQT14" s="1"/>
      <c r="QQU14" s="1"/>
      <c r="QQV14" s="1"/>
      <c r="QQW14" s="1"/>
      <c r="QQX14" s="1"/>
      <c r="QQY14" s="1"/>
      <c r="QQZ14" s="1"/>
      <c r="QRA14" s="1"/>
      <c r="QRB14" s="1"/>
      <c r="QRC14" s="1"/>
      <c r="QRD14" s="1"/>
      <c r="QRE14" s="1"/>
      <c r="QRF14" s="1"/>
      <c r="QRG14" s="1"/>
      <c r="QRH14" s="1"/>
      <c r="QRI14" s="1"/>
      <c r="QRJ14" s="1"/>
      <c r="QRK14" s="1"/>
      <c r="QRL14" s="1"/>
      <c r="QRM14" s="1"/>
      <c r="QRN14" s="1"/>
      <c r="QRO14" s="1"/>
      <c r="QRP14" s="1"/>
      <c r="QRQ14" s="1"/>
      <c r="QRR14" s="1"/>
      <c r="QRS14" s="1"/>
      <c r="QRT14" s="1"/>
      <c r="QRU14" s="1"/>
      <c r="QRV14" s="1"/>
      <c r="QRW14" s="1"/>
      <c r="QRX14" s="1"/>
      <c r="QRY14" s="1"/>
      <c r="QRZ14" s="1"/>
      <c r="QSA14" s="1"/>
      <c r="QSB14" s="1"/>
      <c r="QSC14" s="1"/>
      <c r="QSD14" s="1"/>
      <c r="QSE14" s="1"/>
      <c r="QSF14" s="1"/>
      <c r="QSG14" s="1"/>
      <c r="QSH14" s="1"/>
      <c r="QSI14" s="1"/>
      <c r="QSJ14" s="1"/>
      <c r="QSK14" s="1"/>
      <c r="QSL14" s="1"/>
      <c r="QSM14" s="1"/>
      <c r="QSN14" s="1"/>
      <c r="QSO14" s="1"/>
      <c r="QSP14" s="1"/>
      <c r="QSQ14" s="1"/>
      <c r="QSR14" s="1"/>
      <c r="QSS14" s="1"/>
      <c r="QST14" s="1"/>
      <c r="QSU14" s="1"/>
      <c r="QSV14" s="1"/>
      <c r="QSW14" s="1"/>
      <c r="QSX14" s="1"/>
      <c r="QSY14" s="1"/>
      <c r="QSZ14" s="1"/>
      <c r="QTA14" s="1"/>
      <c r="QTB14" s="1"/>
      <c r="QTC14" s="1"/>
      <c r="QTD14" s="1"/>
      <c r="QTE14" s="1"/>
      <c r="QTF14" s="1"/>
      <c r="QTG14" s="1"/>
      <c r="QTH14" s="1"/>
      <c r="QTI14" s="1"/>
      <c r="QTJ14" s="1"/>
      <c r="QTK14" s="1"/>
      <c r="QTL14" s="1"/>
      <c r="QTM14" s="1"/>
      <c r="QTN14" s="1"/>
      <c r="QTO14" s="1"/>
      <c r="QTP14" s="1"/>
      <c r="QTQ14" s="1"/>
      <c r="QTR14" s="1"/>
      <c r="QTS14" s="1"/>
      <c r="QTT14" s="1"/>
      <c r="QTU14" s="1"/>
      <c r="QTV14" s="1"/>
      <c r="QTW14" s="1"/>
      <c r="QTX14" s="1"/>
      <c r="QTY14" s="1"/>
      <c r="QTZ14" s="1"/>
      <c r="QUA14" s="1"/>
      <c r="QUB14" s="1"/>
      <c r="QUC14" s="1"/>
      <c r="QUD14" s="1"/>
      <c r="QUE14" s="1"/>
      <c r="QUF14" s="1"/>
      <c r="QUG14" s="1"/>
      <c r="QUH14" s="1"/>
      <c r="QUI14" s="1"/>
      <c r="QUJ14" s="1"/>
      <c r="QUK14" s="1"/>
      <c r="QUL14" s="1"/>
      <c r="QUM14" s="1"/>
      <c r="QUN14" s="1"/>
      <c r="QUO14" s="1"/>
      <c r="QUP14" s="1"/>
      <c r="QUQ14" s="1"/>
      <c r="QUR14" s="1"/>
      <c r="QUS14" s="1"/>
      <c r="QUT14" s="1"/>
      <c r="QUU14" s="1"/>
      <c r="QUV14" s="1"/>
      <c r="QUW14" s="1"/>
      <c r="QUX14" s="1"/>
      <c r="QUY14" s="1"/>
      <c r="QUZ14" s="1"/>
      <c r="QVA14" s="1"/>
      <c r="QVB14" s="1"/>
      <c r="QVC14" s="1"/>
      <c r="QVD14" s="1"/>
      <c r="QVE14" s="1"/>
      <c r="QVF14" s="1"/>
      <c r="QVG14" s="1"/>
      <c r="QVH14" s="1"/>
      <c r="QVI14" s="1"/>
      <c r="QVJ14" s="1"/>
      <c r="QVK14" s="1"/>
      <c r="QVL14" s="1"/>
      <c r="QVM14" s="1"/>
      <c r="QVN14" s="1"/>
      <c r="QVO14" s="1"/>
      <c r="QVP14" s="1"/>
      <c r="QVQ14" s="1"/>
      <c r="QVR14" s="1"/>
      <c r="QVS14" s="1"/>
      <c r="QVT14" s="1"/>
      <c r="QVU14" s="1"/>
      <c r="QVV14" s="1"/>
      <c r="QVW14" s="1"/>
      <c r="QVX14" s="1"/>
      <c r="QVY14" s="1"/>
      <c r="QVZ14" s="1"/>
      <c r="QWA14" s="1"/>
      <c r="QWB14" s="1"/>
      <c r="QWC14" s="1"/>
      <c r="QWD14" s="1"/>
      <c r="QWE14" s="1"/>
      <c r="QWF14" s="1"/>
      <c r="QWG14" s="1"/>
      <c r="QWH14" s="1"/>
      <c r="QWI14" s="1"/>
      <c r="QWJ14" s="1"/>
      <c r="QWK14" s="1"/>
      <c r="QWL14" s="1"/>
      <c r="QWM14" s="1"/>
      <c r="QWN14" s="1"/>
      <c r="QWO14" s="1"/>
      <c r="QWP14" s="1"/>
      <c r="QWQ14" s="1"/>
      <c r="QWR14" s="1"/>
      <c r="QWS14" s="1"/>
      <c r="QWT14" s="1"/>
      <c r="QWU14" s="1"/>
      <c r="QWV14" s="1"/>
      <c r="QWW14" s="1"/>
      <c r="QWX14" s="1"/>
      <c r="QWY14" s="1"/>
      <c r="QWZ14" s="1"/>
      <c r="QXA14" s="1"/>
      <c r="QXB14" s="1"/>
      <c r="QXC14" s="1"/>
      <c r="QXD14" s="1"/>
      <c r="QXE14" s="1"/>
      <c r="QXF14" s="1"/>
      <c r="QXG14" s="1"/>
      <c r="QXH14" s="1"/>
      <c r="QXI14" s="1"/>
      <c r="QXJ14" s="1"/>
      <c r="QXK14" s="1"/>
      <c r="QXL14" s="1"/>
      <c r="QXM14" s="1"/>
      <c r="QXN14" s="1"/>
      <c r="QXO14" s="1"/>
      <c r="QXP14" s="1"/>
      <c r="QXQ14" s="1"/>
      <c r="QXR14" s="1"/>
      <c r="QXS14" s="1"/>
      <c r="QXT14" s="1"/>
      <c r="QXU14" s="1"/>
      <c r="QXV14" s="1"/>
      <c r="QXW14" s="1"/>
      <c r="QXX14" s="1"/>
      <c r="QXY14" s="1"/>
      <c r="QXZ14" s="1"/>
      <c r="QYA14" s="1"/>
      <c r="QYB14" s="1"/>
      <c r="QYC14" s="1"/>
      <c r="QYD14" s="1"/>
      <c r="QYE14" s="1"/>
      <c r="QYF14" s="1"/>
      <c r="QYG14" s="1"/>
      <c r="QYH14" s="1"/>
      <c r="QYI14" s="1"/>
      <c r="QYJ14" s="1"/>
      <c r="QYK14" s="1"/>
      <c r="QYL14" s="1"/>
      <c r="QYM14" s="1"/>
      <c r="QYN14" s="1"/>
      <c r="QYO14" s="1"/>
      <c r="QYP14" s="1"/>
      <c r="QYQ14" s="1"/>
      <c r="QYR14" s="1"/>
      <c r="QYS14" s="1"/>
      <c r="QYT14" s="1"/>
      <c r="QYU14" s="1"/>
      <c r="QYV14" s="1"/>
      <c r="QYW14" s="1"/>
      <c r="QYX14" s="1"/>
      <c r="QYY14" s="1"/>
      <c r="QYZ14" s="1"/>
      <c r="QZA14" s="1"/>
      <c r="QZB14" s="1"/>
      <c r="QZC14" s="1"/>
      <c r="QZD14" s="1"/>
      <c r="QZE14" s="1"/>
      <c r="QZF14" s="1"/>
      <c r="QZG14" s="1"/>
      <c r="QZH14" s="1"/>
      <c r="QZI14" s="1"/>
      <c r="QZJ14" s="1"/>
      <c r="QZK14" s="1"/>
      <c r="QZL14" s="1"/>
      <c r="QZM14" s="1"/>
      <c r="QZN14" s="1"/>
      <c r="QZO14" s="1"/>
      <c r="QZP14" s="1"/>
      <c r="QZQ14" s="1"/>
      <c r="QZR14" s="1"/>
      <c r="QZS14" s="1"/>
      <c r="QZT14" s="1"/>
      <c r="QZU14" s="1"/>
      <c r="QZV14" s="1"/>
      <c r="QZW14" s="1"/>
      <c r="QZX14" s="1"/>
      <c r="QZY14" s="1"/>
      <c r="QZZ14" s="1"/>
      <c r="RAA14" s="1"/>
      <c r="RAB14" s="1"/>
      <c r="RAC14" s="1"/>
      <c r="RAD14" s="1"/>
      <c r="RAE14" s="1"/>
      <c r="RAF14" s="1"/>
      <c r="RAG14" s="1"/>
      <c r="RAH14" s="1"/>
      <c r="RAI14" s="1"/>
      <c r="RAJ14" s="1"/>
      <c r="RAK14" s="1"/>
      <c r="RAL14" s="1"/>
      <c r="RAM14" s="1"/>
      <c r="RAN14" s="1"/>
      <c r="RAO14" s="1"/>
      <c r="RAP14" s="1"/>
      <c r="RAQ14" s="1"/>
      <c r="RAR14" s="1"/>
      <c r="RAS14" s="1"/>
      <c r="RAT14" s="1"/>
      <c r="RAU14" s="1"/>
      <c r="RAV14" s="1"/>
      <c r="RAW14" s="1"/>
      <c r="RAX14" s="1"/>
      <c r="RAY14" s="1"/>
      <c r="RAZ14" s="1"/>
      <c r="RBA14" s="1"/>
      <c r="RBB14" s="1"/>
      <c r="RBC14" s="1"/>
      <c r="RBD14" s="1"/>
      <c r="RBE14" s="1"/>
      <c r="RBF14" s="1"/>
      <c r="RBG14" s="1"/>
      <c r="RBH14" s="1"/>
      <c r="RBI14" s="1"/>
      <c r="RBJ14" s="1"/>
      <c r="RBK14" s="1"/>
      <c r="RBL14" s="1"/>
      <c r="RBM14" s="1"/>
      <c r="RBN14" s="1"/>
      <c r="RBO14" s="1"/>
      <c r="RBP14" s="1"/>
      <c r="RBQ14" s="1"/>
      <c r="RBR14" s="1"/>
      <c r="RBS14" s="1"/>
      <c r="RBT14" s="1"/>
      <c r="RBU14" s="1"/>
      <c r="RBV14" s="1"/>
      <c r="RBW14" s="1"/>
      <c r="RBX14" s="1"/>
      <c r="RBY14" s="1"/>
      <c r="RBZ14" s="1"/>
      <c r="RCA14" s="1"/>
      <c r="RCB14" s="1"/>
      <c r="RCC14" s="1"/>
      <c r="RCD14" s="1"/>
      <c r="RCE14" s="1"/>
      <c r="RCF14" s="1"/>
      <c r="RCG14" s="1"/>
      <c r="RCH14" s="1"/>
      <c r="RCI14" s="1"/>
      <c r="RCJ14" s="1"/>
      <c r="RCK14" s="1"/>
      <c r="RCL14" s="1"/>
      <c r="RCM14" s="1"/>
      <c r="RCN14" s="1"/>
      <c r="RCO14" s="1"/>
      <c r="RCP14" s="1"/>
      <c r="RCQ14" s="1"/>
      <c r="RCR14" s="1"/>
      <c r="RCS14" s="1"/>
      <c r="RCT14" s="1"/>
      <c r="RCU14" s="1"/>
      <c r="RCV14" s="1"/>
      <c r="RCW14" s="1"/>
      <c r="RCX14" s="1"/>
      <c r="RCY14" s="1"/>
      <c r="RCZ14" s="1"/>
      <c r="RDA14" s="1"/>
      <c r="RDB14" s="1"/>
      <c r="RDC14" s="1"/>
      <c r="RDD14" s="1"/>
      <c r="RDE14" s="1"/>
      <c r="RDF14" s="1"/>
      <c r="RDG14" s="1"/>
      <c r="RDH14" s="1"/>
      <c r="RDI14" s="1"/>
      <c r="RDJ14" s="1"/>
      <c r="RDK14" s="1"/>
      <c r="RDL14" s="1"/>
      <c r="RDM14" s="1"/>
      <c r="RDN14" s="1"/>
      <c r="RDO14" s="1"/>
      <c r="RDP14" s="1"/>
      <c r="RDQ14" s="1"/>
      <c r="RDR14" s="1"/>
      <c r="RDS14" s="1"/>
      <c r="RDT14" s="1"/>
      <c r="RDU14" s="1"/>
      <c r="RDV14" s="1"/>
      <c r="RDW14" s="1"/>
      <c r="RDX14" s="1"/>
      <c r="RDY14" s="1"/>
      <c r="RDZ14" s="1"/>
      <c r="REA14" s="1"/>
      <c r="REB14" s="1"/>
      <c r="REC14" s="1"/>
      <c r="RED14" s="1"/>
      <c r="REE14" s="1"/>
      <c r="REF14" s="1"/>
      <c r="REG14" s="1"/>
      <c r="REH14" s="1"/>
      <c r="REI14" s="1"/>
      <c r="REJ14" s="1"/>
      <c r="REK14" s="1"/>
      <c r="REL14" s="1"/>
      <c r="REM14" s="1"/>
      <c r="REN14" s="1"/>
      <c r="REO14" s="1"/>
      <c r="REP14" s="1"/>
      <c r="REQ14" s="1"/>
      <c r="RER14" s="1"/>
      <c r="RES14" s="1"/>
      <c r="RET14" s="1"/>
      <c r="REU14" s="1"/>
      <c r="REV14" s="1"/>
      <c r="REW14" s="1"/>
      <c r="REX14" s="1"/>
      <c r="REY14" s="1"/>
      <c r="REZ14" s="1"/>
      <c r="RFA14" s="1"/>
      <c r="RFB14" s="1"/>
      <c r="RFC14" s="1"/>
      <c r="RFD14" s="1"/>
      <c r="RFE14" s="1"/>
      <c r="RFF14" s="1"/>
      <c r="RFG14" s="1"/>
      <c r="RFH14" s="1"/>
      <c r="RFI14" s="1"/>
      <c r="RFJ14" s="1"/>
      <c r="RFK14" s="1"/>
      <c r="RFL14" s="1"/>
      <c r="RFM14" s="1"/>
      <c r="RFN14" s="1"/>
      <c r="RFO14" s="1"/>
      <c r="RFP14" s="1"/>
      <c r="RFQ14" s="1"/>
      <c r="RFR14" s="1"/>
      <c r="RFS14" s="1"/>
      <c r="RFT14" s="1"/>
      <c r="RFU14" s="1"/>
      <c r="RFV14" s="1"/>
      <c r="RFW14" s="1"/>
      <c r="RFX14" s="1"/>
      <c r="RFY14" s="1"/>
      <c r="RFZ14" s="1"/>
      <c r="RGA14" s="1"/>
      <c r="RGB14" s="1"/>
      <c r="RGC14" s="1"/>
      <c r="RGD14" s="1"/>
      <c r="RGE14" s="1"/>
      <c r="RGF14" s="1"/>
      <c r="RGG14" s="1"/>
      <c r="RGH14" s="1"/>
      <c r="RGI14" s="1"/>
      <c r="RGJ14" s="1"/>
      <c r="RGK14" s="1"/>
      <c r="RGL14" s="1"/>
      <c r="RGM14" s="1"/>
      <c r="RGN14" s="1"/>
      <c r="RGO14" s="1"/>
      <c r="RGP14" s="1"/>
      <c r="RGQ14" s="1"/>
      <c r="RGR14" s="1"/>
      <c r="RGS14" s="1"/>
      <c r="RGT14" s="1"/>
      <c r="RGU14" s="1"/>
      <c r="RGV14" s="1"/>
      <c r="RGW14" s="1"/>
      <c r="RGX14" s="1"/>
      <c r="RGY14" s="1"/>
      <c r="RGZ14" s="1"/>
      <c r="RHA14" s="1"/>
      <c r="RHB14" s="1"/>
      <c r="RHC14" s="1"/>
      <c r="RHD14" s="1"/>
      <c r="RHE14" s="1"/>
      <c r="RHF14" s="1"/>
      <c r="RHG14" s="1"/>
      <c r="RHH14" s="1"/>
      <c r="RHI14" s="1"/>
      <c r="RHJ14" s="1"/>
      <c r="RHK14" s="1"/>
      <c r="RHL14" s="1"/>
      <c r="RHM14" s="1"/>
      <c r="RHN14" s="1"/>
      <c r="RHO14" s="1"/>
      <c r="RHP14" s="1"/>
      <c r="RHQ14" s="1"/>
      <c r="RHR14" s="1"/>
      <c r="RHS14" s="1"/>
      <c r="RHT14" s="1"/>
      <c r="RHU14" s="1"/>
      <c r="RHV14" s="1"/>
      <c r="RHW14" s="1"/>
      <c r="RHX14" s="1"/>
      <c r="RHY14" s="1"/>
      <c r="RHZ14" s="1"/>
      <c r="RIA14" s="1"/>
      <c r="RIB14" s="1"/>
      <c r="RIC14" s="1"/>
      <c r="RID14" s="1"/>
      <c r="RIE14" s="1"/>
      <c r="RIF14" s="1"/>
      <c r="RIG14" s="1"/>
      <c r="RIH14" s="1"/>
      <c r="RII14" s="1"/>
      <c r="RIJ14" s="1"/>
      <c r="RIK14" s="1"/>
      <c r="RIL14" s="1"/>
      <c r="RIM14" s="1"/>
      <c r="RIN14" s="1"/>
      <c r="RIO14" s="1"/>
      <c r="RIP14" s="1"/>
      <c r="RIQ14" s="1"/>
      <c r="RIR14" s="1"/>
      <c r="RIS14" s="1"/>
      <c r="RIT14" s="1"/>
      <c r="RIU14" s="1"/>
      <c r="RIV14" s="1"/>
      <c r="RIW14" s="1"/>
      <c r="RIX14" s="1"/>
      <c r="RIY14" s="1"/>
      <c r="RIZ14" s="1"/>
      <c r="RJA14" s="1"/>
      <c r="RJB14" s="1"/>
      <c r="RJC14" s="1"/>
      <c r="RJD14" s="1"/>
      <c r="RJE14" s="1"/>
      <c r="RJF14" s="1"/>
      <c r="RJG14" s="1"/>
      <c r="RJH14" s="1"/>
      <c r="RJI14" s="1"/>
      <c r="RJJ14" s="1"/>
      <c r="RJK14" s="1"/>
      <c r="RJL14" s="1"/>
      <c r="RJM14" s="1"/>
      <c r="RJN14" s="1"/>
      <c r="RJO14" s="1"/>
      <c r="RJP14" s="1"/>
      <c r="RJQ14" s="1"/>
      <c r="RJR14" s="1"/>
      <c r="RJS14" s="1"/>
      <c r="RJT14" s="1"/>
      <c r="RJU14" s="1"/>
      <c r="RJV14" s="1"/>
      <c r="RJW14" s="1"/>
      <c r="RJX14" s="1"/>
      <c r="RJY14" s="1"/>
      <c r="RJZ14" s="1"/>
      <c r="RKA14" s="1"/>
      <c r="RKB14" s="1"/>
      <c r="RKC14" s="1"/>
      <c r="RKD14" s="1"/>
      <c r="RKE14" s="1"/>
      <c r="RKF14" s="1"/>
      <c r="RKG14" s="1"/>
      <c r="RKH14" s="1"/>
      <c r="RKI14" s="1"/>
      <c r="RKJ14" s="1"/>
      <c r="RKK14" s="1"/>
      <c r="RKL14" s="1"/>
      <c r="RKM14" s="1"/>
      <c r="RKN14" s="1"/>
      <c r="RKO14" s="1"/>
      <c r="RKP14" s="1"/>
      <c r="RKQ14" s="1"/>
      <c r="RKR14" s="1"/>
      <c r="RKS14" s="1"/>
      <c r="RKT14" s="1"/>
      <c r="RKU14" s="1"/>
      <c r="RKV14" s="1"/>
      <c r="RKW14" s="1"/>
      <c r="RKX14" s="1"/>
      <c r="RKY14" s="1"/>
      <c r="RKZ14" s="1"/>
      <c r="RLA14" s="1"/>
      <c r="RLB14" s="1"/>
      <c r="RLC14" s="1"/>
      <c r="RLD14" s="1"/>
      <c r="RLE14" s="1"/>
      <c r="RLF14" s="1"/>
      <c r="RLG14" s="1"/>
      <c r="RLH14" s="1"/>
      <c r="RLI14" s="1"/>
      <c r="RLJ14" s="1"/>
      <c r="RLK14" s="1"/>
      <c r="RLL14" s="1"/>
      <c r="RLM14" s="1"/>
      <c r="RLN14" s="1"/>
      <c r="RLO14" s="1"/>
      <c r="RLP14" s="1"/>
      <c r="RLQ14" s="1"/>
      <c r="RLR14" s="1"/>
      <c r="RLS14" s="1"/>
      <c r="RLT14" s="1"/>
      <c r="RLU14" s="1"/>
      <c r="RLV14" s="1"/>
      <c r="RLW14" s="1"/>
      <c r="RLX14" s="1"/>
      <c r="RLY14" s="1"/>
      <c r="RLZ14" s="1"/>
      <c r="RMA14" s="1"/>
      <c r="RMB14" s="1"/>
      <c r="RMC14" s="1"/>
      <c r="RMD14" s="1"/>
      <c r="RME14" s="1"/>
      <c r="RMF14" s="1"/>
      <c r="RMG14" s="1"/>
      <c r="RMH14" s="1"/>
      <c r="RMI14" s="1"/>
      <c r="RMJ14" s="1"/>
      <c r="RMK14" s="1"/>
      <c r="RML14" s="1"/>
      <c r="RMM14" s="1"/>
      <c r="RMN14" s="1"/>
      <c r="RMO14" s="1"/>
      <c r="RMP14" s="1"/>
      <c r="RMQ14" s="1"/>
      <c r="RMR14" s="1"/>
      <c r="RMS14" s="1"/>
      <c r="RMT14" s="1"/>
      <c r="RMU14" s="1"/>
      <c r="RMV14" s="1"/>
      <c r="RMW14" s="1"/>
      <c r="RMX14" s="1"/>
      <c r="RMY14" s="1"/>
      <c r="RMZ14" s="1"/>
      <c r="RNA14" s="1"/>
      <c r="RNB14" s="1"/>
      <c r="RNC14" s="1"/>
      <c r="RND14" s="1"/>
      <c r="RNE14" s="1"/>
      <c r="RNF14" s="1"/>
      <c r="RNG14" s="1"/>
      <c r="RNH14" s="1"/>
      <c r="RNI14" s="1"/>
      <c r="RNJ14" s="1"/>
      <c r="RNK14" s="1"/>
      <c r="RNL14" s="1"/>
      <c r="RNM14" s="1"/>
      <c r="RNN14" s="1"/>
      <c r="RNO14" s="1"/>
      <c r="RNP14" s="1"/>
      <c r="RNQ14" s="1"/>
      <c r="RNR14" s="1"/>
      <c r="RNS14" s="1"/>
      <c r="RNT14" s="1"/>
      <c r="RNU14" s="1"/>
      <c r="RNV14" s="1"/>
      <c r="RNW14" s="1"/>
      <c r="RNX14" s="1"/>
      <c r="RNY14" s="1"/>
      <c r="RNZ14" s="1"/>
      <c r="ROA14" s="1"/>
      <c r="ROB14" s="1"/>
      <c r="ROC14" s="1"/>
      <c r="ROD14" s="1"/>
      <c r="ROE14" s="1"/>
      <c r="ROF14" s="1"/>
      <c r="ROG14" s="1"/>
      <c r="ROH14" s="1"/>
      <c r="ROI14" s="1"/>
      <c r="ROJ14" s="1"/>
      <c r="ROK14" s="1"/>
      <c r="ROL14" s="1"/>
      <c r="ROM14" s="1"/>
      <c r="RON14" s="1"/>
      <c r="ROO14" s="1"/>
      <c r="ROP14" s="1"/>
      <c r="ROQ14" s="1"/>
      <c r="ROR14" s="1"/>
      <c r="ROS14" s="1"/>
      <c r="ROT14" s="1"/>
      <c r="ROU14" s="1"/>
      <c r="ROV14" s="1"/>
      <c r="ROW14" s="1"/>
      <c r="ROX14" s="1"/>
      <c r="ROY14" s="1"/>
      <c r="ROZ14" s="1"/>
      <c r="RPA14" s="1"/>
      <c r="RPB14" s="1"/>
      <c r="RPC14" s="1"/>
      <c r="RPD14" s="1"/>
      <c r="RPE14" s="1"/>
      <c r="RPF14" s="1"/>
      <c r="RPG14" s="1"/>
      <c r="RPH14" s="1"/>
      <c r="RPI14" s="1"/>
      <c r="RPJ14" s="1"/>
      <c r="RPK14" s="1"/>
      <c r="RPL14" s="1"/>
      <c r="RPM14" s="1"/>
      <c r="RPN14" s="1"/>
      <c r="RPO14" s="1"/>
      <c r="RPP14" s="1"/>
      <c r="RPQ14" s="1"/>
      <c r="RPR14" s="1"/>
      <c r="RPS14" s="1"/>
      <c r="RPT14" s="1"/>
      <c r="RPU14" s="1"/>
      <c r="RPV14" s="1"/>
      <c r="RPW14" s="1"/>
      <c r="RPX14" s="1"/>
      <c r="RPY14" s="1"/>
      <c r="RPZ14" s="1"/>
      <c r="RQA14" s="1"/>
      <c r="RQB14" s="1"/>
      <c r="RQC14" s="1"/>
      <c r="RQD14" s="1"/>
      <c r="RQE14" s="1"/>
      <c r="RQF14" s="1"/>
      <c r="RQG14" s="1"/>
      <c r="RQH14" s="1"/>
      <c r="RQI14" s="1"/>
      <c r="RQJ14" s="1"/>
      <c r="RQK14" s="1"/>
      <c r="RQL14" s="1"/>
      <c r="RQM14" s="1"/>
      <c r="RQN14" s="1"/>
      <c r="RQO14" s="1"/>
      <c r="RQP14" s="1"/>
      <c r="RQQ14" s="1"/>
      <c r="RQR14" s="1"/>
      <c r="RQS14" s="1"/>
      <c r="RQT14" s="1"/>
      <c r="RQU14" s="1"/>
      <c r="RQV14" s="1"/>
      <c r="RQW14" s="1"/>
      <c r="RQX14" s="1"/>
      <c r="RQY14" s="1"/>
      <c r="RQZ14" s="1"/>
      <c r="RRA14" s="1"/>
      <c r="RRB14" s="1"/>
      <c r="RRC14" s="1"/>
      <c r="RRD14" s="1"/>
      <c r="RRE14" s="1"/>
      <c r="RRF14" s="1"/>
      <c r="RRG14" s="1"/>
      <c r="RRH14" s="1"/>
      <c r="RRI14" s="1"/>
      <c r="RRJ14" s="1"/>
      <c r="RRK14" s="1"/>
      <c r="RRL14" s="1"/>
      <c r="RRM14" s="1"/>
      <c r="RRN14" s="1"/>
      <c r="RRO14" s="1"/>
      <c r="RRP14" s="1"/>
      <c r="RRQ14" s="1"/>
      <c r="RRR14" s="1"/>
      <c r="RRS14" s="1"/>
      <c r="RRT14" s="1"/>
      <c r="RRU14" s="1"/>
      <c r="RRV14" s="1"/>
      <c r="RRW14" s="1"/>
      <c r="RRX14" s="1"/>
      <c r="RRY14" s="1"/>
      <c r="RRZ14" s="1"/>
      <c r="RSA14" s="1"/>
      <c r="RSB14" s="1"/>
      <c r="RSC14" s="1"/>
      <c r="RSD14" s="1"/>
      <c r="RSE14" s="1"/>
      <c r="RSF14" s="1"/>
      <c r="RSG14" s="1"/>
      <c r="RSH14" s="1"/>
      <c r="RSI14" s="1"/>
      <c r="RSJ14" s="1"/>
      <c r="RSK14" s="1"/>
      <c r="RSL14" s="1"/>
      <c r="RSM14" s="1"/>
      <c r="RSN14" s="1"/>
      <c r="RSO14" s="1"/>
      <c r="RSP14" s="1"/>
      <c r="RSQ14" s="1"/>
      <c r="RSR14" s="1"/>
      <c r="RSS14" s="1"/>
      <c r="RST14" s="1"/>
      <c r="RSU14" s="1"/>
      <c r="RSV14" s="1"/>
      <c r="RSW14" s="1"/>
      <c r="RSX14" s="1"/>
      <c r="RSY14" s="1"/>
      <c r="RSZ14" s="1"/>
      <c r="RTA14" s="1"/>
      <c r="RTB14" s="1"/>
      <c r="RTC14" s="1"/>
      <c r="RTD14" s="1"/>
      <c r="RTE14" s="1"/>
      <c r="RTF14" s="1"/>
      <c r="RTG14" s="1"/>
      <c r="RTH14" s="1"/>
      <c r="RTI14" s="1"/>
      <c r="RTJ14" s="1"/>
      <c r="RTK14" s="1"/>
      <c r="RTL14" s="1"/>
      <c r="RTM14" s="1"/>
      <c r="RTN14" s="1"/>
      <c r="RTO14" s="1"/>
      <c r="RTP14" s="1"/>
      <c r="RTQ14" s="1"/>
      <c r="RTR14" s="1"/>
      <c r="RTS14" s="1"/>
      <c r="RTT14" s="1"/>
      <c r="RTU14" s="1"/>
      <c r="RTV14" s="1"/>
      <c r="RTW14" s="1"/>
      <c r="RTX14" s="1"/>
      <c r="RTY14" s="1"/>
      <c r="RTZ14" s="1"/>
      <c r="RUA14" s="1"/>
      <c r="RUB14" s="1"/>
      <c r="RUC14" s="1"/>
      <c r="RUD14" s="1"/>
      <c r="RUE14" s="1"/>
      <c r="RUF14" s="1"/>
      <c r="RUG14" s="1"/>
      <c r="RUH14" s="1"/>
      <c r="RUI14" s="1"/>
      <c r="RUJ14" s="1"/>
      <c r="RUK14" s="1"/>
      <c r="RUL14" s="1"/>
      <c r="RUM14" s="1"/>
      <c r="RUN14" s="1"/>
      <c r="RUO14" s="1"/>
      <c r="RUP14" s="1"/>
      <c r="RUQ14" s="1"/>
      <c r="RUR14" s="1"/>
      <c r="RUS14" s="1"/>
      <c r="RUT14" s="1"/>
      <c r="RUU14" s="1"/>
      <c r="RUV14" s="1"/>
      <c r="RUW14" s="1"/>
      <c r="RUX14" s="1"/>
      <c r="RUY14" s="1"/>
      <c r="RUZ14" s="1"/>
      <c r="RVA14" s="1"/>
      <c r="RVB14" s="1"/>
      <c r="RVC14" s="1"/>
      <c r="RVD14" s="1"/>
      <c r="RVE14" s="1"/>
      <c r="RVF14" s="1"/>
      <c r="RVG14" s="1"/>
      <c r="RVH14" s="1"/>
      <c r="RVI14" s="1"/>
      <c r="RVJ14" s="1"/>
      <c r="RVK14" s="1"/>
      <c r="RVL14" s="1"/>
      <c r="RVM14" s="1"/>
      <c r="RVN14" s="1"/>
      <c r="RVO14" s="1"/>
      <c r="RVP14" s="1"/>
      <c r="RVQ14" s="1"/>
      <c r="RVR14" s="1"/>
      <c r="RVS14" s="1"/>
      <c r="RVT14" s="1"/>
      <c r="RVU14" s="1"/>
      <c r="RVV14" s="1"/>
      <c r="RVW14" s="1"/>
      <c r="RVX14" s="1"/>
      <c r="RVY14" s="1"/>
      <c r="RVZ14" s="1"/>
      <c r="RWA14" s="1"/>
      <c r="RWB14" s="1"/>
      <c r="RWC14" s="1"/>
      <c r="RWD14" s="1"/>
      <c r="RWE14" s="1"/>
      <c r="RWF14" s="1"/>
      <c r="RWG14" s="1"/>
      <c r="RWH14" s="1"/>
      <c r="RWI14" s="1"/>
      <c r="RWJ14" s="1"/>
      <c r="RWK14" s="1"/>
      <c r="RWL14" s="1"/>
      <c r="RWM14" s="1"/>
      <c r="RWN14" s="1"/>
      <c r="RWO14" s="1"/>
      <c r="RWP14" s="1"/>
      <c r="RWQ14" s="1"/>
      <c r="RWR14" s="1"/>
      <c r="RWS14" s="1"/>
      <c r="RWT14" s="1"/>
      <c r="RWU14" s="1"/>
      <c r="RWV14" s="1"/>
      <c r="RWW14" s="1"/>
      <c r="RWX14" s="1"/>
      <c r="RWY14" s="1"/>
      <c r="RWZ14" s="1"/>
      <c r="RXA14" s="1"/>
      <c r="RXB14" s="1"/>
      <c r="RXC14" s="1"/>
      <c r="RXD14" s="1"/>
      <c r="RXE14" s="1"/>
      <c r="RXF14" s="1"/>
      <c r="RXG14" s="1"/>
      <c r="RXH14" s="1"/>
      <c r="RXI14" s="1"/>
      <c r="RXJ14" s="1"/>
      <c r="RXK14" s="1"/>
      <c r="RXL14" s="1"/>
      <c r="RXM14" s="1"/>
      <c r="RXN14" s="1"/>
      <c r="RXO14" s="1"/>
      <c r="RXP14" s="1"/>
      <c r="RXQ14" s="1"/>
      <c r="RXR14" s="1"/>
      <c r="RXS14" s="1"/>
      <c r="RXT14" s="1"/>
      <c r="RXU14" s="1"/>
      <c r="RXV14" s="1"/>
      <c r="RXW14" s="1"/>
      <c r="RXX14" s="1"/>
      <c r="RXY14" s="1"/>
      <c r="RXZ14" s="1"/>
      <c r="RYA14" s="1"/>
      <c r="RYB14" s="1"/>
      <c r="RYC14" s="1"/>
      <c r="RYD14" s="1"/>
      <c r="RYE14" s="1"/>
      <c r="RYF14" s="1"/>
      <c r="RYG14" s="1"/>
      <c r="RYH14" s="1"/>
      <c r="RYI14" s="1"/>
      <c r="RYJ14" s="1"/>
      <c r="RYK14" s="1"/>
      <c r="RYL14" s="1"/>
      <c r="RYM14" s="1"/>
      <c r="RYN14" s="1"/>
      <c r="RYO14" s="1"/>
      <c r="RYP14" s="1"/>
      <c r="RYQ14" s="1"/>
      <c r="RYR14" s="1"/>
      <c r="RYS14" s="1"/>
      <c r="RYT14" s="1"/>
      <c r="RYU14" s="1"/>
      <c r="RYV14" s="1"/>
      <c r="RYW14" s="1"/>
      <c r="RYX14" s="1"/>
      <c r="RYY14" s="1"/>
      <c r="RYZ14" s="1"/>
      <c r="RZA14" s="1"/>
      <c r="RZB14" s="1"/>
      <c r="RZC14" s="1"/>
      <c r="RZD14" s="1"/>
      <c r="RZE14" s="1"/>
      <c r="RZF14" s="1"/>
      <c r="RZG14" s="1"/>
      <c r="RZH14" s="1"/>
      <c r="RZI14" s="1"/>
      <c r="RZJ14" s="1"/>
      <c r="RZK14" s="1"/>
      <c r="RZL14" s="1"/>
      <c r="RZM14" s="1"/>
      <c r="RZN14" s="1"/>
      <c r="RZO14" s="1"/>
      <c r="RZP14" s="1"/>
      <c r="RZQ14" s="1"/>
      <c r="RZR14" s="1"/>
      <c r="RZS14" s="1"/>
      <c r="RZT14" s="1"/>
      <c r="RZU14" s="1"/>
      <c r="RZV14" s="1"/>
      <c r="RZW14" s="1"/>
      <c r="RZX14" s="1"/>
      <c r="RZY14" s="1"/>
      <c r="RZZ14" s="1"/>
      <c r="SAA14" s="1"/>
      <c r="SAB14" s="1"/>
      <c r="SAC14" s="1"/>
      <c r="SAD14" s="1"/>
      <c r="SAE14" s="1"/>
      <c r="SAF14" s="1"/>
      <c r="SAG14" s="1"/>
      <c r="SAH14" s="1"/>
      <c r="SAI14" s="1"/>
      <c r="SAJ14" s="1"/>
      <c r="SAK14" s="1"/>
      <c r="SAL14" s="1"/>
      <c r="SAM14" s="1"/>
      <c r="SAN14" s="1"/>
      <c r="SAO14" s="1"/>
      <c r="SAP14" s="1"/>
      <c r="SAQ14" s="1"/>
      <c r="SAR14" s="1"/>
      <c r="SAS14" s="1"/>
      <c r="SAT14" s="1"/>
      <c r="SAU14" s="1"/>
      <c r="SAV14" s="1"/>
      <c r="SAW14" s="1"/>
      <c r="SAX14" s="1"/>
      <c r="SAY14" s="1"/>
      <c r="SAZ14" s="1"/>
      <c r="SBA14" s="1"/>
      <c r="SBB14" s="1"/>
      <c r="SBC14" s="1"/>
      <c r="SBD14" s="1"/>
      <c r="SBE14" s="1"/>
      <c r="SBF14" s="1"/>
      <c r="SBG14" s="1"/>
      <c r="SBH14" s="1"/>
      <c r="SBI14" s="1"/>
      <c r="SBJ14" s="1"/>
      <c r="SBK14" s="1"/>
      <c r="SBL14" s="1"/>
      <c r="SBM14" s="1"/>
      <c r="SBN14" s="1"/>
      <c r="SBO14" s="1"/>
      <c r="SBP14" s="1"/>
      <c r="SBQ14" s="1"/>
      <c r="SBR14" s="1"/>
      <c r="SBS14" s="1"/>
      <c r="SBT14" s="1"/>
      <c r="SBU14" s="1"/>
      <c r="SBV14" s="1"/>
      <c r="SBW14" s="1"/>
      <c r="SBX14" s="1"/>
      <c r="SBY14" s="1"/>
      <c r="SBZ14" s="1"/>
      <c r="SCA14" s="1"/>
      <c r="SCB14" s="1"/>
      <c r="SCC14" s="1"/>
      <c r="SCD14" s="1"/>
      <c r="SCE14" s="1"/>
      <c r="SCF14" s="1"/>
      <c r="SCG14" s="1"/>
      <c r="SCH14" s="1"/>
      <c r="SCI14" s="1"/>
      <c r="SCJ14" s="1"/>
      <c r="SCK14" s="1"/>
      <c r="SCL14" s="1"/>
      <c r="SCM14" s="1"/>
      <c r="SCN14" s="1"/>
      <c r="SCO14" s="1"/>
      <c r="SCP14" s="1"/>
      <c r="SCQ14" s="1"/>
      <c r="SCR14" s="1"/>
      <c r="SCS14" s="1"/>
      <c r="SCT14" s="1"/>
      <c r="SCU14" s="1"/>
      <c r="SCV14" s="1"/>
      <c r="SCW14" s="1"/>
      <c r="SCX14" s="1"/>
      <c r="SCY14" s="1"/>
      <c r="SCZ14" s="1"/>
      <c r="SDA14" s="1"/>
      <c r="SDB14" s="1"/>
      <c r="SDC14" s="1"/>
      <c r="SDD14" s="1"/>
      <c r="SDE14" s="1"/>
      <c r="SDF14" s="1"/>
      <c r="SDG14" s="1"/>
      <c r="SDH14" s="1"/>
      <c r="SDI14" s="1"/>
      <c r="SDJ14" s="1"/>
      <c r="SDK14" s="1"/>
      <c r="SDL14" s="1"/>
      <c r="SDM14" s="1"/>
      <c r="SDN14" s="1"/>
      <c r="SDO14" s="1"/>
      <c r="SDP14" s="1"/>
      <c r="SDQ14" s="1"/>
      <c r="SDR14" s="1"/>
      <c r="SDS14" s="1"/>
      <c r="SDT14" s="1"/>
      <c r="SDU14" s="1"/>
      <c r="SDV14" s="1"/>
      <c r="SDW14" s="1"/>
      <c r="SDX14" s="1"/>
      <c r="SDY14" s="1"/>
      <c r="SDZ14" s="1"/>
      <c r="SEA14" s="1"/>
      <c r="SEB14" s="1"/>
      <c r="SEC14" s="1"/>
      <c r="SED14" s="1"/>
      <c r="SEE14" s="1"/>
      <c r="SEF14" s="1"/>
      <c r="SEG14" s="1"/>
      <c r="SEH14" s="1"/>
      <c r="SEI14" s="1"/>
      <c r="SEJ14" s="1"/>
      <c r="SEK14" s="1"/>
      <c r="SEL14" s="1"/>
      <c r="SEM14" s="1"/>
      <c r="SEN14" s="1"/>
      <c r="SEO14" s="1"/>
      <c r="SEP14" s="1"/>
      <c r="SEQ14" s="1"/>
      <c r="SER14" s="1"/>
      <c r="SES14" s="1"/>
      <c r="SET14" s="1"/>
      <c r="SEU14" s="1"/>
      <c r="SEV14" s="1"/>
      <c r="SEW14" s="1"/>
      <c r="SEX14" s="1"/>
      <c r="SEY14" s="1"/>
      <c r="SEZ14" s="1"/>
      <c r="SFA14" s="1"/>
      <c r="SFB14" s="1"/>
      <c r="SFC14" s="1"/>
      <c r="SFD14" s="1"/>
      <c r="SFE14" s="1"/>
      <c r="SFF14" s="1"/>
      <c r="SFG14" s="1"/>
      <c r="SFH14" s="1"/>
      <c r="SFI14" s="1"/>
      <c r="SFJ14" s="1"/>
      <c r="SFK14" s="1"/>
      <c r="SFL14" s="1"/>
      <c r="SFM14" s="1"/>
      <c r="SFN14" s="1"/>
      <c r="SFO14" s="1"/>
      <c r="SFP14" s="1"/>
      <c r="SFQ14" s="1"/>
      <c r="SFR14" s="1"/>
      <c r="SFS14" s="1"/>
      <c r="SFT14" s="1"/>
      <c r="SFU14" s="1"/>
      <c r="SFV14" s="1"/>
      <c r="SFW14" s="1"/>
      <c r="SFX14" s="1"/>
      <c r="SFY14" s="1"/>
      <c r="SFZ14" s="1"/>
      <c r="SGA14" s="1"/>
      <c r="SGB14" s="1"/>
      <c r="SGC14" s="1"/>
      <c r="SGD14" s="1"/>
      <c r="SGE14" s="1"/>
      <c r="SGF14" s="1"/>
      <c r="SGG14" s="1"/>
      <c r="SGH14" s="1"/>
      <c r="SGI14" s="1"/>
      <c r="SGJ14" s="1"/>
      <c r="SGK14" s="1"/>
      <c r="SGL14" s="1"/>
      <c r="SGM14" s="1"/>
      <c r="SGN14" s="1"/>
      <c r="SGO14" s="1"/>
      <c r="SGP14" s="1"/>
      <c r="SGQ14" s="1"/>
      <c r="SGR14" s="1"/>
      <c r="SGS14" s="1"/>
      <c r="SGT14" s="1"/>
      <c r="SGU14" s="1"/>
      <c r="SGV14" s="1"/>
      <c r="SGW14" s="1"/>
      <c r="SGX14" s="1"/>
      <c r="SGY14" s="1"/>
      <c r="SGZ14" s="1"/>
      <c r="SHA14" s="1"/>
      <c r="SHB14" s="1"/>
      <c r="SHC14" s="1"/>
      <c r="SHD14" s="1"/>
      <c r="SHE14" s="1"/>
      <c r="SHF14" s="1"/>
      <c r="SHG14" s="1"/>
      <c r="SHH14" s="1"/>
      <c r="SHI14" s="1"/>
      <c r="SHJ14" s="1"/>
      <c r="SHK14" s="1"/>
      <c r="SHL14" s="1"/>
      <c r="SHM14" s="1"/>
      <c r="SHN14" s="1"/>
      <c r="SHO14" s="1"/>
      <c r="SHP14" s="1"/>
      <c r="SHQ14" s="1"/>
      <c r="SHR14" s="1"/>
      <c r="SHS14" s="1"/>
      <c r="SHT14" s="1"/>
      <c r="SHU14" s="1"/>
      <c r="SHV14" s="1"/>
      <c r="SHW14" s="1"/>
      <c r="SHX14" s="1"/>
      <c r="SHY14" s="1"/>
      <c r="SHZ14" s="1"/>
      <c r="SIA14" s="1"/>
      <c r="SIB14" s="1"/>
      <c r="SIC14" s="1"/>
      <c r="SID14" s="1"/>
      <c r="SIE14" s="1"/>
      <c r="SIF14" s="1"/>
      <c r="SIG14" s="1"/>
      <c r="SIH14" s="1"/>
      <c r="SII14" s="1"/>
      <c r="SIJ14" s="1"/>
      <c r="SIK14" s="1"/>
      <c r="SIL14" s="1"/>
      <c r="SIM14" s="1"/>
      <c r="SIN14" s="1"/>
      <c r="SIO14" s="1"/>
      <c r="SIP14" s="1"/>
      <c r="SIQ14" s="1"/>
      <c r="SIR14" s="1"/>
      <c r="SIS14" s="1"/>
      <c r="SIT14" s="1"/>
      <c r="SIU14" s="1"/>
      <c r="SIV14" s="1"/>
      <c r="SIW14" s="1"/>
      <c r="SIX14" s="1"/>
      <c r="SIY14" s="1"/>
      <c r="SIZ14" s="1"/>
      <c r="SJA14" s="1"/>
      <c r="SJB14" s="1"/>
      <c r="SJC14" s="1"/>
      <c r="SJD14" s="1"/>
      <c r="SJE14" s="1"/>
      <c r="SJF14" s="1"/>
      <c r="SJG14" s="1"/>
      <c r="SJH14" s="1"/>
      <c r="SJI14" s="1"/>
      <c r="SJJ14" s="1"/>
      <c r="SJK14" s="1"/>
      <c r="SJL14" s="1"/>
      <c r="SJM14" s="1"/>
      <c r="SJN14" s="1"/>
      <c r="SJO14" s="1"/>
      <c r="SJP14" s="1"/>
      <c r="SJQ14" s="1"/>
      <c r="SJR14" s="1"/>
      <c r="SJS14" s="1"/>
      <c r="SJT14" s="1"/>
      <c r="SJU14" s="1"/>
      <c r="SJV14" s="1"/>
      <c r="SJW14" s="1"/>
      <c r="SJX14" s="1"/>
      <c r="SJY14" s="1"/>
      <c r="SJZ14" s="1"/>
      <c r="SKA14" s="1"/>
      <c r="SKB14" s="1"/>
      <c r="SKC14" s="1"/>
      <c r="SKD14" s="1"/>
      <c r="SKE14" s="1"/>
      <c r="SKF14" s="1"/>
      <c r="SKG14" s="1"/>
      <c r="SKH14" s="1"/>
      <c r="SKI14" s="1"/>
      <c r="SKJ14" s="1"/>
      <c r="SKK14" s="1"/>
      <c r="SKL14" s="1"/>
      <c r="SKM14" s="1"/>
      <c r="SKN14" s="1"/>
      <c r="SKO14" s="1"/>
      <c r="SKP14" s="1"/>
      <c r="SKQ14" s="1"/>
      <c r="SKR14" s="1"/>
      <c r="SKS14" s="1"/>
      <c r="SKT14" s="1"/>
      <c r="SKU14" s="1"/>
      <c r="SKV14" s="1"/>
      <c r="SKW14" s="1"/>
      <c r="SKX14" s="1"/>
      <c r="SKY14" s="1"/>
      <c r="SKZ14" s="1"/>
      <c r="SLA14" s="1"/>
      <c r="SLB14" s="1"/>
      <c r="SLC14" s="1"/>
      <c r="SLD14" s="1"/>
      <c r="SLE14" s="1"/>
      <c r="SLF14" s="1"/>
      <c r="SLG14" s="1"/>
      <c r="SLH14" s="1"/>
      <c r="SLI14" s="1"/>
      <c r="SLJ14" s="1"/>
      <c r="SLK14" s="1"/>
      <c r="SLL14" s="1"/>
      <c r="SLM14" s="1"/>
      <c r="SLN14" s="1"/>
      <c r="SLO14" s="1"/>
      <c r="SLP14" s="1"/>
      <c r="SLQ14" s="1"/>
      <c r="SLR14" s="1"/>
      <c r="SLS14" s="1"/>
      <c r="SLT14" s="1"/>
      <c r="SLU14" s="1"/>
      <c r="SLV14" s="1"/>
      <c r="SLW14" s="1"/>
      <c r="SLX14" s="1"/>
      <c r="SLY14" s="1"/>
      <c r="SLZ14" s="1"/>
      <c r="SMA14" s="1"/>
      <c r="SMB14" s="1"/>
      <c r="SMC14" s="1"/>
      <c r="SMD14" s="1"/>
      <c r="SME14" s="1"/>
      <c r="SMF14" s="1"/>
      <c r="SMG14" s="1"/>
      <c r="SMH14" s="1"/>
      <c r="SMI14" s="1"/>
      <c r="SMJ14" s="1"/>
      <c r="SMK14" s="1"/>
      <c r="SML14" s="1"/>
      <c r="SMM14" s="1"/>
      <c r="SMN14" s="1"/>
      <c r="SMO14" s="1"/>
      <c r="SMP14" s="1"/>
      <c r="SMQ14" s="1"/>
      <c r="SMR14" s="1"/>
      <c r="SMS14" s="1"/>
      <c r="SMT14" s="1"/>
      <c r="SMU14" s="1"/>
      <c r="SMV14" s="1"/>
      <c r="SMW14" s="1"/>
      <c r="SMX14" s="1"/>
      <c r="SMY14" s="1"/>
      <c r="SMZ14" s="1"/>
      <c r="SNA14" s="1"/>
      <c r="SNB14" s="1"/>
      <c r="SNC14" s="1"/>
      <c r="SND14" s="1"/>
      <c r="SNE14" s="1"/>
      <c r="SNF14" s="1"/>
      <c r="SNG14" s="1"/>
      <c r="SNH14" s="1"/>
      <c r="SNI14" s="1"/>
      <c r="SNJ14" s="1"/>
      <c r="SNK14" s="1"/>
      <c r="SNL14" s="1"/>
      <c r="SNM14" s="1"/>
      <c r="SNN14" s="1"/>
      <c r="SNO14" s="1"/>
      <c r="SNP14" s="1"/>
      <c r="SNQ14" s="1"/>
      <c r="SNR14" s="1"/>
      <c r="SNS14" s="1"/>
      <c r="SNT14" s="1"/>
      <c r="SNU14" s="1"/>
      <c r="SNV14" s="1"/>
      <c r="SNW14" s="1"/>
      <c r="SNX14" s="1"/>
      <c r="SNY14" s="1"/>
      <c r="SNZ14" s="1"/>
      <c r="SOA14" s="1"/>
      <c r="SOB14" s="1"/>
      <c r="SOC14" s="1"/>
      <c r="SOD14" s="1"/>
      <c r="SOE14" s="1"/>
      <c r="SOF14" s="1"/>
      <c r="SOG14" s="1"/>
      <c r="SOH14" s="1"/>
      <c r="SOI14" s="1"/>
      <c r="SOJ14" s="1"/>
      <c r="SOK14" s="1"/>
      <c r="SOL14" s="1"/>
      <c r="SOM14" s="1"/>
      <c r="SON14" s="1"/>
      <c r="SOO14" s="1"/>
      <c r="SOP14" s="1"/>
      <c r="SOQ14" s="1"/>
      <c r="SOR14" s="1"/>
      <c r="SOS14" s="1"/>
      <c r="SOT14" s="1"/>
      <c r="SOU14" s="1"/>
      <c r="SOV14" s="1"/>
      <c r="SOW14" s="1"/>
      <c r="SOX14" s="1"/>
      <c r="SOY14" s="1"/>
      <c r="SOZ14" s="1"/>
      <c r="SPA14" s="1"/>
      <c r="SPB14" s="1"/>
      <c r="SPC14" s="1"/>
      <c r="SPD14" s="1"/>
      <c r="SPE14" s="1"/>
      <c r="SPF14" s="1"/>
      <c r="SPG14" s="1"/>
      <c r="SPH14" s="1"/>
      <c r="SPI14" s="1"/>
      <c r="SPJ14" s="1"/>
      <c r="SPK14" s="1"/>
      <c r="SPL14" s="1"/>
      <c r="SPM14" s="1"/>
      <c r="SPN14" s="1"/>
      <c r="SPO14" s="1"/>
      <c r="SPP14" s="1"/>
      <c r="SPQ14" s="1"/>
      <c r="SPR14" s="1"/>
      <c r="SPS14" s="1"/>
      <c r="SPT14" s="1"/>
      <c r="SPU14" s="1"/>
      <c r="SPV14" s="1"/>
      <c r="SPW14" s="1"/>
      <c r="SPX14" s="1"/>
      <c r="SPY14" s="1"/>
      <c r="SPZ14" s="1"/>
      <c r="SQA14" s="1"/>
      <c r="SQB14" s="1"/>
      <c r="SQC14" s="1"/>
      <c r="SQD14" s="1"/>
      <c r="SQE14" s="1"/>
      <c r="SQF14" s="1"/>
      <c r="SQG14" s="1"/>
      <c r="SQH14" s="1"/>
      <c r="SQI14" s="1"/>
      <c r="SQJ14" s="1"/>
      <c r="SQK14" s="1"/>
      <c r="SQL14" s="1"/>
      <c r="SQM14" s="1"/>
      <c r="SQN14" s="1"/>
      <c r="SQO14" s="1"/>
      <c r="SQP14" s="1"/>
      <c r="SQQ14" s="1"/>
      <c r="SQR14" s="1"/>
      <c r="SQS14" s="1"/>
      <c r="SQT14" s="1"/>
      <c r="SQU14" s="1"/>
      <c r="SQV14" s="1"/>
      <c r="SQW14" s="1"/>
      <c r="SQX14" s="1"/>
      <c r="SQY14" s="1"/>
      <c r="SQZ14" s="1"/>
      <c r="SRA14" s="1"/>
      <c r="SRB14" s="1"/>
      <c r="SRC14" s="1"/>
      <c r="SRD14" s="1"/>
      <c r="SRE14" s="1"/>
      <c r="SRF14" s="1"/>
      <c r="SRG14" s="1"/>
      <c r="SRH14" s="1"/>
      <c r="SRI14" s="1"/>
      <c r="SRJ14" s="1"/>
      <c r="SRK14" s="1"/>
      <c r="SRL14" s="1"/>
      <c r="SRM14" s="1"/>
      <c r="SRN14" s="1"/>
      <c r="SRO14" s="1"/>
      <c r="SRP14" s="1"/>
      <c r="SRQ14" s="1"/>
      <c r="SRR14" s="1"/>
      <c r="SRS14" s="1"/>
      <c r="SRT14" s="1"/>
      <c r="SRU14" s="1"/>
      <c r="SRV14" s="1"/>
      <c r="SRW14" s="1"/>
      <c r="SRX14" s="1"/>
      <c r="SRY14" s="1"/>
      <c r="SRZ14" s="1"/>
      <c r="SSA14" s="1"/>
      <c r="SSB14" s="1"/>
      <c r="SSC14" s="1"/>
      <c r="SSD14" s="1"/>
      <c r="SSE14" s="1"/>
      <c r="SSF14" s="1"/>
      <c r="SSG14" s="1"/>
      <c r="SSH14" s="1"/>
      <c r="SSI14" s="1"/>
      <c r="SSJ14" s="1"/>
      <c r="SSK14" s="1"/>
      <c r="SSL14" s="1"/>
      <c r="SSM14" s="1"/>
      <c r="SSN14" s="1"/>
      <c r="SSO14" s="1"/>
      <c r="SSP14" s="1"/>
      <c r="SSQ14" s="1"/>
      <c r="SSR14" s="1"/>
      <c r="SSS14" s="1"/>
      <c r="SST14" s="1"/>
      <c r="SSU14" s="1"/>
      <c r="SSV14" s="1"/>
      <c r="SSW14" s="1"/>
      <c r="SSX14" s="1"/>
      <c r="SSY14" s="1"/>
      <c r="SSZ14" s="1"/>
      <c r="STA14" s="1"/>
      <c r="STB14" s="1"/>
      <c r="STC14" s="1"/>
      <c r="STD14" s="1"/>
      <c r="STE14" s="1"/>
      <c r="STF14" s="1"/>
      <c r="STG14" s="1"/>
      <c r="STH14" s="1"/>
      <c r="STI14" s="1"/>
      <c r="STJ14" s="1"/>
      <c r="STK14" s="1"/>
      <c r="STL14" s="1"/>
      <c r="STM14" s="1"/>
      <c r="STN14" s="1"/>
      <c r="STO14" s="1"/>
      <c r="STP14" s="1"/>
      <c r="STQ14" s="1"/>
      <c r="STR14" s="1"/>
      <c r="STS14" s="1"/>
      <c r="STT14" s="1"/>
      <c r="STU14" s="1"/>
      <c r="STV14" s="1"/>
      <c r="STW14" s="1"/>
      <c r="STX14" s="1"/>
      <c r="STY14" s="1"/>
      <c r="STZ14" s="1"/>
      <c r="SUA14" s="1"/>
      <c r="SUB14" s="1"/>
      <c r="SUC14" s="1"/>
      <c r="SUD14" s="1"/>
      <c r="SUE14" s="1"/>
      <c r="SUF14" s="1"/>
      <c r="SUG14" s="1"/>
      <c r="SUH14" s="1"/>
      <c r="SUI14" s="1"/>
      <c r="SUJ14" s="1"/>
      <c r="SUK14" s="1"/>
      <c r="SUL14" s="1"/>
      <c r="SUM14" s="1"/>
      <c r="SUN14" s="1"/>
      <c r="SUO14" s="1"/>
      <c r="SUP14" s="1"/>
      <c r="SUQ14" s="1"/>
      <c r="SUR14" s="1"/>
      <c r="SUS14" s="1"/>
      <c r="SUT14" s="1"/>
      <c r="SUU14" s="1"/>
      <c r="SUV14" s="1"/>
      <c r="SUW14" s="1"/>
      <c r="SUX14" s="1"/>
      <c r="SUY14" s="1"/>
      <c r="SUZ14" s="1"/>
      <c r="SVA14" s="1"/>
      <c r="SVB14" s="1"/>
      <c r="SVC14" s="1"/>
      <c r="SVD14" s="1"/>
      <c r="SVE14" s="1"/>
      <c r="SVF14" s="1"/>
      <c r="SVG14" s="1"/>
      <c r="SVH14" s="1"/>
      <c r="SVI14" s="1"/>
      <c r="SVJ14" s="1"/>
      <c r="SVK14" s="1"/>
      <c r="SVL14" s="1"/>
      <c r="SVM14" s="1"/>
      <c r="SVN14" s="1"/>
      <c r="SVO14" s="1"/>
      <c r="SVP14" s="1"/>
      <c r="SVQ14" s="1"/>
      <c r="SVR14" s="1"/>
      <c r="SVS14" s="1"/>
      <c r="SVT14" s="1"/>
      <c r="SVU14" s="1"/>
      <c r="SVV14" s="1"/>
      <c r="SVW14" s="1"/>
      <c r="SVX14" s="1"/>
      <c r="SVY14" s="1"/>
      <c r="SVZ14" s="1"/>
      <c r="SWA14" s="1"/>
      <c r="SWB14" s="1"/>
      <c r="SWC14" s="1"/>
      <c r="SWD14" s="1"/>
      <c r="SWE14" s="1"/>
      <c r="SWF14" s="1"/>
      <c r="SWG14" s="1"/>
      <c r="SWH14" s="1"/>
      <c r="SWI14" s="1"/>
      <c r="SWJ14" s="1"/>
      <c r="SWK14" s="1"/>
      <c r="SWL14" s="1"/>
      <c r="SWM14" s="1"/>
      <c r="SWN14" s="1"/>
      <c r="SWO14" s="1"/>
      <c r="SWP14" s="1"/>
      <c r="SWQ14" s="1"/>
      <c r="SWR14" s="1"/>
      <c r="SWS14" s="1"/>
      <c r="SWT14" s="1"/>
      <c r="SWU14" s="1"/>
      <c r="SWV14" s="1"/>
      <c r="SWW14" s="1"/>
      <c r="SWX14" s="1"/>
      <c r="SWY14" s="1"/>
      <c r="SWZ14" s="1"/>
      <c r="SXA14" s="1"/>
      <c r="SXB14" s="1"/>
      <c r="SXC14" s="1"/>
      <c r="SXD14" s="1"/>
      <c r="SXE14" s="1"/>
      <c r="SXF14" s="1"/>
      <c r="SXG14" s="1"/>
      <c r="SXH14" s="1"/>
      <c r="SXI14" s="1"/>
      <c r="SXJ14" s="1"/>
      <c r="SXK14" s="1"/>
      <c r="SXL14" s="1"/>
      <c r="SXM14" s="1"/>
      <c r="SXN14" s="1"/>
      <c r="SXO14" s="1"/>
      <c r="SXP14" s="1"/>
      <c r="SXQ14" s="1"/>
      <c r="SXR14" s="1"/>
      <c r="SXS14" s="1"/>
      <c r="SXT14" s="1"/>
      <c r="SXU14" s="1"/>
      <c r="SXV14" s="1"/>
      <c r="SXW14" s="1"/>
      <c r="SXX14" s="1"/>
      <c r="SXY14" s="1"/>
      <c r="SXZ14" s="1"/>
      <c r="SYA14" s="1"/>
      <c r="SYB14" s="1"/>
      <c r="SYC14" s="1"/>
      <c r="SYD14" s="1"/>
      <c r="SYE14" s="1"/>
      <c r="SYF14" s="1"/>
      <c r="SYG14" s="1"/>
      <c r="SYH14" s="1"/>
      <c r="SYI14" s="1"/>
      <c r="SYJ14" s="1"/>
      <c r="SYK14" s="1"/>
      <c r="SYL14" s="1"/>
      <c r="SYM14" s="1"/>
      <c r="SYN14" s="1"/>
      <c r="SYO14" s="1"/>
      <c r="SYP14" s="1"/>
      <c r="SYQ14" s="1"/>
      <c r="SYR14" s="1"/>
      <c r="SYS14" s="1"/>
      <c r="SYT14" s="1"/>
      <c r="SYU14" s="1"/>
      <c r="SYV14" s="1"/>
      <c r="SYW14" s="1"/>
      <c r="SYX14" s="1"/>
      <c r="SYY14" s="1"/>
      <c r="SYZ14" s="1"/>
      <c r="SZA14" s="1"/>
      <c r="SZB14" s="1"/>
      <c r="SZC14" s="1"/>
      <c r="SZD14" s="1"/>
      <c r="SZE14" s="1"/>
      <c r="SZF14" s="1"/>
      <c r="SZG14" s="1"/>
      <c r="SZH14" s="1"/>
      <c r="SZI14" s="1"/>
      <c r="SZJ14" s="1"/>
      <c r="SZK14" s="1"/>
      <c r="SZL14" s="1"/>
      <c r="SZM14" s="1"/>
      <c r="SZN14" s="1"/>
      <c r="SZO14" s="1"/>
      <c r="SZP14" s="1"/>
      <c r="SZQ14" s="1"/>
      <c r="SZR14" s="1"/>
      <c r="SZS14" s="1"/>
      <c r="SZT14" s="1"/>
      <c r="SZU14" s="1"/>
      <c r="SZV14" s="1"/>
      <c r="SZW14" s="1"/>
      <c r="SZX14" s="1"/>
      <c r="SZY14" s="1"/>
      <c r="SZZ14" s="1"/>
      <c r="TAA14" s="1"/>
      <c r="TAB14" s="1"/>
      <c r="TAC14" s="1"/>
      <c r="TAD14" s="1"/>
      <c r="TAE14" s="1"/>
      <c r="TAF14" s="1"/>
      <c r="TAG14" s="1"/>
      <c r="TAH14" s="1"/>
      <c r="TAI14" s="1"/>
      <c r="TAJ14" s="1"/>
      <c r="TAK14" s="1"/>
      <c r="TAL14" s="1"/>
      <c r="TAM14" s="1"/>
      <c r="TAN14" s="1"/>
      <c r="TAO14" s="1"/>
      <c r="TAP14" s="1"/>
      <c r="TAQ14" s="1"/>
      <c r="TAR14" s="1"/>
      <c r="TAS14" s="1"/>
      <c r="TAT14" s="1"/>
      <c r="TAU14" s="1"/>
      <c r="TAV14" s="1"/>
      <c r="TAW14" s="1"/>
      <c r="TAX14" s="1"/>
      <c r="TAY14" s="1"/>
      <c r="TAZ14" s="1"/>
      <c r="TBA14" s="1"/>
      <c r="TBB14" s="1"/>
      <c r="TBC14" s="1"/>
      <c r="TBD14" s="1"/>
      <c r="TBE14" s="1"/>
      <c r="TBF14" s="1"/>
      <c r="TBG14" s="1"/>
      <c r="TBH14" s="1"/>
      <c r="TBI14" s="1"/>
      <c r="TBJ14" s="1"/>
      <c r="TBK14" s="1"/>
      <c r="TBL14" s="1"/>
      <c r="TBM14" s="1"/>
      <c r="TBN14" s="1"/>
      <c r="TBO14" s="1"/>
      <c r="TBP14" s="1"/>
      <c r="TBQ14" s="1"/>
      <c r="TBR14" s="1"/>
      <c r="TBS14" s="1"/>
      <c r="TBT14" s="1"/>
      <c r="TBU14" s="1"/>
      <c r="TBV14" s="1"/>
      <c r="TBW14" s="1"/>
      <c r="TBX14" s="1"/>
      <c r="TBY14" s="1"/>
      <c r="TBZ14" s="1"/>
      <c r="TCA14" s="1"/>
      <c r="TCB14" s="1"/>
      <c r="TCC14" s="1"/>
      <c r="TCD14" s="1"/>
      <c r="TCE14" s="1"/>
      <c r="TCF14" s="1"/>
      <c r="TCG14" s="1"/>
      <c r="TCH14" s="1"/>
      <c r="TCI14" s="1"/>
      <c r="TCJ14" s="1"/>
      <c r="TCK14" s="1"/>
      <c r="TCL14" s="1"/>
      <c r="TCM14" s="1"/>
      <c r="TCN14" s="1"/>
      <c r="TCO14" s="1"/>
      <c r="TCP14" s="1"/>
      <c r="TCQ14" s="1"/>
      <c r="TCR14" s="1"/>
      <c r="TCS14" s="1"/>
      <c r="TCT14" s="1"/>
      <c r="TCU14" s="1"/>
      <c r="TCV14" s="1"/>
      <c r="TCW14" s="1"/>
      <c r="TCX14" s="1"/>
      <c r="TCY14" s="1"/>
      <c r="TCZ14" s="1"/>
      <c r="TDA14" s="1"/>
      <c r="TDB14" s="1"/>
      <c r="TDC14" s="1"/>
      <c r="TDD14" s="1"/>
      <c r="TDE14" s="1"/>
      <c r="TDF14" s="1"/>
      <c r="TDG14" s="1"/>
      <c r="TDH14" s="1"/>
      <c r="TDI14" s="1"/>
      <c r="TDJ14" s="1"/>
      <c r="TDK14" s="1"/>
      <c r="TDL14" s="1"/>
      <c r="TDM14" s="1"/>
      <c r="TDN14" s="1"/>
      <c r="TDO14" s="1"/>
      <c r="TDP14" s="1"/>
      <c r="TDQ14" s="1"/>
      <c r="TDR14" s="1"/>
      <c r="TDS14" s="1"/>
      <c r="TDT14" s="1"/>
      <c r="TDU14" s="1"/>
      <c r="TDV14" s="1"/>
      <c r="TDW14" s="1"/>
      <c r="TDX14" s="1"/>
      <c r="TDY14" s="1"/>
      <c r="TDZ14" s="1"/>
      <c r="TEA14" s="1"/>
      <c r="TEB14" s="1"/>
      <c r="TEC14" s="1"/>
      <c r="TED14" s="1"/>
      <c r="TEE14" s="1"/>
      <c r="TEF14" s="1"/>
      <c r="TEG14" s="1"/>
      <c r="TEH14" s="1"/>
      <c r="TEI14" s="1"/>
      <c r="TEJ14" s="1"/>
      <c r="TEK14" s="1"/>
      <c r="TEL14" s="1"/>
      <c r="TEM14" s="1"/>
      <c r="TEN14" s="1"/>
      <c r="TEO14" s="1"/>
      <c r="TEP14" s="1"/>
      <c r="TEQ14" s="1"/>
      <c r="TER14" s="1"/>
      <c r="TES14" s="1"/>
      <c r="TET14" s="1"/>
      <c r="TEU14" s="1"/>
      <c r="TEV14" s="1"/>
      <c r="TEW14" s="1"/>
      <c r="TEX14" s="1"/>
      <c r="TEY14" s="1"/>
      <c r="TEZ14" s="1"/>
      <c r="TFA14" s="1"/>
      <c r="TFB14" s="1"/>
      <c r="TFC14" s="1"/>
      <c r="TFD14" s="1"/>
      <c r="TFE14" s="1"/>
      <c r="TFF14" s="1"/>
      <c r="TFG14" s="1"/>
      <c r="TFH14" s="1"/>
      <c r="TFI14" s="1"/>
      <c r="TFJ14" s="1"/>
      <c r="TFK14" s="1"/>
      <c r="TFL14" s="1"/>
      <c r="TFM14" s="1"/>
      <c r="TFN14" s="1"/>
      <c r="TFO14" s="1"/>
      <c r="TFP14" s="1"/>
      <c r="TFQ14" s="1"/>
      <c r="TFR14" s="1"/>
      <c r="TFS14" s="1"/>
      <c r="TFT14" s="1"/>
      <c r="TFU14" s="1"/>
      <c r="TFV14" s="1"/>
      <c r="TFW14" s="1"/>
      <c r="TFX14" s="1"/>
      <c r="TFY14" s="1"/>
      <c r="TFZ14" s="1"/>
      <c r="TGA14" s="1"/>
      <c r="TGB14" s="1"/>
      <c r="TGC14" s="1"/>
      <c r="TGD14" s="1"/>
      <c r="TGE14" s="1"/>
      <c r="TGF14" s="1"/>
      <c r="TGG14" s="1"/>
      <c r="TGH14" s="1"/>
      <c r="TGI14" s="1"/>
      <c r="TGJ14" s="1"/>
      <c r="TGK14" s="1"/>
      <c r="TGL14" s="1"/>
      <c r="TGM14" s="1"/>
      <c r="TGN14" s="1"/>
      <c r="TGO14" s="1"/>
      <c r="TGP14" s="1"/>
      <c r="TGQ14" s="1"/>
      <c r="TGR14" s="1"/>
      <c r="TGS14" s="1"/>
      <c r="TGT14" s="1"/>
      <c r="TGU14" s="1"/>
      <c r="TGV14" s="1"/>
      <c r="TGW14" s="1"/>
      <c r="TGX14" s="1"/>
      <c r="TGY14" s="1"/>
      <c r="TGZ14" s="1"/>
      <c r="THA14" s="1"/>
      <c r="THB14" s="1"/>
      <c r="THC14" s="1"/>
      <c r="THD14" s="1"/>
      <c r="THE14" s="1"/>
      <c r="THF14" s="1"/>
      <c r="THG14" s="1"/>
      <c r="THH14" s="1"/>
      <c r="THI14" s="1"/>
      <c r="THJ14" s="1"/>
      <c r="THK14" s="1"/>
      <c r="THL14" s="1"/>
      <c r="THM14" s="1"/>
      <c r="THN14" s="1"/>
      <c r="THO14" s="1"/>
      <c r="THP14" s="1"/>
      <c r="THQ14" s="1"/>
      <c r="THR14" s="1"/>
      <c r="THS14" s="1"/>
      <c r="THT14" s="1"/>
      <c r="THU14" s="1"/>
      <c r="THV14" s="1"/>
      <c r="THW14" s="1"/>
      <c r="THX14" s="1"/>
      <c r="THY14" s="1"/>
      <c r="THZ14" s="1"/>
      <c r="TIA14" s="1"/>
      <c r="TIB14" s="1"/>
      <c r="TIC14" s="1"/>
      <c r="TID14" s="1"/>
      <c r="TIE14" s="1"/>
      <c r="TIF14" s="1"/>
      <c r="TIG14" s="1"/>
      <c r="TIH14" s="1"/>
      <c r="TII14" s="1"/>
      <c r="TIJ14" s="1"/>
      <c r="TIK14" s="1"/>
      <c r="TIL14" s="1"/>
      <c r="TIM14" s="1"/>
      <c r="TIN14" s="1"/>
      <c r="TIO14" s="1"/>
      <c r="TIP14" s="1"/>
      <c r="TIQ14" s="1"/>
      <c r="TIR14" s="1"/>
      <c r="TIS14" s="1"/>
      <c r="TIT14" s="1"/>
      <c r="TIU14" s="1"/>
      <c r="TIV14" s="1"/>
      <c r="TIW14" s="1"/>
      <c r="TIX14" s="1"/>
      <c r="TIY14" s="1"/>
      <c r="TIZ14" s="1"/>
      <c r="TJA14" s="1"/>
      <c r="TJB14" s="1"/>
      <c r="TJC14" s="1"/>
      <c r="TJD14" s="1"/>
      <c r="TJE14" s="1"/>
      <c r="TJF14" s="1"/>
      <c r="TJG14" s="1"/>
      <c r="TJH14" s="1"/>
      <c r="TJI14" s="1"/>
      <c r="TJJ14" s="1"/>
      <c r="TJK14" s="1"/>
      <c r="TJL14" s="1"/>
      <c r="TJM14" s="1"/>
      <c r="TJN14" s="1"/>
      <c r="TJO14" s="1"/>
      <c r="TJP14" s="1"/>
      <c r="TJQ14" s="1"/>
      <c r="TJR14" s="1"/>
      <c r="TJS14" s="1"/>
      <c r="TJT14" s="1"/>
      <c r="TJU14" s="1"/>
      <c r="TJV14" s="1"/>
      <c r="TJW14" s="1"/>
      <c r="TJX14" s="1"/>
      <c r="TJY14" s="1"/>
      <c r="TJZ14" s="1"/>
      <c r="TKA14" s="1"/>
      <c r="TKB14" s="1"/>
      <c r="TKC14" s="1"/>
      <c r="TKD14" s="1"/>
      <c r="TKE14" s="1"/>
      <c r="TKF14" s="1"/>
      <c r="TKG14" s="1"/>
      <c r="TKH14" s="1"/>
      <c r="TKI14" s="1"/>
      <c r="TKJ14" s="1"/>
      <c r="TKK14" s="1"/>
      <c r="TKL14" s="1"/>
      <c r="TKM14" s="1"/>
      <c r="TKN14" s="1"/>
      <c r="TKO14" s="1"/>
      <c r="TKP14" s="1"/>
      <c r="TKQ14" s="1"/>
      <c r="TKR14" s="1"/>
      <c r="TKS14" s="1"/>
      <c r="TKT14" s="1"/>
      <c r="TKU14" s="1"/>
      <c r="TKV14" s="1"/>
      <c r="TKW14" s="1"/>
      <c r="TKX14" s="1"/>
      <c r="TKY14" s="1"/>
      <c r="TKZ14" s="1"/>
      <c r="TLA14" s="1"/>
      <c r="TLB14" s="1"/>
      <c r="TLC14" s="1"/>
      <c r="TLD14" s="1"/>
      <c r="TLE14" s="1"/>
      <c r="TLF14" s="1"/>
      <c r="TLG14" s="1"/>
      <c r="TLH14" s="1"/>
      <c r="TLI14" s="1"/>
      <c r="TLJ14" s="1"/>
      <c r="TLK14" s="1"/>
      <c r="TLL14" s="1"/>
      <c r="TLM14" s="1"/>
      <c r="TLN14" s="1"/>
      <c r="TLO14" s="1"/>
      <c r="TLP14" s="1"/>
      <c r="TLQ14" s="1"/>
      <c r="TLR14" s="1"/>
      <c r="TLS14" s="1"/>
      <c r="TLT14" s="1"/>
      <c r="TLU14" s="1"/>
      <c r="TLV14" s="1"/>
      <c r="TLW14" s="1"/>
      <c r="TLX14" s="1"/>
      <c r="TLY14" s="1"/>
      <c r="TLZ14" s="1"/>
      <c r="TMA14" s="1"/>
      <c r="TMB14" s="1"/>
      <c r="TMC14" s="1"/>
      <c r="TMD14" s="1"/>
      <c r="TME14" s="1"/>
      <c r="TMF14" s="1"/>
      <c r="TMG14" s="1"/>
      <c r="TMH14" s="1"/>
      <c r="TMI14" s="1"/>
      <c r="TMJ14" s="1"/>
      <c r="TMK14" s="1"/>
      <c r="TML14" s="1"/>
      <c r="TMM14" s="1"/>
      <c r="TMN14" s="1"/>
      <c r="TMO14" s="1"/>
      <c r="TMP14" s="1"/>
      <c r="TMQ14" s="1"/>
      <c r="TMR14" s="1"/>
      <c r="TMS14" s="1"/>
      <c r="TMT14" s="1"/>
      <c r="TMU14" s="1"/>
      <c r="TMV14" s="1"/>
      <c r="TMW14" s="1"/>
      <c r="TMX14" s="1"/>
      <c r="TMY14" s="1"/>
      <c r="TMZ14" s="1"/>
      <c r="TNA14" s="1"/>
      <c r="TNB14" s="1"/>
      <c r="TNC14" s="1"/>
      <c r="TND14" s="1"/>
      <c r="TNE14" s="1"/>
      <c r="TNF14" s="1"/>
      <c r="TNG14" s="1"/>
      <c r="TNH14" s="1"/>
      <c r="TNI14" s="1"/>
      <c r="TNJ14" s="1"/>
      <c r="TNK14" s="1"/>
      <c r="TNL14" s="1"/>
      <c r="TNM14" s="1"/>
      <c r="TNN14" s="1"/>
      <c r="TNO14" s="1"/>
      <c r="TNP14" s="1"/>
      <c r="TNQ14" s="1"/>
      <c r="TNR14" s="1"/>
      <c r="TNS14" s="1"/>
      <c r="TNT14" s="1"/>
      <c r="TNU14" s="1"/>
      <c r="TNV14" s="1"/>
      <c r="TNW14" s="1"/>
      <c r="TNX14" s="1"/>
      <c r="TNY14" s="1"/>
      <c r="TNZ14" s="1"/>
      <c r="TOA14" s="1"/>
      <c r="TOB14" s="1"/>
      <c r="TOC14" s="1"/>
      <c r="TOD14" s="1"/>
      <c r="TOE14" s="1"/>
      <c r="TOF14" s="1"/>
      <c r="TOG14" s="1"/>
      <c r="TOH14" s="1"/>
      <c r="TOI14" s="1"/>
      <c r="TOJ14" s="1"/>
      <c r="TOK14" s="1"/>
      <c r="TOL14" s="1"/>
      <c r="TOM14" s="1"/>
      <c r="TON14" s="1"/>
      <c r="TOO14" s="1"/>
      <c r="TOP14" s="1"/>
      <c r="TOQ14" s="1"/>
      <c r="TOR14" s="1"/>
      <c r="TOS14" s="1"/>
      <c r="TOT14" s="1"/>
      <c r="TOU14" s="1"/>
      <c r="TOV14" s="1"/>
      <c r="TOW14" s="1"/>
      <c r="TOX14" s="1"/>
      <c r="TOY14" s="1"/>
      <c r="TOZ14" s="1"/>
      <c r="TPA14" s="1"/>
      <c r="TPB14" s="1"/>
      <c r="TPC14" s="1"/>
      <c r="TPD14" s="1"/>
      <c r="TPE14" s="1"/>
      <c r="TPF14" s="1"/>
      <c r="TPG14" s="1"/>
      <c r="TPH14" s="1"/>
      <c r="TPI14" s="1"/>
      <c r="TPJ14" s="1"/>
      <c r="TPK14" s="1"/>
      <c r="TPL14" s="1"/>
      <c r="TPM14" s="1"/>
      <c r="TPN14" s="1"/>
      <c r="TPO14" s="1"/>
      <c r="TPP14" s="1"/>
      <c r="TPQ14" s="1"/>
      <c r="TPR14" s="1"/>
      <c r="TPS14" s="1"/>
      <c r="TPT14" s="1"/>
      <c r="TPU14" s="1"/>
      <c r="TPV14" s="1"/>
      <c r="TPW14" s="1"/>
      <c r="TPX14" s="1"/>
      <c r="TPY14" s="1"/>
      <c r="TPZ14" s="1"/>
      <c r="TQA14" s="1"/>
      <c r="TQB14" s="1"/>
      <c r="TQC14" s="1"/>
      <c r="TQD14" s="1"/>
      <c r="TQE14" s="1"/>
      <c r="TQF14" s="1"/>
      <c r="TQG14" s="1"/>
      <c r="TQH14" s="1"/>
      <c r="TQI14" s="1"/>
      <c r="TQJ14" s="1"/>
      <c r="TQK14" s="1"/>
      <c r="TQL14" s="1"/>
      <c r="TQM14" s="1"/>
      <c r="TQN14" s="1"/>
      <c r="TQO14" s="1"/>
      <c r="TQP14" s="1"/>
      <c r="TQQ14" s="1"/>
      <c r="TQR14" s="1"/>
      <c r="TQS14" s="1"/>
      <c r="TQT14" s="1"/>
      <c r="TQU14" s="1"/>
      <c r="TQV14" s="1"/>
      <c r="TQW14" s="1"/>
      <c r="TQX14" s="1"/>
      <c r="TQY14" s="1"/>
      <c r="TQZ14" s="1"/>
      <c r="TRA14" s="1"/>
      <c r="TRB14" s="1"/>
      <c r="TRC14" s="1"/>
      <c r="TRD14" s="1"/>
      <c r="TRE14" s="1"/>
      <c r="TRF14" s="1"/>
      <c r="TRG14" s="1"/>
      <c r="TRH14" s="1"/>
      <c r="TRI14" s="1"/>
      <c r="TRJ14" s="1"/>
      <c r="TRK14" s="1"/>
      <c r="TRL14" s="1"/>
      <c r="TRM14" s="1"/>
      <c r="TRN14" s="1"/>
      <c r="TRO14" s="1"/>
      <c r="TRP14" s="1"/>
      <c r="TRQ14" s="1"/>
      <c r="TRR14" s="1"/>
      <c r="TRS14" s="1"/>
      <c r="TRT14" s="1"/>
      <c r="TRU14" s="1"/>
      <c r="TRV14" s="1"/>
      <c r="TRW14" s="1"/>
      <c r="TRX14" s="1"/>
      <c r="TRY14" s="1"/>
      <c r="TRZ14" s="1"/>
      <c r="TSA14" s="1"/>
      <c r="TSB14" s="1"/>
      <c r="TSC14" s="1"/>
      <c r="TSD14" s="1"/>
      <c r="TSE14" s="1"/>
      <c r="TSF14" s="1"/>
      <c r="TSG14" s="1"/>
      <c r="TSH14" s="1"/>
      <c r="TSI14" s="1"/>
      <c r="TSJ14" s="1"/>
      <c r="TSK14" s="1"/>
      <c r="TSL14" s="1"/>
      <c r="TSM14" s="1"/>
      <c r="TSN14" s="1"/>
      <c r="TSO14" s="1"/>
      <c r="TSP14" s="1"/>
      <c r="TSQ14" s="1"/>
      <c r="TSR14" s="1"/>
      <c r="TSS14" s="1"/>
      <c r="TST14" s="1"/>
      <c r="TSU14" s="1"/>
      <c r="TSV14" s="1"/>
      <c r="TSW14" s="1"/>
      <c r="TSX14" s="1"/>
      <c r="TSY14" s="1"/>
      <c r="TSZ14" s="1"/>
      <c r="TTA14" s="1"/>
      <c r="TTB14" s="1"/>
      <c r="TTC14" s="1"/>
      <c r="TTD14" s="1"/>
      <c r="TTE14" s="1"/>
      <c r="TTF14" s="1"/>
      <c r="TTG14" s="1"/>
      <c r="TTH14" s="1"/>
      <c r="TTI14" s="1"/>
      <c r="TTJ14" s="1"/>
      <c r="TTK14" s="1"/>
      <c r="TTL14" s="1"/>
      <c r="TTM14" s="1"/>
      <c r="TTN14" s="1"/>
      <c r="TTO14" s="1"/>
      <c r="TTP14" s="1"/>
      <c r="TTQ14" s="1"/>
      <c r="TTR14" s="1"/>
      <c r="TTS14" s="1"/>
      <c r="TTT14" s="1"/>
      <c r="TTU14" s="1"/>
      <c r="TTV14" s="1"/>
      <c r="TTW14" s="1"/>
      <c r="TTX14" s="1"/>
      <c r="TTY14" s="1"/>
      <c r="TTZ14" s="1"/>
      <c r="TUA14" s="1"/>
      <c r="TUB14" s="1"/>
      <c r="TUC14" s="1"/>
      <c r="TUD14" s="1"/>
      <c r="TUE14" s="1"/>
      <c r="TUF14" s="1"/>
      <c r="TUG14" s="1"/>
      <c r="TUH14" s="1"/>
      <c r="TUI14" s="1"/>
      <c r="TUJ14" s="1"/>
      <c r="TUK14" s="1"/>
      <c r="TUL14" s="1"/>
      <c r="TUM14" s="1"/>
      <c r="TUN14" s="1"/>
      <c r="TUO14" s="1"/>
      <c r="TUP14" s="1"/>
      <c r="TUQ14" s="1"/>
      <c r="TUR14" s="1"/>
      <c r="TUS14" s="1"/>
      <c r="TUT14" s="1"/>
      <c r="TUU14" s="1"/>
      <c r="TUV14" s="1"/>
      <c r="TUW14" s="1"/>
      <c r="TUX14" s="1"/>
      <c r="TUY14" s="1"/>
      <c r="TUZ14" s="1"/>
      <c r="TVA14" s="1"/>
      <c r="TVB14" s="1"/>
      <c r="TVC14" s="1"/>
      <c r="TVD14" s="1"/>
      <c r="TVE14" s="1"/>
      <c r="TVF14" s="1"/>
      <c r="TVG14" s="1"/>
      <c r="TVH14" s="1"/>
      <c r="TVI14" s="1"/>
      <c r="TVJ14" s="1"/>
      <c r="TVK14" s="1"/>
      <c r="TVL14" s="1"/>
      <c r="TVM14" s="1"/>
      <c r="TVN14" s="1"/>
      <c r="TVO14" s="1"/>
      <c r="TVP14" s="1"/>
      <c r="TVQ14" s="1"/>
      <c r="TVR14" s="1"/>
      <c r="TVS14" s="1"/>
      <c r="TVT14" s="1"/>
      <c r="TVU14" s="1"/>
      <c r="TVV14" s="1"/>
      <c r="TVW14" s="1"/>
      <c r="TVX14" s="1"/>
      <c r="TVY14" s="1"/>
      <c r="TVZ14" s="1"/>
      <c r="TWA14" s="1"/>
      <c r="TWB14" s="1"/>
      <c r="TWC14" s="1"/>
      <c r="TWD14" s="1"/>
      <c r="TWE14" s="1"/>
      <c r="TWF14" s="1"/>
      <c r="TWG14" s="1"/>
      <c r="TWH14" s="1"/>
      <c r="TWI14" s="1"/>
      <c r="TWJ14" s="1"/>
      <c r="TWK14" s="1"/>
      <c r="TWL14" s="1"/>
      <c r="TWM14" s="1"/>
      <c r="TWN14" s="1"/>
      <c r="TWO14" s="1"/>
      <c r="TWP14" s="1"/>
      <c r="TWQ14" s="1"/>
      <c r="TWR14" s="1"/>
      <c r="TWS14" s="1"/>
      <c r="TWT14" s="1"/>
      <c r="TWU14" s="1"/>
      <c r="TWV14" s="1"/>
      <c r="TWW14" s="1"/>
      <c r="TWX14" s="1"/>
      <c r="TWY14" s="1"/>
      <c r="TWZ14" s="1"/>
      <c r="TXA14" s="1"/>
      <c r="TXB14" s="1"/>
      <c r="TXC14" s="1"/>
      <c r="TXD14" s="1"/>
      <c r="TXE14" s="1"/>
      <c r="TXF14" s="1"/>
      <c r="TXG14" s="1"/>
      <c r="TXH14" s="1"/>
      <c r="TXI14" s="1"/>
      <c r="TXJ14" s="1"/>
      <c r="TXK14" s="1"/>
      <c r="TXL14" s="1"/>
      <c r="TXM14" s="1"/>
      <c r="TXN14" s="1"/>
      <c r="TXO14" s="1"/>
      <c r="TXP14" s="1"/>
      <c r="TXQ14" s="1"/>
      <c r="TXR14" s="1"/>
      <c r="TXS14" s="1"/>
      <c r="TXT14" s="1"/>
      <c r="TXU14" s="1"/>
      <c r="TXV14" s="1"/>
      <c r="TXW14" s="1"/>
      <c r="TXX14" s="1"/>
      <c r="TXY14" s="1"/>
      <c r="TXZ14" s="1"/>
      <c r="TYA14" s="1"/>
      <c r="TYB14" s="1"/>
      <c r="TYC14" s="1"/>
      <c r="TYD14" s="1"/>
      <c r="TYE14" s="1"/>
      <c r="TYF14" s="1"/>
      <c r="TYG14" s="1"/>
      <c r="TYH14" s="1"/>
      <c r="TYI14" s="1"/>
      <c r="TYJ14" s="1"/>
      <c r="TYK14" s="1"/>
      <c r="TYL14" s="1"/>
      <c r="TYM14" s="1"/>
      <c r="TYN14" s="1"/>
      <c r="TYO14" s="1"/>
      <c r="TYP14" s="1"/>
      <c r="TYQ14" s="1"/>
      <c r="TYR14" s="1"/>
      <c r="TYS14" s="1"/>
      <c r="TYT14" s="1"/>
      <c r="TYU14" s="1"/>
      <c r="TYV14" s="1"/>
      <c r="TYW14" s="1"/>
      <c r="TYX14" s="1"/>
      <c r="TYY14" s="1"/>
      <c r="TYZ14" s="1"/>
      <c r="TZA14" s="1"/>
      <c r="TZB14" s="1"/>
      <c r="TZC14" s="1"/>
      <c r="TZD14" s="1"/>
      <c r="TZE14" s="1"/>
      <c r="TZF14" s="1"/>
      <c r="TZG14" s="1"/>
      <c r="TZH14" s="1"/>
      <c r="TZI14" s="1"/>
      <c r="TZJ14" s="1"/>
      <c r="TZK14" s="1"/>
      <c r="TZL14" s="1"/>
      <c r="TZM14" s="1"/>
      <c r="TZN14" s="1"/>
      <c r="TZO14" s="1"/>
      <c r="TZP14" s="1"/>
      <c r="TZQ14" s="1"/>
      <c r="TZR14" s="1"/>
      <c r="TZS14" s="1"/>
      <c r="TZT14" s="1"/>
      <c r="TZU14" s="1"/>
      <c r="TZV14" s="1"/>
      <c r="TZW14" s="1"/>
      <c r="TZX14" s="1"/>
      <c r="TZY14" s="1"/>
      <c r="TZZ14" s="1"/>
      <c r="UAA14" s="1"/>
      <c r="UAB14" s="1"/>
      <c r="UAC14" s="1"/>
      <c r="UAD14" s="1"/>
      <c r="UAE14" s="1"/>
      <c r="UAF14" s="1"/>
      <c r="UAG14" s="1"/>
      <c r="UAH14" s="1"/>
      <c r="UAI14" s="1"/>
      <c r="UAJ14" s="1"/>
      <c r="UAK14" s="1"/>
      <c r="UAL14" s="1"/>
      <c r="UAM14" s="1"/>
      <c r="UAN14" s="1"/>
      <c r="UAO14" s="1"/>
      <c r="UAP14" s="1"/>
      <c r="UAQ14" s="1"/>
      <c r="UAR14" s="1"/>
      <c r="UAS14" s="1"/>
      <c r="UAT14" s="1"/>
      <c r="UAU14" s="1"/>
      <c r="UAV14" s="1"/>
      <c r="UAW14" s="1"/>
      <c r="UAX14" s="1"/>
      <c r="UAY14" s="1"/>
      <c r="UAZ14" s="1"/>
      <c r="UBA14" s="1"/>
      <c r="UBB14" s="1"/>
      <c r="UBC14" s="1"/>
      <c r="UBD14" s="1"/>
      <c r="UBE14" s="1"/>
      <c r="UBF14" s="1"/>
      <c r="UBG14" s="1"/>
      <c r="UBH14" s="1"/>
      <c r="UBI14" s="1"/>
      <c r="UBJ14" s="1"/>
      <c r="UBK14" s="1"/>
      <c r="UBL14" s="1"/>
      <c r="UBM14" s="1"/>
      <c r="UBN14" s="1"/>
      <c r="UBO14" s="1"/>
      <c r="UBP14" s="1"/>
      <c r="UBQ14" s="1"/>
      <c r="UBR14" s="1"/>
      <c r="UBS14" s="1"/>
      <c r="UBT14" s="1"/>
      <c r="UBU14" s="1"/>
      <c r="UBV14" s="1"/>
      <c r="UBW14" s="1"/>
      <c r="UBX14" s="1"/>
      <c r="UBY14" s="1"/>
      <c r="UBZ14" s="1"/>
      <c r="UCA14" s="1"/>
      <c r="UCB14" s="1"/>
      <c r="UCC14" s="1"/>
      <c r="UCD14" s="1"/>
      <c r="UCE14" s="1"/>
      <c r="UCF14" s="1"/>
      <c r="UCG14" s="1"/>
      <c r="UCH14" s="1"/>
      <c r="UCI14" s="1"/>
      <c r="UCJ14" s="1"/>
      <c r="UCK14" s="1"/>
      <c r="UCL14" s="1"/>
      <c r="UCM14" s="1"/>
      <c r="UCN14" s="1"/>
      <c r="UCO14" s="1"/>
      <c r="UCP14" s="1"/>
      <c r="UCQ14" s="1"/>
      <c r="UCR14" s="1"/>
      <c r="UCS14" s="1"/>
      <c r="UCT14" s="1"/>
      <c r="UCU14" s="1"/>
      <c r="UCV14" s="1"/>
      <c r="UCW14" s="1"/>
      <c r="UCX14" s="1"/>
      <c r="UCY14" s="1"/>
      <c r="UCZ14" s="1"/>
      <c r="UDA14" s="1"/>
      <c r="UDB14" s="1"/>
      <c r="UDC14" s="1"/>
      <c r="UDD14" s="1"/>
      <c r="UDE14" s="1"/>
      <c r="UDF14" s="1"/>
      <c r="UDG14" s="1"/>
      <c r="UDH14" s="1"/>
      <c r="UDI14" s="1"/>
      <c r="UDJ14" s="1"/>
      <c r="UDK14" s="1"/>
      <c r="UDL14" s="1"/>
      <c r="UDM14" s="1"/>
      <c r="UDN14" s="1"/>
      <c r="UDO14" s="1"/>
      <c r="UDP14" s="1"/>
      <c r="UDQ14" s="1"/>
      <c r="UDR14" s="1"/>
      <c r="UDS14" s="1"/>
      <c r="UDT14" s="1"/>
      <c r="UDU14" s="1"/>
      <c r="UDV14" s="1"/>
      <c r="UDW14" s="1"/>
      <c r="UDX14" s="1"/>
      <c r="UDY14" s="1"/>
      <c r="UDZ14" s="1"/>
      <c r="UEA14" s="1"/>
      <c r="UEB14" s="1"/>
      <c r="UEC14" s="1"/>
      <c r="UED14" s="1"/>
      <c r="UEE14" s="1"/>
      <c r="UEF14" s="1"/>
      <c r="UEG14" s="1"/>
      <c r="UEH14" s="1"/>
      <c r="UEI14" s="1"/>
      <c r="UEJ14" s="1"/>
      <c r="UEK14" s="1"/>
      <c r="UEL14" s="1"/>
      <c r="UEM14" s="1"/>
      <c r="UEN14" s="1"/>
      <c r="UEO14" s="1"/>
      <c r="UEP14" s="1"/>
      <c r="UEQ14" s="1"/>
      <c r="UER14" s="1"/>
      <c r="UES14" s="1"/>
      <c r="UET14" s="1"/>
      <c r="UEU14" s="1"/>
      <c r="UEV14" s="1"/>
      <c r="UEW14" s="1"/>
      <c r="UEX14" s="1"/>
      <c r="UEY14" s="1"/>
      <c r="UEZ14" s="1"/>
      <c r="UFA14" s="1"/>
      <c r="UFB14" s="1"/>
      <c r="UFC14" s="1"/>
      <c r="UFD14" s="1"/>
      <c r="UFE14" s="1"/>
      <c r="UFF14" s="1"/>
      <c r="UFG14" s="1"/>
      <c r="UFH14" s="1"/>
      <c r="UFI14" s="1"/>
      <c r="UFJ14" s="1"/>
      <c r="UFK14" s="1"/>
      <c r="UFL14" s="1"/>
      <c r="UFM14" s="1"/>
      <c r="UFN14" s="1"/>
      <c r="UFO14" s="1"/>
      <c r="UFP14" s="1"/>
      <c r="UFQ14" s="1"/>
      <c r="UFR14" s="1"/>
      <c r="UFS14" s="1"/>
      <c r="UFT14" s="1"/>
      <c r="UFU14" s="1"/>
      <c r="UFV14" s="1"/>
      <c r="UFW14" s="1"/>
      <c r="UFX14" s="1"/>
      <c r="UFY14" s="1"/>
      <c r="UFZ14" s="1"/>
      <c r="UGA14" s="1"/>
      <c r="UGB14" s="1"/>
      <c r="UGC14" s="1"/>
      <c r="UGD14" s="1"/>
      <c r="UGE14" s="1"/>
      <c r="UGF14" s="1"/>
      <c r="UGG14" s="1"/>
      <c r="UGH14" s="1"/>
      <c r="UGI14" s="1"/>
      <c r="UGJ14" s="1"/>
      <c r="UGK14" s="1"/>
      <c r="UGL14" s="1"/>
      <c r="UGM14" s="1"/>
      <c r="UGN14" s="1"/>
      <c r="UGO14" s="1"/>
      <c r="UGP14" s="1"/>
      <c r="UGQ14" s="1"/>
      <c r="UGR14" s="1"/>
      <c r="UGS14" s="1"/>
      <c r="UGT14" s="1"/>
      <c r="UGU14" s="1"/>
      <c r="UGV14" s="1"/>
      <c r="UGW14" s="1"/>
      <c r="UGX14" s="1"/>
      <c r="UGY14" s="1"/>
      <c r="UGZ14" s="1"/>
      <c r="UHA14" s="1"/>
      <c r="UHB14" s="1"/>
      <c r="UHC14" s="1"/>
      <c r="UHD14" s="1"/>
      <c r="UHE14" s="1"/>
      <c r="UHF14" s="1"/>
      <c r="UHG14" s="1"/>
      <c r="UHH14" s="1"/>
      <c r="UHI14" s="1"/>
      <c r="UHJ14" s="1"/>
      <c r="UHK14" s="1"/>
      <c r="UHL14" s="1"/>
      <c r="UHM14" s="1"/>
      <c r="UHN14" s="1"/>
      <c r="UHO14" s="1"/>
      <c r="UHP14" s="1"/>
      <c r="UHQ14" s="1"/>
      <c r="UHR14" s="1"/>
      <c r="UHS14" s="1"/>
      <c r="UHT14" s="1"/>
      <c r="UHU14" s="1"/>
      <c r="UHV14" s="1"/>
      <c r="UHW14" s="1"/>
      <c r="UHX14" s="1"/>
      <c r="UHY14" s="1"/>
      <c r="UHZ14" s="1"/>
      <c r="UIA14" s="1"/>
      <c r="UIB14" s="1"/>
      <c r="UIC14" s="1"/>
      <c r="UID14" s="1"/>
      <c r="UIE14" s="1"/>
      <c r="UIF14" s="1"/>
      <c r="UIG14" s="1"/>
      <c r="UIH14" s="1"/>
      <c r="UII14" s="1"/>
      <c r="UIJ14" s="1"/>
      <c r="UIK14" s="1"/>
      <c r="UIL14" s="1"/>
      <c r="UIM14" s="1"/>
      <c r="UIN14" s="1"/>
      <c r="UIO14" s="1"/>
      <c r="UIP14" s="1"/>
      <c r="UIQ14" s="1"/>
      <c r="UIR14" s="1"/>
      <c r="UIS14" s="1"/>
      <c r="UIT14" s="1"/>
      <c r="UIU14" s="1"/>
      <c r="UIV14" s="1"/>
      <c r="UIW14" s="1"/>
      <c r="UIX14" s="1"/>
      <c r="UIY14" s="1"/>
      <c r="UIZ14" s="1"/>
      <c r="UJA14" s="1"/>
      <c r="UJB14" s="1"/>
      <c r="UJC14" s="1"/>
      <c r="UJD14" s="1"/>
      <c r="UJE14" s="1"/>
      <c r="UJF14" s="1"/>
      <c r="UJG14" s="1"/>
      <c r="UJH14" s="1"/>
      <c r="UJI14" s="1"/>
      <c r="UJJ14" s="1"/>
      <c r="UJK14" s="1"/>
      <c r="UJL14" s="1"/>
      <c r="UJM14" s="1"/>
      <c r="UJN14" s="1"/>
      <c r="UJO14" s="1"/>
      <c r="UJP14" s="1"/>
      <c r="UJQ14" s="1"/>
      <c r="UJR14" s="1"/>
      <c r="UJS14" s="1"/>
      <c r="UJT14" s="1"/>
      <c r="UJU14" s="1"/>
      <c r="UJV14" s="1"/>
      <c r="UJW14" s="1"/>
      <c r="UJX14" s="1"/>
      <c r="UJY14" s="1"/>
      <c r="UJZ14" s="1"/>
      <c r="UKA14" s="1"/>
      <c r="UKB14" s="1"/>
      <c r="UKC14" s="1"/>
      <c r="UKD14" s="1"/>
      <c r="UKE14" s="1"/>
      <c r="UKF14" s="1"/>
      <c r="UKG14" s="1"/>
      <c r="UKH14" s="1"/>
      <c r="UKI14" s="1"/>
      <c r="UKJ14" s="1"/>
      <c r="UKK14" s="1"/>
      <c r="UKL14" s="1"/>
      <c r="UKM14" s="1"/>
      <c r="UKN14" s="1"/>
      <c r="UKO14" s="1"/>
      <c r="UKP14" s="1"/>
      <c r="UKQ14" s="1"/>
      <c r="UKR14" s="1"/>
      <c r="UKS14" s="1"/>
      <c r="UKT14" s="1"/>
      <c r="UKU14" s="1"/>
      <c r="UKV14" s="1"/>
      <c r="UKW14" s="1"/>
      <c r="UKX14" s="1"/>
      <c r="UKY14" s="1"/>
      <c r="UKZ14" s="1"/>
      <c r="ULA14" s="1"/>
      <c r="ULB14" s="1"/>
      <c r="ULC14" s="1"/>
      <c r="ULD14" s="1"/>
      <c r="ULE14" s="1"/>
      <c r="ULF14" s="1"/>
      <c r="ULG14" s="1"/>
      <c r="ULH14" s="1"/>
      <c r="ULI14" s="1"/>
      <c r="ULJ14" s="1"/>
      <c r="ULK14" s="1"/>
      <c r="ULL14" s="1"/>
      <c r="ULM14" s="1"/>
      <c r="ULN14" s="1"/>
      <c r="ULO14" s="1"/>
      <c r="ULP14" s="1"/>
      <c r="ULQ14" s="1"/>
      <c r="ULR14" s="1"/>
      <c r="ULS14" s="1"/>
      <c r="ULT14" s="1"/>
      <c r="ULU14" s="1"/>
      <c r="ULV14" s="1"/>
      <c r="ULW14" s="1"/>
      <c r="ULX14" s="1"/>
      <c r="ULY14" s="1"/>
      <c r="ULZ14" s="1"/>
      <c r="UMA14" s="1"/>
      <c r="UMB14" s="1"/>
      <c r="UMC14" s="1"/>
      <c r="UMD14" s="1"/>
      <c r="UME14" s="1"/>
      <c r="UMF14" s="1"/>
      <c r="UMG14" s="1"/>
      <c r="UMH14" s="1"/>
      <c r="UMI14" s="1"/>
      <c r="UMJ14" s="1"/>
      <c r="UMK14" s="1"/>
      <c r="UML14" s="1"/>
      <c r="UMM14" s="1"/>
      <c r="UMN14" s="1"/>
      <c r="UMO14" s="1"/>
      <c r="UMP14" s="1"/>
      <c r="UMQ14" s="1"/>
      <c r="UMR14" s="1"/>
      <c r="UMS14" s="1"/>
      <c r="UMT14" s="1"/>
      <c r="UMU14" s="1"/>
      <c r="UMV14" s="1"/>
      <c r="UMW14" s="1"/>
      <c r="UMX14" s="1"/>
      <c r="UMY14" s="1"/>
      <c r="UMZ14" s="1"/>
      <c r="UNA14" s="1"/>
      <c r="UNB14" s="1"/>
      <c r="UNC14" s="1"/>
      <c r="UND14" s="1"/>
      <c r="UNE14" s="1"/>
      <c r="UNF14" s="1"/>
      <c r="UNG14" s="1"/>
      <c r="UNH14" s="1"/>
      <c r="UNI14" s="1"/>
      <c r="UNJ14" s="1"/>
      <c r="UNK14" s="1"/>
      <c r="UNL14" s="1"/>
      <c r="UNM14" s="1"/>
      <c r="UNN14" s="1"/>
      <c r="UNO14" s="1"/>
      <c r="UNP14" s="1"/>
      <c r="UNQ14" s="1"/>
      <c r="UNR14" s="1"/>
      <c r="UNS14" s="1"/>
      <c r="UNT14" s="1"/>
      <c r="UNU14" s="1"/>
      <c r="UNV14" s="1"/>
      <c r="UNW14" s="1"/>
      <c r="UNX14" s="1"/>
      <c r="UNY14" s="1"/>
      <c r="UNZ14" s="1"/>
      <c r="UOA14" s="1"/>
      <c r="UOB14" s="1"/>
      <c r="UOC14" s="1"/>
      <c r="UOD14" s="1"/>
      <c r="UOE14" s="1"/>
      <c r="UOF14" s="1"/>
      <c r="UOG14" s="1"/>
      <c r="UOH14" s="1"/>
      <c r="UOI14" s="1"/>
      <c r="UOJ14" s="1"/>
      <c r="UOK14" s="1"/>
      <c r="UOL14" s="1"/>
      <c r="UOM14" s="1"/>
      <c r="UON14" s="1"/>
      <c r="UOO14" s="1"/>
      <c r="UOP14" s="1"/>
      <c r="UOQ14" s="1"/>
      <c r="UOR14" s="1"/>
      <c r="UOS14" s="1"/>
      <c r="UOT14" s="1"/>
      <c r="UOU14" s="1"/>
      <c r="UOV14" s="1"/>
      <c r="UOW14" s="1"/>
      <c r="UOX14" s="1"/>
      <c r="UOY14" s="1"/>
      <c r="UOZ14" s="1"/>
      <c r="UPA14" s="1"/>
      <c r="UPB14" s="1"/>
      <c r="UPC14" s="1"/>
      <c r="UPD14" s="1"/>
      <c r="UPE14" s="1"/>
      <c r="UPF14" s="1"/>
      <c r="UPG14" s="1"/>
      <c r="UPH14" s="1"/>
      <c r="UPI14" s="1"/>
      <c r="UPJ14" s="1"/>
      <c r="UPK14" s="1"/>
      <c r="UPL14" s="1"/>
      <c r="UPM14" s="1"/>
      <c r="UPN14" s="1"/>
      <c r="UPO14" s="1"/>
      <c r="UPP14" s="1"/>
      <c r="UPQ14" s="1"/>
      <c r="UPR14" s="1"/>
      <c r="UPS14" s="1"/>
      <c r="UPT14" s="1"/>
      <c r="UPU14" s="1"/>
      <c r="UPV14" s="1"/>
      <c r="UPW14" s="1"/>
      <c r="UPX14" s="1"/>
      <c r="UPY14" s="1"/>
      <c r="UPZ14" s="1"/>
      <c r="UQA14" s="1"/>
      <c r="UQB14" s="1"/>
      <c r="UQC14" s="1"/>
      <c r="UQD14" s="1"/>
      <c r="UQE14" s="1"/>
      <c r="UQF14" s="1"/>
      <c r="UQG14" s="1"/>
      <c r="UQH14" s="1"/>
      <c r="UQI14" s="1"/>
      <c r="UQJ14" s="1"/>
      <c r="UQK14" s="1"/>
      <c r="UQL14" s="1"/>
      <c r="UQM14" s="1"/>
      <c r="UQN14" s="1"/>
      <c r="UQO14" s="1"/>
      <c r="UQP14" s="1"/>
      <c r="UQQ14" s="1"/>
      <c r="UQR14" s="1"/>
      <c r="UQS14" s="1"/>
      <c r="UQT14" s="1"/>
      <c r="UQU14" s="1"/>
      <c r="UQV14" s="1"/>
      <c r="UQW14" s="1"/>
      <c r="UQX14" s="1"/>
      <c r="UQY14" s="1"/>
      <c r="UQZ14" s="1"/>
      <c r="URA14" s="1"/>
      <c r="URB14" s="1"/>
      <c r="URC14" s="1"/>
      <c r="URD14" s="1"/>
      <c r="URE14" s="1"/>
      <c r="URF14" s="1"/>
      <c r="URG14" s="1"/>
      <c r="URH14" s="1"/>
      <c r="URI14" s="1"/>
      <c r="URJ14" s="1"/>
      <c r="URK14" s="1"/>
      <c r="URL14" s="1"/>
      <c r="URM14" s="1"/>
      <c r="URN14" s="1"/>
      <c r="URO14" s="1"/>
      <c r="URP14" s="1"/>
      <c r="URQ14" s="1"/>
      <c r="URR14" s="1"/>
      <c r="URS14" s="1"/>
      <c r="URT14" s="1"/>
      <c r="URU14" s="1"/>
      <c r="URV14" s="1"/>
      <c r="URW14" s="1"/>
      <c r="URX14" s="1"/>
      <c r="URY14" s="1"/>
      <c r="URZ14" s="1"/>
      <c r="USA14" s="1"/>
      <c r="USB14" s="1"/>
      <c r="USC14" s="1"/>
      <c r="USD14" s="1"/>
      <c r="USE14" s="1"/>
      <c r="USF14" s="1"/>
      <c r="USG14" s="1"/>
      <c r="USH14" s="1"/>
      <c r="USI14" s="1"/>
      <c r="USJ14" s="1"/>
      <c r="USK14" s="1"/>
      <c r="USL14" s="1"/>
      <c r="USM14" s="1"/>
      <c r="USN14" s="1"/>
      <c r="USO14" s="1"/>
      <c r="USP14" s="1"/>
      <c r="USQ14" s="1"/>
      <c r="USR14" s="1"/>
      <c r="USS14" s="1"/>
      <c r="UST14" s="1"/>
      <c r="USU14" s="1"/>
      <c r="USV14" s="1"/>
      <c r="USW14" s="1"/>
      <c r="USX14" s="1"/>
      <c r="USY14" s="1"/>
      <c r="USZ14" s="1"/>
      <c r="UTA14" s="1"/>
      <c r="UTB14" s="1"/>
      <c r="UTC14" s="1"/>
      <c r="UTD14" s="1"/>
      <c r="UTE14" s="1"/>
      <c r="UTF14" s="1"/>
      <c r="UTG14" s="1"/>
      <c r="UTH14" s="1"/>
      <c r="UTI14" s="1"/>
      <c r="UTJ14" s="1"/>
      <c r="UTK14" s="1"/>
      <c r="UTL14" s="1"/>
      <c r="UTM14" s="1"/>
      <c r="UTN14" s="1"/>
      <c r="UTO14" s="1"/>
      <c r="UTP14" s="1"/>
      <c r="UTQ14" s="1"/>
      <c r="UTR14" s="1"/>
      <c r="UTS14" s="1"/>
      <c r="UTT14" s="1"/>
      <c r="UTU14" s="1"/>
      <c r="UTV14" s="1"/>
      <c r="UTW14" s="1"/>
      <c r="UTX14" s="1"/>
      <c r="UTY14" s="1"/>
      <c r="UTZ14" s="1"/>
      <c r="UUA14" s="1"/>
      <c r="UUB14" s="1"/>
      <c r="UUC14" s="1"/>
      <c r="UUD14" s="1"/>
      <c r="UUE14" s="1"/>
      <c r="UUF14" s="1"/>
      <c r="UUG14" s="1"/>
      <c r="UUH14" s="1"/>
      <c r="UUI14" s="1"/>
      <c r="UUJ14" s="1"/>
      <c r="UUK14" s="1"/>
      <c r="UUL14" s="1"/>
      <c r="UUM14" s="1"/>
      <c r="UUN14" s="1"/>
      <c r="UUO14" s="1"/>
      <c r="UUP14" s="1"/>
      <c r="UUQ14" s="1"/>
      <c r="UUR14" s="1"/>
      <c r="UUS14" s="1"/>
      <c r="UUT14" s="1"/>
      <c r="UUU14" s="1"/>
      <c r="UUV14" s="1"/>
      <c r="UUW14" s="1"/>
      <c r="UUX14" s="1"/>
      <c r="UUY14" s="1"/>
      <c r="UUZ14" s="1"/>
      <c r="UVA14" s="1"/>
      <c r="UVB14" s="1"/>
      <c r="UVC14" s="1"/>
      <c r="UVD14" s="1"/>
      <c r="UVE14" s="1"/>
      <c r="UVF14" s="1"/>
      <c r="UVG14" s="1"/>
      <c r="UVH14" s="1"/>
      <c r="UVI14" s="1"/>
      <c r="UVJ14" s="1"/>
      <c r="UVK14" s="1"/>
      <c r="UVL14" s="1"/>
      <c r="UVM14" s="1"/>
      <c r="UVN14" s="1"/>
      <c r="UVO14" s="1"/>
      <c r="UVP14" s="1"/>
      <c r="UVQ14" s="1"/>
      <c r="UVR14" s="1"/>
      <c r="UVS14" s="1"/>
      <c r="UVT14" s="1"/>
      <c r="UVU14" s="1"/>
      <c r="UVV14" s="1"/>
      <c r="UVW14" s="1"/>
      <c r="UVX14" s="1"/>
      <c r="UVY14" s="1"/>
      <c r="UVZ14" s="1"/>
      <c r="UWA14" s="1"/>
      <c r="UWB14" s="1"/>
      <c r="UWC14" s="1"/>
      <c r="UWD14" s="1"/>
      <c r="UWE14" s="1"/>
      <c r="UWF14" s="1"/>
      <c r="UWG14" s="1"/>
      <c r="UWH14" s="1"/>
      <c r="UWI14" s="1"/>
      <c r="UWJ14" s="1"/>
      <c r="UWK14" s="1"/>
      <c r="UWL14" s="1"/>
      <c r="UWM14" s="1"/>
      <c r="UWN14" s="1"/>
      <c r="UWO14" s="1"/>
      <c r="UWP14" s="1"/>
      <c r="UWQ14" s="1"/>
      <c r="UWR14" s="1"/>
      <c r="UWS14" s="1"/>
      <c r="UWT14" s="1"/>
      <c r="UWU14" s="1"/>
      <c r="UWV14" s="1"/>
      <c r="UWW14" s="1"/>
      <c r="UWX14" s="1"/>
      <c r="UWY14" s="1"/>
      <c r="UWZ14" s="1"/>
      <c r="UXA14" s="1"/>
      <c r="UXB14" s="1"/>
      <c r="UXC14" s="1"/>
      <c r="UXD14" s="1"/>
      <c r="UXE14" s="1"/>
      <c r="UXF14" s="1"/>
      <c r="UXG14" s="1"/>
      <c r="UXH14" s="1"/>
      <c r="UXI14" s="1"/>
      <c r="UXJ14" s="1"/>
      <c r="UXK14" s="1"/>
      <c r="UXL14" s="1"/>
      <c r="UXM14" s="1"/>
      <c r="UXN14" s="1"/>
      <c r="UXO14" s="1"/>
      <c r="UXP14" s="1"/>
      <c r="UXQ14" s="1"/>
      <c r="UXR14" s="1"/>
      <c r="UXS14" s="1"/>
      <c r="UXT14" s="1"/>
      <c r="UXU14" s="1"/>
      <c r="UXV14" s="1"/>
      <c r="UXW14" s="1"/>
      <c r="UXX14" s="1"/>
      <c r="UXY14" s="1"/>
      <c r="UXZ14" s="1"/>
      <c r="UYA14" s="1"/>
      <c r="UYB14" s="1"/>
      <c r="UYC14" s="1"/>
      <c r="UYD14" s="1"/>
      <c r="UYE14" s="1"/>
      <c r="UYF14" s="1"/>
      <c r="UYG14" s="1"/>
      <c r="UYH14" s="1"/>
      <c r="UYI14" s="1"/>
      <c r="UYJ14" s="1"/>
      <c r="UYK14" s="1"/>
      <c r="UYL14" s="1"/>
      <c r="UYM14" s="1"/>
      <c r="UYN14" s="1"/>
      <c r="UYO14" s="1"/>
      <c r="UYP14" s="1"/>
      <c r="UYQ14" s="1"/>
      <c r="UYR14" s="1"/>
      <c r="UYS14" s="1"/>
      <c r="UYT14" s="1"/>
      <c r="UYU14" s="1"/>
      <c r="UYV14" s="1"/>
      <c r="UYW14" s="1"/>
      <c r="UYX14" s="1"/>
      <c r="UYY14" s="1"/>
      <c r="UYZ14" s="1"/>
      <c r="UZA14" s="1"/>
      <c r="UZB14" s="1"/>
      <c r="UZC14" s="1"/>
      <c r="UZD14" s="1"/>
      <c r="UZE14" s="1"/>
      <c r="UZF14" s="1"/>
      <c r="UZG14" s="1"/>
      <c r="UZH14" s="1"/>
      <c r="UZI14" s="1"/>
      <c r="UZJ14" s="1"/>
      <c r="UZK14" s="1"/>
      <c r="UZL14" s="1"/>
      <c r="UZM14" s="1"/>
      <c r="UZN14" s="1"/>
      <c r="UZO14" s="1"/>
      <c r="UZP14" s="1"/>
      <c r="UZQ14" s="1"/>
      <c r="UZR14" s="1"/>
      <c r="UZS14" s="1"/>
      <c r="UZT14" s="1"/>
      <c r="UZU14" s="1"/>
      <c r="UZV14" s="1"/>
      <c r="UZW14" s="1"/>
      <c r="UZX14" s="1"/>
      <c r="UZY14" s="1"/>
      <c r="UZZ14" s="1"/>
      <c r="VAA14" s="1"/>
      <c r="VAB14" s="1"/>
      <c r="VAC14" s="1"/>
      <c r="VAD14" s="1"/>
      <c r="VAE14" s="1"/>
      <c r="VAF14" s="1"/>
      <c r="VAG14" s="1"/>
      <c r="VAH14" s="1"/>
      <c r="VAI14" s="1"/>
      <c r="VAJ14" s="1"/>
      <c r="VAK14" s="1"/>
      <c r="VAL14" s="1"/>
      <c r="VAM14" s="1"/>
      <c r="VAN14" s="1"/>
      <c r="VAO14" s="1"/>
      <c r="VAP14" s="1"/>
      <c r="VAQ14" s="1"/>
      <c r="VAR14" s="1"/>
      <c r="VAS14" s="1"/>
      <c r="VAT14" s="1"/>
      <c r="VAU14" s="1"/>
      <c r="VAV14" s="1"/>
      <c r="VAW14" s="1"/>
      <c r="VAX14" s="1"/>
      <c r="VAY14" s="1"/>
      <c r="VAZ14" s="1"/>
      <c r="VBA14" s="1"/>
      <c r="VBB14" s="1"/>
      <c r="VBC14" s="1"/>
      <c r="VBD14" s="1"/>
      <c r="VBE14" s="1"/>
      <c r="VBF14" s="1"/>
      <c r="VBG14" s="1"/>
      <c r="VBH14" s="1"/>
      <c r="VBI14" s="1"/>
      <c r="VBJ14" s="1"/>
      <c r="VBK14" s="1"/>
      <c r="VBL14" s="1"/>
      <c r="VBM14" s="1"/>
      <c r="VBN14" s="1"/>
      <c r="VBO14" s="1"/>
      <c r="VBP14" s="1"/>
      <c r="VBQ14" s="1"/>
      <c r="VBR14" s="1"/>
      <c r="VBS14" s="1"/>
      <c r="VBT14" s="1"/>
      <c r="VBU14" s="1"/>
      <c r="VBV14" s="1"/>
      <c r="VBW14" s="1"/>
      <c r="VBX14" s="1"/>
      <c r="VBY14" s="1"/>
      <c r="VBZ14" s="1"/>
      <c r="VCA14" s="1"/>
      <c r="VCB14" s="1"/>
      <c r="VCC14" s="1"/>
      <c r="VCD14" s="1"/>
      <c r="VCE14" s="1"/>
      <c r="VCF14" s="1"/>
      <c r="VCG14" s="1"/>
      <c r="VCH14" s="1"/>
      <c r="VCI14" s="1"/>
      <c r="VCJ14" s="1"/>
      <c r="VCK14" s="1"/>
      <c r="VCL14" s="1"/>
      <c r="VCM14" s="1"/>
      <c r="VCN14" s="1"/>
      <c r="VCO14" s="1"/>
      <c r="VCP14" s="1"/>
      <c r="VCQ14" s="1"/>
      <c r="VCR14" s="1"/>
      <c r="VCS14" s="1"/>
      <c r="VCT14" s="1"/>
      <c r="VCU14" s="1"/>
      <c r="VCV14" s="1"/>
      <c r="VCW14" s="1"/>
      <c r="VCX14" s="1"/>
      <c r="VCY14" s="1"/>
      <c r="VCZ14" s="1"/>
      <c r="VDA14" s="1"/>
      <c r="VDB14" s="1"/>
      <c r="VDC14" s="1"/>
      <c r="VDD14" s="1"/>
      <c r="VDE14" s="1"/>
      <c r="VDF14" s="1"/>
      <c r="VDG14" s="1"/>
      <c r="VDH14" s="1"/>
      <c r="VDI14" s="1"/>
      <c r="VDJ14" s="1"/>
      <c r="VDK14" s="1"/>
      <c r="VDL14" s="1"/>
      <c r="VDM14" s="1"/>
      <c r="VDN14" s="1"/>
      <c r="VDO14" s="1"/>
      <c r="VDP14" s="1"/>
      <c r="VDQ14" s="1"/>
      <c r="VDR14" s="1"/>
      <c r="VDS14" s="1"/>
      <c r="VDT14" s="1"/>
      <c r="VDU14" s="1"/>
      <c r="VDV14" s="1"/>
      <c r="VDW14" s="1"/>
      <c r="VDX14" s="1"/>
      <c r="VDY14" s="1"/>
      <c r="VDZ14" s="1"/>
      <c r="VEA14" s="1"/>
      <c r="VEB14" s="1"/>
      <c r="VEC14" s="1"/>
      <c r="VED14" s="1"/>
      <c r="VEE14" s="1"/>
      <c r="VEF14" s="1"/>
      <c r="VEG14" s="1"/>
      <c r="VEH14" s="1"/>
      <c r="VEI14" s="1"/>
      <c r="VEJ14" s="1"/>
      <c r="VEK14" s="1"/>
      <c r="VEL14" s="1"/>
      <c r="VEM14" s="1"/>
      <c r="VEN14" s="1"/>
      <c r="VEO14" s="1"/>
      <c r="VEP14" s="1"/>
      <c r="VEQ14" s="1"/>
      <c r="VER14" s="1"/>
      <c r="VES14" s="1"/>
      <c r="VET14" s="1"/>
      <c r="VEU14" s="1"/>
      <c r="VEV14" s="1"/>
      <c r="VEW14" s="1"/>
      <c r="VEX14" s="1"/>
      <c r="VEY14" s="1"/>
      <c r="VEZ14" s="1"/>
      <c r="VFA14" s="1"/>
      <c r="VFB14" s="1"/>
      <c r="VFC14" s="1"/>
      <c r="VFD14" s="1"/>
      <c r="VFE14" s="1"/>
      <c r="VFF14" s="1"/>
      <c r="VFG14" s="1"/>
      <c r="VFH14" s="1"/>
      <c r="VFI14" s="1"/>
      <c r="VFJ14" s="1"/>
      <c r="VFK14" s="1"/>
      <c r="VFL14" s="1"/>
      <c r="VFM14" s="1"/>
      <c r="VFN14" s="1"/>
      <c r="VFO14" s="1"/>
      <c r="VFP14" s="1"/>
      <c r="VFQ14" s="1"/>
      <c r="VFR14" s="1"/>
      <c r="VFS14" s="1"/>
      <c r="VFT14" s="1"/>
      <c r="VFU14" s="1"/>
      <c r="VFV14" s="1"/>
      <c r="VFW14" s="1"/>
      <c r="VFX14" s="1"/>
      <c r="VFY14" s="1"/>
      <c r="VFZ14" s="1"/>
      <c r="VGA14" s="1"/>
      <c r="VGB14" s="1"/>
      <c r="VGC14" s="1"/>
      <c r="VGD14" s="1"/>
      <c r="VGE14" s="1"/>
      <c r="VGF14" s="1"/>
      <c r="VGG14" s="1"/>
      <c r="VGH14" s="1"/>
      <c r="VGI14" s="1"/>
      <c r="VGJ14" s="1"/>
      <c r="VGK14" s="1"/>
      <c r="VGL14" s="1"/>
      <c r="VGM14" s="1"/>
      <c r="VGN14" s="1"/>
      <c r="VGO14" s="1"/>
      <c r="VGP14" s="1"/>
      <c r="VGQ14" s="1"/>
      <c r="VGR14" s="1"/>
      <c r="VGS14" s="1"/>
      <c r="VGT14" s="1"/>
      <c r="VGU14" s="1"/>
      <c r="VGV14" s="1"/>
      <c r="VGW14" s="1"/>
      <c r="VGX14" s="1"/>
      <c r="VGY14" s="1"/>
      <c r="VGZ14" s="1"/>
      <c r="VHA14" s="1"/>
      <c r="VHB14" s="1"/>
      <c r="VHC14" s="1"/>
      <c r="VHD14" s="1"/>
      <c r="VHE14" s="1"/>
      <c r="VHF14" s="1"/>
      <c r="VHG14" s="1"/>
      <c r="VHH14" s="1"/>
      <c r="VHI14" s="1"/>
      <c r="VHJ14" s="1"/>
      <c r="VHK14" s="1"/>
      <c r="VHL14" s="1"/>
      <c r="VHM14" s="1"/>
      <c r="VHN14" s="1"/>
      <c r="VHO14" s="1"/>
      <c r="VHP14" s="1"/>
      <c r="VHQ14" s="1"/>
      <c r="VHR14" s="1"/>
      <c r="VHS14" s="1"/>
      <c r="VHT14" s="1"/>
      <c r="VHU14" s="1"/>
      <c r="VHV14" s="1"/>
      <c r="VHW14" s="1"/>
      <c r="VHX14" s="1"/>
      <c r="VHY14" s="1"/>
      <c r="VHZ14" s="1"/>
      <c r="VIA14" s="1"/>
      <c r="VIB14" s="1"/>
      <c r="VIC14" s="1"/>
      <c r="VID14" s="1"/>
      <c r="VIE14" s="1"/>
      <c r="VIF14" s="1"/>
      <c r="VIG14" s="1"/>
      <c r="VIH14" s="1"/>
      <c r="VII14" s="1"/>
      <c r="VIJ14" s="1"/>
      <c r="VIK14" s="1"/>
      <c r="VIL14" s="1"/>
      <c r="VIM14" s="1"/>
      <c r="VIN14" s="1"/>
      <c r="VIO14" s="1"/>
      <c r="VIP14" s="1"/>
      <c r="VIQ14" s="1"/>
      <c r="VIR14" s="1"/>
      <c r="VIS14" s="1"/>
      <c r="VIT14" s="1"/>
      <c r="VIU14" s="1"/>
      <c r="VIV14" s="1"/>
      <c r="VIW14" s="1"/>
      <c r="VIX14" s="1"/>
      <c r="VIY14" s="1"/>
      <c r="VIZ14" s="1"/>
      <c r="VJA14" s="1"/>
      <c r="VJB14" s="1"/>
      <c r="VJC14" s="1"/>
      <c r="VJD14" s="1"/>
      <c r="VJE14" s="1"/>
      <c r="VJF14" s="1"/>
      <c r="VJG14" s="1"/>
      <c r="VJH14" s="1"/>
      <c r="VJI14" s="1"/>
      <c r="VJJ14" s="1"/>
      <c r="VJK14" s="1"/>
      <c r="VJL14" s="1"/>
      <c r="VJM14" s="1"/>
      <c r="VJN14" s="1"/>
      <c r="VJO14" s="1"/>
      <c r="VJP14" s="1"/>
      <c r="VJQ14" s="1"/>
      <c r="VJR14" s="1"/>
      <c r="VJS14" s="1"/>
      <c r="VJT14" s="1"/>
      <c r="VJU14" s="1"/>
      <c r="VJV14" s="1"/>
      <c r="VJW14" s="1"/>
      <c r="VJX14" s="1"/>
      <c r="VJY14" s="1"/>
      <c r="VJZ14" s="1"/>
      <c r="VKA14" s="1"/>
      <c r="VKB14" s="1"/>
      <c r="VKC14" s="1"/>
      <c r="VKD14" s="1"/>
      <c r="VKE14" s="1"/>
      <c r="VKF14" s="1"/>
      <c r="VKG14" s="1"/>
      <c r="VKH14" s="1"/>
      <c r="VKI14" s="1"/>
      <c r="VKJ14" s="1"/>
      <c r="VKK14" s="1"/>
      <c r="VKL14" s="1"/>
      <c r="VKM14" s="1"/>
      <c r="VKN14" s="1"/>
      <c r="VKO14" s="1"/>
      <c r="VKP14" s="1"/>
      <c r="VKQ14" s="1"/>
      <c r="VKR14" s="1"/>
      <c r="VKS14" s="1"/>
      <c r="VKT14" s="1"/>
      <c r="VKU14" s="1"/>
      <c r="VKV14" s="1"/>
      <c r="VKW14" s="1"/>
      <c r="VKX14" s="1"/>
      <c r="VKY14" s="1"/>
      <c r="VKZ14" s="1"/>
      <c r="VLA14" s="1"/>
      <c r="VLB14" s="1"/>
      <c r="VLC14" s="1"/>
      <c r="VLD14" s="1"/>
      <c r="VLE14" s="1"/>
      <c r="VLF14" s="1"/>
      <c r="VLG14" s="1"/>
      <c r="VLH14" s="1"/>
      <c r="VLI14" s="1"/>
      <c r="VLJ14" s="1"/>
      <c r="VLK14" s="1"/>
      <c r="VLL14" s="1"/>
      <c r="VLM14" s="1"/>
      <c r="VLN14" s="1"/>
      <c r="VLO14" s="1"/>
      <c r="VLP14" s="1"/>
      <c r="VLQ14" s="1"/>
      <c r="VLR14" s="1"/>
      <c r="VLS14" s="1"/>
      <c r="VLT14" s="1"/>
      <c r="VLU14" s="1"/>
      <c r="VLV14" s="1"/>
      <c r="VLW14" s="1"/>
      <c r="VLX14" s="1"/>
      <c r="VLY14" s="1"/>
      <c r="VLZ14" s="1"/>
      <c r="VMA14" s="1"/>
      <c r="VMB14" s="1"/>
      <c r="VMC14" s="1"/>
      <c r="VMD14" s="1"/>
      <c r="VME14" s="1"/>
      <c r="VMF14" s="1"/>
      <c r="VMG14" s="1"/>
      <c r="VMH14" s="1"/>
      <c r="VMI14" s="1"/>
      <c r="VMJ14" s="1"/>
      <c r="VMK14" s="1"/>
      <c r="VML14" s="1"/>
      <c r="VMM14" s="1"/>
      <c r="VMN14" s="1"/>
      <c r="VMO14" s="1"/>
      <c r="VMP14" s="1"/>
      <c r="VMQ14" s="1"/>
      <c r="VMR14" s="1"/>
      <c r="VMS14" s="1"/>
      <c r="VMT14" s="1"/>
      <c r="VMU14" s="1"/>
      <c r="VMV14" s="1"/>
      <c r="VMW14" s="1"/>
      <c r="VMX14" s="1"/>
      <c r="VMY14" s="1"/>
      <c r="VMZ14" s="1"/>
      <c r="VNA14" s="1"/>
      <c r="VNB14" s="1"/>
      <c r="VNC14" s="1"/>
      <c r="VND14" s="1"/>
      <c r="VNE14" s="1"/>
      <c r="VNF14" s="1"/>
      <c r="VNG14" s="1"/>
      <c r="VNH14" s="1"/>
      <c r="VNI14" s="1"/>
      <c r="VNJ14" s="1"/>
      <c r="VNK14" s="1"/>
      <c r="VNL14" s="1"/>
      <c r="VNM14" s="1"/>
      <c r="VNN14" s="1"/>
      <c r="VNO14" s="1"/>
      <c r="VNP14" s="1"/>
      <c r="VNQ14" s="1"/>
      <c r="VNR14" s="1"/>
      <c r="VNS14" s="1"/>
      <c r="VNT14" s="1"/>
      <c r="VNU14" s="1"/>
      <c r="VNV14" s="1"/>
      <c r="VNW14" s="1"/>
      <c r="VNX14" s="1"/>
      <c r="VNY14" s="1"/>
      <c r="VNZ14" s="1"/>
      <c r="VOA14" s="1"/>
      <c r="VOB14" s="1"/>
      <c r="VOC14" s="1"/>
      <c r="VOD14" s="1"/>
      <c r="VOE14" s="1"/>
      <c r="VOF14" s="1"/>
      <c r="VOG14" s="1"/>
      <c r="VOH14" s="1"/>
      <c r="VOI14" s="1"/>
      <c r="VOJ14" s="1"/>
      <c r="VOK14" s="1"/>
      <c r="VOL14" s="1"/>
      <c r="VOM14" s="1"/>
      <c r="VON14" s="1"/>
      <c r="VOO14" s="1"/>
      <c r="VOP14" s="1"/>
      <c r="VOQ14" s="1"/>
      <c r="VOR14" s="1"/>
      <c r="VOS14" s="1"/>
      <c r="VOT14" s="1"/>
      <c r="VOU14" s="1"/>
      <c r="VOV14" s="1"/>
      <c r="VOW14" s="1"/>
      <c r="VOX14" s="1"/>
      <c r="VOY14" s="1"/>
      <c r="VOZ14" s="1"/>
      <c r="VPA14" s="1"/>
      <c r="VPB14" s="1"/>
      <c r="VPC14" s="1"/>
      <c r="VPD14" s="1"/>
      <c r="VPE14" s="1"/>
      <c r="VPF14" s="1"/>
      <c r="VPG14" s="1"/>
      <c r="VPH14" s="1"/>
      <c r="VPI14" s="1"/>
      <c r="VPJ14" s="1"/>
      <c r="VPK14" s="1"/>
      <c r="VPL14" s="1"/>
      <c r="VPM14" s="1"/>
      <c r="VPN14" s="1"/>
      <c r="VPO14" s="1"/>
      <c r="VPP14" s="1"/>
      <c r="VPQ14" s="1"/>
      <c r="VPR14" s="1"/>
      <c r="VPS14" s="1"/>
      <c r="VPT14" s="1"/>
      <c r="VPU14" s="1"/>
      <c r="VPV14" s="1"/>
      <c r="VPW14" s="1"/>
      <c r="VPX14" s="1"/>
      <c r="VPY14" s="1"/>
      <c r="VPZ14" s="1"/>
      <c r="VQA14" s="1"/>
      <c r="VQB14" s="1"/>
      <c r="VQC14" s="1"/>
      <c r="VQD14" s="1"/>
      <c r="VQE14" s="1"/>
      <c r="VQF14" s="1"/>
      <c r="VQG14" s="1"/>
      <c r="VQH14" s="1"/>
      <c r="VQI14" s="1"/>
      <c r="VQJ14" s="1"/>
      <c r="VQK14" s="1"/>
      <c r="VQL14" s="1"/>
      <c r="VQM14" s="1"/>
      <c r="VQN14" s="1"/>
      <c r="VQO14" s="1"/>
      <c r="VQP14" s="1"/>
      <c r="VQQ14" s="1"/>
      <c r="VQR14" s="1"/>
      <c r="VQS14" s="1"/>
      <c r="VQT14" s="1"/>
      <c r="VQU14" s="1"/>
      <c r="VQV14" s="1"/>
      <c r="VQW14" s="1"/>
      <c r="VQX14" s="1"/>
      <c r="VQY14" s="1"/>
      <c r="VQZ14" s="1"/>
      <c r="VRA14" s="1"/>
      <c r="VRB14" s="1"/>
      <c r="VRC14" s="1"/>
      <c r="VRD14" s="1"/>
      <c r="VRE14" s="1"/>
      <c r="VRF14" s="1"/>
      <c r="VRG14" s="1"/>
      <c r="VRH14" s="1"/>
      <c r="VRI14" s="1"/>
      <c r="VRJ14" s="1"/>
      <c r="VRK14" s="1"/>
      <c r="VRL14" s="1"/>
      <c r="VRM14" s="1"/>
      <c r="VRN14" s="1"/>
      <c r="VRO14" s="1"/>
      <c r="VRP14" s="1"/>
      <c r="VRQ14" s="1"/>
      <c r="VRR14" s="1"/>
      <c r="VRS14" s="1"/>
      <c r="VRT14" s="1"/>
      <c r="VRU14" s="1"/>
      <c r="VRV14" s="1"/>
      <c r="VRW14" s="1"/>
      <c r="VRX14" s="1"/>
      <c r="VRY14" s="1"/>
      <c r="VRZ14" s="1"/>
      <c r="VSA14" s="1"/>
      <c r="VSB14" s="1"/>
      <c r="VSC14" s="1"/>
      <c r="VSD14" s="1"/>
      <c r="VSE14" s="1"/>
      <c r="VSF14" s="1"/>
      <c r="VSG14" s="1"/>
      <c r="VSH14" s="1"/>
      <c r="VSI14" s="1"/>
      <c r="VSJ14" s="1"/>
      <c r="VSK14" s="1"/>
      <c r="VSL14" s="1"/>
      <c r="VSM14" s="1"/>
      <c r="VSN14" s="1"/>
      <c r="VSO14" s="1"/>
      <c r="VSP14" s="1"/>
      <c r="VSQ14" s="1"/>
      <c r="VSR14" s="1"/>
      <c r="VSS14" s="1"/>
      <c r="VST14" s="1"/>
      <c r="VSU14" s="1"/>
      <c r="VSV14" s="1"/>
      <c r="VSW14" s="1"/>
      <c r="VSX14" s="1"/>
      <c r="VSY14" s="1"/>
      <c r="VSZ14" s="1"/>
      <c r="VTA14" s="1"/>
      <c r="VTB14" s="1"/>
      <c r="VTC14" s="1"/>
      <c r="VTD14" s="1"/>
      <c r="VTE14" s="1"/>
      <c r="VTF14" s="1"/>
      <c r="VTG14" s="1"/>
      <c r="VTH14" s="1"/>
      <c r="VTI14" s="1"/>
      <c r="VTJ14" s="1"/>
      <c r="VTK14" s="1"/>
      <c r="VTL14" s="1"/>
      <c r="VTM14" s="1"/>
      <c r="VTN14" s="1"/>
      <c r="VTO14" s="1"/>
      <c r="VTP14" s="1"/>
      <c r="VTQ14" s="1"/>
      <c r="VTR14" s="1"/>
      <c r="VTS14" s="1"/>
      <c r="VTT14" s="1"/>
      <c r="VTU14" s="1"/>
      <c r="VTV14" s="1"/>
      <c r="VTW14" s="1"/>
      <c r="VTX14" s="1"/>
      <c r="VTY14" s="1"/>
      <c r="VTZ14" s="1"/>
      <c r="VUA14" s="1"/>
      <c r="VUB14" s="1"/>
      <c r="VUC14" s="1"/>
      <c r="VUD14" s="1"/>
      <c r="VUE14" s="1"/>
      <c r="VUF14" s="1"/>
      <c r="VUG14" s="1"/>
      <c r="VUH14" s="1"/>
      <c r="VUI14" s="1"/>
      <c r="VUJ14" s="1"/>
      <c r="VUK14" s="1"/>
      <c r="VUL14" s="1"/>
      <c r="VUM14" s="1"/>
      <c r="VUN14" s="1"/>
      <c r="VUO14" s="1"/>
      <c r="VUP14" s="1"/>
      <c r="VUQ14" s="1"/>
      <c r="VUR14" s="1"/>
      <c r="VUS14" s="1"/>
      <c r="VUT14" s="1"/>
      <c r="VUU14" s="1"/>
      <c r="VUV14" s="1"/>
      <c r="VUW14" s="1"/>
      <c r="VUX14" s="1"/>
      <c r="VUY14" s="1"/>
      <c r="VUZ14" s="1"/>
      <c r="VVA14" s="1"/>
      <c r="VVB14" s="1"/>
      <c r="VVC14" s="1"/>
      <c r="VVD14" s="1"/>
      <c r="VVE14" s="1"/>
      <c r="VVF14" s="1"/>
      <c r="VVG14" s="1"/>
      <c r="VVH14" s="1"/>
      <c r="VVI14" s="1"/>
      <c r="VVJ14" s="1"/>
      <c r="VVK14" s="1"/>
      <c r="VVL14" s="1"/>
      <c r="VVM14" s="1"/>
      <c r="VVN14" s="1"/>
      <c r="VVO14" s="1"/>
      <c r="VVP14" s="1"/>
      <c r="VVQ14" s="1"/>
      <c r="VVR14" s="1"/>
      <c r="VVS14" s="1"/>
      <c r="VVT14" s="1"/>
      <c r="VVU14" s="1"/>
      <c r="VVV14" s="1"/>
      <c r="VVW14" s="1"/>
      <c r="VVX14" s="1"/>
      <c r="VVY14" s="1"/>
      <c r="VVZ14" s="1"/>
      <c r="VWA14" s="1"/>
      <c r="VWB14" s="1"/>
      <c r="VWC14" s="1"/>
      <c r="VWD14" s="1"/>
      <c r="VWE14" s="1"/>
      <c r="VWF14" s="1"/>
      <c r="VWG14" s="1"/>
      <c r="VWH14" s="1"/>
      <c r="VWI14" s="1"/>
      <c r="VWJ14" s="1"/>
      <c r="VWK14" s="1"/>
      <c r="VWL14" s="1"/>
      <c r="VWM14" s="1"/>
      <c r="VWN14" s="1"/>
      <c r="VWO14" s="1"/>
      <c r="VWP14" s="1"/>
      <c r="VWQ14" s="1"/>
      <c r="VWR14" s="1"/>
      <c r="VWS14" s="1"/>
      <c r="VWT14" s="1"/>
      <c r="VWU14" s="1"/>
      <c r="VWV14" s="1"/>
      <c r="VWW14" s="1"/>
      <c r="VWX14" s="1"/>
      <c r="VWY14" s="1"/>
      <c r="VWZ14" s="1"/>
      <c r="VXA14" s="1"/>
      <c r="VXB14" s="1"/>
      <c r="VXC14" s="1"/>
      <c r="VXD14" s="1"/>
      <c r="VXE14" s="1"/>
      <c r="VXF14" s="1"/>
      <c r="VXG14" s="1"/>
      <c r="VXH14" s="1"/>
      <c r="VXI14" s="1"/>
      <c r="VXJ14" s="1"/>
      <c r="VXK14" s="1"/>
      <c r="VXL14" s="1"/>
      <c r="VXM14" s="1"/>
      <c r="VXN14" s="1"/>
      <c r="VXO14" s="1"/>
      <c r="VXP14" s="1"/>
      <c r="VXQ14" s="1"/>
      <c r="VXR14" s="1"/>
      <c r="VXS14" s="1"/>
      <c r="VXT14" s="1"/>
      <c r="VXU14" s="1"/>
      <c r="VXV14" s="1"/>
      <c r="VXW14" s="1"/>
      <c r="VXX14" s="1"/>
      <c r="VXY14" s="1"/>
      <c r="VXZ14" s="1"/>
      <c r="VYA14" s="1"/>
      <c r="VYB14" s="1"/>
      <c r="VYC14" s="1"/>
      <c r="VYD14" s="1"/>
      <c r="VYE14" s="1"/>
      <c r="VYF14" s="1"/>
      <c r="VYG14" s="1"/>
      <c r="VYH14" s="1"/>
      <c r="VYI14" s="1"/>
      <c r="VYJ14" s="1"/>
      <c r="VYK14" s="1"/>
      <c r="VYL14" s="1"/>
      <c r="VYM14" s="1"/>
      <c r="VYN14" s="1"/>
      <c r="VYO14" s="1"/>
      <c r="VYP14" s="1"/>
      <c r="VYQ14" s="1"/>
      <c r="VYR14" s="1"/>
      <c r="VYS14" s="1"/>
      <c r="VYT14" s="1"/>
      <c r="VYU14" s="1"/>
      <c r="VYV14" s="1"/>
      <c r="VYW14" s="1"/>
      <c r="VYX14" s="1"/>
      <c r="VYY14" s="1"/>
      <c r="VYZ14" s="1"/>
      <c r="VZA14" s="1"/>
      <c r="VZB14" s="1"/>
      <c r="VZC14" s="1"/>
      <c r="VZD14" s="1"/>
      <c r="VZE14" s="1"/>
      <c r="VZF14" s="1"/>
      <c r="VZG14" s="1"/>
      <c r="VZH14" s="1"/>
      <c r="VZI14" s="1"/>
      <c r="VZJ14" s="1"/>
      <c r="VZK14" s="1"/>
      <c r="VZL14" s="1"/>
      <c r="VZM14" s="1"/>
      <c r="VZN14" s="1"/>
      <c r="VZO14" s="1"/>
      <c r="VZP14" s="1"/>
      <c r="VZQ14" s="1"/>
      <c r="VZR14" s="1"/>
      <c r="VZS14" s="1"/>
      <c r="VZT14" s="1"/>
      <c r="VZU14" s="1"/>
      <c r="VZV14" s="1"/>
      <c r="VZW14" s="1"/>
      <c r="VZX14" s="1"/>
      <c r="VZY14" s="1"/>
      <c r="VZZ14" s="1"/>
      <c r="WAA14" s="1"/>
      <c r="WAB14" s="1"/>
      <c r="WAC14" s="1"/>
      <c r="WAD14" s="1"/>
      <c r="WAE14" s="1"/>
      <c r="WAF14" s="1"/>
      <c r="WAG14" s="1"/>
      <c r="WAH14" s="1"/>
      <c r="WAI14" s="1"/>
      <c r="WAJ14" s="1"/>
      <c r="WAK14" s="1"/>
      <c r="WAL14" s="1"/>
      <c r="WAM14" s="1"/>
      <c r="WAN14" s="1"/>
      <c r="WAO14" s="1"/>
      <c r="WAP14" s="1"/>
      <c r="WAQ14" s="1"/>
      <c r="WAR14" s="1"/>
      <c r="WAS14" s="1"/>
      <c r="WAT14" s="1"/>
      <c r="WAU14" s="1"/>
      <c r="WAV14" s="1"/>
      <c r="WAW14" s="1"/>
      <c r="WAX14" s="1"/>
      <c r="WAY14" s="1"/>
      <c r="WAZ14" s="1"/>
      <c r="WBA14" s="1"/>
      <c r="WBB14" s="1"/>
      <c r="WBC14" s="1"/>
      <c r="WBD14" s="1"/>
      <c r="WBE14" s="1"/>
      <c r="WBF14" s="1"/>
      <c r="WBG14" s="1"/>
      <c r="WBH14" s="1"/>
      <c r="WBI14" s="1"/>
      <c r="WBJ14" s="1"/>
      <c r="WBK14" s="1"/>
      <c r="WBL14" s="1"/>
      <c r="WBM14" s="1"/>
      <c r="WBN14" s="1"/>
      <c r="WBO14" s="1"/>
      <c r="WBP14" s="1"/>
      <c r="WBQ14" s="1"/>
      <c r="WBR14" s="1"/>
      <c r="WBS14" s="1"/>
      <c r="WBT14" s="1"/>
      <c r="WBU14" s="1"/>
      <c r="WBV14" s="1"/>
      <c r="WBW14" s="1"/>
      <c r="WBX14" s="1"/>
      <c r="WBY14" s="1"/>
      <c r="WBZ14" s="1"/>
      <c r="WCA14" s="1"/>
      <c r="WCB14" s="1"/>
      <c r="WCC14" s="1"/>
      <c r="WCD14" s="1"/>
      <c r="WCE14" s="1"/>
      <c r="WCF14" s="1"/>
      <c r="WCG14" s="1"/>
      <c r="WCH14" s="1"/>
      <c r="WCI14" s="1"/>
      <c r="WCJ14" s="1"/>
      <c r="WCK14" s="1"/>
      <c r="WCL14" s="1"/>
      <c r="WCM14" s="1"/>
      <c r="WCN14" s="1"/>
      <c r="WCO14" s="1"/>
      <c r="WCP14" s="1"/>
      <c r="WCQ14" s="1"/>
      <c r="WCR14" s="1"/>
      <c r="WCS14" s="1"/>
      <c r="WCT14" s="1"/>
      <c r="WCU14" s="1"/>
      <c r="WCV14" s="1"/>
      <c r="WCW14" s="1"/>
      <c r="WCX14" s="1"/>
      <c r="WCY14" s="1"/>
      <c r="WCZ14" s="1"/>
      <c r="WDA14" s="1"/>
      <c r="WDB14" s="1"/>
      <c r="WDC14" s="1"/>
      <c r="WDD14" s="1"/>
      <c r="WDE14" s="1"/>
      <c r="WDF14" s="1"/>
      <c r="WDG14" s="1"/>
      <c r="WDH14" s="1"/>
      <c r="WDI14" s="1"/>
      <c r="WDJ14" s="1"/>
      <c r="WDK14" s="1"/>
      <c r="WDL14" s="1"/>
      <c r="WDM14" s="1"/>
      <c r="WDN14" s="1"/>
      <c r="WDO14" s="1"/>
      <c r="WDP14" s="1"/>
      <c r="WDQ14" s="1"/>
      <c r="WDR14" s="1"/>
      <c r="WDS14" s="1"/>
      <c r="WDT14" s="1"/>
      <c r="WDU14" s="1"/>
      <c r="WDV14" s="1"/>
      <c r="WDW14" s="1"/>
      <c r="WDX14" s="1"/>
      <c r="WDY14" s="1"/>
      <c r="WDZ14" s="1"/>
      <c r="WEA14" s="1"/>
      <c r="WEB14" s="1"/>
      <c r="WEC14" s="1"/>
      <c r="WED14" s="1"/>
      <c r="WEE14" s="1"/>
      <c r="WEF14" s="1"/>
      <c r="WEG14" s="1"/>
      <c r="WEH14" s="1"/>
      <c r="WEI14" s="1"/>
      <c r="WEJ14" s="1"/>
      <c r="WEK14" s="1"/>
      <c r="WEL14" s="1"/>
      <c r="WEM14" s="1"/>
      <c r="WEN14" s="1"/>
      <c r="WEO14" s="1"/>
      <c r="WEP14" s="1"/>
      <c r="WEQ14" s="1"/>
      <c r="WER14" s="1"/>
      <c r="WES14" s="1"/>
      <c r="WET14" s="1"/>
      <c r="WEU14" s="1"/>
      <c r="WEV14" s="1"/>
      <c r="WEW14" s="1"/>
      <c r="WEX14" s="1"/>
      <c r="WEY14" s="1"/>
      <c r="WEZ14" s="1"/>
      <c r="WFA14" s="1"/>
      <c r="WFB14" s="1"/>
      <c r="WFC14" s="1"/>
      <c r="WFD14" s="1"/>
      <c r="WFE14" s="1"/>
      <c r="WFF14" s="1"/>
      <c r="WFG14" s="1"/>
      <c r="WFH14" s="1"/>
      <c r="WFI14" s="1"/>
      <c r="WFJ14" s="1"/>
      <c r="WFK14" s="1"/>
      <c r="WFL14" s="1"/>
      <c r="WFM14" s="1"/>
      <c r="WFN14" s="1"/>
      <c r="WFO14" s="1"/>
      <c r="WFP14" s="1"/>
      <c r="WFQ14" s="1"/>
      <c r="WFR14" s="1"/>
      <c r="WFS14" s="1"/>
      <c r="WFT14" s="1"/>
      <c r="WFU14" s="1"/>
      <c r="WFV14" s="1"/>
      <c r="WFW14" s="1"/>
      <c r="WFX14" s="1"/>
      <c r="WFY14" s="1"/>
      <c r="WFZ14" s="1"/>
      <c r="WGA14" s="1"/>
      <c r="WGB14" s="1"/>
      <c r="WGC14" s="1"/>
      <c r="WGD14" s="1"/>
      <c r="WGE14" s="1"/>
      <c r="WGF14" s="1"/>
      <c r="WGG14" s="1"/>
      <c r="WGH14" s="1"/>
      <c r="WGI14" s="1"/>
      <c r="WGJ14" s="1"/>
      <c r="WGK14" s="1"/>
      <c r="WGL14" s="1"/>
      <c r="WGM14" s="1"/>
      <c r="WGN14" s="1"/>
      <c r="WGO14" s="1"/>
      <c r="WGP14" s="1"/>
      <c r="WGQ14" s="1"/>
      <c r="WGR14" s="1"/>
      <c r="WGS14" s="1"/>
      <c r="WGT14" s="1"/>
      <c r="WGU14" s="1"/>
      <c r="WGV14" s="1"/>
      <c r="WGW14" s="1"/>
      <c r="WGX14" s="1"/>
      <c r="WGY14" s="1"/>
      <c r="WGZ14" s="1"/>
      <c r="WHA14" s="1"/>
      <c r="WHB14" s="1"/>
      <c r="WHC14" s="1"/>
      <c r="WHD14" s="1"/>
      <c r="WHE14" s="1"/>
      <c r="WHF14" s="1"/>
      <c r="WHG14" s="1"/>
      <c r="WHH14" s="1"/>
      <c r="WHI14" s="1"/>
      <c r="WHJ14" s="1"/>
      <c r="WHK14" s="1"/>
      <c r="WHL14" s="1"/>
      <c r="WHM14" s="1"/>
      <c r="WHN14" s="1"/>
      <c r="WHO14" s="1"/>
      <c r="WHP14" s="1"/>
      <c r="WHQ14" s="1"/>
      <c r="WHR14" s="1"/>
      <c r="WHS14" s="1"/>
      <c r="WHT14" s="1"/>
      <c r="WHU14" s="1"/>
      <c r="WHV14" s="1"/>
      <c r="WHW14" s="1"/>
      <c r="WHX14" s="1"/>
      <c r="WHY14" s="1"/>
      <c r="WHZ14" s="1"/>
      <c r="WIA14" s="1"/>
      <c r="WIB14" s="1"/>
      <c r="WIC14" s="1"/>
      <c r="WID14" s="1"/>
      <c r="WIE14" s="1"/>
      <c r="WIF14" s="1"/>
      <c r="WIG14" s="1"/>
      <c r="WIH14" s="1"/>
      <c r="WII14" s="1"/>
      <c r="WIJ14" s="1"/>
      <c r="WIK14" s="1"/>
      <c r="WIL14" s="1"/>
      <c r="WIM14" s="1"/>
      <c r="WIN14" s="1"/>
      <c r="WIO14" s="1"/>
      <c r="WIP14" s="1"/>
      <c r="WIQ14" s="1"/>
      <c r="WIR14" s="1"/>
      <c r="WIS14" s="1"/>
      <c r="WIT14" s="1"/>
      <c r="WIU14" s="1"/>
      <c r="WIV14" s="1"/>
      <c r="WIW14" s="1"/>
      <c r="WIX14" s="1"/>
      <c r="WIY14" s="1"/>
      <c r="WIZ14" s="1"/>
      <c r="WJA14" s="1"/>
      <c r="WJB14" s="1"/>
      <c r="WJC14" s="1"/>
      <c r="WJD14" s="1"/>
      <c r="WJE14" s="1"/>
      <c r="WJF14" s="1"/>
      <c r="WJG14" s="1"/>
      <c r="WJH14" s="1"/>
      <c r="WJI14" s="1"/>
      <c r="WJJ14" s="1"/>
      <c r="WJK14" s="1"/>
      <c r="WJL14" s="1"/>
      <c r="WJM14" s="1"/>
      <c r="WJN14" s="1"/>
      <c r="WJO14" s="1"/>
      <c r="WJP14" s="1"/>
      <c r="WJQ14" s="1"/>
      <c r="WJR14" s="1"/>
      <c r="WJS14" s="1"/>
      <c r="WJT14" s="1"/>
      <c r="WJU14" s="1"/>
      <c r="WJV14" s="1"/>
      <c r="WJW14" s="1"/>
      <c r="WJX14" s="1"/>
      <c r="WJY14" s="1"/>
      <c r="WJZ14" s="1"/>
      <c r="WKA14" s="1"/>
      <c r="WKB14" s="1"/>
      <c r="WKC14" s="1"/>
      <c r="WKD14" s="1"/>
      <c r="WKE14" s="1"/>
      <c r="WKF14" s="1"/>
      <c r="WKG14" s="1"/>
      <c r="WKH14" s="1"/>
      <c r="WKI14" s="1"/>
      <c r="WKJ14" s="1"/>
      <c r="WKK14" s="1"/>
      <c r="WKL14" s="1"/>
      <c r="WKM14" s="1"/>
      <c r="WKN14" s="1"/>
      <c r="WKO14" s="1"/>
      <c r="WKP14" s="1"/>
      <c r="WKQ14" s="1"/>
      <c r="WKR14" s="1"/>
      <c r="WKS14" s="1"/>
      <c r="WKT14" s="1"/>
      <c r="WKU14" s="1"/>
      <c r="WKV14" s="1"/>
      <c r="WKW14" s="1"/>
      <c r="WKX14" s="1"/>
      <c r="WKY14" s="1"/>
      <c r="WKZ14" s="1"/>
      <c r="WLA14" s="1"/>
      <c r="WLB14" s="1"/>
      <c r="WLC14" s="1"/>
      <c r="WLD14" s="1"/>
      <c r="WLE14" s="1"/>
      <c r="WLF14" s="1"/>
      <c r="WLG14" s="1"/>
      <c r="WLH14" s="1"/>
      <c r="WLI14" s="1"/>
      <c r="WLJ14" s="1"/>
      <c r="WLK14" s="1"/>
      <c r="WLL14" s="1"/>
      <c r="WLM14" s="1"/>
      <c r="WLN14" s="1"/>
      <c r="WLO14" s="1"/>
      <c r="WLP14" s="1"/>
      <c r="WLQ14" s="1"/>
      <c r="WLR14" s="1"/>
      <c r="WLS14" s="1"/>
      <c r="WLT14" s="1"/>
      <c r="WLU14" s="1"/>
      <c r="WLV14" s="1"/>
      <c r="WLW14" s="1"/>
      <c r="WLX14" s="1"/>
      <c r="WLY14" s="1"/>
      <c r="WLZ14" s="1"/>
      <c r="WMA14" s="1"/>
      <c r="WMB14" s="1"/>
      <c r="WMC14" s="1"/>
      <c r="WMD14" s="1"/>
      <c r="WME14" s="1"/>
      <c r="WMF14" s="1"/>
      <c r="WMG14" s="1"/>
      <c r="WMH14" s="1"/>
      <c r="WMI14" s="1"/>
      <c r="WMJ14" s="1"/>
      <c r="WMK14" s="1"/>
      <c r="WML14" s="1"/>
      <c r="WMM14" s="1"/>
      <c r="WMN14" s="1"/>
      <c r="WMO14" s="1"/>
      <c r="WMP14" s="1"/>
      <c r="WMQ14" s="1"/>
      <c r="WMR14" s="1"/>
      <c r="WMS14" s="1"/>
      <c r="WMT14" s="1"/>
      <c r="WMU14" s="1"/>
      <c r="WMV14" s="1"/>
      <c r="WMW14" s="1"/>
      <c r="WMX14" s="1"/>
      <c r="WMY14" s="1"/>
      <c r="WMZ14" s="1"/>
      <c r="WNA14" s="1"/>
      <c r="WNB14" s="1"/>
      <c r="WNC14" s="1"/>
      <c r="WND14" s="1"/>
      <c r="WNE14" s="1"/>
      <c r="WNF14" s="1"/>
      <c r="WNG14" s="1"/>
      <c r="WNH14" s="1"/>
      <c r="WNI14" s="1"/>
      <c r="WNJ14" s="1"/>
      <c r="WNK14" s="1"/>
      <c r="WNL14" s="1"/>
      <c r="WNM14" s="1"/>
      <c r="WNN14" s="1"/>
      <c r="WNO14" s="1"/>
      <c r="WNP14" s="1"/>
      <c r="WNQ14" s="1"/>
      <c r="WNR14" s="1"/>
      <c r="WNS14" s="1"/>
      <c r="WNT14" s="1"/>
      <c r="WNU14" s="1"/>
      <c r="WNV14" s="1"/>
      <c r="WNW14" s="1"/>
      <c r="WNX14" s="1"/>
      <c r="WNY14" s="1"/>
      <c r="WNZ14" s="1"/>
      <c r="WOA14" s="1"/>
      <c r="WOB14" s="1"/>
      <c r="WOC14" s="1"/>
      <c r="WOD14" s="1"/>
      <c r="WOE14" s="1"/>
      <c r="WOF14" s="1"/>
      <c r="WOG14" s="1"/>
      <c r="WOH14" s="1"/>
      <c r="WOI14" s="1"/>
      <c r="WOJ14" s="1"/>
      <c r="WOK14" s="1"/>
      <c r="WOL14" s="1"/>
      <c r="WOM14" s="1"/>
      <c r="WON14" s="1"/>
      <c r="WOO14" s="1"/>
      <c r="WOP14" s="1"/>
      <c r="WOQ14" s="1"/>
      <c r="WOR14" s="1"/>
      <c r="WOS14" s="1"/>
      <c r="WOT14" s="1"/>
      <c r="WOU14" s="1"/>
      <c r="WOV14" s="1"/>
      <c r="WOW14" s="1"/>
      <c r="WOX14" s="1"/>
      <c r="WOY14" s="1"/>
      <c r="WOZ14" s="1"/>
      <c r="WPA14" s="1"/>
      <c r="WPB14" s="1"/>
      <c r="WPC14" s="1"/>
      <c r="WPD14" s="1"/>
      <c r="WPE14" s="1"/>
      <c r="WPF14" s="1"/>
      <c r="WPG14" s="1"/>
      <c r="WPH14" s="1"/>
      <c r="WPI14" s="1"/>
      <c r="WPJ14" s="1"/>
      <c r="WPK14" s="1"/>
      <c r="WPL14" s="1"/>
      <c r="WPM14" s="1"/>
      <c r="WPN14" s="1"/>
      <c r="WPO14" s="1"/>
      <c r="WPP14" s="1"/>
      <c r="WPQ14" s="1"/>
      <c r="WPR14" s="1"/>
      <c r="WPS14" s="1"/>
      <c r="WPT14" s="1"/>
      <c r="WPU14" s="1"/>
      <c r="WPV14" s="1"/>
      <c r="WPW14" s="1"/>
      <c r="WPX14" s="1"/>
      <c r="WPY14" s="1"/>
      <c r="WPZ14" s="1"/>
      <c r="WQA14" s="1"/>
      <c r="WQB14" s="1"/>
      <c r="WQC14" s="1"/>
      <c r="WQD14" s="1"/>
      <c r="WQE14" s="1"/>
      <c r="WQF14" s="1"/>
      <c r="WQG14" s="1"/>
      <c r="WQH14" s="1"/>
      <c r="WQI14" s="1"/>
      <c r="WQJ14" s="1"/>
      <c r="WQK14" s="1"/>
      <c r="WQL14" s="1"/>
      <c r="WQM14" s="1"/>
      <c r="WQN14" s="1"/>
      <c r="WQO14" s="1"/>
      <c r="WQP14" s="1"/>
      <c r="WQQ14" s="1"/>
      <c r="WQR14" s="1"/>
      <c r="WQS14" s="1"/>
      <c r="WQT14" s="1"/>
      <c r="WQU14" s="1"/>
      <c r="WQV14" s="1"/>
      <c r="WQW14" s="1"/>
      <c r="WQX14" s="1"/>
      <c r="WQY14" s="1"/>
      <c r="WQZ14" s="1"/>
      <c r="WRA14" s="1"/>
      <c r="WRB14" s="1"/>
      <c r="WRC14" s="1"/>
      <c r="WRD14" s="1"/>
      <c r="WRE14" s="1"/>
      <c r="WRF14" s="1"/>
      <c r="WRG14" s="1"/>
      <c r="WRH14" s="1"/>
      <c r="WRI14" s="1"/>
      <c r="WRJ14" s="1"/>
      <c r="WRK14" s="1"/>
      <c r="WRL14" s="1"/>
      <c r="WRM14" s="1"/>
      <c r="WRN14" s="1"/>
      <c r="WRO14" s="1"/>
      <c r="WRP14" s="1"/>
      <c r="WRQ14" s="1"/>
      <c r="WRR14" s="1"/>
      <c r="WRS14" s="1"/>
      <c r="WRT14" s="1"/>
      <c r="WRU14" s="1"/>
      <c r="WRV14" s="1"/>
      <c r="WRW14" s="1"/>
      <c r="WRX14" s="1"/>
      <c r="WRY14" s="1"/>
      <c r="WRZ14" s="1"/>
      <c r="WSA14" s="1"/>
      <c r="WSB14" s="1"/>
      <c r="WSC14" s="1"/>
      <c r="WSD14" s="1"/>
      <c r="WSE14" s="1"/>
      <c r="WSF14" s="1"/>
      <c r="WSG14" s="1"/>
      <c r="WSH14" s="1"/>
      <c r="WSI14" s="1"/>
      <c r="WSJ14" s="1"/>
      <c r="WSK14" s="1"/>
      <c r="WSL14" s="1"/>
      <c r="WSM14" s="1"/>
      <c r="WSN14" s="1"/>
      <c r="WSO14" s="1"/>
      <c r="WSP14" s="1"/>
      <c r="WSQ14" s="1"/>
      <c r="WSR14" s="1"/>
      <c r="WSS14" s="1"/>
      <c r="WST14" s="1"/>
      <c r="WSU14" s="1"/>
      <c r="WSV14" s="1"/>
      <c r="WSW14" s="1"/>
      <c r="WSX14" s="1"/>
      <c r="WSY14" s="1"/>
      <c r="WSZ14" s="1"/>
      <c r="WTA14" s="1"/>
      <c r="WTB14" s="1"/>
      <c r="WTC14" s="1"/>
      <c r="WTD14" s="1"/>
      <c r="WTE14" s="1"/>
      <c r="WTF14" s="1"/>
      <c r="WTG14" s="1"/>
      <c r="WTH14" s="1"/>
      <c r="WTI14" s="1"/>
      <c r="WTJ14" s="1"/>
      <c r="WTK14" s="1"/>
      <c r="WTL14" s="1"/>
      <c r="WTM14" s="1"/>
      <c r="WTN14" s="1"/>
      <c r="WTO14" s="1"/>
      <c r="WTP14" s="1"/>
      <c r="WTQ14" s="1"/>
      <c r="WTR14" s="1"/>
      <c r="WTS14" s="1"/>
      <c r="WTT14" s="1"/>
      <c r="WTU14" s="1"/>
      <c r="WTV14" s="1"/>
      <c r="WTW14" s="1"/>
      <c r="WTX14" s="1"/>
      <c r="WTY14" s="1"/>
      <c r="WTZ14" s="1"/>
      <c r="WUA14" s="1"/>
      <c r="WUB14" s="1"/>
      <c r="WUC14" s="1"/>
      <c r="WUD14" s="1"/>
      <c r="WUE14" s="1"/>
      <c r="WUF14" s="1"/>
      <c r="WUG14" s="1"/>
      <c r="WUH14" s="1"/>
      <c r="WUI14" s="1"/>
      <c r="WUJ14" s="1"/>
      <c r="WUK14" s="1"/>
      <c r="WUL14" s="1"/>
      <c r="WUM14" s="1"/>
      <c r="WUN14" s="1"/>
      <c r="WUO14" s="1"/>
      <c r="WUP14" s="1"/>
      <c r="WUQ14" s="1"/>
      <c r="WUR14" s="1"/>
      <c r="WUS14" s="1"/>
      <c r="WUT14" s="1"/>
      <c r="WUU14" s="1"/>
      <c r="WUV14" s="1"/>
      <c r="WUW14" s="1"/>
      <c r="WUX14" s="1"/>
      <c r="WUY14" s="1"/>
      <c r="WUZ14" s="1"/>
      <c r="WVA14" s="1"/>
      <c r="WVB14" s="1"/>
      <c r="WVC14" s="1"/>
      <c r="WVD14" s="1"/>
      <c r="WVE14" s="1"/>
      <c r="WVF14" s="1"/>
      <c r="WVG14" s="1"/>
      <c r="WVH14" s="1"/>
      <c r="WVI14" s="1"/>
      <c r="WVJ14" s="1"/>
      <c r="WVK14" s="1"/>
      <c r="WVL14" s="1"/>
      <c r="WVM14" s="1"/>
      <c r="WVN14" s="1"/>
      <c r="WVO14" s="1"/>
      <c r="WVP14" s="1"/>
      <c r="WVQ14" s="1"/>
      <c r="WVR14" s="1"/>
      <c r="WVS14" s="1"/>
      <c r="WVT14" s="1"/>
      <c r="WVU14" s="1"/>
      <c r="WVV14" s="1"/>
      <c r="WVW14" s="1"/>
      <c r="WVX14" s="1"/>
      <c r="WVY14" s="1"/>
      <c r="WVZ14" s="1"/>
      <c r="WWA14" s="1"/>
      <c r="WWB14" s="1"/>
      <c r="WWC14" s="1"/>
      <c r="WWD14" s="1"/>
      <c r="WWE14" s="1"/>
      <c r="WWF14" s="1"/>
      <c r="WWG14" s="1"/>
      <c r="WWH14" s="1"/>
      <c r="WWI14" s="1"/>
      <c r="WWJ14" s="1"/>
      <c r="WWK14" s="1"/>
      <c r="WWL14" s="1"/>
      <c r="WWM14" s="1"/>
      <c r="WWN14" s="1"/>
      <c r="WWO14" s="1"/>
      <c r="WWP14" s="1"/>
      <c r="WWQ14" s="1"/>
      <c r="WWR14" s="1"/>
      <c r="WWS14" s="1"/>
      <c r="WWT14" s="1"/>
      <c r="WWU14" s="1"/>
      <c r="WWV14" s="1"/>
      <c r="WWW14" s="1"/>
      <c r="WWX14" s="1"/>
      <c r="WWY14" s="1"/>
      <c r="WWZ14" s="1"/>
      <c r="WXA14" s="1"/>
      <c r="WXB14" s="1"/>
      <c r="WXC14" s="1"/>
      <c r="WXD14" s="1"/>
      <c r="WXE14" s="1"/>
      <c r="WXF14" s="1"/>
      <c r="WXG14" s="1"/>
      <c r="WXH14" s="1"/>
      <c r="WXI14" s="1"/>
      <c r="WXJ14" s="1"/>
      <c r="WXK14" s="1"/>
      <c r="WXL14" s="1"/>
      <c r="WXM14" s="1"/>
      <c r="WXN14" s="1"/>
      <c r="WXO14" s="1"/>
      <c r="WXP14" s="1"/>
      <c r="WXQ14" s="1"/>
      <c r="WXR14" s="1"/>
      <c r="WXS14" s="1"/>
      <c r="WXT14" s="1"/>
      <c r="WXU14" s="1"/>
      <c r="WXV14" s="1"/>
      <c r="WXW14" s="1"/>
      <c r="WXX14" s="1"/>
      <c r="WXY14" s="1"/>
      <c r="WXZ14" s="1"/>
      <c r="WYA14" s="1"/>
      <c r="WYB14" s="1"/>
      <c r="WYC14" s="1"/>
      <c r="WYD14" s="1"/>
      <c r="WYE14" s="1"/>
      <c r="WYF14" s="1"/>
      <c r="WYG14" s="1"/>
      <c r="WYH14" s="1"/>
      <c r="WYI14" s="1"/>
      <c r="WYJ14" s="1"/>
      <c r="WYK14" s="1"/>
      <c r="WYL14" s="1"/>
      <c r="WYM14" s="1"/>
      <c r="WYN14" s="1"/>
      <c r="WYO14" s="1"/>
      <c r="WYP14" s="1"/>
      <c r="WYQ14" s="1"/>
      <c r="WYR14" s="1"/>
      <c r="WYS14" s="1"/>
      <c r="WYT14" s="1"/>
      <c r="WYU14" s="1"/>
      <c r="WYV14" s="1"/>
      <c r="WYW14" s="1"/>
      <c r="WYX14" s="1"/>
      <c r="WYY14" s="1"/>
      <c r="WYZ14" s="1"/>
      <c r="WZA14" s="1"/>
      <c r="WZB14" s="1"/>
      <c r="WZC14" s="1"/>
      <c r="WZD14" s="1"/>
      <c r="WZE14" s="1"/>
      <c r="WZF14" s="1"/>
      <c r="WZG14" s="1"/>
      <c r="WZH14" s="1"/>
      <c r="WZI14" s="1"/>
      <c r="WZJ14" s="1"/>
      <c r="WZK14" s="1"/>
      <c r="WZL14" s="1"/>
      <c r="WZM14" s="1"/>
      <c r="WZN14" s="1"/>
      <c r="WZO14" s="1"/>
      <c r="WZP14" s="1"/>
      <c r="WZQ14" s="1"/>
      <c r="WZR14" s="1"/>
      <c r="WZS14" s="1"/>
      <c r="WZT14" s="1"/>
      <c r="WZU14" s="1"/>
      <c r="WZV14" s="1"/>
      <c r="WZW14" s="1"/>
      <c r="WZX14" s="1"/>
      <c r="WZY14" s="1"/>
      <c r="WZZ14" s="1"/>
      <c r="XAA14" s="1"/>
      <c r="XAB14" s="1"/>
      <c r="XAC14" s="1"/>
      <c r="XAD14" s="1"/>
      <c r="XAE14" s="1"/>
      <c r="XAF14" s="1"/>
      <c r="XAG14" s="1"/>
      <c r="XAH14" s="1"/>
      <c r="XAI14" s="1"/>
      <c r="XAJ14" s="1"/>
      <c r="XAK14" s="1"/>
      <c r="XAL14" s="1"/>
      <c r="XAM14" s="1"/>
      <c r="XAN14" s="1"/>
      <c r="XAO14" s="1"/>
      <c r="XAP14" s="1"/>
      <c r="XAQ14" s="1"/>
      <c r="XAR14" s="1"/>
      <c r="XAS14" s="1"/>
      <c r="XAT14" s="1"/>
      <c r="XAU14" s="1"/>
      <c r="XAV14" s="1"/>
      <c r="XAW14" s="1"/>
      <c r="XAX14" s="1"/>
      <c r="XAY14" s="1"/>
      <c r="XAZ14" s="1"/>
      <c r="XBA14" s="1"/>
      <c r="XBB14" s="1"/>
      <c r="XBC14" s="1"/>
      <c r="XBD14" s="1"/>
      <c r="XBE14" s="1"/>
      <c r="XBF14" s="1"/>
      <c r="XBG14" s="1"/>
      <c r="XBH14" s="1"/>
      <c r="XBI14" s="1"/>
      <c r="XBJ14" s="1"/>
      <c r="XBK14" s="1"/>
      <c r="XBL14" s="1"/>
      <c r="XBM14" s="1"/>
      <c r="XBN14" s="1"/>
      <c r="XBO14" s="1"/>
      <c r="XBP14" s="1"/>
      <c r="XBQ14" s="1"/>
      <c r="XBR14" s="1"/>
      <c r="XBS14" s="1"/>
      <c r="XBT14" s="1"/>
      <c r="XBU14" s="1"/>
      <c r="XBV14" s="1"/>
      <c r="XBW14" s="1"/>
      <c r="XBX14" s="1"/>
      <c r="XBY14" s="1"/>
      <c r="XBZ14" s="1"/>
      <c r="XCA14" s="1"/>
      <c r="XCB14" s="1"/>
      <c r="XCC14" s="1"/>
      <c r="XCD14" s="1"/>
      <c r="XCE14" s="1"/>
      <c r="XCF14" s="1"/>
      <c r="XCG14" s="1"/>
      <c r="XCH14" s="1"/>
      <c r="XCI14" s="1"/>
      <c r="XCJ14" s="1"/>
      <c r="XCK14" s="1"/>
      <c r="XCL14" s="1"/>
      <c r="XCM14" s="1"/>
      <c r="XCN14" s="1"/>
      <c r="XCO14" s="1"/>
      <c r="XCP14" s="1"/>
      <c r="XCQ14" s="1"/>
      <c r="XCR14" s="1"/>
      <c r="XCS14" s="1"/>
      <c r="XCT14" s="1"/>
      <c r="XCU14" s="1"/>
      <c r="XCV14" s="1"/>
      <c r="XCW14" s="1"/>
      <c r="XCX14" s="1"/>
      <c r="XCY14" s="1"/>
      <c r="XCZ14" s="1"/>
      <c r="XDA14" s="1"/>
      <c r="XDB14" s="1"/>
      <c r="XDC14" s="1"/>
      <c r="XDD14" s="1"/>
      <c r="XDE14" s="1"/>
      <c r="XDF14" s="1"/>
      <c r="XDG14" s="1"/>
      <c r="XDH14" s="1"/>
      <c r="XDI14" s="1"/>
      <c r="XDJ14" s="1"/>
      <c r="XDK14" s="1"/>
      <c r="XDL14" s="1"/>
      <c r="XDM14" s="1"/>
      <c r="XDN14" s="1"/>
      <c r="XDO14" s="1"/>
      <c r="XDP14" s="1"/>
      <c r="XDQ14" s="1"/>
    </row>
    <row r="15" spans="1:16345" s="1" customFormat="1" ht="12.75" hidden="1" customHeight="1" outlineLevel="1">
      <c r="A15" s="2229" t="s">
        <v>85</v>
      </c>
      <c r="B15" s="368"/>
      <c r="C15" s="18"/>
      <c r="D15" s="18"/>
      <c r="E15" s="18"/>
      <c r="F15" s="60"/>
      <c r="G15" s="18"/>
      <c r="H15" s="18"/>
      <c r="I15" s="18"/>
      <c r="J15" s="18"/>
      <c r="K15" s="60"/>
      <c r="L15" s="18"/>
      <c r="M15" s="18"/>
      <c r="N15" s="18"/>
      <c r="O15" s="18"/>
      <c r="P15" s="60"/>
      <c r="Q15" s="18"/>
      <c r="R15" s="18"/>
      <c r="S15" s="18"/>
      <c r="T15" s="18"/>
      <c r="U15" s="60"/>
      <c r="V15" s="18">
        <f t="shared" ref="V15:BB15" si="120">+V14/Q14-1</f>
        <v>8.726775956284154</v>
      </c>
      <c r="W15" s="18">
        <f t="shared" si="120"/>
        <v>1.1358851674641151</v>
      </c>
      <c r="X15" s="18">
        <f t="shared" si="120"/>
        <v>2.1241287753070104E-2</v>
      </c>
      <c r="Y15" s="18">
        <f t="shared" si="120"/>
        <v>0.20433212996389893</v>
      </c>
      <c r="Z15" s="2122">
        <f t="shared" si="120"/>
        <v>0.48694908001711612</v>
      </c>
      <c r="AA15" s="18">
        <f t="shared" si="120"/>
        <v>0.7544943820224721</v>
      </c>
      <c r="AB15" s="18">
        <f t="shared" si="120"/>
        <v>1.0945340501792113</v>
      </c>
      <c r="AC15" s="18">
        <f t="shared" si="120"/>
        <v>0.85115372115697108</v>
      </c>
      <c r="AD15" s="18">
        <f t="shared" si="120"/>
        <v>0.94844124700239818</v>
      </c>
      <c r="AE15" s="450">
        <f t="shared" si="120"/>
        <v>0.91788968824940032</v>
      </c>
      <c r="AF15" s="18">
        <f t="shared" si="120"/>
        <v>0.91578610310598751</v>
      </c>
      <c r="AG15" s="18">
        <f t="shared" si="120"/>
        <v>0.43037433155080218</v>
      </c>
      <c r="AH15" s="18">
        <f t="shared" si="120"/>
        <v>0.44768258426966301</v>
      </c>
      <c r="AI15" s="18">
        <f t="shared" si="120"/>
        <v>0.27230769230769214</v>
      </c>
      <c r="AJ15" s="450">
        <f t="shared" si="120"/>
        <v>0.45973792137641301</v>
      </c>
      <c r="AK15" s="18">
        <f t="shared" si="120"/>
        <v>0.32508774862109324</v>
      </c>
      <c r="AL15" s="18">
        <f t="shared" si="120"/>
        <v>1.0752205772394197</v>
      </c>
      <c r="AM15" s="18">
        <f t="shared" si="120"/>
        <v>2.9011642008246419</v>
      </c>
      <c r="AN15" s="18">
        <f t="shared" si="120"/>
        <v>7.6029020556227334</v>
      </c>
      <c r="AO15" s="450">
        <f t="shared" si="120"/>
        <v>3.2869869115329271</v>
      </c>
      <c r="AP15" s="18">
        <f t="shared" si="120"/>
        <v>8.8675580221997983</v>
      </c>
      <c r="AQ15" s="18">
        <f t="shared" si="120"/>
        <v>5.8718022627369022</v>
      </c>
      <c r="AR15" s="18">
        <f t="shared" si="120"/>
        <v>2.2976157169946232</v>
      </c>
      <c r="AS15" s="18">
        <f t="shared" si="120"/>
        <v>0.71125572765861733</v>
      </c>
      <c r="AT15" s="450">
        <f>+AT14/AO14-1</f>
        <v>2.2082800511508958</v>
      </c>
      <c r="AU15" s="18">
        <f t="shared" si="120"/>
        <v>0.84820401380544519</v>
      </c>
      <c r="AV15" s="472">
        <f t="shared" si="120"/>
        <v>3.0634647651006706</v>
      </c>
      <c r="AW15" s="18">
        <f t="shared" si="120"/>
        <v>2.7258887076856357</v>
      </c>
      <c r="AX15" s="18">
        <f t="shared" si="120"/>
        <v>2.5063943030332898</v>
      </c>
      <c r="AY15" s="581">
        <f>+AY14/AT14-1</f>
        <v>2.3735812864331614</v>
      </c>
      <c r="AZ15" s="368">
        <f t="shared" si="120"/>
        <v>1.4359373378981224</v>
      </c>
      <c r="BA15" s="472">
        <f t="shared" si="120"/>
        <v>9.2925789435652995E-2</v>
      </c>
      <c r="BB15" s="472">
        <f t="shared" si="120"/>
        <v>0.21165046578586511</v>
      </c>
      <c r="BC15" s="18">
        <f t="shared" ref="BC15" si="121">+BC14/AX14-1</f>
        <v>0.24033731553056925</v>
      </c>
      <c r="BD15" s="1938">
        <f>+BD14/AY14-1</f>
        <v>0.31743442549712997</v>
      </c>
      <c r="BE15" s="368"/>
      <c r="BF15" s="472"/>
      <c r="BG15" s="472"/>
      <c r="BH15" s="18"/>
      <c r="BI15" s="1938"/>
      <c r="BJ15" s="368"/>
      <c r="BK15" s="472"/>
      <c r="BL15" s="472"/>
      <c r="BM15" s="18"/>
      <c r="BN15" s="1938"/>
      <c r="BO15" s="368"/>
      <c r="BP15" s="18"/>
      <c r="BQ15" s="18"/>
      <c r="BR15" s="2162"/>
      <c r="BS15" s="1936"/>
      <c r="BT15" s="20"/>
      <c r="BU15" s="20"/>
      <c r="BV15" s="20"/>
      <c r="BW15" s="20"/>
      <c r="BX15" s="465"/>
      <c r="BY15" s="20"/>
      <c r="BZ15" s="20"/>
      <c r="CA15" s="20"/>
      <c r="CB15" s="20"/>
      <c r="CC15" s="465"/>
      <c r="CD15" s="191"/>
      <c r="CE15" s="263"/>
      <c r="CF15" s="173"/>
      <c r="CG15" s="173"/>
      <c r="CH15" s="173"/>
      <c r="CI15" s="239"/>
      <c r="CJ15" s="177"/>
      <c r="CK15" s="2070"/>
      <c r="CL15" s="472"/>
      <c r="CM15" s="472"/>
      <c r="CN15" s="18"/>
      <c r="CO15" s="2108"/>
      <c r="CP15" s="2108"/>
      <c r="CQ15" s="476" t="s">
        <v>558</v>
      </c>
      <c r="CR15" s="452"/>
      <c r="CS15" s="40"/>
      <c r="CT15" s="40"/>
      <c r="CU15" s="40"/>
      <c r="CV15" s="456"/>
      <c r="CW15" s="40"/>
      <c r="CX15" s="40"/>
      <c r="CY15" s="139"/>
      <c r="CZ15"/>
      <c r="DA15"/>
      <c r="DB15"/>
      <c r="DC15"/>
      <c r="DD15"/>
      <c r="DE15"/>
      <c r="DF15" s="3"/>
      <c r="DG15" s="3"/>
      <c r="DH15" s="3"/>
      <c r="DI15" s="3"/>
      <c r="DJ15" s="3"/>
    </row>
    <row r="16" spans="1:16345" s="1" customFormat="1" ht="12.75" hidden="1" customHeight="1" outlineLevel="1">
      <c r="A16" s="2229" t="s">
        <v>248</v>
      </c>
      <c r="B16" s="368"/>
      <c r="C16" s="18"/>
      <c r="D16" s="18"/>
      <c r="E16" s="18"/>
      <c r="F16" s="60"/>
      <c r="G16" s="18"/>
      <c r="H16" s="18"/>
      <c r="I16" s="18"/>
      <c r="J16" s="18"/>
      <c r="K16" s="60"/>
      <c r="L16" s="18"/>
      <c r="M16" s="18"/>
      <c r="N16" s="18"/>
      <c r="O16" s="18"/>
      <c r="P16" s="60"/>
      <c r="Q16" s="18"/>
      <c r="R16" s="18"/>
      <c r="S16" s="18"/>
      <c r="T16" s="18"/>
      <c r="U16" s="60"/>
      <c r="V16" s="18"/>
      <c r="W16" s="18"/>
      <c r="X16" s="18"/>
      <c r="Y16" s="18"/>
      <c r="Z16" s="2120"/>
      <c r="AA16" s="18"/>
      <c r="AB16" s="18"/>
      <c r="AC16" s="18"/>
      <c r="AD16" s="18"/>
      <c r="AE16" s="18"/>
      <c r="AF16" s="18"/>
      <c r="AG16" s="18"/>
      <c r="AH16" s="18"/>
      <c r="AI16" s="18"/>
      <c r="AJ16" s="625"/>
      <c r="AK16" s="18"/>
      <c r="AL16" s="18"/>
      <c r="AM16" s="18"/>
      <c r="AN16" s="18"/>
      <c r="AO16" s="625"/>
      <c r="AP16" s="18">
        <f>+AP14/AN14-1</f>
        <v>9.9569898518539368E-2</v>
      </c>
      <c r="AQ16" s="18">
        <f>+AQ14/AP14-1</f>
        <v>0.21896970471686039</v>
      </c>
      <c r="AR16" s="18">
        <f t="shared" ref="AR16:AS16" si="122">+AR14/AQ14-1</f>
        <v>0.11242659395973176</v>
      </c>
      <c r="AS16" s="18">
        <f t="shared" si="122"/>
        <v>0.14769845683958471</v>
      </c>
      <c r="AT16" s="625"/>
      <c r="AU16" s="18">
        <f>+AU14/AS14-1</f>
        <v>0.187566222309834</v>
      </c>
      <c r="AV16" s="18">
        <f>+AV14/AU14-1</f>
        <v>1.6800290486564999</v>
      </c>
      <c r="AW16" s="18">
        <f t="shared" ref="AW16:AX16" si="123">+AW14/AV14-1</f>
        <v>2.0010735705511484E-2</v>
      </c>
      <c r="AX16" s="18">
        <f t="shared" si="123"/>
        <v>8.008683199829969E-2</v>
      </c>
      <c r="AY16" s="625"/>
      <c r="AZ16" s="18">
        <f>+AZ14/AX14-1</f>
        <v>-0.17498243148278281</v>
      </c>
      <c r="BA16" s="18">
        <f>+BA14/AZ14-1</f>
        <v>0.20244179443498012</v>
      </c>
      <c r="BB16" s="18">
        <f>+BB14/BA14-1</f>
        <v>0.13081463990554898</v>
      </c>
      <c r="BC16" s="18">
        <f t="shared" ref="BC16" si="124">+BC14/BB14-1</f>
        <v>0.10565880141992068</v>
      </c>
      <c r="BD16" s="1939"/>
      <c r="BE16" s="18"/>
      <c r="BF16" s="18"/>
      <c r="BG16" s="18"/>
      <c r="BH16" s="18"/>
      <c r="BI16" s="1939"/>
      <c r="BJ16" s="18"/>
      <c r="BK16" s="18"/>
      <c r="BL16" s="18"/>
      <c r="BM16" s="18"/>
      <c r="BN16" s="1939"/>
      <c r="BO16" s="2338"/>
      <c r="BP16" s="20"/>
      <c r="BQ16" s="20"/>
      <c r="BR16" s="2160"/>
      <c r="BS16" s="2379"/>
      <c r="BT16" s="20"/>
      <c r="BU16" s="20"/>
      <c r="BV16" s="20"/>
      <c r="BW16" s="20"/>
      <c r="BX16" s="654"/>
      <c r="BY16" s="20"/>
      <c r="BZ16" s="20"/>
      <c r="CA16" s="20"/>
      <c r="CB16" s="20"/>
      <c r="CC16" s="654"/>
      <c r="CD16" s="191"/>
      <c r="CE16" s="263"/>
      <c r="CF16" s="173"/>
      <c r="CG16" s="173"/>
      <c r="CH16" s="173"/>
      <c r="CI16" s="239"/>
      <c r="CJ16" s="177"/>
      <c r="CK16" s="2070"/>
      <c r="CL16" s="18"/>
      <c r="CM16" s="18"/>
      <c r="CN16" s="20"/>
      <c r="CO16" s="2107"/>
      <c r="CP16" s="2107"/>
      <c r="CQ16" s="475"/>
      <c r="CR16" s="452"/>
      <c r="CS16" s="40"/>
      <c r="CT16" s="40"/>
      <c r="CU16" s="40"/>
      <c r="CV16" s="456"/>
      <c r="CW16" s="40"/>
      <c r="CX16" s="40"/>
      <c r="CY16" s="139"/>
      <c r="CZ16"/>
      <c r="DA16"/>
      <c r="DB16"/>
      <c r="DC16"/>
      <c r="DD16"/>
      <c r="DE16"/>
      <c r="DF16" s="3"/>
      <c r="DG16" s="3"/>
      <c r="DH16" s="3"/>
      <c r="DI16" s="3"/>
      <c r="DJ16" s="3"/>
    </row>
    <row r="17" spans="1:16345" s="262" customFormat="1" ht="12.75" customHeight="1" collapsed="1">
      <c r="A17" s="2228" t="s">
        <v>233</v>
      </c>
      <c r="B17" s="656"/>
      <c r="C17" s="657"/>
      <c r="D17" s="657"/>
      <c r="E17" s="657"/>
      <c r="F17" s="658"/>
      <c r="G17" s="657"/>
      <c r="H17" s="657"/>
      <c r="I17" s="657"/>
      <c r="J17" s="657"/>
      <c r="K17" s="658"/>
      <c r="L17" s="657"/>
      <c r="M17" s="657"/>
      <c r="N17" s="657"/>
      <c r="O17" s="657"/>
      <c r="P17" s="658"/>
      <c r="Q17" s="657">
        <v>10.471</v>
      </c>
      <c r="R17" s="657">
        <v>14.492000000000001</v>
      </c>
      <c r="S17" s="657">
        <v>14.340999999999999</v>
      </c>
      <c r="T17" s="657">
        <v>11.832000000000001</v>
      </c>
      <c r="U17" s="658">
        <f>SUM(Q17:T17)</f>
        <v>51.136000000000003</v>
      </c>
      <c r="V17" s="657">
        <v>9.6389999999999993</v>
      </c>
      <c r="W17" s="657">
        <v>10.154999999999999</v>
      </c>
      <c r="X17" s="657">
        <v>8.9450000000000003</v>
      </c>
      <c r="Y17" s="657">
        <v>12.423</v>
      </c>
      <c r="Z17" s="2121">
        <f>SUM(V17:Y17)</f>
        <v>41.161999999999999</v>
      </c>
      <c r="AA17" s="657">
        <v>12.938000000000001</v>
      </c>
      <c r="AB17" s="657">
        <v>16.074000000000002</v>
      </c>
      <c r="AC17" s="657">
        <v>18.585999999999999</v>
      </c>
      <c r="AD17" s="657">
        <v>17.623999999999999</v>
      </c>
      <c r="AE17" s="658">
        <f>SUM(AA17:AD17)</f>
        <v>65.221999999999994</v>
      </c>
      <c r="AF17" s="659">
        <v>15.739000000000001</v>
      </c>
      <c r="AG17" s="659">
        <v>15.722</v>
      </c>
      <c r="AH17" s="659">
        <v>16.917999999999999</v>
      </c>
      <c r="AI17" s="659">
        <v>16.768999999999998</v>
      </c>
      <c r="AJ17" s="658">
        <f>SUM(AF17:AI17)</f>
        <v>65.147999999999996</v>
      </c>
      <c r="AK17" s="659">
        <v>15.457000000000001</v>
      </c>
      <c r="AL17" s="659">
        <v>16.468</v>
      </c>
      <c r="AM17" s="659">
        <v>17.303999999999998</v>
      </c>
      <c r="AN17" s="659">
        <v>18.463000000000001</v>
      </c>
      <c r="AO17" s="658">
        <f>SUM(AK17:AN17)</f>
        <v>67.692000000000007</v>
      </c>
      <c r="AP17" s="659">
        <v>16.233000000000001</v>
      </c>
      <c r="AQ17" s="659">
        <v>19.338000000000001</v>
      </c>
      <c r="AR17" s="659">
        <v>19.129000000000001</v>
      </c>
      <c r="AS17" s="659">
        <v>18.454999999999998</v>
      </c>
      <c r="AT17" s="658">
        <f>SUM(AP17:AS17)</f>
        <v>73.155000000000001</v>
      </c>
      <c r="AU17" s="659">
        <v>19.506</v>
      </c>
      <c r="AV17" s="659">
        <v>54.177999999999997</v>
      </c>
      <c r="AW17" s="659">
        <v>59.720999999999997</v>
      </c>
      <c r="AX17" s="659">
        <v>61.7</v>
      </c>
      <c r="AY17" s="660">
        <f>SUM(AU17:AX17)</f>
        <v>195.10500000000002</v>
      </c>
      <c r="AZ17" s="660">
        <v>45.1</v>
      </c>
      <c r="BA17" s="659">
        <v>58</v>
      </c>
      <c r="BB17" s="659">
        <v>96.2</v>
      </c>
      <c r="BC17" s="659">
        <v>97.6</v>
      </c>
      <c r="BD17" s="1937">
        <f>SUM(AZ17:BC17)</f>
        <v>296.89999999999998</v>
      </c>
      <c r="BE17" s="660">
        <v>82.7</v>
      </c>
      <c r="BF17" s="659">
        <v>79.2</v>
      </c>
      <c r="BG17" s="659">
        <v>84.5</v>
      </c>
      <c r="BH17" s="659">
        <v>84.8</v>
      </c>
      <c r="BI17" s="1937">
        <f>SUM(BE17:BH17)</f>
        <v>331.2</v>
      </c>
      <c r="BJ17" s="660">
        <v>71.599999999999994</v>
      </c>
      <c r="BK17" s="659">
        <v>72.5</v>
      </c>
      <c r="BL17" s="659">
        <v>75.8</v>
      </c>
      <c r="BM17" s="659">
        <v>81.400000000000006</v>
      </c>
      <c r="BN17" s="1937">
        <f>SUM(BJ17:BM17)</f>
        <v>301.29999999999995</v>
      </c>
      <c r="BO17" s="2337">
        <f t="shared" ref="BO17" si="125">+BJ17*(1+BO18)</f>
        <v>70.167999999999992</v>
      </c>
      <c r="BP17" s="661">
        <f t="shared" ref="BP17" si="126">+BK17*(1+BP18)</f>
        <v>73.587499999999991</v>
      </c>
      <c r="BQ17" s="661">
        <f t="shared" ref="BQ17:BR17" si="127">+BL17*(1+BQ18)</f>
        <v>76.936999999999983</v>
      </c>
      <c r="BR17" s="2175">
        <f t="shared" si="127"/>
        <v>82.620999999999995</v>
      </c>
      <c r="BS17" s="1937">
        <f>SUM(BO17:BR17)</f>
        <v>303.31349999999998</v>
      </c>
      <c r="BT17" s="659"/>
      <c r="BU17" s="659"/>
      <c r="BV17" s="659"/>
      <c r="BW17" s="659"/>
      <c r="BX17" s="662">
        <f>BS17*(1+BX18)</f>
        <v>307.86320249999994</v>
      </c>
      <c r="BY17" s="659"/>
      <c r="BZ17" s="659"/>
      <c r="CA17" s="659"/>
      <c r="CB17" s="659"/>
      <c r="CC17" s="662">
        <f>BX17*(1+CC18)</f>
        <v>312.4811505374999</v>
      </c>
      <c r="CE17" s="263"/>
      <c r="CF17" s="2224">
        <f>+BI17/$BI$45</f>
        <v>2.2654828515534152E-2</v>
      </c>
      <c r="CG17" s="264"/>
      <c r="CH17" s="264"/>
      <c r="CI17" s="265"/>
      <c r="CK17" s="2072"/>
      <c r="CL17" s="659">
        <f t="shared" ref="CL17:CL22" si="128">BM17</f>
        <v>81.400000000000006</v>
      </c>
      <c r="CM17" s="659">
        <f>BH17</f>
        <v>84.8</v>
      </c>
      <c r="CN17" s="661">
        <v>77.168000000000006</v>
      </c>
      <c r="CO17" s="2086">
        <f>IFERROR(($CL17/CM17)-1,"")</f>
        <v>-4.0094339622641417E-2</v>
      </c>
      <c r="CP17" s="2086">
        <f>IFERROR(($CL17/CN17)-1,"")</f>
        <v>5.4841385030064194E-2</v>
      </c>
      <c r="CQ17" s="494" t="s">
        <v>617</v>
      </c>
      <c r="CR17" s="453"/>
      <c r="CS17" s="258"/>
      <c r="CT17" s="258"/>
      <c r="CU17" s="258"/>
      <c r="CV17" s="51"/>
      <c r="CW17" s="258"/>
      <c r="CX17" s="258"/>
      <c r="CY17" s="263"/>
      <c r="CZ17"/>
      <c r="DA17"/>
      <c r="DB17"/>
      <c r="DC17"/>
      <c r="DD17"/>
      <c r="DE17"/>
      <c r="DF17" s="266"/>
      <c r="DG17" s="266"/>
      <c r="DH17" s="266"/>
      <c r="DI17" s="266"/>
      <c r="DJ17" s="266"/>
    </row>
    <row r="18" spans="1:16345" s="1" customFormat="1" ht="12.75" customHeight="1">
      <c r="A18" s="2227" t="s">
        <v>85</v>
      </c>
      <c r="B18" s="368"/>
      <c r="C18" s="18"/>
      <c r="D18" s="18"/>
      <c r="E18" s="18"/>
      <c r="F18" s="60" t="str">
        <f>IF(ISERROR((F17-#REF!)/#REF!),"",(F17-#REF!)/#REF!)</f>
        <v/>
      </c>
      <c r="G18" s="18" t="str">
        <f t="shared" ref="G18:U18" si="129">IF(ISERROR((G17-B17)/B17),"",(G17-B17)/B17)</f>
        <v/>
      </c>
      <c r="H18" s="18" t="str">
        <f t="shared" si="129"/>
        <v/>
      </c>
      <c r="I18" s="18" t="str">
        <f t="shared" si="129"/>
        <v/>
      </c>
      <c r="J18" s="18" t="str">
        <f t="shared" si="129"/>
        <v/>
      </c>
      <c r="K18" s="60" t="str">
        <f t="shared" si="129"/>
        <v/>
      </c>
      <c r="L18" s="18" t="str">
        <f t="shared" si="129"/>
        <v/>
      </c>
      <c r="M18" s="18" t="str">
        <f t="shared" si="129"/>
        <v/>
      </c>
      <c r="N18" s="18" t="str">
        <f t="shared" si="129"/>
        <v/>
      </c>
      <c r="O18" s="18" t="str">
        <f t="shared" si="129"/>
        <v/>
      </c>
      <c r="P18" s="60" t="str">
        <f t="shared" si="129"/>
        <v/>
      </c>
      <c r="Q18" s="18" t="str">
        <f t="shared" si="129"/>
        <v/>
      </c>
      <c r="R18" s="18" t="str">
        <f t="shared" si="129"/>
        <v/>
      </c>
      <c r="S18" s="18" t="str">
        <f t="shared" si="129"/>
        <v/>
      </c>
      <c r="T18" s="18" t="str">
        <f t="shared" si="129"/>
        <v/>
      </c>
      <c r="U18" s="60" t="str">
        <f t="shared" si="129"/>
        <v/>
      </c>
      <c r="V18" s="18">
        <f t="shared" ref="V18:AN18" si="130">(V17-Q17)/Q17</f>
        <v>-7.9457549422213808E-2</v>
      </c>
      <c r="W18" s="18">
        <f t="shared" si="130"/>
        <v>-0.29926856196522228</v>
      </c>
      <c r="X18" s="18">
        <f t="shared" si="130"/>
        <v>-0.37626385886618779</v>
      </c>
      <c r="Y18" s="18">
        <f t="shared" si="130"/>
        <v>4.9949290060851866E-2</v>
      </c>
      <c r="Z18" s="1998">
        <f t="shared" si="130"/>
        <v>-0.19504849812265337</v>
      </c>
      <c r="AA18" s="18">
        <f t="shared" si="130"/>
        <v>0.34225542068679338</v>
      </c>
      <c r="AB18" s="18">
        <f t="shared" si="130"/>
        <v>0.5828655834564257</v>
      </c>
      <c r="AC18" s="18">
        <f t="shared" si="130"/>
        <v>1.0778088317495806</v>
      </c>
      <c r="AD18" s="18">
        <f t="shared" si="130"/>
        <v>0.41865893906463808</v>
      </c>
      <c r="AE18" s="60">
        <f t="shared" si="130"/>
        <v>0.58451970263835562</v>
      </c>
      <c r="AF18" s="18">
        <f t="shared" si="130"/>
        <v>0.21649404853918688</v>
      </c>
      <c r="AG18" s="18">
        <f t="shared" si="130"/>
        <v>-2.1898718427273985E-2</v>
      </c>
      <c r="AH18" s="18">
        <f t="shared" si="130"/>
        <v>-8.9744969331755048E-2</v>
      </c>
      <c r="AI18" s="18">
        <f t="shared" si="130"/>
        <v>-4.8513390830685454E-2</v>
      </c>
      <c r="AJ18" s="60">
        <f t="shared" si="130"/>
        <v>-1.1345864892213988E-3</v>
      </c>
      <c r="AK18" s="18">
        <f t="shared" si="130"/>
        <v>-1.7917275557532246E-2</v>
      </c>
      <c r="AL18" s="18">
        <f t="shared" si="130"/>
        <v>4.7449433914260299E-2</v>
      </c>
      <c r="AM18" s="18">
        <f t="shared" si="130"/>
        <v>2.2815935689797805E-2</v>
      </c>
      <c r="AN18" s="18">
        <f t="shared" si="130"/>
        <v>0.10101973880374517</v>
      </c>
      <c r="AO18" s="60">
        <f t="shared" ref="AO18:BB18" si="131">(AO17-AJ17)/AJ17</f>
        <v>3.9049548719838081E-2</v>
      </c>
      <c r="AP18" s="18">
        <f t="shared" si="131"/>
        <v>5.0203791162580044E-2</v>
      </c>
      <c r="AQ18" s="18">
        <f t="shared" si="131"/>
        <v>0.17427738644644164</v>
      </c>
      <c r="AR18" s="18">
        <f t="shared" si="131"/>
        <v>0.10546694405917724</v>
      </c>
      <c r="AS18" s="18">
        <f t="shared" si="131"/>
        <v>-4.3329903049356395E-4</v>
      </c>
      <c r="AT18" s="60">
        <f t="shared" si="131"/>
        <v>8.0703775926254107E-2</v>
      </c>
      <c r="AU18" s="18">
        <f t="shared" si="131"/>
        <v>0.20162631676215115</v>
      </c>
      <c r="AV18" s="18">
        <f t="shared" si="131"/>
        <v>1.8016340883235078</v>
      </c>
      <c r="AW18" s="18">
        <f t="shared" si="131"/>
        <v>2.1220136964817815</v>
      </c>
      <c r="AX18" s="18">
        <f t="shared" si="131"/>
        <v>2.3432674072067194</v>
      </c>
      <c r="AY18" s="368">
        <f t="shared" si="131"/>
        <v>1.6670084068074638</v>
      </c>
      <c r="AZ18" s="368">
        <f t="shared" si="131"/>
        <v>1.3121090946375475</v>
      </c>
      <c r="BA18" s="18">
        <f t="shared" si="131"/>
        <v>7.0545239765218412E-2</v>
      </c>
      <c r="BB18" s="18">
        <f t="shared" si="131"/>
        <v>0.61082366336799465</v>
      </c>
      <c r="BC18" s="18">
        <f t="shared" ref="BC18" si="132">(BC17-AX17)/AX17</f>
        <v>0.58184764991896254</v>
      </c>
      <c r="BD18" s="1936">
        <f t="shared" ref="BD18:BG18" si="133">(BD17-AY17)/AY17</f>
        <v>0.52174470157094877</v>
      </c>
      <c r="BE18" s="368">
        <f t="shared" si="133"/>
        <v>0.83370288248337032</v>
      </c>
      <c r="BF18" s="18">
        <f t="shared" si="133"/>
        <v>0.36551724137931041</v>
      </c>
      <c r="BG18" s="18">
        <f t="shared" si="133"/>
        <v>-0.12162162162162164</v>
      </c>
      <c r="BH18" s="18">
        <f t="shared" ref="BH18" si="134">(BH17-BC17)/BC17</f>
        <v>-0.13114754098360654</v>
      </c>
      <c r="BI18" s="1936">
        <f t="shared" ref="BI18:BL18" si="135">(BI17-BD17)/BD17</f>
        <v>0.1155271135062311</v>
      </c>
      <c r="BJ18" s="368">
        <f t="shared" si="135"/>
        <v>-0.13422007255139068</v>
      </c>
      <c r="BK18" s="18">
        <f t="shared" si="135"/>
        <v>-8.4595959595959627E-2</v>
      </c>
      <c r="BL18" s="18">
        <f t="shared" si="135"/>
        <v>-0.10295857988165684</v>
      </c>
      <c r="BM18" s="18">
        <f t="shared" ref="BM18" si="136">(BM17-BH17)/BH17</f>
        <v>-4.009433962264141E-2</v>
      </c>
      <c r="BN18" s="1936">
        <f t="shared" ref="BN18" si="137">(BN17-BI17)/BI17</f>
        <v>-9.0277777777777887E-2</v>
      </c>
      <c r="BO18" s="2339">
        <v>-0.02</v>
      </c>
      <c r="BP18" s="653">
        <v>1.4999999999999999E-2</v>
      </c>
      <c r="BQ18" s="653">
        <v>1.4999999999999999E-2</v>
      </c>
      <c r="BR18" s="653">
        <v>1.4999999999999999E-2</v>
      </c>
      <c r="BS18" s="1936">
        <f>(BS17-BN17)/BN17</f>
        <v>6.6827082641885902E-3</v>
      </c>
      <c r="BT18" s="20"/>
      <c r="BU18" s="20"/>
      <c r="BV18" s="20"/>
      <c r="BW18" s="20"/>
      <c r="BX18" s="74">
        <v>1.4999999999999999E-2</v>
      </c>
      <c r="BY18" s="20"/>
      <c r="BZ18" s="20"/>
      <c r="CA18" s="20"/>
      <c r="CB18" s="20"/>
      <c r="CC18" s="74">
        <f>BX18</f>
        <v>1.4999999999999999E-2</v>
      </c>
      <c r="CD18" s="191"/>
      <c r="CE18" s="263"/>
      <c r="CF18" s="173"/>
      <c r="CG18" s="173"/>
      <c r="CH18" s="173"/>
      <c r="CI18" s="239"/>
      <c r="CJ18" s="177"/>
      <c r="CK18" s="2070"/>
      <c r="CL18" s="18">
        <f t="shared" si="128"/>
        <v>-4.009433962264141E-2</v>
      </c>
      <c r="CM18" s="18">
        <f>BH18</f>
        <v>-0.13114754098360654</v>
      </c>
      <c r="CN18" s="653">
        <v>-0.09</v>
      </c>
      <c r="CO18" s="2107">
        <f>IFERROR(($CL18-CM18)*10000,"")</f>
        <v>910.53201360965124</v>
      </c>
      <c r="CP18" s="2107">
        <f>IFERROR(($CL18-CN18)*10000,"")</f>
        <v>499.05660377358589</v>
      </c>
      <c r="CQ18" s="475"/>
      <c r="CR18" s="452"/>
      <c r="CS18" s="2284"/>
      <c r="CT18" s="2284"/>
      <c r="CU18" s="2284">
        <f>250*0.2</f>
        <v>50</v>
      </c>
      <c r="CV18" s="456">
        <f>+BI19*1.1+CU18</f>
        <v>961.0200000000001</v>
      </c>
      <c r="CW18" s="40"/>
      <c r="CX18" s="40"/>
      <c r="CY18" s="139"/>
      <c r="CZ18"/>
      <c r="DA18"/>
      <c r="DB18"/>
      <c r="DC18"/>
      <c r="DD18"/>
      <c r="DE18"/>
      <c r="DF18" s="3"/>
      <c r="DG18" s="3"/>
      <c r="DH18" s="3"/>
      <c r="DI18" s="3"/>
      <c r="DJ18" s="3"/>
    </row>
    <row r="19" spans="1:16345" s="657" customFormat="1" ht="12.75" customHeight="1" collapsed="1">
      <c r="A19" s="2228" t="s">
        <v>250</v>
      </c>
      <c r="B19" s="656"/>
      <c r="F19" s="658"/>
      <c r="K19" s="658"/>
      <c r="P19" s="658"/>
      <c r="U19" s="658"/>
      <c r="Z19" s="2121"/>
      <c r="AE19" s="658"/>
      <c r="AF19" s="659"/>
      <c r="AG19" s="659"/>
      <c r="AH19" s="659"/>
      <c r="AI19" s="659"/>
      <c r="AJ19" s="658"/>
      <c r="AK19" s="659"/>
      <c r="AL19" s="659"/>
      <c r="AM19" s="659"/>
      <c r="AN19" s="659"/>
      <c r="AO19" s="658"/>
      <c r="AP19" s="659"/>
      <c r="AQ19" s="659"/>
      <c r="AR19" s="659">
        <v>46.534999999999997</v>
      </c>
      <c r="AS19" s="659">
        <v>93.433999999999997</v>
      </c>
      <c r="AT19" s="658">
        <f>SUM(AP19:AS19)</f>
        <v>139.96899999999999</v>
      </c>
      <c r="AU19" s="659">
        <v>87.103999999999999</v>
      </c>
      <c r="AV19" s="659">
        <v>105.898</v>
      </c>
      <c r="AW19" s="659">
        <v>123.41</v>
      </c>
      <c r="AX19" s="659">
        <v>137.19999999999999</v>
      </c>
      <c r="AY19" s="660">
        <f>SUM(AU19:AX19)</f>
        <v>453.61200000000002</v>
      </c>
      <c r="AZ19" s="660">
        <v>134.1</v>
      </c>
      <c r="BA19" s="659">
        <v>169.8</v>
      </c>
      <c r="BB19" s="659">
        <v>185.6</v>
      </c>
      <c r="BC19" s="659">
        <v>203.4</v>
      </c>
      <c r="BD19" s="1937">
        <f>SUM(AZ19:BC19)</f>
        <v>692.9</v>
      </c>
      <c r="BE19" s="660">
        <v>178.9</v>
      </c>
      <c r="BF19" s="659">
        <v>200.7</v>
      </c>
      <c r="BG19" s="659">
        <v>212.5</v>
      </c>
      <c r="BH19" s="659">
        <v>236.1</v>
      </c>
      <c r="BI19" s="1937">
        <f>SUM(BE19:BH19)</f>
        <v>828.2</v>
      </c>
      <c r="BJ19" s="660">
        <v>207</v>
      </c>
      <c r="BK19" s="659">
        <v>230.4</v>
      </c>
      <c r="BL19" s="659">
        <v>242.1</v>
      </c>
      <c r="BM19" s="659">
        <v>286.5</v>
      </c>
      <c r="BN19" s="1937">
        <f>SUM(BJ19:BM19)</f>
        <v>966</v>
      </c>
      <c r="BO19" s="2337">
        <f>+BM19*(1+BO21)</f>
        <v>237.79499999999999</v>
      </c>
      <c r="BP19" s="661">
        <f t="shared" ref="BP19" si="138">+BO19*(1+BP21)</f>
        <v>263.95245</v>
      </c>
      <c r="BQ19" s="661">
        <f t="shared" ref="BQ19:BR19" si="139">+BP19*(1+BQ21)</f>
        <v>278.46983474999996</v>
      </c>
      <c r="BR19" s="2175">
        <f t="shared" si="139"/>
        <v>345.30259508999995</v>
      </c>
      <c r="BS19" s="1937">
        <f>SUM(BO19:BR19)</f>
        <v>1125.5198798399997</v>
      </c>
      <c r="BT19" s="659"/>
      <c r="BU19" s="659"/>
      <c r="BV19" s="659"/>
      <c r="BW19" s="659"/>
      <c r="BX19" s="664">
        <f>+BS19*(1+BX20)</f>
        <v>1271.8374642191995</v>
      </c>
      <c r="BY19" s="659"/>
      <c r="BZ19" s="659"/>
      <c r="CA19" s="659"/>
      <c r="CB19" s="659"/>
      <c r="CC19" s="664">
        <f>+BX19*(1+CC20)</f>
        <v>1437.1763345676954</v>
      </c>
      <c r="CD19" s="262"/>
      <c r="CE19" s="263"/>
      <c r="CF19" s="2224">
        <f>+BI19/$BI$45</f>
        <v>5.6650751740837522E-2</v>
      </c>
      <c r="CG19" s="173"/>
      <c r="CH19" s="173"/>
      <c r="CI19" s="239"/>
      <c r="CJ19" s="177"/>
      <c r="CK19" s="2070"/>
      <c r="CL19" s="659">
        <f t="shared" si="128"/>
        <v>286.5</v>
      </c>
      <c r="CM19" s="659">
        <f>BH19</f>
        <v>236.1</v>
      </c>
      <c r="CN19" s="661">
        <v>268.73099999999999</v>
      </c>
      <c r="CO19" s="2086">
        <f>IFERROR(($CL19/CM19)-1,"")</f>
        <v>0.21346886912325291</v>
      </c>
      <c r="CP19" s="2086">
        <f>IFERROR(($CL19/CN19)-1,"")</f>
        <v>6.612188396575025E-2</v>
      </c>
      <c r="CQ19" s="476" t="s">
        <v>605</v>
      </c>
      <c r="CR19" s="452"/>
      <c r="CS19" s="40"/>
      <c r="CT19" s="40"/>
      <c r="CU19" s="40"/>
      <c r="CV19" s="40"/>
      <c r="CW19" s="40"/>
      <c r="CX19" s="40"/>
      <c r="CY19" s="139"/>
      <c r="CZ19"/>
      <c r="DA19"/>
      <c r="DB19"/>
      <c r="DC19"/>
      <c r="DD19"/>
      <c r="DE19"/>
      <c r="DF19" s="3"/>
      <c r="DG19" s="3"/>
      <c r="DH19" s="3"/>
      <c r="DI19" s="3"/>
      <c r="DJ19" s="3"/>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c r="IW19" s="1"/>
      <c r="IX19" s="1"/>
      <c r="IY19" s="1"/>
      <c r="IZ19" s="1"/>
      <c r="JA19" s="1"/>
      <c r="JB19" s="1"/>
      <c r="JC19" s="1"/>
      <c r="JD19" s="1"/>
      <c r="JE19" s="1"/>
      <c r="JF19" s="1"/>
      <c r="JG19" s="1"/>
      <c r="JH19" s="1"/>
      <c r="JI19" s="1"/>
      <c r="JJ19" s="1"/>
      <c r="JK19" s="1"/>
      <c r="JL19" s="1"/>
      <c r="JM19" s="1"/>
      <c r="JN19" s="1"/>
      <c r="JO19" s="1"/>
      <c r="JP19" s="1"/>
      <c r="JQ19" s="1"/>
      <c r="JR19" s="1"/>
      <c r="JS19" s="1"/>
      <c r="JT19" s="1"/>
      <c r="JU19" s="1"/>
      <c r="JV19" s="1"/>
      <c r="JW19" s="1"/>
      <c r="JX19" s="1"/>
      <c r="JY19" s="1"/>
      <c r="JZ19" s="1"/>
      <c r="KA19" s="1"/>
      <c r="KB19" s="1"/>
      <c r="KC19" s="1"/>
      <c r="KD19" s="1"/>
      <c r="KE19" s="1"/>
      <c r="KF19" s="1"/>
      <c r="KG19" s="1"/>
      <c r="KH19" s="1"/>
      <c r="KI19" s="1"/>
      <c r="KJ19" s="1"/>
      <c r="KK19" s="1"/>
      <c r="KL19" s="1"/>
      <c r="KM19" s="1"/>
      <c r="KN19" s="1"/>
      <c r="KO19" s="1"/>
      <c r="KP19" s="1"/>
      <c r="KQ19" s="1"/>
      <c r="KR19" s="1"/>
      <c r="KS19" s="1"/>
      <c r="KT19" s="1"/>
      <c r="KU19" s="1"/>
      <c r="KV19" s="1"/>
      <c r="KW19" s="1"/>
      <c r="KX19" s="1"/>
      <c r="KY19" s="1"/>
      <c r="KZ19" s="1"/>
      <c r="LA19" s="1"/>
      <c r="LB19" s="1"/>
      <c r="LC19" s="1"/>
      <c r="LD19" s="1"/>
      <c r="LE19" s="1"/>
      <c r="LF19" s="1"/>
      <c r="LG19" s="1"/>
      <c r="LH19" s="1"/>
      <c r="LI19" s="1"/>
      <c r="LJ19" s="1"/>
      <c r="LK19" s="1"/>
      <c r="LL19" s="1"/>
      <c r="LM19" s="1"/>
      <c r="LN19" s="1"/>
      <c r="LO19" s="1"/>
      <c r="LP19" s="1"/>
      <c r="LQ19" s="1"/>
      <c r="LR19" s="1"/>
      <c r="LS19" s="1"/>
      <c r="LT19" s="1"/>
      <c r="LU19" s="1"/>
      <c r="LV19" s="1"/>
      <c r="LW19" s="1"/>
      <c r="LX19" s="1"/>
      <c r="LY19" s="1"/>
      <c r="LZ19" s="1"/>
      <c r="MA19" s="1"/>
      <c r="MB19" s="1"/>
      <c r="MC19" s="1"/>
      <c r="MD19" s="1"/>
      <c r="ME19" s="1"/>
      <c r="MF19" s="1"/>
      <c r="MG19" s="1"/>
      <c r="MH19" s="1"/>
      <c r="MI19" s="1"/>
      <c r="MJ19" s="1"/>
      <c r="MK19" s="1"/>
      <c r="ML19" s="1"/>
      <c r="MM19" s="1"/>
      <c r="MN19" s="1"/>
      <c r="MO19" s="1"/>
      <c r="MP19" s="1"/>
      <c r="MQ19" s="1"/>
      <c r="MR19" s="1"/>
      <c r="MS19" s="1"/>
      <c r="MT19" s="1"/>
      <c r="MU19" s="1"/>
      <c r="MV19" s="1"/>
      <c r="MW19" s="1"/>
      <c r="MX19" s="1"/>
      <c r="MY19" s="1"/>
      <c r="MZ19" s="1"/>
      <c r="NA19" s="1"/>
      <c r="NB19" s="1"/>
      <c r="NC19" s="1"/>
      <c r="ND19" s="1"/>
      <c r="NE19" s="1"/>
      <c r="NF19" s="1"/>
      <c r="NG19" s="1"/>
      <c r="NH19" s="1"/>
      <c r="NI19" s="1"/>
      <c r="NJ19" s="1"/>
      <c r="NK19" s="1"/>
      <c r="NL19" s="1"/>
      <c r="NM19" s="1"/>
      <c r="NN19" s="1"/>
      <c r="NO19" s="1"/>
      <c r="NP19" s="1"/>
      <c r="NQ19" s="1"/>
      <c r="NR19" s="1"/>
      <c r="NS19" s="1"/>
      <c r="NT19" s="1"/>
      <c r="NU19" s="1"/>
      <c r="NV19" s="1"/>
      <c r="NW19" s="1"/>
      <c r="NX19" s="1"/>
      <c r="NY19" s="1"/>
      <c r="NZ19" s="1"/>
      <c r="OA19" s="1"/>
      <c r="OB19" s="1"/>
      <c r="OC19" s="1"/>
      <c r="OD19" s="1"/>
      <c r="OE19" s="1"/>
      <c r="OF19" s="1"/>
      <c r="OG19" s="1"/>
      <c r="OH19" s="1"/>
      <c r="OI19" s="1"/>
      <c r="OJ19" s="1"/>
      <c r="OK19" s="1"/>
      <c r="OL19" s="1"/>
      <c r="OM19" s="1"/>
      <c r="ON19" s="1"/>
      <c r="OO19" s="1"/>
      <c r="OP19" s="1"/>
      <c r="OQ19" s="1"/>
      <c r="OR19" s="1"/>
      <c r="OS19" s="1"/>
      <c r="OT19" s="1"/>
      <c r="OU19" s="1"/>
      <c r="OV19" s="1"/>
      <c r="OW19" s="1"/>
      <c r="OX19" s="1"/>
      <c r="OY19" s="1"/>
      <c r="OZ19" s="1"/>
      <c r="PA19" s="1"/>
      <c r="PB19" s="1"/>
      <c r="PC19" s="1"/>
      <c r="PD19" s="1"/>
      <c r="PE19" s="1"/>
      <c r="PF19" s="1"/>
      <c r="PG19" s="1"/>
      <c r="PH19" s="1"/>
      <c r="PI19" s="1"/>
      <c r="PJ19" s="1"/>
      <c r="PK19" s="1"/>
      <c r="PL19" s="1"/>
      <c r="PM19" s="1"/>
      <c r="PN19" s="1"/>
      <c r="PO19" s="1"/>
      <c r="PP19" s="1"/>
      <c r="PQ19" s="1"/>
      <c r="PR19" s="1"/>
      <c r="PS19" s="1"/>
      <c r="PT19" s="1"/>
      <c r="PU19" s="1"/>
      <c r="PV19" s="1"/>
      <c r="PW19" s="1"/>
      <c r="PX19" s="1"/>
      <c r="PY19" s="1"/>
      <c r="PZ19" s="1"/>
      <c r="QA19" s="1"/>
      <c r="QB19" s="1"/>
      <c r="QC19" s="1"/>
      <c r="QD19" s="1"/>
      <c r="QE19" s="1"/>
      <c r="QF19" s="1"/>
      <c r="QG19" s="1"/>
      <c r="QH19" s="1"/>
      <c r="QI19" s="1"/>
      <c r="QJ19" s="1"/>
      <c r="QK19" s="1"/>
      <c r="QL19" s="1"/>
      <c r="QM19" s="1"/>
      <c r="QN19" s="1"/>
      <c r="QO19" s="1"/>
      <c r="QP19" s="1"/>
      <c r="QQ19" s="1"/>
      <c r="QR19" s="1"/>
      <c r="QS19" s="1"/>
      <c r="QT19" s="1"/>
      <c r="QU19" s="1"/>
      <c r="QV19" s="1"/>
      <c r="QW19" s="1"/>
      <c r="QX19" s="1"/>
      <c r="QY19" s="1"/>
      <c r="QZ19" s="1"/>
      <c r="RA19" s="1"/>
      <c r="RB19" s="1"/>
      <c r="RC19" s="1"/>
      <c r="RD19" s="1"/>
      <c r="RE19" s="1"/>
      <c r="RF19" s="1"/>
      <c r="RG19" s="1"/>
      <c r="RH19" s="1"/>
      <c r="RI19" s="1"/>
      <c r="RJ19" s="1"/>
      <c r="RK19" s="1"/>
      <c r="RL19" s="1"/>
      <c r="RM19" s="1"/>
      <c r="RN19" s="1"/>
      <c r="RO19" s="1"/>
      <c r="RP19" s="1"/>
      <c r="RQ19" s="1"/>
      <c r="RR19" s="1"/>
      <c r="RS19" s="1"/>
      <c r="RT19" s="1"/>
      <c r="RU19" s="1"/>
      <c r="RV19" s="1"/>
      <c r="RW19" s="1"/>
      <c r="RX19" s="1"/>
      <c r="RY19" s="1"/>
      <c r="RZ19" s="1"/>
      <c r="SA19" s="1"/>
      <c r="SB19" s="1"/>
      <c r="SC19" s="1"/>
      <c r="SD19" s="1"/>
      <c r="SE19" s="1"/>
      <c r="SF19" s="1"/>
      <c r="SG19" s="1"/>
      <c r="SH19" s="1"/>
      <c r="SI19" s="1"/>
      <c r="SJ19" s="1"/>
      <c r="SK19" s="1"/>
      <c r="SL19" s="1"/>
      <c r="SM19" s="1"/>
      <c r="SN19" s="1"/>
      <c r="SO19" s="1"/>
      <c r="SP19" s="1"/>
      <c r="SQ19" s="1"/>
      <c r="SR19" s="1"/>
      <c r="SS19" s="1"/>
      <c r="ST19" s="1"/>
      <c r="SU19" s="1"/>
      <c r="SV19" s="1"/>
      <c r="SW19" s="1"/>
      <c r="SX19" s="1"/>
      <c r="SY19" s="1"/>
      <c r="SZ19" s="1"/>
      <c r="TA19" s="1"/>
      <c r="TB19" s="1"/>
      <c r="TC19" s="1"/>
      <c r="TD19" s="1"/>
      <c r="TE19" s="1"/>
      <c r="TF19" s="1"/>
      <c r="TG19" s="1"/>
      <c r="TH19" s="1"/>
      <c r="TI19" s="1"/>
      <c r="TJ19" s="1"/>
      <c r="TK19" s="1"/>
      <c r="TL19" s="1"/>
      <c r="TM19" s="1"/>
      <c r="TN19" s="1"/>
      <c r="TO19" s="1"/>
      <c r="TP19" s="1"/>
      <c r="TQ19" s="1"/>
      <c r="TR19" s="1"/>
      <c r="TS19" s="1"/>
      <c r="TT19" s="1"/>
      <c r="TU19" s="1"/>
      <c r="TV19" s="1"/>
      <c r="TW19" s="1"/>
      <c r="TX19" s="1"/>
      <c r="TY19" s="1"/>
      <c r="TZ19" s="1"/>
      <c r="UA19" s="1"/>
      <c r="UB19" s="1"/>
      <c r="UC19" s="1"/>
      <c r="UD19" s="1"/>
      <c r="UE19" s="1"/>
      <c r="UF19" s="1"/>
      <c r="UG19" s="1"/>
      <c r="UH19" s="1"/>
      <c r="UI19" s="1"/>
      <c r="UJ19" s="1"/>
      <c r="UK19" s="1"/>
      <c r="UL19" s="1"/>
      <c r="UM19" s="1"/>
      <c r="UN19" s="1"/>
      <c r="UO19" s="1"/>
      <c r="UP19" s="1"/>
      <c r="UQ19" s="1"/>
      <c r="UR19" s="1"/>
      <c r="US19" s="1"/>
      <c r="UT19" s="1"/>
      <c r="UU19" s="1"/>
      <c r="UV19" s="1"/>
      <c r="UW19" s="1"/>
      <c r="UX19" s="1"/>
      <c r="UY19" s="1"/>
      <c r="UZ19" s="1"/>
      <c r="VA19" s="1"/>
      <c r="VB19" s="1"/>
      <c r="VC19" s="1"/>
      <c r="VD19" s="1"/>
      <c r="VE19" s="1"/>
      <c r="VF19" s="1"/>
      <c r="VG19" s="1"/>
      <c r="VH19" s="1"/>
      <c r="VI19" s="1"/>
      <c r="VJ19" s="1"/>
      <c r="VK19" s="1"/>
      <c r="VL19" s="1"/>
      <c r="VM19" s="1"/>
      <c r="VN19" s="1"/>
      <c r="VO19" s="1"/>
      <c r="VP19" s="1"/>
      <c r="VQ19" s="1"/>
      <c r="VR19" s="1"/>
      <c r="VS19" s="1"/>
      <c r="VT19" s="1"/>
      <c r="VU19" s="1"/>
      <c r="VV19" s="1"/>
      <c r="VW19" s="1"/>
      <c r="VX19" s="1"/>
      <c r="VY19" s="1"/>
      <c r="VZ19" s="1"/>
      <c r="WA19" s="1"/>
      <c r="WB19" s="1"/>
      <c r="WC19" s="1"/>
      <c r="WD19" s="1"/>
      <c r="WE19" s="1"/>
      <c r="WF19" s="1"/>
      <c r="WG19" s="1"/>
      <c r="WH19" s="1"/>
      <c r="WI19" s="1"/>
      <c r="WJ19" s="1"/>
      <c r="WK19" s="1"/>
      <c r="WL19" s="1"/>
      <c r="WM19" s="1"/>
      <c r="WN19" s="1"/>
      <c r="WO19" s="1"/>
      <c r="WP19" s="1"/>
      <c r="WQ19" s="1"/>
      <c r="WR19" s="1"/>
      <c r="WS19" s="1"/>
      <c r="WT19" s="1"/>
      <c r="WU19" s="1"/>
      <c r="WV19" s="1"/>
      <c r="WW19" s="1"/>
      <c r="WX19" s="1"/>
      <c r="WY19" s="1"/>
      <c r="WZ19" s="1"/>
      <c r="XA19" s="1"/>
      <c r="XB19" s="1"/>
      <c r="XC19" s="1"/>
      <c r="XD19" s="1"/>
      <c r="XE19" s="1"/>
      <c r="XF19" s="1"/>
      <c r="XG19" s="1"/>
      <c r="XH19" s="1"/>
      <c r="XI19" s="1"/>
      <c r="XJ19" s="1"/>
      <c r="XK19" s="1"/>
      <c r="XL19" s="1"/>
      <c r="XM19" s="1"/>
      <c r="XN19" s="1"/>
      <c r="XO19" s="1"/>
      <c r="XP19" s="1"/>
      <c r="XQ19" s="1"/>
      <c r="XR19" s="1"/>
      <c r="XS19" s="1"/>
      <c r="XT19" s="1"/>
      <c r="XU19" s="1"/>
      <c r="XV19" s="1"/>
      <c r="XW19" s="1"/>
      <c r="XX19" s="1"/>
      <c r="XY19" s="1"/>
      <c r="XZ19" s="1"/>
      <c r="YA19" s="1"/>
      <c r="YB19" s="1"/>
      <c r="YC19" s="1"/>
      <c r="YD19" s="1"/>
      <c r="YE19" s="1"/>
      <c r="YF19" s="1"/>
      <c r="YG19" s="1"/>
      <c r="YH19" s="1"/>
      <c r="YI19" s="1"/>
      <c r="YJ19" s="1"/>
      <c r="YK19" s="1"/>
      <c r="YL19" s="1"/>
      <c r="YM19" s="1"/>
      <c r="YN19" s="1"/>
      <c r="YO19" s="1"/>
      <c r="YP19" s="1"/>
      <c r="YQ19" s="1"/>
      <c r="YR19" s="1"/>
      <c r="YS19" s="1"/>
      <c r="YT19" s="1"/>
      <c r="YU19" s="1"/>
      <c r="YV19" s="1"/>
      <c r="YW19" s="1"/>
      <c r="YX19" s="1"/>
      <c r="YY19" s="1"/>
      <c r="YZ19" s="1"/>
      <c r="ZA19" s="1"/>
      <c r="ZB19" s="1"/>
      <c r="ZC19" s="1"/>
      <c r="ZD19" s="1"/>
      <c r="ZE19" s="1"/>
      <c r="ZF19" s="1"/>
      <c r="ZG19" s="1"/>
      <c r="ZH19" s="1"/>
      <c r="ZI19" s="1"/>
      <c r="ZJ19" s="1"/>
      <c r="ZK19" s="1"/>
      <c r="ZL19" s="1"/>
      <c r="ZM19" s="1"/>
      <c r="ZN19" s="1"/>
      <c r="ZO19" s="1"/>
      <c r="ZP19" s="1"/>
      <c r="ZQ19" s="1"/>
      <c r="ZR19" s="1"/>
      <c r="ZS19" s="1"/>
      <c r="ZT19" s="1"/>
      <c r="ZU19" s="1"/>
      <c r="ZV19" s="1"/>
      <c r="ZW19" s="1"/>
      <c r="ZX19" s="1"/>
      <c r="ZY19" s="1"/>
      <c r="ZZ19" s="1"/>
      <c r="AAA19" s="1"/>
      <c r="AAB19" s="1"/>
      <c r="AAC19" s="1"/>
      <c r="AAD19" s="1"/>
      <c r="AAE19" s="1"/>
      <c r="AAF19" s="1"/>
      <c r="AAG19" s="1"/>
      <c r="AAH19" s="1"/>
      <c r="AAI19" s="1"/>
      <c r="AAJ19" s="1"/>
      <c r="AAK19" s="1"/>
      <c r="AAL19" s="1"/>
      <c r="AAM19" s="1"/>
      <c r="AAN19" s="1"/>
      <c r="AAO19" s="1"/>
      <c r="AAP19" s="1"/>
      <c r="AAQ19" s="1"/>
      <c r="AAR19" s="1"/>
      <c r="AAS19" s="1"/>
      <c r="AAT19" s="1"/>
      <c r="AAU19" s="1"/>
      <c r="AAV19" s="1"/>
      <c r="AAW19" s="1"/>
      <c r="AAX19" s="1"/>
      <c r="AAY19" s="1"/>
      <c r="AAZ19" s="1"/>
      <c r="ABA19" s="1"/>
      <c r="ABB19" s="1"/>
      <c r="ABC19" s="1"/>
      <c r="ABD19" s="1"/>
      <c r="ABE19" s="1"/>
      <c r="ABF19" s="1"/>
      <c r="ABG19" s="1"/>
      <c r="ABH19" s="1"/>
      <c r="ABI19" s="1"/>
      <c r="ABJ19" s="1"/>
      <c r="ABK19" s="1"/>
      <c r="ABL19" s="1"/>
      <c r="ABM19" s="1"/>
      <c r="ABN19" s="1"/>
      <c r="ABO19" s="1"/>
      <c r="ABP19" s="1"/>
      <c r="ABQ19" s="1"/>
      <c r="ABR19" s="1"/>
      <c r="ABS19" s="1"/>
      <c r="ABT19" s="1"/>
      <c r="ABU19" s="1"/>
      <c r="ABV19" s="1"/>
      <c r="ABW19" s="1"/>
      <c r="ABX19" s="1"/>
      <c r="ABY19" s="1"/>
      <c r="ABZ19" s="1"/>
      <c r="ACA19" s="1"/>
      <c r="ACB19" s="1"/>
      <c r="ACC19" s="1"/>
      <c r="ACD19" s="1"/>
      <c r="ACE19" s="1"/>
      <c r="ACF19" s="1"/>
      <c r="ACG19" s="1"/>
      <c r="ACH19" s="1"/>
      <c r="ACI19" s="1"/>
      <c r="ACJ19" s="1"/>
      <c r="ACK19" s="1"/>
      <c r="ACL19" s="1"/>
      <c r="ACM19" s="1"/>
      <c r="ACN19" s="1"/>
      <c r="ACO19" s="1"/>
      <c r="ACP19" s="1"/>
      <c r="ACQ19" s="1"/>
      <c r="ACR19" s="1"/>
      <c r="ACS19" s="1"/>
      <c r="ACT19" s="1"/>
      <c r="ACU19" s="1"/>
      <c r="ACV19" s="1"/>
      <c r="ACW19" s="1"/>
      <c r="ACX19" s="1"/>
      <c r="ACY19" s="1"/>
      <c r="ACZ19" s="1"/>
      <c r="ADA19" s="1"/>
      <c r="ADB19" s="1"/>
      <c r="ADC19" s="1"/>
      <c r="ADD19" s="1"/>
      <c r="ADE19" s="1"/>
      <c r="ADF19" s="1"/>
      <c r="ADG19" s="1"/>
      <c r="ADH19" s="1"/>
      <c r="ADI19" s="1"/>
      <c r="ADJ19" s="1"/>
      <c r="ADK19" s="1"/>
      <c r="ADL19" s="1"/>
      <c r="ADM19" s="1"/>
      <c r="ADN19" s="1"/>
      <c r="ADO19" s="1"/>
      <c r="ADP19" s="1"/>
      <c r="ADQ19" s="1"/>
      <c r="ADR19" s="1"/>
      <c r="ADS19" s="1"/>
      <c r="ADT19" s="1"/>
      <c r="ADU19" s="1"/>
      <c r="ADV19" s="1"/>
      <c r="ADW19" s="1"/>
      <c r="ADX19" s="1"/>
      <c r="ADY19" s="1"/>
      <c r="ADZ19" s="1"/>
      <c r="AEA19" s="1"/>
      <c r="AEB19" s="1"/>
      <c r="AEC19" s="1"/>
      <c r="AED19" s="1"/>
      <c r="AEE19" s="1"/>
      <c r="AEF19" s="1"/>
      <c r="AEG19" s="1"/>
      <c r="AEH19" s="1"/>
      <c r="AEI19" s="1"/>
      <c r="AEJ19" s="1"/>
      <c r="AEK19" s="1"/>
      <c r="AEL19" s="1"/>
      <c r="AEM19" s="1"/>
      <c r="AEN19" s="1"/>
      <c r="AEO19" s="1"/>
      <c r="AEP19" s="1"/>
      <c r="AEQ19" s="1"/>
      <c r="AER19" s="1"/>
      <c r="AES19" s="1"/>
      <c r="AET19" s="1"/>
      <c r="AEU19" s="1"/>
      <c r="AEV19" s="1"/>
      <c r="AEW19" s="1"/>
      <c r="AEX19" s="1"/>
      <c r="AEY19" s="1"/>
      <c r="AEZ19" s="1"/>
      <c r="AFA19" s="1"/>
      <c r="AFB19" s="1"/>
      <c r="AFC19" s="1"/>
      <c r="AFD19" s="1"/>
      <c r="AFE19" s="1"/>
      <c r="AFF19" s="1"/>
      <c r="AFG19" s="1"/>
      <c r="AFH19" s="1"/>
      <c r="AFI19" s="1"/>
      <c r="AFJ19" s="1"/>
      <c r="AFK19" s="1"/>
      <c r="AFL19" s="1"/>
      <c r="AFM19" s="1"/>
      <c r="AFN19" s="1"/>
      <c r="AFO19" s="1"/>
      <c r="AFP19" s="1"/>
      <c r="AFQ19" s="1"/>
      <c r="AFR19" s="1"/>
      <c r="AFS19" s="1"/>
      <c r="AFT19" s="1"/>
      <c r="AFU19" s="1"/>
      <c r="AFV19" s="1"/>
      <c r="AFW19" s="1"/>
      <c r="AFX19" s="1"/>
      <c r="AFY19" s="1"/>
      <c r="AFZ19" s="1"/>
      <c r="AGA19" s="1"/>
      <c r="AGB19" s="1"/>
      <c r="AGC19" s="1"/>
      <c r="AGD19" s="1"/>
      <c r="AGE19" s="1"/>
      <c r="AGF19" s="1"/>
      <c r="AGG19" s="1"/>
      <c r="AGH19" s="1"/>
      <c r="AGI19" s="1"/>
      <c r="AGJ19" s="1"/>
      <c r="AGK19" s="1"/>
      <c r="AGL19" s="1"/>
      <c r="AGM19" s="1"/>
      <c r="AGN19" s="1"/>
      <c r="AGO19" s="1"/>
      <c r="AGP19" s="1"/>
      <c r="AGQ19" s="1"/>
      <c r="AGR19" s="1"/>
      <c r="AGS19" s="1"/>
      <c r="AGT19" s="1"/>
      <c r="AGU19" s="1"/>
      <c r="AGV19" s="1"/>
      <c r="AGW19" s="1"/>
      <c r="AGX19" s="1"/>
      <c r="AGY19" s="1"/>
      <c r="AGZ19" s="1"/>
      <c r="AHA19" s="1"/>
      <c r="AHB19" s="1"/>
      <c r="AHC19" s="1"/>
      <c r="AHD19" s="1"/>
      <c r="AHE19" s="1"/>
      <c r="AHF19" s="1"/>
      <c r="AHG19" s="1"/>
      <c r="AHH19" s="1"/>
      <c r="AHI19" s="1"/>
      <c r="AHJ19" s="1"/>
      <c r="AHK19" s="1"/>
      <c r="AHL19" s="1"/>
      <c r="AHM19" s="1"/>
      <c r="AHN19" s="1"/>
      <c r="AHO19" s="1"/>
      <c r="AHP19" s="1"/>
      <c r="AHQ19" s="1"/>
      <c r="AHR19" s="1"/>
      <c r="AHS19" s="1"/>
      <c r="AHT19" s="1"/>
      <c r="AHU19" s="1"/>
      <c r="AHV19" s="1"/>
      <c r="AHW19" s="1"/>
      <c r="AHX19" s="1"/>
      <c r="AHY19" s="1"/>
      <c r="AHZ19" s="1"/>
      <c r="AIA19" s="1"/>
      <c r="AIB19" s="1"/>
      <c r="AIC19" s="1"/>
      <c r="AID19" s="1"/>
      <c r="AIE19" s="1"/>
      <c r="AIF19" s="1"/>
      <c r="AIG19" s="1"/>
      <c r="AIH19" s="1"/>
      <c r="AII19" s="1"/>
      <c r="AIJ19" s="1"/>
      <c r="AIK19" s="1"/>
      <c r="AIL19" s="1"/>
      <c r="AIM19" s="1"/>
      <c r="AIN19" s="1"/>
      <c r="AIO19" s="1"/>
      <c r="AIP19" s="1"/>
      <c r="AIQ19" s="1"/>
      <c r="AIR19" s="1"/>
      <c r="AIS19" s="1"/>
      <c r="AIT19" s="1"/>
      <c r="AIU19" s="1"/>
      <c r="AIV19" s="1"/>
      <c r="AIW19" s="1"/>
      <c r="AIX19" s="1"/>
      <c r="AIY19" s="1"/>
      <c r="AIZ19" s="1"/>
      <c r="AJA19" s="1"/>
      <c r="AJB19" s="1"/>
      <c r="AJC19" s="1"/>
      <c r="AJD19" s="1"/>
      <c r="AJE19" s="1"/>
      <c r="AJF19" s="1"/>
      <c r="AJG19" s="1"/>
      <c r="AJH19" s="1"/>
      <c r="AJI19" s="1"/>
      <c r="AJJ19" s="1"/>
      <c r="AJK19" s="1"/>
      <c r="AJL19" s="1"/>
      <c r="AJM19" s="1"/>
      <c r="AJN19" s="1"/>
      <c r="AJO19" s="1"/>
      <c r="AJP19" s="1"/>
      <c r="AJQ19" s="1"/>
      <c r="AJR19" s="1"/>
      <c r="AJS19" s="1"/>
      <c r="AJT19" s="1"/>
      <c r="AJU19" s="1"/>
      <c r="AJV19" s="1"/>
      <c r="AJW19" s="1"/>
      <c r="AJX19" s="1"/>
      <c r="AJY19" s="1"/>
      <c r="AJZ19" s="1"/>
      <c r="AKA19" s="1"/>
      <c r="AKB19" s="1"/>
      <c r="AKC19" s="1"/>
      <c r="AKD19" s="1"/>
      <c r="AKE19" s="1"/>
      <c r="AKF19" s="1"/>
      <c r="AKG19" s="1"/>
      <c r="AKH19" s="1"/>
      <c r="AKI19" s="1"/>
      <c r="AKJ19" s="1"/>
      <c r="AKK19" s="1"/>
      <c r="AKL19" s="1"/>
      <c r="AKM19" s="1"/>
      <c r="AKN19" s="1"/>
      <c r="AKO19" s="1"/>
      <c r="AKP19" s="1"/>
      <c r="AKQ19" s="1"/>
      <c r="AKR19" s="1"/>
      <c r="AKS19" s="1"/>
      <c r="AKT19" s="1"/>
      <c r="AKU19" s="1"/>
      <c r="AKV19" s="1"/>
      <c r="AKW19" s="1"/>
      <c r="AKX19" s="1"/>
      <c r="AKY19" s="1"/>
      <c r="AKZ19" s="1"/>
      <c r="ALA19" s="1"/>
      <c r="ALB19" s="1"/>
      <c r="ALC19" s="1"/>
      <c r="ALD19" s="1"/>
      <c r="ALE19" s="1"/>
      <c r="ALF19" s="1"/>
      <c r="ALG19" s="1"/>
      <c r="ALH19" s="1"/>
      <c r="ALI19" s="1"/>
      <c r="ALJ19" s="1"/>
      <c r="ALK19" s="1"/>
      <c r="ALL19" s="1"/>
      <c r="ALM19" s="1"/>
      <c r="ALN19" s="1"/>
      <c r="ALO19" s="1"/>
      <c r="ALP19" s="1"/>
      <c r="ALQ19" s="1"/>
      <c r="ALR19" s="1"/>
      <c r="ALS19" s="1"/>
      <c r="ALT19" s="1"/>
      <c r="ALU19" s="1"/>
      <c r="ALV19" s="1"/>
      <c r="ALW19" s="1"/>
      <c r="ALX19" s="1"/>
      <c r="ALY19" s="1"/>
      <c r="ALZ19" s="1"/>
      <c r="AMA19" s="1"/>
      <c r="AMB19" s="1"/>
      <c r="AMC19" s="1"/>
      <c r="AMD19" s="1"/>
      <c r="AME19" s="1"/>
      <c r="AMF19" s="1"/>
      <c r="AMG19" s="1"/>
      <c r="AMH19" s="1"/>
      <c r="AMI19" s="1"/>
      <c r="AMJ19" s="1"/>
      <c r="AMK19" s="1"/>
      <c r="AML19" s="1"/>
      <c r="AMM19" s="1"/>
      <c r="AMN19" s="1"/>
      <c r="AMO19" s="1"/>
      <c r="AMP19" s="1"/>
      <c r="AMQ19" s="1"/>
      <c r="AMR19" s="1"/>
      <c r="AMS19" s="1"/>
      <c r="AMT19" s="1"/>
      <c r="AMU19" s="1"/>
      <c r="AMV19" s="1"/>
      <c r="AMW19" s="1"/>
      <c r="AMX19" s="1"/>
      <c r="AMY19" s="1"/>
      <c r="AMZ19" s="1"/>
      <c r="ANA19" s="1"/>
      <c r="ANB19" s="1"/>
      <c r="ANC19" s="1"/>
      <c r="AND19" s="1"/>
      <c r="ANE19" s="1"/>
      <c r="ANF19" s="1"/>
      <c r="ANG19" s="1"/>
      <c r="ANH19" s="1"/>
      <c r="ANI19" s="1"/>
      <c r="ANJ19" s="1"/>
      <c r="ANK19" s="1"/>
      <c r="ANL19" s="1"/>
      <c r="ANM19" s="1"/>
      <c r="ANN19" s="1"/>
      <c r="ANO19" s="1"/>
      <c r="ANP19" s="1"/>
      <c r="ANQ19" s="1"/>
      <c r="ANR19" s="1"/>
      <c r="ANS19" s="1"/>
      <c r="ANT19" s="1"/>
      <c r="ANU19" s="1"/>
      <c r="ANV19" s="1"/>
      <c r="ANW19" s="1"/>
      <c r="ANX19" s="1"/>
      <c r="ANY19" s="1"/>
      <c r="ANZ19" s="1"/>
      <c r="AOA19" s="1"/>
      <c r="AOB19" s="1"/>
      <c r="AOC19" s="1"/>
      <c r="AOD19" s="1"/>
      <c r="AOE19" s="1"/>
      <c r="AOF19" s="1"/>
      <c r="AOG19" s="1"/>
      <c r="AOH19" s="1"/>
      <c r="AOI19" s="1"/>
      <c r="AOJ19" s="1"/>
      <c r="AOK19" s="1"/>
      <c r="AOL19" s="1"/>
      <c r="AOM19" s="1"/>
      <c r="AON19" s="1"/>
      <c r="AOO19" s="1"/>
      <c r="AOP19" s="1"/>
      <c r="AOQ19" s="1"/>
      <c r="AOR19" s="1"/>
      <c r="AOS19" s="1"/>
      <c r="AOT19" s="1"/>
      <c r="AOU19" s="1"/>
      <c r="AOV19" s="1"/>
      <c r="AOW19" s="1"/>
      <c r="AOX19" s="1"/>
      <c r="AOY19" s="1"/>
      <c r="AOZ19" s="1"/>
      <c r="APA19" s="1"/>
      <c r="APB19" s="1"/>
      <c r="APC19" s="1"/>
      <c r="APD19" s="1"/>
      <c r="APE19" s="1"/>
      <c r="APF19" s="1"/>
      <c r="APG19" s="1"/>
      <c r="APH19" s="1"/>
      <c r="API19" s="1"/>
      <c r="APJ19" s="1"/>
      <c r="APK19" s="1"/>
      <c r="APL19" s="1"/>
      <c r="APM19" s="1"/>
      <c r="APN19" s="1"/>
      <c r="APO19" s="1"/>
      <c r="APP19" s="1"/>
      <c r="APQ19" s="1"/>
      <c r="APR19" s="1"/>
      <c r="APS19" s="1"/>
      <c r="APT19" s="1"/>
      <c r="APU19" s="1"/>
      <c r="APV19" s="1"/>
      <c r="APW19" s="1"/>
      <c r="APX19" s="1"/>
      <c r="APY19" s="1"/>
      <c r="APZ19" s="1"/>
      <c r="AQA19" s="1"/>
      <c r="AQB19" s="1"/>
      <c r="AQC19" s="1"/>
      <c r="AQD19" s="1"/>
      <c r="AQE19" s="1"/>
      <c r="AQF19" s="1"/>
      <c r="AQG19" s="1"/>
      <c r="AQH19" s="1"/>
      <c r="AQI19" s="1"/>
      <c r="AQJ19" s="1"/>
      <c r="AQK19" s="1"/>
      <c r="AQL19" s="1"/>
      <c r="AQM19" s="1"/>
      <c r="AQN19" s="1"/>
      <c r="AQO19" s="1"/>
      <c r="AQP19" s="1"/>
      <c r="AQQ19" s="1"/>
      <c r="AQR19" s="1"/>
      <c r="AQS19" s="1"/>
      <c r="AQT19" s="1"/>
      <c r="AQU19" s="1"/>
      <c r="AQV19" s="1"/>
      <c r="AQW19" s="1"/>
      <c r="AQX19" s="1"/>
      <c r="AQY19" s="1"/>
      <c r="AQZ19" s="1"/>
      <c r="ARA19" s="1"/>
      <c r="ARB19" s="1"/>
      <c r="ARC19" s="1"/>
      <c r="ARD19" s="1"/>
      <c r="ARE19" s="1"/>
      <c r="ARF19" s="1"/>
      <c r="ARG19" s="1"/>
      <c r="ARH19" s="1"/>
      <c r="ARI19" s="1"/>
      <c r="ARJ19" s="1"/>
      <c r="ARK19" s="1"/>
      <c r="ARL19" s="1"/>
      <c r="ARM19" s="1"/>
      <c r="ARN19" s="1"/>
      <c r="ARO19" s="1"/>
      <c r="ARP19" s="1"/>
      <c r="ARQ19" s="1"/>
      <c r="ARR19" s="1"/>
      <c r="ARS19" s="1"/>
      <c r="ART19" s="1"/>
      <c r="ARU19" s="1"/>
      <c r="ARV19" s="1"/>
      <c r="ARW19" s="1"/>
      <c r="ARX19" s="1"/>
      <c r="ARY19" s="1"/>
      <c r="ARZ19" s="1"/>
      <c r="ASA19" s="1"/>
      <c r="ASB19" s="1"/>
      <c r="ASC19" s="1"/>
      <c r="ASD19" s="1"/>
      <c r="ASE19" s="1"/>
      <c r="ASF19" s="1"/>
      <c r="ASG19" s="1"/>
      <c r="ASH19" s="1"/>
      <c r="ASI19" s="1"/>
      <c r="ASJ19" s="1"/>
      <c r="ASK19" s="1"/>
      <c r="ASL19" s="1"/>
      <c r="ASM19" s="1"/>
      <c r="ASN19" s="1"/>
      <c r="ASO19" s="1"/>
      <c r="ASP19" s="1"/>
      <c r="ASQ19" s="1"/>
      <c r="ASR19" s="1"/>
      <c r="ASS19" s="1"/>
      <c r="AST19" s="1"/>
      <c r="ASU19" s="1"/>
      <c r="ASV19" s="1"/>
      <c r="ASW19" s="1"/>
      <c r="ASX19" s="1"/>
      <c r="ASY19" s="1"/>
      <c r="ASZ19" s="1"/>
      <c r="ATA19" s="1"/>
      <c r="ATB19" s="1"/>
      <c r="ATC19" s="1"/>
      <c r="ATD19" s="1"/>
      <c r="ATE19" s="1"/>
      <c r="ATF19" s="1"/>
      <c r="ATG19" s="1"/>
      <c r="ATH19" s="1"/>
      <c r="ATI19" s="1"/>
      <c r="ATJ19" s="1"/>
      <c r="ATK19" s="1"/>
      <c r="ATL19" s="1"/>
      <c r="ATM19" s="1"/>
      <c r="ATN19" s="1"/>
      <c r="ATO19" s="1"/>
      <c r="ATP19" s="1"/>
      <c r="ATQ19" s="1"/>
      <c r="ATR19" s="1"/>
      <c r="ATS19" s="1"/>
      <c r="ATT19" s="1"/>
      <c r="ATU19" s="1"/>
      <c r="ATV19" s="1"/>
      <c r="ATW19" s="1"/>
      <c r="ATX19" s="1"/>
      <c r="ATY19" s="1"/>
      <c r="ATZ19" s="1"/>
      <c r="AUA19" s="1"/>
      <c r="AUB19" s="1"/>
      <c r="AUC19" s="1"/>
      <c r="AUD19" s="1"/>
      <c r="AUE19" s="1"/>
      <c r="AUF19" s="1"/>
      <c r="AUG19" s="1"/>
      <c r="AUH19" s="1"/>
      <c r="AUI19" s="1"/>
      <c r="AUJ19" s="1"/>
      <c r="AUK19" s="1"/>
      <c r="AUL19" s="1"/>
      <c r="AUM19" s="1"/>
      <c r="AUN19" s="1"/>
      <c r="AUO19" s="1"/>
      <c r="AUP19" s="1"/>
      <c r="AUQ19" s="1"/>
      <c r="AUR19" s="1"/>
      <c r="AUS19" s="1"/>
      <c r="AUT19" s="1"/>
      <c r="AUU19" s="1"/>
      <c r="AUV19" s="1"/>
      <c r="AUW19" s="1"/>
      <c r="AUX19" s="1"/>
      <c r="AUY19" s="1"/>
      <c r="AUZ19" s="1"/>
      <c r="AVA19" s="1"/>
      <c r="AVB19" s="1"/>
      <c r="AVC19" s="1"/>
      <c r="AVD19" s="1"/>
      <c r="AVE19" s="1"/>
      <c r="AVF19" s="1"/>
      <c r="AVG19" s="1"/>
      <c r="AVH19" s="1"/>
      <c r="AVI19" s="1"/>
      <c r="AVJ19" s="1"/>
      <c r="AVK19" s="1"/>
      <c r="AVL19" s="1"/>
      <c r="AVM19" s="1"/>
      <c r="AVN19" s="1"/>
      <c r="AVO19" s="1"/>
      <c r="AVP19" s="1"/>
      <c r="AVQ19" s="1"/>
      <c r="AVR19" s="1"/>
      <c r="AVS19" s="1"/>
      <c r="AVT19" s="1"/>
      <c r="AVU19" s="1"/>
      <c r="AVV19" s="1"/>
      <c r="AVW19" s="1"/>
      <c r="AVX19" s="1"/>
      <c r="AVY19" s="1"/>
      <c r="AVZ19" s="1"/>
      <c r="AWA19" s="1"/>
      <c r="AWB19" s="1"/>
      <c r="AWC19" s="1"/>
      <c r="AWD19" s="1"/>
      <c r="AWE19" s="1"/>
      <c r="AWF19" s="1"/>
      <c r="AWG19" s="1"/>
      <c r="AWH19" s="1"/>
      <c r="AWI19" s="1"/>
      <c r="AWJ19" s="1"/>
      <c r="AWK19" s="1"/>
      <c r="AWL19" s="1"/>
      <c r="AWM19" s="1"/>
      <c r="AWN19" s="1"/>
      <c r="AWO19" s="1"/>
      <c r="AWP19" s="1"/>
      <c r="AWQ19" s="1"/>
      <c r="AWR19" s="1"/>
      <c r="AWS19" s="1"/>
      <c r="AWT19" s="1"/>
      <c r="AWU19" s="1"/>
      <c r="AWV19" s="1"/>
      <c r="AWW19" s="1"/>
      <c r="AWX19" s="1"/>
      <c r="AWY19" s="1"/>
      <c r="AWZ19" s="1"/>
      <c r="AXA19" s="1"/>
      <c r="AXB19" s="1"/>
      <c r="AXC19" s="1"/>
      <c r="AXD19" s="1"/>
      <c r="AXE19" s="1"/>
      <c r="AXF19" s="1"/>
      <c r="AXG19" s="1"/>
      <c r="AXH19" s="1"/>
      <c r="AXI19" s="1"/>
      <c r="AXJ19" s="1"/>
      <c r="AXK19" s="1"/>
      <c r="AXL19" s="1"/>
      <c r="AXM19" s="1"/>
      <c r="AXN19" s="1"/>
      <c r="AXO19" s="1"/>
      <c r="AXP19" s="1"/>
      <c r="AXQ19" s="1"/>
      <c r="AXR19" s="1"/>
      <c r="AXS19" s="1"/>
      <c r="AXT19" s="1"/>
      <c r="AXU19" s="1"/>
      <c r="AXV19" s="1"/>
      <c r="AXW19" s="1"/>
      <c r="AXX19" s="1"/>
      <c r="AXY19" s="1"/>
      <c r="AXZ19" s="1"/>
      <c r="AYA19" s="1"/>
      <c r="AYB19" s="1"/>
      <c r="AYC19" s="1"/>
      <c r="AYD19" s="1"/>
      <c r="AYE19" s="1"/>
      <c r="AYF19" s="1"/>
      <c r="AYG19" s="1"/>
      <c r="AYH19" s="1"/>
      <c r="AYI19" s="1"/>
      <c r="AYJ19" s="1"/>
      <c r="AYK19" s="1"/>
      <c r="AYL19" s="1"/>
      <c r="AYM19" s="1"/>
      <c r="AYN19" s="1"/>
      <c r="AYO19" s="1"/>
      <c r="AYP19" s="1"/>
      <c r="AYQ19" s="1"/>
      <c r="AYR19" s="1"/>
      <c r="AYS19" s="1"/>
      <c r="AYT19" s="1"/>
      <c r="AYU19" s="1"/>
      <c r="AYV19" s="1"/>
      <c r="AYW19" s="1"/>
      <c r="AYX19" s="1"/>
      <c r="AYY19" s="1"/>
      <c r="AYZ19" s="1"/>
      <c r="AZA19" s="1"/>
      <c r="AZB19" s="1"/>
      <c r="AZC19" s="1"/>
      <c r="AZD19" s="1"/>
      <c r="AZE19" s="1"/>
      <c r="AZF19" s="1"/>
      <c r="AZG19" s="1"/>
      <c r="AZH19" s="1"/>
      <c r="AZI19" s="1"/>
      <c r="AZJ19" s="1"/>
      <c r="AZK19" s="1"/>
      <c r="AZL19" s="1"/>
      <c r="AZM19" s="1"/>
      <c r="AZN19" s="1"/>
      <c r="AZO19" s="1"/>
      <c r="AZP19" s="1"/>
      <c r="AZQ19" s="1"/>
      <c r="AZR19" s="1"/>
      <c r="AZS19" s="1"/>
      <c r="AZT19" s="1"/>
      <c r="AZU19" s="1"/>
      <c r="AZV19" s="1"/>
      <c r="AZW19" s="1"/>
      <c r="AZX19" s="1"/>
      <c r="AZY19" s="1"/>
      <c r="AZZ19" s="1"/>
      <c r="BAA19" s="1"/>
      <c r="BAB19" s="1"/>
      <c r="BAC19" s="1"/>
      <c r="BAD19" s="1"/>
      <c r="BAE19" s="1"/>
      <c r="BAF19" s="1"/>
      <c r="BAG19" s="1"/>
      <c r="BAH19" s="1"/>
      <c r="BAI19" s="1"/>
      <c r="BAJ19" s="1"/>
      <c r="BAK19" s="1"/>
      <c r="BAL19" s="1"/>
      <c r="BAM19" s="1"/>
      <c r="BAN19" s="1"/>
      <c r="BAO19" s="1"/>
      <c r="BAP19" s="1"/>
      <c r="BAQ19" s="1"/>
      <c r="BAR19" s="1"/>
      <c r="BAS19" s="1"/>
      <c r="BAT19" s="1"/>
      <c r="BAU19" s="1"/>
      <c r="BAV19" s="1"/>
      <c r="BAW19" s="1"/>
      <c r="BAX19" s="1"/>
      <c r="BAY19" s="1"/>
      <c r="BAZ19" s="1"/>
      <c r="BBA19" s="1"/>
      <c r="BBB19" s="1"/>
      <c r="BBC19" s="1"/>
      <c r="BBD19" s="1"/>
      <c r="BBE19" s="1"/>
      <c r="BBF19" s="1"/>
      <c r="BBG19" s="1"/>
      <c r="BBH19" s="1"/>
      <c r="BBI19" s="1"/>
      <c r="BBJ19" s="1"/>
      <c r="BBK19" s="1"/>
      <c r="BBL19" s="1"/>
      <c r="BBM19" s="1"/>
      <c r="BBN19" s="1"/>
      <c r="BBO19" s="1"/>
      <c r="BBP19" s="1"/>
      <c r="BBQ19" s="1"/>
      <c r="BBR19" s="1"/>
      <c r="BBS19" s="1"/>
      <c r="BBT19" s="1"/>
      <c r="BBU19" s="1"/>
      <c r="BBV19" s="1"/>
      <c r="BBW19" s="1"/>
      <c r="BBX19" s="1"/>
      <c r="BBY19" s="1"/>
      <c r="BBZ19" s="1"/>
      <c r="BCA19" s="1"/>
      <c r="BCB19" s="1"/>
      <c r="BCC19" s="1"/>
      <c r="BCD19" s="1"/>
      <c r="BCE19" s="1"/>
      <c r="BCF19" s="1"/>
      <c r="BCG19" s="1"/>
      <c r="BCH19" s="1"/>
      <c r="BCI19" s="1"/>
      <c r="BCJ19" s="1"/>
      <c r="BCK19" s="1"/>
      <c r="BCL19" s="1"/>
      <c r="BCM19" s="1"/>
      <c r="BCN19" s="1"/>
      <c r="BCO19" s="1"/>
      <c r="BCP19" s="1"/>
      <c r="BCQ19" s="1"/>
      <c r="BCR19" s="1"/>
      <c r="BCS19" s="1"/>
      <c r="BCT19" s="1"/>
      <c r="BCU19" s="1"/>
      <c r="BCV19" s="1"/>
      <c r="BCW19" s="1"/>
      <c r="BCX19" s="1"/>
      <c r="BCY19" s="1"/>
      <c r="BCZ19" s="1"/>
      <c r="BDA19" s="1"/>
      <c r="BDB19" s="1"/>
      <c r="BDC19" s="1"/>
      <c r="BDD19" s="1"/>
      <c r="BDE19" s="1"/>
      <c r="BDF19" s="1"/>
      <c r="BDG19" s="1"/>
      <c r="BDH19" s="1"/>
      <c r="BDI19" s="1"/>
      <c r="BDJ19" s="1"/>
      <c r="BDK19" s="1"/>
      <c r="BDL19" s="1"/>
      <c r="BDM19" s="1"/>
      <c r="BDN19" s="1"/>
      <c r="BDO19" s="1"/>
      <c r="BDP19" s="1"/>
      <c r="BDQ19" s="1"/>
      <c r="BDR19" s="1"/>
      <c r="BDS19" s="1"/>
      <c r="BDT19" s="1"/>
      <c r="BDU19" s="1"/>
      <c r="BDV19" s="1"/>
      <c r="BDW19" s="1"/>
      <c r="BDX19" s="1"/>
      <c r="BDY19" s="1"/>
      <c r="BDZ19" s="1"/>
      <c r="BEA19" s="1"/>
      <c r="BEB19" s="1"/>
      <c r="BEC19" s="1"/>
      <c r="BED19" s="1"/>
      <c r="BEE19" s="1"/>
      <c r="BEF19" s="1"/>
      <c r="BEG19" s="1"/>
      <c r="BEH19" s="1"/>
      <c r="BEI19" s="1"/>
      <c r="BEJ19" s="1"/>
      <c r="BEK19" s="1"/>
      <c r="BEL19" s="1"/>
      <c r="BEM19" s="1"/>
      <c r="BEN19" s="1"/>
      <c r="BEO19" s="1"/>
      <c r="BEP19" s="1"/>
      <c r="BEQ19" s="1"/>
      <c r="BER19" s="1"/>
      <c r="BES19" s="1"/>
      <c r="BET19" s="1"/>
      <c r="BEU19" s="1"/>
      <c r="BEV19" s="1"/>
      <c r="BEW19" s="1"/>
      <c r="BEX19" s="1"/>
      <c r="BEY19" s="1"/>
      <c r="BEZ19" s="1"/>
      <c r="BFA19" s="1"/>
      <c r="BFB19" s="1"/>
      <c r="BFC19" s="1"/>
      <c r="BFD19" s="1"/>
      <c r="BFE19" s="1"/>
      <c r="BFF19" s="1"/>
      <c r="BFG19" s="1"/>
      <c r="BFH19" s="1"/>
      <c r="BFI19" s="1"/>
      <c r="BFJ19" s="1"/>
      <c r="BFK19" s="1"/>
      <c r="BFL19" s="1"/>
      <c r="BFM19" s="1"/>
      <c r="BFN19" s="1"/>
      <c r="BFO19" s="1"/>
      <c r="BFP19" s="1"/>
      <c r="BFQ19" s="1"/>
      <c r="BFR19" s="1"/>
      <c r="BFS19" s="1"/>
      <c r="BFT19" s="1"/>
      <c r="BFU19" s="1"/>
      <c r="BFV19" s="1"/>
      <c r="BFW19" s="1"/>
      <c r="BFX19" s="1"/>
      <c r="BFY19" s="1"/>
      <c r="BFZ19" s="1"/>
      <c r="BGA19" s="1"/>
      <c r="BGB19" s="1"/>
      <c r="BGC19" s="1"/>
      <c r="BGD19" s="1"/>
      <c r="BGE19" s="1"/>
      <c r="BGF19" s="1"/>
      <c r="BGG19" s="1"/>
      <c r="BGH19" s="1"/>
      <c r="BGI19" s="1"/>
      <c r="BGJ19" s="1"/>
      <c r="BGK19" s="1"/>
      <c r="BGL19" s="1"/>
      <c r="BGM19" s="1"/>
      <c r="BGN19" s="1"/>
      <c r="BGO19" s="1"/>
      <c r="BGP19" s="1"/>
      <c r="BGQ19" s="1"/>
      <c r="BGR19" s="1"/>
      <c r="BGS19" s="1"/>
      <c r="BGT19" s="1"/>
      <c r="BGU19" s="1"/>
      <c r="BGV19" s="1"/>
      <c r="BGW19" s="1"/>
      <c r="BGX19" s="1"/>
      <c r="BGY19" s="1"/>
      <c r="BGZ19" s="1"/>
      <c r="BHA19" s="1"/>
      <c r="BHB19" s="1"/>
      <c r="BHC19" s="1"/>
      <c r="BHD19" s="1"/>
      <c r="BHE19" s="1"/>
      <c r="BHF19" s="1"/>
      <c r="BHG19" s="1"/>
      <c r="BHH19" s="1"/>
      <c r="BHI19" s="1"/>
      <c r="BHJ19" s="1"/>
      <c r="BHK19" s="1"/>
      <c r="BHL19" s="1"/>
      <c r="BHM19" s="1"/>
      <c r="BHN19" s="1"/>
      <c r="BHO19" s="1"/>
      <c r="BHP19" s="1"/>
      <c r="BHQ19" s="1"/>
      <c r="BHR19" s="1"/>
      <c r="BHS19" s="1"/>
      <c r="BHT19" s="1"/>
      <c r="BHU19" s="1"/>
      <c r="BHV19" s="1"/>
      <c r="BHW19" s="1"/>
      <c r="BHX19" s="1"/>
      <c r="BHY19" s="1"/>
      <c r="BHZ19" s="1"/>
      <c r="BIA19" s="1"/>
      <c r="BIB19" s="1"/>
      <c r="BIC19" s="1"/>
      <c r="BID19" s="1"/>
      <c r="BIE19" s="1"/>
      <c r="BIF19" s="1"/>
      <c r="BIG19" s="1"/>
      <c r="BIH19" s="1"/>
      <c r="BII19" s="1"/>
      <c r="BIJ19" s="1"/>
      <c r="BIK19" s="1"/>
      <c r="BIL19" s="1"/>
      <c r="BIM19" s="1"/>
      <c r="BIN19" s="1"/>
      <c r="BIO19" s="1"/>
      <c r="BIP19" s="1"/>
      <c r="BIQ19" s="1"/>
      <c r="BIR19" s="1"/>
      <c r="BIS19" s="1"/>
      <c r="BIT19" s="1"/>
      <c r="BIU19" s="1"/>
      <c r="BIV19" s="1"/>
      <c r="BIW19" s="1"/>
      <c r="BIX19" s="1"/>
      <c r="BIY19" s="1"/>
      <c r="BIZ19" s="1"/>
      <c r="BJA19" s="1"/>
      <c r="BJB19" s="1"/>
      <c r="BJC19" s="1"/>
      <c r="BJD19" s="1"/>
      <c r="BJE19" s="1"/>
      <c r="BJF19" s="1"/>
      <c r="BJG19" s="1"/>
      <c r="BJH19" s="1"/>
      <c r="BJI19" s="1"/>
      <c r="BJJ19" s="1"/>
      <c r="BJK19" s="1"/>
      <c r="BJL19" s="1"/>
      <c r="BJM19" s="1"/>
      <c r="BJN19" s="1"/>
      <c r="BJO19" s="1"/>
      <c r="BJP19" s="1"/>
      <c r="BJQ19" s="1"/>
      <c r="BJR19" s="1"/>
      <c r="BJS19" s="1"/>
      <c r="BJT19" s="1"/>
      <c r="BJU19" s="1"/>
      <c r="BJV19" s="1"/>
      <c r="BJW19" s="1"/>
      <c r="BJX19" s="1"/>
      <c r="BJY19" s="1"/>
      <c r="BJZ19" s="1"/>
      <c r="BKA19" s="1"/>
      <c r="BKB19" s="1"/>
      <c r="BKC19" s="1"/>
      <c r="BKD19" s="1"/>
      <c r="BKE19" s="1"/>
      <c r="BKF19" s="1"/>
      <c r="BKG19" s="1"/>
      <c r="BKH19" s="1"/>
      <c r="BKI19" s="1"/>
      <c r="BKJ19" s="1"/>
      <c r="BKK19" s="1"/>
      <c r="BKL19" s="1"/>
      <c r="BKM19" s="1"/>
      <c r="BKN19" s="1"/>
      <c r="BKO19" s="1"/>
      <c r="BKP19" s="1"/>
      <c r="BKQ19" s="1"/>
      <c r="BKR19" s="1"/>
      <c r="BKS19" s="1"/>
      <c r="BKT19" s="1"/>
      <c r="BKU19" s="1"/>
      <c r="BKV19" s="1"/>
      <c r="BKW19" s="1"/>
      <c r="BKX19" s="1"/>
      <c r="BKY19" s="1"/>
      <c r="BKZ19" s="1"/>
      <c r="BLA19" s="1"/>
      <c r="BLB19" s="1"/>
      <c r="BLC19" s="1"/>
      <c r="BLD19" s="1"/>
      <c r="BLE19" s="1"/>
      <c r="BLF19" s="1"/>
      <c r="BLG19" s="1"/>
      <c r="BLH19" s="1"/>
      <c r="BLI19" s="1"/>
      <c r="BLJ19" s="1"/>
      <c r="BLK19" s="1"/>
      <c r="BLL19" s="1"/>
      <c r="BLM19" s="1"/>
      <c r="BLN19" s="1"/>
      <c r="BLO19" s="1"/>
      <c r="BLP19" s="1"/>
      <c r="BLQ19" s="1"/>
      <c r="BLR19" s="1"/>
      <c r="BLS19" s="1"/>
      <c r="BLT19" s="1"/>
      <c r="BLU19" s="1"/>
      <c r="BLV19" s="1"/>
      <c r="BLW19" s="1"/>
      <c r="BLX19" s="1"/>
      <c r="BLY19" s="1"/>
      <c r="BLZ19" s="1"/>
      <c r="BMA19" s="1"/>
      <c r="BMB19" s="1"/>
      <c r="BMC19" s="1"/>
      <c r="BMD19" s="1"/>
      <c r="BME19" s="1"/>
      <c r="BMF19" s="1"/>
      <c r="BMG19" s="1"/>
      <c r="BMH19" s="1"/>
      <c r="BMI19" s="1"/>
      <c r="BMJ19" s="1"/>
      <c r="BMK19" s="1"/>
      <c r="BML19" s="1"/>
      <c r="BMM19" s="1"/>
      <c r="BMN19" s="1"/>
      <c r="BMO19" s="1"/>
      <c r="BMP19" s="1"/>
      <c r="BMQ19" s="1"/>
      <c r="BMR19" s="1"/>
      <c r="BMS19" s="1"/>
      <c r="BMT19" s="1"/>
      <c r="BMU19" s="1"/>
      <c r="BMV19" s="1"/>
      <c r="BMW19" s="1"/>
      <c r="BMX19" s="1"/>
      <c r="BMY19" s="1"/>
      <c r="BMZ19" s="1"/>
      <c r="BNA19" s="1"/>
      <c r="BNB19" s="1"/>
      <c r="BNC19" s="1"/>
      <c r="BND19" s="1"/>
      <c r="BNE19" s="1"/>
      <c r="BNF19" s="1"/>
      <c r="BNG19" s="1"/>
      <c r="BNH19" s="1"/>
      <c r="BNI19" s="1"/>
      <c r="BNJ19" s="1"/>
      <c r="BNK19" s="1"/>
      <c r="BNL19" s="1"/>
      <c r="BNM19" s="1"/>
      <c r="BNN19" s="1"/>
      <c r="BNO19" s="1"/>
      <c r="BNP19" s="1"/>
      <c r="BNQ19" s="1"/>
      <c r="BNR19" s="1"/>
      <c r="BNS19" s="1"/>
      <c r="BNT19" s="1"/>
      <c r="BNU19" s="1"/>
      <c r="BNV19" s="1"/>
      <c r="BNW19" s="1"/>
      <c r="BNX19" s="1"/>
      <c r="BNY19" s="1"/>
      <c r="BNZ19" s="1"/>
      <c r="BOA19" s="1"/>
      <c r="BOB19" s="1"/>
      <c r="BOC19" s="1"/>
      <c r="BOD19" s="1"/>
      <c r="BOE19" s="1"/>
      <c r="BOF19" s="1"/>
      <c r="BOG19" s="1"/>
      <c r="BOH19" s="1"/>
      <c r="BOI19" s="1"/>
      <c r="BOJ19" s="1"/>
      <c r="BOK19" s="1"/>
      <c r="BOL19" s="1"/>
      <c r="BOM19" s="1"/>
      <c r="BON19" s="1"/>
      <c r="BOO19" s="1"/>
      <c r="BOP19" s="1"/>
      <c r="BOQ19" s="1"/>
      <c r="BOR19" s="1"/>
      <c r="BOS19" s="1"/>
      <c r="BOT19" s="1"/>
      <c r="BOU19" s="1"/>
      <c r="BOV19" s="1"/>
      <c r="BOW19" s="1"/>
      <c r="BOX19" s="1"/>
      <c r="BOY19" s="1"/>
      <c r="BOZ19" s="1"/>
      <c r="BPA19" s="1"/>
      <c r="BPB19" s="1"/>
      <c r="BPC19" s="1"/>
      <c r="BPD19" s="1"/>
      <c r="BPE19" s="1"/>
      <c r="BPF19" s="1"/>
      <c r="BPG19" s="1"/>
      <c r="BPH19" s="1"/>
      <c r="BPI19" s="1"/>
      <c r="BPJ19" s="1"/>
      <c r="BPK19" s="1"/>
      <c r="BPL19" s="1"/>
      <c r="BPM19" s="1"/>
      <c r="BPN19" s="1"/>
      <c r="BPO19" s="1"/>
      <c r="BPP19" s="1"/>
      <c r="BPQ19" s="1"/>
      <c r="BPR19" s="1"/>
      <c r="BPS19" s="1"/>
      <c r="BPT19" s="1"/>
      <c r="BPU19" s="1"/>
      <c r="BPV19" s="1"/>
      <c r="BPW19" s="1"/>
      <c r="BPX19" s="1"/>
      <c r="BPY19" s="1"/>
      <c r="BPZ19" s="1"/>
      <c r="BQA19" s="1"/>
      <c r="BQB19" s="1"/>
      <c r="BQC19" s="1"/>
      <c r="BQD19" s="1"/>
      <c r="BQE19" s="1"/>
      <c r="BQF19" s="1"/>
      <c r="BQG19" s="1"/>
      <c r="BQH19" s="1"/>
      <c r="BQI19" s="1"/>
      <c r="BQJ19" s="1"/>
      <c r="BQK19" s="1"/>
      <c r="BQL19" s="1"/>
      <c r="BQM19" s="1"/>
      <c r="BQN19" s="1"/>
      <c r="BQO19" s="1"/>
      <c r="BQP19" s="1"/>
      <c r="BQQ19" s="1"/>
      <c r="BQR19" s="1"/>
      <c r="BQS19" s="1"/>
      <c r="BQT19" s="1"/>
      <c r="BQU19" s="1"/>
      <c r="BQV19" s="1"/>
      <c r="BQW19" s="1"/>
      <c r="BQX19" s="1"/>
      <c r="BQY19" s="1"/>
      <c r="BQZ19" s="1"/>
      <c r="BRA19" s="1"/>
      <c r="BRB19" s="1"/>
      <c r="BRC19" s="1"/>
      <c r="BRD19" s="1"/>
      <c r="BRE19" s="1"/>
      <c r="BRF19" s="1"/>
      <c r="BRG19" s="1"/>
      <c r="BRH19" s="1"/>
      <c r="BRI19" s="1"/>
      <c r="BRJ19" s="1"/>
      <c r="BRK19" s="1"/>
      <c r="BRL19" s="1"/>
      <c r="BRM19" s="1"/>
      <c r="BRN19" s="1"/>
      <c r="BRO19" s="1"/>
      <c r="BRP19" s="1"/>
      <c r="BRQ19" s="1"/>
      <c r="BRR19" s="1"/>
      <c r="BRS19" s="1"/>
      <c r="BRT19" s="1"/>
      <c r="BRU19" s="1"/>
      <c r="BRV19" s="1"/>
      <c r="BRW19" s="1"/>
      <c r="BRX19" s="1"/>
      <c r="BRY19" s="1"/>
      <c r="BRZ19" s="1"/>
      <c r="BSA19" s="1"/>
      <c r="BSB19" s="1"/>
      <c r="BSC19" s="1"/>
      <c r="BSD19" s="1"/>
      <c r="BSE19" s="1"/>
      <c r="BSF19" s="1"/>
      <c r="BSG19" s="1"/>
      <c r="BSH19" s="1"/>
      <c r="BSI19" s="1"/>
      <c r="BSJ19" s="1"/>
      <c r="BSK19" s="1"/>
      <c r="BSL19" s="1"/>
      <c r="BSM19" s="1"/>
      <c r="BSN19" s="1"/>
      <c r="BSO19" s="1"/>
      <c r="BSP19" s="1"/>
      <c r="BSQ19" s="1"/>
      <c r="BSR19" s="1"/>
      <c r="BSS19" s="1"/>
      <c r="BST19" s="1"/>
      <c r="BSU19" s="1"/>
      <c r="BSV19" s="1"/>
      <c r="BSW19" s="1"/>
      <c r="BSX19" s="1"/>
      <c r="BSY19" s="1"/>
      <c r="BSZ19" s="1"/>
      <c r="BTA19" s="1"/>
      <c r="BTB19" s="1"/>
      <c r="BTC19" s="1"/>
      <c r="BTD19" s="1"/>
      <c r="BTE19" s="1"/>
      <c r="BTF19" s="1"/>
      <c r="BTG19" s="1"/>
      <c r="BTH19" s="1"/>
      <c r="BTI19" s="1"/>
      <c r="BTJ19" s="1"/>
      <c r="BTK19" s="1"/>
      <c r="BTL19" s="1"/>
      <c r="BTM19" s="1"/>
      <c r="BTN19" s="1"/>
      <c r="BTO19" s="1"/>
      <c r="BTP19" s="1"/>
      <c r="BTQ19" s="1"/>
      <c r="BTR19" s="1"/>
      <c r="BTS19" s="1"/>
      <c r="BTT19" s="1"/>
      <c r="BTU19" s="1"/>
      <c r="BTV19" s="1"/>
      <c r="BTW19" s="1"/>
      <c r="BTX19" s="1"/>
      <c r="BTY19" s="1"/>
      <c r="BTZ19" s="1"/>
      <c r="BUA19" s="1"/>
      <c r="BUB19" s="1"/>
      <c r="BUC19" s="1"/>
      <c r="BUD19" s="1"/>
      <c r="BUE19" s="1"/>
      <c r="BUF19" s="1"/>
      <c r="BUG19" s="1"/>
      <c r="BUH19" s="1"/>
      <c r="BUI19" s="1"/>
      <c r="BUJ19" s="1"/>
      <c r="BUK19" s="1"/>
      <c r="BUL19" s="1"/>
      <c r="BUM19" s="1"/>
      <c r="BUN19" s="1"/>
      <c r="BUO19" s="1"/>
      <c r="BUP19" s="1"/>
      <c r="BUQ19" s="1"/>
      <c r="BUR19" s="1"/>
      <c r="BUS19" s="1"/>
      <c r="BUT19" s="1"/>
      <c r="BUU19" s="1"/>
      <c r="BUV19" s="1"/>
      <c r="BUW19" s="1"/>
      <c r="BUX19" s="1"/>
      <c r="BUY19" s="1"/>
      <c r="BUZ19" s="1"/>
      <c r="BVA19" s="1"/>
      <c r="BVB19" s="1"/>
      <c r="BVC19" s="1"/>
      <c r="BVD19" s="1"/>
      <c r="BVE19" s="1"/>
      <c r="BVF19" s="1"/>
      <c r="BVG19" s="1"/>
      <c r="BVH19" s="1"/>
      <c r="BVI19" s="1"/>
      <c r="BVJ19" s="1"/>
      <c r="BVK19" s="1"/>
      <c r="BVL19" s="1"/>
      <c r="BVM19" s="1"/>
      <c r="BVN19" s="1"/>
      <c r="BVO19" s="1"/>
      <c r="BVP19" s="1"/>
      <c r="BVQ19" s="1"/>
      <c r="BVR19" s="1"/>
      <c r="BVS19" s="1"/>
      <c r="BVT19" s="1"/>
      <c r="BVU19" s="1"/>
      <c r="BVV19" s="1"/>
      <c r="BVW19" s="1"/>
      <c r="BVX19" s="1"/>
      <c r="BVY19" s="1"/>
      <c r="BVZ19" s="1"/>
      <c r="BWA19" s="1"/>
      <c r="BWB19" s="1"/>
      <c r="BWC19" s="1"/>
      <c r="BWD19" s="1"/>
      <c r="BWE19" s="1"/>
      <c r="BWF19" s="1"/>
      <c r="BWG19" s="1"/>
      <c r="BWH19" s="1"/>
      <c r="BWI19" s="1"/>
      <c r="BWJ19" s="1"/>
      <c r="BWK19" s="1"/>
      <c r="BWL19" s="1"/>
      <c r="BWM19" s="1"/>
      <c r="BWN19" s="1"/>
      <c r="BWO19" s="1"/>
      <c r="BWP19" s="1"/>
      <c r="BWQ19" s="1"/>
      <c r="BWR19" s="1"/>
      <c r="BWS19" s="1"/>
      <c r="BWT19" s="1"/>
      <c r="BWU19" s="1"/>
      <c r="BWV19" s="1"/>
      <c r="BWW19" s="1"/>
      <c r="BWX19" s="1"/>
      <c r="BWY19" s="1"/>
      <c r="BWZ19" s="1"/>
      <c r="BXA19" s="1"/>
      <c r="BXB19" s="1"/>
      <c r="BXC19" s="1"/>
      <c r="BXD19" s="1"/>
      <c r="BXE19" s="1"/>
      <c r="BXF19" s="1"/>
      <c r="BXG19" s="1"/>
      <c r="BXH19" s="1"/>
      <c r="BXI19" s="1"/>
      <c r="BXJ19" s="1"/>
      <c r="BXK19" s="1"/>
      <c r="BXL19" s="1"/>
      <c r="BXM19" s="1"/>
      <c r="BXN19" s="1"/>
      <c r="BXO19" s="1"/>
      <c r="BXP19" s="1"/>
      <c r="BXQ19" s="1"/>
      <c r="BXR19" s="1"/>
      <c r="BXS19" s="1"/>
      <c r="BXT19" s="1"/>
      <c r="BXU19" s="1"/>
      <c r="BXV19" s="1"/>
      <c r="BXW19" s="1"/>
      <c r="BXX19" s="1"/>
      <c r="BXY19" s="1"/>
      <c r="BXZ19" s="1"/>
      <c r="BYA19" s="1"/>
      <c r="BYB19" s="1"/>
      <c r="BYC19" s="1"/>
      <c r="BYD19" s="1"/>
      <c r="BYE19" s="1"/>
      <c r="BYF19" s="1"/>
      <c r="BYG19" s="1"/>
      <c r="BYH19" s="1"/>
      <c r="BYI19" s="1"/>
      <c r="BYJ19" s="1"/>
      <c r="BYK19" s="1"/>
      <c r="BYL19" s="1"/>
      <c r="BYM19" s="1"/>
      <c r="BYN19" s="1"/>
      <c r="BYO19" s="1"/>
      <c r="BYP19" s="1"/>
      <c r="BYQ19" s="1"/>
      <c r="BYR19" s="1"/>
      <c r="BYS19" s="1"/>
      <c r="BYT19" s="1"/>
      <c r="BYU19" s="1"/>
      <c r="BYV19" s="1"/>
      <c r="BYW19" s="1"/>
      <c r="BYX19" s="1"/>
      <c r="BYY19" s="1"/>
      <c r="BYZ19" s="1"/>
      <c r="BZA19" s="1"/>
      <c r="BZB19" s="1"/>
      <c r="BZC19" s="1"/>
      <c r="BZD19" s="1"/>
      <c r="BZE19" s="1"/>
      <c r="BZF19" s="1"/>
      <c r="BZG19" s="1"/>
      <c r="BZH19" s="1"/>
      <c r="BZI19" s="1"/>
      <c r="BZJ19" s="1"/>
      <c r="BZK19" s="1"/>
      <c r="BZL19" s="1"/>
      <c r="BZM19" s="1"/>
      <c r="BZN19" s="1"/>
      <c r="BZO19" s="1"/>
      <c r="BZP19" s="1"/>
      <c r="BZQ19" s="1"/>
      <c r="BZR19" s="1"/>
      <c r="BZS19" s="1"/>
      <c r="BZT19" s="1"/>
      <c r="BZU19" s="1"/>
      <c r="BZV19" s="1"/>
      <c r="BZW19" s="1"/>
      <c r="BZX19" s="1"/>
      <c r="BZY19" s="1"/>
      <c r="BZZ19" s="1"/>
      <c r="CAA19" s="1"/>
      <c r="CAB19" s="1"/>
      <c r="CAC19" s="1"/>
      <c r="CAD19" s="1"/>
      <c r="CAE19" s="1"/>
      <c r="CAF19" s="1"/>
      <c r="CAG19" s="1"/>
      <c r="CAH19" s="1"/>
      <c r="CAI19" s="1"/>
      <c r="CAJ19" s="1"/>
      <c r="CAK19" s="1"/>
      <c r="CAL19" s="1"/>
      <c r="CAM19" s="1"/>
      <c r="CAN19" s="1"/>
      <c r="CAO19" s="1"/>
      <c r="CAP19" s="1"/>
      <c r="CAQ19" s="1"/>
      <c r="CAR19" s="1"/>
      <c r="CAS19" s="1"/>
      <c r="CAT19" s="1"/>
      <c r="CAU19" s="1"/>
      <c r="CAV19" s="1"/>
      <c r="CAW19" s="1"/>
      <c r="CAX19" s="1"/>
      <c r="CAY19" s="1"/>
      <c r="CAZ19" s="1"/>
      <c r="CBA19" s="1"/>
      <c r="CBB19" s="1"/>
      <c r="CBC19" s="1"/>
      <c r="CBD19" s="1"/>
      <c r="CBE19" s="1"/>
      <c r="CBF19" s="1"/>
      <c r="CBG19" s="1"/>
      <c r="CBH19" s="1"/>
      <c r="CBI19" s="1"/>
      <c r="CBJ19" s="1"/>
      <c r="CBK19" s="1"/>
      <c r="CBL19" s="1"/>
      <c r="CBM19" s="1"/>
      <c r="CBN19" s="1"/>
      <c r="CBO19" s="1"/>
      <c r="CBP19" s="1"/>
      <c r="CBQ19" s="1"/>
      <c r="CBR19" s="1"/>
      <c r="CBS19" s="1"/>
      <c r="CBT19" s="1"/>
      <c r="CBU19" s="1"/>
      <c r="CBV19" s="1"/>
      <c r="CBW19" s="1"/>
      <c r="CBX19" s="1"/>
      <c r="CBY19" s="1"/>
      <c r="CBZ19" s="1"/>
      <c r="CCA19" s="1"/>
      <c r="CCB19" s="1"/>
      <c r="CCC19" s="1"/>
      <c r="CCD19" s="1"/>
      <c r="CCE19" s="1"/>
      <c r="CCF19" s="1"/>
      <c r="CCG19" s="1"/>
      <c r="CCH19" s="1"/>
      <c r="CCI19" s="1"/>
      <c r="CCJ19" s="1"/>
      <c r="CCK19" s="1"/>
      <c r="CCL19" s="1"/>
      <c r="CCM19" s="1"/>
      <c r="CCN19" s="1"/>
      <c r="CCO19" s="1"/>
      <c r="CCP19" s="1"/>
      <c r="CCQ19" s="1"/>
      <c r="CCR19" s="1"/>
      <c r="CCS19" s="1"/>
      <c r="CCT19" s="1"/>
      <c r="CCU19" s="1"/>
      <c r="CCV19" s="1"/>
      <c r="CCW19" s="1"/>
      <c r="CCX19" s="1"/>
      <c r="CCY19" s="1"/>
      <c r="CCZ19" s="1"/>
      <c r="CDA19" s="1"/>
      <c r="CDB19" s="1"/>
      <c r="CDC19" s="1"/>
      <c r="CDD19" s="1"/>
      <c r="CDE19" s="1"/>
      <c r="CDF19" s="1"/>
      <c r="CDG19" s="1"/>
      <c r="CDH19" s="1"/>
      <c r="CDI19" s="1"/>
      <c r="CDJ19" s="1"/>
      <c r="CDK19" s="1"/>
      <c r="CDL19" s="1"/>
      <c r="CDM19" s="1"/>
      <c r="CDN19" s="1"/>
      <c r="CDO19" s="1"/>
      <c r="CDP19" s="1"/>
      <c r="CDQ19" s="1"/>
      <c r="CDR19" s="1"/>
      <c r="CDS19" s="1"/>
      <c r="CDT19" s="1"/>
      <c r="CDU19" s="1"/>
      <c r="CDV19" s="1"/>
      <c r="CDW19" s="1"/>
      <c r="CDX19" s="1"/>
      <c r="CDY19" s="1"/>
      <c r="CDZ19" s="1"/>
      <c r="CEA19" s="1"/>
      <c r="CEB19" s="1"/>
      <c r="CEC19" s="1"/>
      <c r="CED19" s="1"/>
      <c r="CEE19" s="1"/>
      <c r="CEF19" s="1"/>
      <c r="CEG19" s="1"/>
      <c r="CEH19" s="1"/>
      <c r="CEI19" s="1"/>
      <c r="CEJ19" s="1"/>
      <c r="CEK19" s="1"/>
      <c r="CEL19" s="1"/>
      <c r="CEM19" s="1"/>
      <c r="CEN19" s="1"/>
      <c r="CEO19" s="1"/>
      <c r="CEP19" s="1"/>
      <c r="CEQ19" s="1"/>
      <c r="CER19" s="1"/>
      <c r="CES19" s="1"/>
      <c r="CET19" s="1"/>
      <c r="CEU19" s="1"/>
      <c r="CEV19" s="1"/>
      <c r="CEW19" s="1"/>
      <c r="CEX19" s="1"/>
      <c r="CEY19" s="1"/>
      <c r="CEZ19" s="1"/>
      <c r="CFA19" s="1"/>
      <c r="CFB19" s="1"/>
      <c r="CFC19" s="1"/>
      <c r="CFD19" s="1"/>
      <c r="CFE19" s="1"/>
      <c r="CFF19" s="1"/>
      <c r="CFG19" s="1"/>
      <c r="CFH19" s="1"/>
      <c r="CFI19" s="1"/>
      <c r="CFJ19" s="1"/>
      <c r="CFK19" s="1"/>
      <c r="CFL19" s="1"/>
      <c r="CFM19" s="1"/>
      <c r="CFN19" s="1"/>
      <c r="CFO19" s="1"/>
      <c r="CFP19" s="1"/>
      <c r="CFQ19" s="1"/>
      <c r="CFR19" s="1"/>
      <c r="CFS19" s="1"/>
      <c r="CFT19" s="1"/>
      <c r="CFU19" s="1"/>
      <c r="CFV19" s="1"/>
      <c r="CFW19" s="1"/>
      <c r="CFX19" s="1"/>
      <c r="CFY19" s="1"/>
      <c r="CFZ19" s="1"/>
      <c r="CGA19" s="1"/>
      <c r="CGB19" s="1"/>
      <c r="CGC19" s="1"/>
      <c r="CGD19" s="1"/>
      <c r="CGE19" s="1"/>
      <c r="CGF19" s="1"/>
      <c r="CGG19" s="1"/>
      <c r="CGH19" s="1"/>
      <c r="CGI19" s="1"/>
      <c r="CGJ19" s="1"/>
      <c r="CGK19" s="1"/>
      <c r="CGL19" s="1"/>
      <c r="CGM19" s="1"/>
      <c r="CGN19" s="1"/>
      <c r="CGO19" s="1"/>
      <c r="CGP19" s="1"/>
      <c r="CGQ19" s="1"/>
      <c r="CGR19" s="1"/>
      <c r="CGS19" s="1"/>
      <c r="CGT19" s="1"/>
      <c r="CGU19" s="1"/>
      <c r="CGV19" s="1"/>
      <c r="CGW19" s="1"/>
      <c r="CGX19" s="1"/>
      <c r="CGY19" s="1"/>
      <c r="CGZ19" s="1"/>
      <c r="CHA19" s="1"/>
      <c r="CHB19" s="1"/>
      <c r="CHC19" s="1"/>
      <c r="CHD19" s="1"/>
      <c r="CHE19" s="1"/>
      <c r="CHF19" s="1"/>
      <c r="CHG19" s="1"/>
      <c r="CHH19" s="1"/>
      <c r="CHI19" s="1"/>
      <c r="CHJ19" s="1"/>
      <c r="CHK19" s="1"/>
      <c r="CHL19" s="1"/>
      <c r="CHM19" s="1"/>
      <c r="CHN19" s="1"/>
      <c r="CHO19" s="1"/>
      <c r="CHP19" s="1"/>
      <c r="CHQ19" s="1"/>
      <c r="CHR19" s="1"/>
      <c r="CHS19" s="1"/>
      <c r="CHT19" s="1"/>
      <c r="CHU19" s="1"/>
      <c r="CHV19" s="1"/>
      <c r="CHW19" s="1"/>
      <c r="CHX19" s="1"/>
      <c r="CHY19" s="1"/>
      <c r="CHZ19" s="1"/>
      <c r="CIA19" s="1"/>
      <c r="CIB19" s="1"/>
      <c r="CIC19" s="1"/>
      <c r="CID19" s="1"/>
      <c r="CIE19" s="1"/>
      <c r="CIF19" s="1"/>
      <c r="CIG19" s="1"/>
      <c r="CIH19" s="1"/>
      <c r="CII19" s="1"/>
      <c r="CIJ19" s="1"/>
      <c r="CIK19" s="1"/>
      <c r="CIL19" s="1"/>
      <c r="CIM19" s="1"/>
      <c r="CIN19" s="1"/>
      <c r="CIO19" s="1"/>
      <c r="CIP19" s="1"/>
      <c r="CIQ19" s="1"/>
      <c r="CIR19" s="1"/>
      <c r="CIS19" s="1"/>
      <c r="CIT19" s="1"/>
      <c r="CIU19" s="1"/>
      <c r="CIV19" s="1"/>
      <c r="CIW19" s="1"/>
      <c r="CIX19" s="1"/>
      <c r="CIY19" s="1"/>
      <c r="CIZ19" s="1"/>
      <c r="CJA19" s="1"/>
      <c r="CJB19" s="1"/>
      <c r="CJC19" s="1"/>
      <c r="CJD19" s="1"/>
      <c r="CJE19" s="1"/>
      <c r="CJF19" s="1"/>
      <c r="CJG19" s="1"/>
      <c r="CJH19" s="1"/>
      <c r="CJI19" s="1"/>
      <c r="CJJ19" s="1"/>
      <c r="CJK19" s="1"/>
      <c r="CJL19" s="1"/>
      <c r="CJM19" s="1"/>
      <c r="CJN19" s="1"/>
      <c r="CJO19" s="1"/>
      <c r="CJP19" s="1"/>
      <c r="CJQ19" s="1"/>
      <c r="CJR19" s="1"/>
      <c r="CJS19" s="1"/>
      <c r="CJT19" s="1"/>
      <c r="CJU19" s="1"/>
      <c r="CJV19" s="1"/>
      <c r="CJW19" s="1"/>
      <c r="CJX19" s="1"/>
      <c r="CJY19" s="1"/>
      <c r="CJZ19" s="1"/>
      <c r="CKA19" s="1"/>
      <c r="CKB19" s="1"/>
      <c r="CKC19" s="1"/>
      <c r="CKD19" s="1"/>
      <c r="CKE19" s="1"/>
      <c r="CKF19" s="1"/>
      <c r="CKG19" s="1"/>
      <c r="CKH19" s="1"/>
      <c r="CKI19" s="1"/>
      <c r="CKJ19" s="1"/>
      <c r="CKK19" s="1"/>
      <c r="CKL19" s="1"/>
      <c r="CKM19" s="1"/>
      <c r="CKN19" s="1"/>
      <c r="CKO19" s="1"/>
      <c r="CKP19" s="1"/>
      <c r="CKQ19" s="1"/>
      <c r="CKR19" s="1"/>
      <c r="CKS19" s="1"/>
      <c r="CKT19" s="1"/>
      <c r="CKU19" s="1"/>
      <c r="CKV19" s="1"/>
      <c r="CKW19" s="1"/>
      <c r="CKX19" s="1"/>
      <c r="CKY19" s="1"/>
      <c r="CKZ19" s="1"/>
      <c r="CLA19" s="1"/>
      <c r="CLB19" s="1"/>
      <c r="CLC19" s="1"/>
      <c r="CLD19" s="1"/>
      <c r="CLE19" s="1"/>
      <c r="CLF19" s="1"/>
      <c r="CLG19" s="1"/>
      <c r="CLH19" s="1"/>
      <c r="CLI19" s="1"/>
      <c r="CLJ19" s="1"/>
      <c r="CLK19" s="1"/>
      <c r="CLL19" s="1"/>
      <c r="CLM19" s="1"/>
      <c r="CLN19" s="1"/>
      <c r="CLO19" s="1"/>
      <c r="CLP19" s="1"/>
      <c r="CLQ19" s="1"/>
      <c r="CLR19" s="1"/>
      <c r="CLS19" s="1"/>
      <c r="CLT19" s="1"/>
      <c r="CLU19" s="1"/>
      <c r="CLV19" s="1"/>
      <c r="CLW19" s="1"/>
      <c r="CLX19" s="1"/>
      <c r="CLY19" s="1"/>
      <c r="CLZ19" s="1"/>
      <c r="CMA19" s="1"/>
      <c r="CMB19" s="1"/>
      <c r="CMC19" s="1"/>
      <c r="CMD19" s="1"/>
      <c r="CME19" s="1"/>
      <c r="CMF19" s="1"/>
      <c r="CMG19" s="1"/>
      <c r="CMH19" s="1"/>
      <c r="CMI19" s="1"/>
      <c r="CMJ19" s="1"/>
      <c r="CMK19" s="1"/>
      <c r="CML19" s="1"/>
      <c r="CMM19" s="1"/>
      <c r="CMN19" s="1"/>
      <c r="CMO19" s="1"/>
      <c r="CMP19" s="1"/>
      <c r="CMQ19" s="1"/>
      <c r="CMR19" s="1"/>
      <c r="CMS19" s="1"/>
      <c r="CMT19" s="1"/>
      <c r="CMU19" s="1"/>
      <c r="CMV19" s="1"/>
      <c r="CMW19" s="1"/>
      <c r="CMX19" s="1"/>
      <c r="CMY19" s="1"/>
      <c r="CMZ19" s="1"/>
      <c r="CNA19" s="1"/>
      <c r="CNB19" s="1"/>
      <c r="CNC19" s="1"/>
      <c r="CND19" s="1"/>
      <c r="CNE19" s="1"/>
      <c r="CNF19" s="1"/>
      <c r="CNG19" s="1"/>
      <c r="CNH19" s="1"/>
      <c r="CNI19" s="1"/>
      <c r="CNJ19" s="1"/>
      <c r="CNK19" s="1"/>
      <c r="CNL19" s="1"/>
      <c r="CNM19" s="1"/>
      <c r="CNN19" s="1"/>
      <c r="CNO19" s="1"/>
      <c r="CNP19" s="1"/>
      <c r="CNQ19" s="1"/>
      <c r="CNR19" s="1"/>
      <c r="CNS19" s="1"/>
      <c r="CNT19" s="1"/>
      <c r="CNU19" s="1"/>
      <c r="CNV19" s="1"/>
      <c r="CNW19" s="1"/>
      <c r="CNX19" s="1"/>
      <c r="CNY19" s="1"/>
      <c r="CNZ19" s="1"/>
      <c r="COA19" s="1"/>
      <c r="COB19" s="1"/>
      <c r="COC19" s="1"/>
      <c r="COD19" s="1"/>
      <c r="COE19" s="1"/>
      <c r="COF19" s="1"/>
      <c r="COG19" s="1"/>
      <c r="COH19" s="1"/>
      <c r="COI19" s="1"/>
      <c r="COJ19" s="1"/>
      <c r="COK19" s="1"/>
      <c r="COL19" s="1"/>
      <c r="COM19" s="1"/>
      <c r="CON19" s="1"/>
      <c r="COO19" s="1"/>
      <c r="COP19" s="1"/>
      <c r="COQ19" s="1"/>
      <c r="COR19" s="1"/>
      <c r="COS19" s="1"/>
      <c r="COT19" s="1"/>
      <c r="COU19" s="1"/>
      <c r="COV19" s="1"/>
      <c r="COW19" s="1"/>
      <c r="COX19" s="1"/>
      <c r="COY19" s="1"/>
      <c r="COZ19" s="1"/>
      <c r="CPA19" s="1"/>
      <c r="CPB19" s="1"/>
      <c r="CPC19" s="1"/>
      <c r="CPD19" s="1"/>
      <c r="CPE19" s="1"/>
      <c r="CPF19" s="1"/>
      <c r="CPG19" s="1"/>
      <c r="CPH19" s="1"/>
      <c r="CPI19" s="1"/>
      <c r="CPJ19" s="1"/>
      <c r="CPK19" s="1"/>
      <c r="CPL19" s="1"/>
      <c r="CPM19" s="1"/>
      <c r="CPN19" s="1"/>
      <c r="CPO19" s="1"/>
      <c r="CPP19" s="1"/>
      <c r="CPQ19" s="1"/>
      <c r="CPR19" s="1"/>
      <c r="CPS19" s="1"/>
      <c r="CPT19" s="1"/>
      <c r="CPU19" s="1"/>
      <c r="CPV19" s="1"/>
      <c r="CPW19" s="1"/>
      <c r="CPX19" s="1"/>
      <c r="CPY19" s="1"/>
      <c r="CPZ19" s="1"/>
      <c r="CQA19" s="1"/>
      <c r="CQB19" s="1"/>
      <c r="CQC19" s="1"/>
      <c r="CQD19" s="1"/>
      <c r="CQE19" s="1"/>
      <c r="CQF19" s="1"/>
      <c r="CQG19" s="1"/>
      <c r="CQH19" s="1"/>
      <c r="CQI19" s="1"/>
      <c r="CQJ19" s="1"/>
      <c r="CQK19" s="1"/>
      <c r="CQL19" s="1"/>
      <c r="CQM19" s="1"/>
      <c r="CQN19" s="1"/>
      <c r="CQO19" s="1"/>
      <c r="CQP19" s="1"/>
      <c r="CQQ19" s="1"/>
      <c r="CQR19" s="1"/>
      <c r="CQS19" s="1"/>
      <c r="CQT19" s="1"/>
      <c r="CQU19" s="1"/>
      <c r="CQV19" s="1"/>
      <c r="CQW19" s="1"/>
      <c r="CQX19" s="1"/>
      <c r="CQY19" s="1"/>
      <c r="CQZ19" s="1"/>
      <c r="CRA19" s="1"/>
      <c r="CRB19" s="1"/>
      <c r="CRC19" s="1"/>
      <c r="CRD19" s="1"/>
      <c r="CRE19" s="1"/>
      <c r="CRF19" s="1"/>
      <c r="CRG19" s="1"/>
      <c r="CRH19" s="1"/>
      <c r="CRI19" s="1"/>
      <c r="CRJ19" s="1"/>
      <c r="CRK19" s="1"/>
      <c r="CRL19" s="1"/>
      <c r="CRM19" s="1"/>
      <c r="CRN19" s="1"/>
      <c r="CRO19" s="1"/>
      <c r="CRP19" s="1"/>
      <c r="CRQ19" s="1"/>
      <c r="CRR19" s="1"/>
      <c r="CRS19" s="1"/>
      <c r="CRT19" s="1"/>
      <c r="CRU19" s="1"/>
      <c r="CRV19" s="1"/>
      <c r="CRW19" s="1"/>
      <c r="CRX19" s="1"/>
      <c r="CRY19" s="1"/>
      <c r="CRZ19" s="1"/>
      <c r="CSA19" s="1"/>
      <c r="CSB19" s="1"/>
      <c r="CSC19" s="1"/>
      <c r="CSD19" s="1"/>
      <c r="CSE19" s="1"/>
      <c r="CSF19" s="1"/>
      <c r="CSG19" s="1"/>
      <c r="CSH19" s="1"/>
      <c r="CSI19" s="1"/>
      <c r="CSJ19" s="1"/>
      <c r="CSK19" s="1"/>
      <c r="CSL19" s="1"/>
      <c r="CSM19" s="1"/>
      <c r="CSN19" s="1"/>
      <c r="CSO19" s="1"/>
      <c r="CSP19" s="1"/>
      <c r="CSQ19" s="1"/>
      <c r="CSR19" s="1"/>
      <c r="CSS19" s="1"/>
      <c r="CST19" s="1"/>
      <c r="CSU19" s="1"/>
      <c r="CSV19" s="1"/>
      <c r="CSW19" s="1"/>
      <c r="CSX19" s="1"/>
      <c r="CSY19" s="1"/>
      <c r="CSZ19" s="1"/>
      <c r="CTA19" s="1"/>
      <c r="CTB19" s="1"/>
      <c r="CTC19" s="1"/>
      <c r="CTD19" s="1"/>
      <c r="CTE19" s="1"/>
      <c r="CTF19" s="1"/>
      <c r="CTG19" s="1"/>
      <c r="CTH19" s="1"/>
      <c r="CTI19" s="1"/>
      <c r="CTJ19" s="1"/>
      <c r="CTK19" s="1"/>
      <c r="CTL19" s="1"/>
      <c r="CTM19" s="1"/>
      <c r="CTN19" s="1"/>
      <c r="CTO19" s="1"/>
      <c r="CTP19" s="1"/>
      <c r="CTQ19" s="1"/>
      <c r="CTR19" s="1"/>
      <c r="CTS19" s="1"/>
      <c r="CTT19" s="1"/>
      <c r="CTU19" s="1"/>
      <c r="CTV19" s="1"/>
      <c r="CTW19" s="1"/>
      <c r="CTX19" s="1"/>
      <c r="CTY19" s="1"/>
      <c r="CTZ19" s="1"/>
      <c r="CUA19" s="1"/>
      <c r="CUB19" s="1"/>
      <c r="CUC19" s="1"/>
      <c r="CUD19" s="1"/>
      <c r="CUE19" s="1"/>
      <c r="CUF19" s="1"/>
      <c r="CUG19" s="1"/>
      <c r="CUH19" s="1"/>
      <c r="CUI19" s="1"/>
      <c r="CUJ19" s="1"/>
      <c r="CUK19" s="1"/>
      <c r="CUL19" s="1"/>
      <c r="CUM19" s="1"/>
      <c r="CUN19" s="1"/>
      <c r="CUO19" s="1"/>
      <c r="CUP19" s="1"/>
      <c r="CUQ19" s="1"/>
      <c r="CUR19" s="1"/>
      <c r="CUS19" s="1"/>
      <c r="CUT19" s="1"/>
      <c r="CUU19" s="1"/>
      <c r="CUV19" s="1"/>
      <c r="CUW19" s="1"/>
      <c r="CUX19" s="1"/>
      <c r="CUY19" s="1"/>
      <c r="CUZ19" s="1"/>
      <c r="CVA19" s="1"/>
      <c r="CVB19" s="1"/>
      <c r="CVC19" s="1"/>
      <c r="CVD19" s="1"/>
      <c r="CVE19" s="1"/>
      <c r="CVF19" s="1"/>
      <c r="CVG19" s="1"/>
      <c r="CVH19" s="1"/>
      <c r="CVI19" s="1"/>
      <c r="CVJ19" s="1"/>
      <c r="CVK19" s="1"/>
      <c r="CVL19" s="1"/>
      <c r="CVM19" s="1"/>
      <c r="CVN19" s="1"/>
      <c r="CVO19" s="1"/>
      <c r="CVP19" s="1"/>
      <c r="CVQ19" s="1"/>
      <c r="CVR19" s="1"/>
      <c r="CVS19" s="1"/>
      <c r="CVT19" s="1"/>
      <c r="CVU19" s="1"/>
      <c r="CVV19" s="1"/>
      <c r="CVW19" s="1"/>
      <c r="CVX19" s="1"/>
      <c r="CVY19" s="1"/>
      <c r="CVZ19" s="1"/>
      <c r="CWA19" s="1"/>
      <c r="CWB19" s="1"/>
      <c r="CWC19" s="1"/>
      <c r="CWD19" s="1"/>
      <c r="CWE19" s="1"/>
      <c r="CWF19" s="1"/>
      <c r="CWG19" s="1"/>
      <c r="CWH19" s="1"/>
      <c r="CWI19" s="1"/>
      <c r="CWJ19" s="1"/>
      <c r="CWK19" s="1"/>
      <c r="CWL19" s="1"/>
      <c r="CWM19" s="1"/>
      <c r="CWN19" s="1"/>
      <c r="CWO19" s="1"/>
      <c r="CWP19" s="1"/>
      <c r="CWQ19" s="1"/>
      <c r="CWR19" s="1"/>
      <c r="CWS19" s="1"/>
      <c r="CWT19" s="1"/>
      <c r="CWU19" s="1"/>
      <c r="CWV19" s="1"/>
      <c r="CWW19" s="1"/>
      <c r="CWX19" s="1"/>
      <c r="CWY19" s="1"/>
      <c r="CWZ19" s="1"/>
      <c r="CXA19" s="1"/>
      <c r="CXB19" s="1"/>
      <c r="CXC19" s="1"/>
      <c r="CXD19" s="1"/>
      <c r="CXE19" s="1"/>
      <c r="CXF19" s="1"/>
      <c r="CXG19" s="1"/>
      <c r="CXH19" s="1"/>
      <c r="CXI19" s="1"/>
      <c r="CXJ19" s="1"/>
      <c r="CXK19" s="1"/>
      <c r="CXL19" s="1"/>
      <c r="CXM19" s="1"/>
      <c r="CXN19" s="1"/>
      <c r="CXO19" s="1"/>
      <c r="CXP19" s="1"/>
      <c r="CXQ19" s="1"/>
      <c r="CXR19" s="1"/>
      <c r="CXS19" s="1"/>
      <c r="CXT19" s="1"/>
      <c r="CXU19" s="1"/>
      <c r="CXV19" s="1"/>
      <c r="CXW19" s="1"/>
      <c r="CXX19" s="1"/>
      <c r="CXY19" s="1"/>
      <c r="CXZ19" s="1"/>
      <c r="CYA19" s="1"/>
      <c r="CYB19" s="1"/>
      <c r="CYC19" s="1"/>
      <c r="CYD19" s="1"/>
      <c r="CYE19" s="1"/>
      <c r="CYF19" s="1"/>
      <c r="CYG19" s="1"/>
      <c r="CYH19" s="1"/>
      <c r="CYI19" s="1"/>
      <c r="CYJ19" s="1"/>
      <c r="CYK19" s="1"/>
      <c r="CYL19" s="1"/>
      <c r="CYM19" s="1"/>
      <c r="CYN19" s="1"/>
      <c r="CYO19" s="1"/>
      <c r="CYP19" s="1"/>
      <c r="CYQ19" s="1"/>
      <c r="CYR19" s="1"/>
      <c r="CYS19" s="1"/>
      <c r="CYT19" s="1"/>
      <c r="CYU19" s="1"/>
      <c r="CYV19" s="1"/>
      <c r="CYW19" s="1"/>
      <c r="CYX19" s="1"/>
      <c r="CYY19" s="1"/>
      <c r="CYZ19" s="1"/>
      <c r="CZA19" s="1"/>
      <c r="CZB19" s="1"/>
      <c r="CZC19" s="1"/>
      <c r="CZD19" s="1"/>
      <c r="CZE19" s="1"/>
      <c r="CZF19" s="1"/>
      <c r="CZG19" s="1"/>
      <c r="CZH19" s="1"/>
      <c r="CZI19" s="1"/>
      <c r="CZJ19" s="1"/>
      <c r="CZK19" s="1"/>
      <c r="CZL19" s="1"/>
      <c r="CZM19" s="1"/>
      <c r="CZN19" s="1"/>
      <c r="CZO19" s="1"/>
      <c r="CZP19" s="1"/>
      <c r="CZQ19" s="1"/>
      <c r="CZR19" s="1"/>
      <c r="CZS19" s="1"/>
      <c r="CZT19" s="1"/>
      <c r="CZU19" s="1"/>
      <c r="CZV19" s="1"/>
      <c r="CZW19" s="1"/>
      <c r="CZX19" s="1"/>
      <c r="CZY19" s="1"/>
      <c r="CZZ19" s="1"/>
      <c r="DAA19" s="1"/>
      <c r="DAB19" s="1"/>
      <c r="DAC19" s="1"/>
      <c r="DAD19" s="1"/>
      <c r="DAE19" s="1"/>
      <c r="DAF19" s="1"/>
      <c r="DAG19" s="1"/>
      <c r="DAH19" s="1"/>
      <c r="DAI19" s="1"/>
      <c r="DAJ19" s="1"/>
      <c r="DAK19" s="1"/>
      <c r="DAL19" s="1"/>
      <c r="DAM19" s="1"/>
      <c r="DAN19" s="1"/>
      <c r="DAO19" s="1"/>
      <c r="DAP19" s="1"/>
      <c r="DAQ19" s="1"/>
      <c r="DAR19" s="1"/>
      <c r="DAS19" s="1"/>
      <c r="DAT19" s="1"/>
      <c r="DAU19" s="1"/>
      <c r="DAV19" s="1"/>
      <c r="DAW19" s="1"/>
      <c r="DAX19" s="1"/>
      <c r="DAY19" s="1"/>
      <c r="DAZ19" s="1"/>
      <c r="DBA19" s="1"/>
      <c r="DBB19" s="1"/>
      <c r="DBC19" s="1"/>
      <c r="DBD19" s="1"/>
      <c r="DBE19" s="1"/>
      <c r="DBF19" s="1"/>
      <c r="DBG19" s="1"/>
      <c r="DBH19" s="1"/>
      <c r="DBI19" s="1"/>
      <c r="DBJ19" s="1"/>
      <c r="DBK19" s="1"/>
      <c r="DBL19" s="1"/>
      <c r="DBM19" s="1"/>
      <c r="DBN19" s="1"/>
      <c r="DBO19" s="1"/>
      <c r="DBP19" s="1"/>
      <c r="DBQ19" s="1"/>
      <c r="DBR19" s="1"/>
      <c r="DBS19" s="1"/>
      <c r="DBT19" s="1"/>
      <c r="DBU19" s="1"/>
      <c r="DBV19" s="1"/>
      <c r="DBW19" s="1"/>
      <c r="DBX19" s="1"/>
      <c r="DBY19" s="1"/>
      <c r="DBZ19" s="1"/>
      <c r="DCA19" s="1"/>
      <c r="DCB19" s="1"/>
      <c r="DCC19" s="1"/>
      <c r="DCD19" s="1"/>
      <c r="DCE19" s="1"/>
      <c r="DCF19" s="1"/>
      <c r="DCG19" s="1"/>
      <c r="DCH19" s="1"/>
      <c r="DCI19" s="1"/>
      <c r="DCJ19" s="1"/>
      <c r="DCK19" s="1"/>
      <c r="DCL19" s="1"/>
      <c r="DCM19" s="1"/>
      <c r="DCN19" s="1"/>
      <c r="DCO19" s="1"/>
      <c r="DCP19" s="1"/>
      <c r="DCQ19" s="1"/>
      <c r="DCR19" s="1"/>
      <c r="DCS19" s="1"/>
      <c r="DCT19" s="1"/>
      <c r="DCU19" s="1"/>
      <c r="DCV19" s="1"/>
      <c r="DCW19" s="1"/>
      <c r="DCX19" s="1"/>
      <c r="DCY19" s="1"/>
      <c r="DCZ19" s="1"/>
      <c r="DDA19" s="1"/>
      <c r="DDB19" s="1"/>
      <c r="DDC19" s="1"/>
      <c r="DDD19" s="1"/>
      <c r="DDE19" s="1"/>
      <c r="DDF19" s="1"/>
      <c r="DDG19" s="1"/>
      <c r="DDH19" s="1"/>
      <c r="DDI19" s="1"/>
      <c r="DDJ19" s="1"/>
      <c r="DDK19" s="1"/>
      <c r="DDL19" s="1"/>
      <c r="DDM19" s="1"/>
      <c r="DDN19" s="1"/>
      <c r="DDO19" s="1"/>
      <c r="DDP19" s="1"/>
      <c r="DDQ19" s="1"/>
      <c r="DDR19" s="1"/>
      <c r="DDS19" s="1"/>
      <c r="DDT19" s="1"/>
      <c r="DDU19" s="1"/>
      <c r="DDV19" s="1"/>
      <c r="DDW19" s="1"/>
      <c r="DDX19" s="1"/>
      <c r="DDY19" s="1"/>
      <c r="DDZ19" s="1"/>
      <c r="DEA19" s="1"/>
      <c r="DEB19" s="1"/>
      <c r="DEC19" s="1"/>
      <c r="DED19" s="1"/>
      <c r="DEE19" s="1"/>
      <c r="DEF19" s="1"/>
      <c r="DEG19" s="1"/>
      <c r="DEH19" s="1"/>
      <c r="DEI19" s="1"/>
      <c r="DEJ19" s="1"/>
      <c r="DEK19" s="1"/>
      <c r="DEL19" s="1"/>
      <c r="DEM19" s="1"/>
      <c r="DEN19" s="1"/>
      <c r="DEO19" s="1"/>
      <c r="DEP19" s="1"/>
      <c r="DEQ19" s="1"/>
      <c r="DER19" s="1"/>
      <c r="DES19" s="1"/>
      <c r="DET19" s="1"/>
      <c r="DEU19" s="1"/>
      <c r="DEV19" s="1"/>
      <c r="DEW19" s="1"/>
      <c r="DEX19" s="1"/>
      <c r="DEY19" s="1"/>
      <c r="DEZ19" s="1"/>
      <c r="DFA19" s="1"/>
      <c r="DFB19" s="1"/>
      <c r="DFC19" s="1"/>
      <c r="DFD19" s="1"/>
      <c r="DFE19" s="1"/>
      <c r="DFF19" s="1"/>
      <c r="DFG19" s="1"/>
      <c r="DFH19" s="1"/>
      <c r="DFI19" s="1"/>
      <c r="DFJ19" s="1"/>
      <c r="DFK19" s="1"/>
      <c r="DFL19" s="1"/>
      <c r="DFM19" s="1"/>
      <c r="DFN19" s="1"/>
      <c r="DFO19" s="1"/>
      <c r="DFP19" s="1"/>
      <c r="DFQ19" s="1"/>
      <c r="DFR19" s="1"/>
      <c r="DFS19" s="1"/>
      <c r="DFT19" s="1"/>
      <c r="DFU19" s="1"/>
      <c r="DFV19" s="1"/>
      <c r="DFW19" s="1"/>
      <c r="DFX19" s="1"/>
      <c r="DFY19" s="1"/>
      <c r="DFZ19" s="1"/>
      <c r="DGA19" s="1"/>
      <c r="DGB19" s="1"/>
      <c r="DGC19" s="1"/>
      <c r="DGD19" s="1"/>
      <c r="DGE19" s="1"/>
      <c r="DGF19" s="1"/>
      <c r="DGG19" s="1"/>
      <c r="DGH19" s="1"/>
      <c r="DGI19" s="1"/>
      <c r="DGJ19" s="1"/>
      <c r="DGK19" s="1"/>
      <c r="DGL19" s="1"/>
      <c r="DGM19" s="1"/>
      <c r="DGN19" s="1"/>
      <c r="DGO19" s="1"/>
      <c r="DGP19" s="1"/>
      <c r="DGQ19" s="1"/>
      <c r="DGR19" s="1"/>
      <c r="DGS19" s="1"/>
      <c r="DGT19" s="1"/>
      <c r="DGU19" s="1"/>
      <c r="DGV19" s="1"/>
      <c r="DGW19" s="1"/>
      <c r="DGX19" s="1"/>
      <c r="DGY19" s="1"/>
      <c r="DGZ19" s="1"/>
      <c r="DHA19" s="1"/>
      <c r="DHB19" s="1"/>
      <c r="DHC19" s="1"/>
      <c r="DHD19" s="1"/>
      <c r="DHE19" s="1"/>
      <c r="DHF19" s="1"/>
      <c r="DHG19" s="1"/>
      <c r="DHH19" s="1"/>
      <c r="DHI19" s="1"/>
      <c r="DHJ19" s="1"/>
      <c r="DHK19" s="1"/>
      <c r="DHL19" s="1"/>
      <c r="DHM19" s="1"/>
      <c r="DHN19" s="1"/>
      <c r="DHO19" s="1"/>
      <c r="DHP19" s="1"/>
      <c r="DHQ19" s="1"/>
      <c r="DHR19" s="1"/>
      <c r="DHS19" s="1"/>
      <c r="DHT19" s="1"/>
      <c r="DHU19" s="1"/>
      <c r="DHV19" s="1"/>
      <c r="DHW19" s="1"/>
      <c r="DHX19" s="1"/>
      <c r="DHY19" s="1"/>
      <c r="DHZ19" s="1"/>
      <c r="DIA19" s="1"/>
      <c r="DIB19" s="1"/>
      <c r="DIC19" s="1"/>
      <c r="DID19" s="1"/>
      <c r="DIE19" s="1"/>
      <c r="DIF19" s="1"/>
      <c r="DIG19" s="1"/>
      <c r="DIH19" s="1"/>
      <c r="DII19" s="1"/>
      <c r="DIJ19" s="1"/>
      <c r="DIK19" s="1"/>
      <c r="DIL19" s="1"/>
      <c r="DIM19" s="1"/>
      <c r="DIN19" s="1"/>
      <c r="DIO19" s="1"/>
      <c r="DIP19" s="1"/>
      <c r="DIQ19" s="1"/>
      <c r="DIR19" s="1"/>
      <c r="DIS19" s="1"/>
      <c r="DIT19" s="1"/>
      <c r="DIU19" s="1"/>
      <c r="DIV19" s="1"/>
      <c r="DIW19" s="1"/>
      <c r="DIX19" s="1"/>
      <c r="DIY19" s="1"/>
      <c r="DIZ19" s="1"/>
      <c r="DJA19" s="1"/>
      <c r="DJB19" s="1"/>
      <c r="DJC19" s="1"/>
      <c r="DJD19" s="1"/>
      <c r="DJE19" s="1"/>
      <c r="DJF19" s="1"/>
      <c r="DJG19" s="1"/>
      <c r="DJH19" s="1"/>
      <c r="DJI19" s="1"/>
      <c r="DJJ19" s="1"/>
      <c r="DJK19" s="1"/>
      <c r="DJL19" s="1"/>
      <c r="DJM19" s="1"/>
      <c r="DJN19" s="1"/>
      <c r="DJO19" s="1"/>
      <c r="DJP19" s="1"/>
      <c r="DJQ19" s="1"/>
      <c r="DJR19" s="1"/>
      <c r="DJS19" s="1"/>
      <c r="DJT19" s="1"/>
      <c r="DJU19" s="1"/>
      <c r="DJV19" s="1"/>
      <c r="DJW19" s="1"/>
      <c r="DJX19" s="1"/>
      <c r="DJY19" s="1"/>
      <c r="DJZ19" s="1"/>
      <c r="DKA19" s="1"/>
      <c r="DKB19" s="1"/>
      <c r="DKC19" s="1"/>
      <c r="DKD19" s="1"/>
      <c r="DKE19" s="1"/>
      <c r="DKF19" s="1"/>
      <c r="DKG19" s="1"/>
      <c r="DKH19" s="1"/>
      <c r="DKI19" s="1"/>
      <c r="DKJ19" s="1"/>
      <c r="DKK19" s="1"/>
      <c r="DKL19" s="1"/>
      <c r="DKM19" s="1"/>
      <c r="DKN19" s="1"/>
      <c r="DKO19" s="1"/>
      <c r="DKP19" s="1"/>
      <c r="DKQ19" s="1"/>
      <c r="DKR19" s="1"/>
      <c r="DKS19" s="1"/>
      <c r="DKT19" s="1"/>
      <c r="DKU19" s="1"/>
      <c r="DKV19" s="1"/>
      <c r="DKW19" s="1"/>
      <c r="DKX19" s="1"/>
      <c r="DKY19" s="1"/>
      <c r="DKZ19" s="1"/>
      <c r="DLA19" s="1"/>
      <c r="DLB19" s="1"/>
      <c r="DLC19" s="1"/>
      <c r="DLD19" s="1"/>
      <c r="DLE19" s="1"/>
      <c r="DLF19" s="1"/>
      <c r="DLG19" s="1"/>
      <c r="DLH19" s="1"/>
      <c r="DLI19" s="1"/>
      <c r="DLJ19" s="1"/>
      <c r="DLK19" s="1"/>
      <c r="DLL19" s="1"/>
      <c r="DLM19" s="1"/>
      <c r="DLN19" s="1"/>
      <c r="DLO19" s="1"/>
      <c r="DLP19" s="1"/>
      <c r="DLQ19" s="1"/>
      <c r="DLR19" s="1"/>
      <c r="DLS19" s="1"/>
      <c r="DLT19" s="1"/>
      <c r="DLU19" s="1"/>
      <c r="DLV19" s="1"/>
      <c r="DLW19" s="1"/>
      <c r="DLX19" s="1"/>
      <c r="DLY19" s="1"/>
      <c r="DLZ19" s="1"/>
      <c r="DMA19" s="1"/>
      <c r="DMB19" s="1"/>
      <c r="DMC19" s="1"/>
      <c r="DMD19" s="1"/>
      <c r="DME19" s="1"/>
      <c r="DMF19" s="1"/>
      <c r="DMG19" s="1"/>
      <c r="DMH19" s="1"/>
      <c r="DMI19" s="1"/>
      <c r="DMJ19" s="1"/>
      <c r="DMK19" s="1"/>
      <c r="DML19" s="1"/>
      <c r="DMM19" s="1"/>
      <c r="DMN19" s="1"/>
      <c r="DMO19" s="1"/>
      <c r="DMP19" s="1"/>
      <c r="DMQ19" s="1"/>
      <c r="DMR19" s="1"/>
      <c r="DMS19" s="1"/>
      <c r="DMT19" s="1"/>
      <c r="DMU19" s="1"/>
      <c r="DMV19" s="1"/>
      <c r="DMW19" s="1"/>
      <c r="DMX19" s="1"/>
      <c r="DMY19" s="1"/>
      <c r="DMZ19" s="1"/>
      <c r="DNA19" s="1"/>
      <c r="DNB19" s="1"/>
      <c r="DNC19" s="1"/>
      <c r="DND19" s="1"/>
      <c r="DNE19" s="1"/>
      <c r="DNF19" s="1"/>
      <c r="DNG19" s="1"/>
      <c r="DNH19" s="1"/>
      <c r="DNI19" s="1"/>
      <c r="DNJ19" s="1"/>
      <c r="DNK19" s="1"/>
      <c r="DNL19" s="1"/>
      <c r="DNM19" s="1"/>
      <c r="DNN19" s="1"/>
      <c r="DNO19" s="1"/>
      <c r="DNP19" s="1"/>
      <c r="DNQ19" s="1"/>
      <c r="DNR19" s="1"/>
      <c r="DNS19" s="1"/>
      <c r="DNT19" s="1"/>
      <c r="DNU19" s="1"/>
      <c r="DNV19" s="1"/>
      <c r="DNW19" s="1"/>
      <c r="DNX19" s="1"/>
      <c r="DNY19" s="1"/>
      <c r="DNZ19" s="1"/>
      <c r="DOA19" s="1"/>
      <c r="DOB19" s="1"/>
      <c r="DOC19" s="1"/>
      <c r="DOD19" s="1"/>
      <c r="DOE19" s="1"/>
      <c r="DOF19" s="1"/>
      <c r="DOG19" s="1"/>
      <c r="DOH19" s="1"/>
      <c r="DOI19" s="1"/>
      <c r="DOJ19" s="1"/>
      <c r="DOK19" s="1"/>
      <c r="DOL19" s="1"/>
      <c r="DOM19" s="1"/>
      <c r="DON19" s="1"/>
      <c r="DOO19" s="1"/>
      <c r="DOP19" s="1"/>
      <c r="DOQ19" s="1"/>
      <c r="DOR19" s="1"/>
      <c r="DOS19" s="1"/>
      <c r="DOT19" s="1"/>
      <c r="DOU19" s="1"/>
      <c r="DOV19" s="1"/>
      <c r="DOW19" s="1"/>
      <c r="DOX19" s="1"/>
      <c r="DOY19" s="1"/>
      <c r="DOZ19" s="1"/>
      <c r="DPA19" s="1"/>
      <c r="DPB19" s="1"/>
      <c r="DPC19" s="1"/>
      <c r="DPD19" s="1"/>
      <c r="DPE19" s="1"/>
      <c r="DPF19" s="1"/>
      <c r="DPG19" s="1"/>
      <c r="DPH19" s="1"/>
      <c r="DPI19" s="1"/>
      <c r="DPJ19" s="1"/>
      <c r="DPK19" s="1"/>
      <c r="DPL19" s="1"/>
      <c r="DPM19" s="1"/>
      <c r="DPN19" s="1"/>
      <c r="DPO19" s="1"/>
      <c r="DPP19" s="1"/>
      <c r="DPQ19" s="1"/>
      <c r="DPR19" s="1"/>
      <c r="DPS19" s="1"/>
      <c r="DPT19" s="1"/>
      <c r="DPU19" s="1"/>
      <c r="DPV19" s="1"/>
      <c r="DPW19" s="1"/>
      <c r="DPX19" s="1"/>
      <c r="DPY19" s="1"/>
      <c r="DPZ19" s="1"/>
      <c r="DQA19" s="1"/>
      <c r="DQB19" s="1"/>
      <c r="DQC19" s="1"/>
      <c r="DQD19" s="1"/>
      <c r="DQE19" s="1"/>
      <c r="DQF19" s="1"/>
      <c r="DQG19" s="1"/>
      <c r="DQH19" s="1"/>
      <c r="DQI19" s="1"/>
      <c r="DQJ19" s="1"/>
      <c r="DQK19" s="1"/>
      <c r="DQL19" s="1"/>
      <c r="DQM19" s="1"/>
      <c r="DQN19" s="1"/>
      <c r="DQO19" s="1"/>
      <c r="DQP19" s="1"/>
      <c r="DQQ19" s="1"/>
      <c r="DQR19" s="1"/>
      <c r="DQS19" s="1"/>
      <c r="DQT19" s="1"/>
      <c r="DQU19" s="1"/>
      <c r="DQV19" s="1"/>
      <c r="DQW19" s="1"/>
      <c r="DQX19" s="1"/>
      <c r="DQY19" s="1"/>
      <c r="DQZ19" s="1"/>
      <c r="DRA19" s="1"/>
      <c r="DRB19" s="1"/>
      <c r="DRC19" s="1"/>
      <c r="DRD19" s="1"/>
      <c r="DRE19" s="1"/>
      <c r="DRF19" s="1"/>
      <c r="DRG19" s="1"/>
      <c r="DRH19" s="1"/>
      <c r="DRI19" s="1"/>
      <c r="DRJ19" s="1"/>
      <c r="DRK19" s="1"/>
      <c r="DRL19" s="1"/>
      <c r="DRM19" s="1"/>
      <c r="DRN19" s="1"/>
      <c r="DRO19" s="1"/>
      <c r="DRP19" s="1"/>
      <c r="DRQ19" s="1"/>
      <c r="DRR19" s="1"/>
      <c r="DRS19" s="1"/>
      <c r="DRT19" s="1"/>
      <c r="DRU19" s="1"/>
      <c r="DRV19" s="1"/>
      <c r="DRW19" s="1"/>
      <c r="DRX19" s="1"/>
      <c r="DRY19" s="1"/>
      <c r="DRZ19" s="1"/>
      <c r="DSA19" s="1"/>
      <c r="DSB19" s="1"/>
      <c r="DSC19" s="1"/>
      <c r="DSD19" s="1"/>
      <c r="DSE19" s="1"/>
      <c r="DSF19" s="1"/>
      <c r="DSG19" s="1"/>
      <c r="DSH19" s="1"/>
      <c r="DSI19" s="1"/>
      <c r="DSJ19" s="1"/>
      <c r="DSK19" s="1"/>
      <c r="DSL19" s="1"/>
      <c r="DSM19" s="1"/>
      <c r="DSN19" s="1"/>
      <c r="DSO19" s="1"/>
      <c r="DSP19" s="1"/>
      <c r="DSQ19" s="1"/>
      <c r="DSR19" s="1"/>
      <c r="DSS19" s="1"/>
      <c r="DST19" s="1"/>
      <c r="DSU19" s="1"/>
      <c r="DSV19" s="1"/>
      <c r="DSW19" s="1"/>
      <c r="DSX19" s="1"/>
      <c r="DSY19" s="1"/>
      <c r="DSZ19" s="1"/>
      <c r="DTA19" s="1"/>
      <c r="DTB19" s="1"/>
      <c r="DTC19" s="1"/>
      <c r="DTD19" s="1"/>
      <c r="DTE19" s="1"/>
      <c r="DTF19" s="1"/>
      <c r="DTG19" s="1"/>
      <c r="DTH19" s="1"/>
      <c r="DTI19" s="1"/>
      <c r="DTJ19" s="1"/>
      <c r="DTK19" s="1"/>
      <c r="DTL19" s="1"/>
      <c r="DTM19" s="1"/>
      <c r="DTN19" s="1"/>
      <c r="DTO19" s="1"/>
      <c r="DTP19" s="1"/>
      <c r="DTQ19" s="1"/>
      <c r="DTR19" s="1"/>
      <c r="DTS19" s="1"/>
      <c r="DTT19" s="1"/>
      <c r="DTU19" s="1"/>
      <c r="DTV19" s="1"/>
      <c r="DTW19" s="1"/>
      <c r="DTX19" s="1"/>
      <c r="DTY19" s="1"/>
      <c r="DTZ19" s="1"/>
      <c r="DUA19" s="1"/>
      <c r="DUB19" s="1"/>
      <c r="DUC19" s="1"/>
      <c r="DUD19" s="1"/>
      <c r="DUE19" s="1"/>
      <c r="DUF19" s="1"/>
      <c r="DUG19" s="1"/>
      <c r="DUH19" s="1"/>
      <c r="DUI19" s="1"/>
      <c r="DUJ19" s="1"/>
      <c r="DUK19" s="1"/>
      <c r="DUL19" s="1"/>
      <c r="DUM19" s="1"/>
      <c r="DUN19" s="1"/>
      <c r="DUO19" s="1"/>
      <c r="DUP19" s="1"/>
      <c r="DUQ19" s="1"/>
      <c r="DUR19" s="1"/>
      <c r="DUS19" s="1"/>
      <c r="DUT19" s="1"/>
      <c r="DUU19" s="1"/>
      <c r="DUV19" s="1"/>
      <c r="DUW19" s="1"/>
      <c r="DUX19" s="1"/>
      <c r="DUY19" s="1"/>
      <c r="DUZ19" s="1"/>
      <c r="DVA19" s="1"/>
      <c r="DVB19" s="1"/>
      <c r="DVC19" s="1"/>
      <c r="DVD19" s="1"/>
      <c r="DVE19" s="1"/>
      <c r="DVF19" s="1"/>
      <c r="DVG19" s="1"/>
      <c r="DVH19" s="1"/>
      <c r="DVI19" s="1"/>
      <c r="DVJ19" s="1"/>
      <c r="DVK19" s="1"/>
      <c r="DVL19" s="1"/>
      <c r="DVM19" s="1"/>
      <c r="DVN19" s="1"/>
      <c r="DVO19" s="1"/>
      <c r="DVP19" s="1"/>
      <c r="DVQ19" s="1"/>
      <c r="DVR19" s="1"/>
      <c r="DVS19" s="1"/>
      <c r="DVT19" s="1"/>
      <c r="DVU19" s="1"/>
      <c r="DVV19" s="1"/>
      <c r="DVW19" s="1"/>
      <c r="DVX19" s="1"/>
      <c r="DVY19" s="1"/>
      <c r="DVZ19" s="1"/>
      <c r="DWA19" s="1"/>
      <c r="DWB19" s="1"/>
      <c r="DWC19" s="1"/>
      <c r="DWD19" s="1"/>
      <c r="DWE19" s="1"/>
      <c r="DWF19" s="1"/>
      <c r="DWG19" s="1"/>
      <c r="DWH19" s="1"/>
      <c r="DWI19" s="1"/>
      <c r="DWJ19" s="1"/>
      <c r="DWK19" s="1"/>
      <c r="DWL19" s="1"/>
      <c r="DWM19" s="1"/>
      <c r="DWN19" s="1"/>
      <c r="DWO19" s="1"/>
      <c r="DWP19" s="1"/>
      <c r="DWQ19" s="1"/>
      <c r="DWR19" s="1"/>
      <c r="DWS19" s="1"/>
      <c r="DWT19" s="1"/>
      <c r="DWU19" s="1"/>
      <c r="DWV19" s="1"/>
      <c r="DWW19" s="1"/>
      <c r="DWX19" s="1"/>
      <c r="DWY19" s="1"/>
      <c r="DWZ19" s="1"/>
      <c r="DXA19" s="1"/>
      <c r="DXB19" s="1"/>
      <c r="DXC19" s="1"/>
      <c r="DXD19" s="1"/>
      <c r="DXE19" s="1"/>
      <c r="DXF19" s="1"/>
      <c r="DXG19" s="1"/>
      <c r="DXH19" s="1"/>
      <c r="DXI19" s="1"/>
      <c r="DXJ19" s="1"/>
      <c r="DXK19" s="1"/>
      <c r="DXL19" s="1"/>
      <c r="DXM19" s="1"/>
      <c r="DXN19" s="1"/>
      <c r="DXO19" s="1"/>
      <c r="DXP19" s="1"/>
      <c r="DXQ19" s="1"/>
      <c r="DXR19" s="1"/>
      <c r="DXS19" s="1"/>
      <c r="DXT19" s="1"/>
      <c r="DXU19" s="1"/>
      <c r="DXV19" s="1"/>
      <c r="DXW19" s="1"/>
      <c r="DXX19" s="1"/>
      <c r="DXY19" s="1"/>
      <c r="DXZ19" s="1"/>
      <c r="DYA19" s="1"/>
      <c r="DYB19" s="1"/>
      <c r="DYC19" s="1"/>
      <c r="DYD19" s="1"/>
      <c r="DYE19" s="1"/>
      <c r="DYF19" s="1"/>
      <c r="DYG19" s="1"/>
      <c r="DYH19" s="1"/>
      <c r="DYI19" s="1"/>
      <c r="DYJ19" s="1"/>
      <c r="DYK19" s="1"/>
      <c r="DYL19" s="1"/>
      <c r="DYM19" s="1"/>
      <c r="DYN19" s="1"/>
      <c r="DYO19" s="1"/>
      <c r="DYP19" s="1"/>
      <c r="DYQ19" s="1"/>
      <c r="DYR19" s="1"/>
      <c r="DYS19" s="1"/>
      <c r="DYT19" s="1"/>
      <c r="DYU19" s="1"/>
      <c r="DYV19" s="1"/>
      <c r="DYW19" s="1"/>
      <c r="DYX19" s="1"/>
      <c r="DYY19" s="1"/>
      <c r="DYZ19" s="1"/>
      <c r="DZA19" s="1"/>
      <c r="DZB19" s="1"/>
      <c r="DZC19" s="1"/>
      <c r="DZD19" s="1"/>
      <c r="DZE19" s="1"/>
      <c r="DZF19" s="1"/>
      <c r="DZG19" s="1"/>
      <c r="DZH19" s="1"/>
      <c r="DZI19" s="1"/>
      <c r="DZJ19" s="1"/>
      <c r="DZK19" s="1"/>
      <c r="DZL19" s="1"/>
      <c r="DZM19" s="1"/>
      <c r="DZN19" s="1"/>
      <c r="DZO19" s="1"/>
      <c r="DZP19" s="1"/>
      <c r="DZQ19" s="1"/>
      <c r="DZR19" s="1"/>
      <c r="DZS19" s="1"/>
      <c r="DZT19" s="1"/>
      <c r="DZU19" s="1"/>
      <c r="DZV19" s="1"/>
      <c r="DZW19" s="1"/>
      <c r="DZX19" s="1"/>
      <c r="DZY19" s="1"/>
      <c r="DZZ19" s="1"/>
      <c r="EAA19" s="1"/>
      <c r="EAB19" s="1"/>
      <c r="EAC19" s="1"/>
      <c r="EAD19" s="1"/>
      <c r="EAE19" s="1"/>
      <c r="EAF19" s="1"/>
      <c r="EAG19" s="1"/>
      <c r="EAH19" s="1"/>
      <c r="EAI19" s="1"/>
      <c r="EAJ19" s="1"/>
      <c r="EAK19" s="1"/>
      <c r="EAL19" s="1"/>
      <c r="EAM19" s="1"/>
      <c r="EAN19" s="1"/>
      <c r="EAO19" s="1"/>
      <c r="EAP19" s="1"/>
      <c r="EAQ19" s="1"/>
      <c r="EAR19" s="1"/>
      <c r="EAS19" s="1"/>
      <c r="EAT19" s="1"/>
      <c r="EAU19" s="1"/>
      <c r="EAV19" s="1"/>
      <c r="EAW19" s="1"/>
      <c r="EAX19" s="1"/>
      <c r="EAY19" s="1"/>
      <c r="EAZ19" s="1"/>
      <c r="EBA19" s="1"/>
      <c r="EBB19" s="1"/>
      <c r="EBC19" s="1"/>
      <c r="EBD19" s="1"/>
      <c r="EBE19" s="1"/>
      <c r="EBF19" s="1"/>
      <c r="EBG19" s="1"/>
      <c r="EBH19" s="1"/>
      <c r="EBI19" s="1"/>
      <c r="EBJ19" s="1"/>
      <c r="EBK19" s="1"/>
      <c r="EBL19" s="1"/>
      <c r="EBM19" s="1"/>
      <c r="EBN19" s="1"/>
      <c r="EBO19" s="1"/>
      <c r="EBP19" s="1"/>
      <c r="EBQ19" s="1"/>
      <c r="EBR19" s="1"/>
      <c r="EBS19" s="1"/>
      <c r="EBT19" s="1"/>
      <c r="EBU19" s="1"/>
      <c r="EBV19" s="1"/>
      <c r="EBW19" s="1"/>
      <c r="EBX19" s="1"/>
      <c r="EBY19" s="1"/>
      <c r="EBZ19" s="1"/>
      <c r="ECA19" s="1"/>
      <c r="ECB19" s="1"/>
      <c r="ECC19" s="1"/>
      <c r="ECD19" s="1"/>
      <c r="ECE19" s="1"/>
      <c r="ECF19" s="1"/>
      <c r="ECG19" s="1"/>
      <c r="ECH19" s="1"/>
      <c r="ECI19" s="1"/>
      <c r="ECJ19" s="1"/>
      <c r="ECK19" s="1"/>
      <c r="ECL19" s="1"/>
      <c r="ECM19" s="1"/>
      <c r="ECN19" s="1"/>
      <c r="ECO19" s="1"/>
      <c r="ECP19" s="1"/>
      <c r="ECQ19" s="1"/>
      <c r="ECR19" s="1"/>
      <c r="ECS19" s="1"/>
      <c r="ECT19" s="1"/>
      <c r="ECU19" s="1"/>
      <c r="ECV19" s="1"/>
      <c r="ECW19" s="1"/>
      <c r="ECX19" s="1"/>
      <c r="ECY19" s="1"/>
      <c r="ECZ19" s="1"/>
      <c r="EDA19" s="1"/>
      <c r="EDB19" s="1"/>
      <c r="EDC19" s="1"/>
      <c r="EDD19" s="1"/>
      <c r="EDE19" s="1"/>
      <c r="EDF19" s="1"/>
      <c r="EDG19" s="1"/>
      <c r="EDH19" s="1"/>
      <c r="EDI19" s="1"/>
      <c r="EDJ19" s="1"/>
      <c r="EDK19" s="1"/>
      <c r="EDL19" s="1"/>
      <c r="EDM19" s="1"/>
      <c r="EDN19" s="1"/>
      <c r="EDO19" s="1"/>
      <c r="EDP19" s="1"/>
      <c r="EDQ19" s="1"/>
      <c r="EDR19" s="1"/>
      <c r="EDS19" s="1"/>
      <c r="EDT19" s="1"/>
      <c r="EDU19" s="1"/>
      <c r="EDV19" s="1"/>
      <c r="EDW19" s="1"/>
      <c r="EDX19" s="1"/>
      <c r="EDY19" s="1"/>
      <c r="EDZ19" s="1"/>
      <c r="EEA19" s="1"/>
      <c r="EEB19" s="1"/>
      <c r="EEC19" s="1"/>
      <c r="EED19" s="1"/>
      <c r="EEE19" s="1"/>
      <c r="EEF19" s="1"/>
      <c r="EEG19" s="1"/>
      <c r="EEH19" s="1"/>
      <c r="EEI19" s="1"/>
      <c r="EEJ19" s="1"/>
      <c r="EEK19" s="1"/>
      <c r="EEL19" s="1"/>
      <c r="EEM19" s="1"/>
      <c r="EEN19" s="1"/>
      <c r="EEO19" s="1"/>
      <c r="EEP19" s="1"/>
      <c r="EEQ19" s="1"/>
      <c r="EER19" s="1"/>
      <c r="EES19" s="1"/>
      <c r="EET19" s="1"/>
      <c r="EEU19" s="1"/>
      <c r="EEV19" s="1"/>
      <c r="EEW19" s="1"/>
      <c r="EEX19" s="1"/>
      <c r="EEY19" s="1"/>
      <c r="EEZ19" s="1"/>
      <c r="EFA19" s="1"/>
      <c r="EFB19" s="1"/>
      <c r="EFC19" s="1"/>
      <c r="EFD19" s="1"/>
      <c r="EFE19" s="1"/>
      <c r="EFF19" s="1"/>
      <c r="EFG19" s="1"/>
      <c r="EFH19" s="1"/>
      <c r="EFI19" s="1"/>
      <c r="EFJ19" s="1"/>
      <c r="EFK19" s="1"/>
      <c r="EFL19" s="1"/>
      <c r="EFM19" s="1"/>
      <c r="EFN19" s="1"/>
      <c r="EFO19" s="1"/>
      <c r="EFP19" s="1"/>
      <c r="EFQ19" s="1"/>
      <c r="EFR19" s="1"/>
      <c r="EFS19" s="1"/>
      <c r="EFT19" s="1"/>
      <c r="EFU19" s="1"/>
      <c r="EFV19" s="1"/>
      <c r="EFW19" s="1"/>
      <c r="EFX19" s="1"/>
      <c r="EFY19" s="1"/>
      <c r="EFZ19" s="1"/>
      <c r="EGA19" s="1"/>
      <c r="EGB19" s="1"/>
      <c r="EGC19" s="1"/>
      <c r="EGD19" s="1"/>
      <c r="EGE19" s="1"/>
      <c r="EGF19" s="1"/>
      <c r="EGG19" s="1"/>
      <c r="EGH19" s="1"/>
      <c r="EGI19" s="1"/>
      <c r="EGJ19" s="1"/>
      <c r="EGK19" s="1"/>
      <c r="EGL19" s="1"/>
      <c r="EGM19" s="1"/>
      <c r="EGN19" s="1"/>
      <c r="EGO19" s="1"/>
      <c r="EGP19" s="1"/>
      <c r="EGQ19" s="1"/>
      <c r="EGR19" s="1"/>
      <c r="EGS19" s="1"/>
      <c r="EGT19" s="1"/>
      <c r="EGU19" s="1"/>
      <c r="EGV19" s="1"/>
      <c r="EGW19" s="1"/>
      <c r="EGX19" s="1"/>
      <c r="EGY19" s="1"/>
      <c r="EGZ19" s="1"/>
      <c r="EHA19" s="1"/>
      <c r="EHB19" s="1"/>
      <c r="EHC19" s="1"/>
      <c r="EHD19" s="1"/>
      <c r="EHE19" s="1"/>
      <c r="EHF19" s="1"/>
      <c r="EHG19" s="1"/>
      <c r="EHH19" s="1"/>
      <c r="EHI19" s="1"/>
      <c r="EHJ19" s="1"/>
      <c r="EHK19" s="1"/>
      <c r="EHL19" s="1"/>
      <c r="EHM19" s="1"/>
      <c r="EHN19" s="1"/>
      <c r="EHO19" s="1"/>
      <c r="EHP19" s="1"/>
      <c r="EHQ19" s="1"/>
      <c r="EHR19" s="1"/>
      <c r="EHS19" s="1"/>
      <c r="EHT19" s="1"/>
      <c r="EHU19" s="1"/>
      <c r="EHV19" s="1"/>
      <c r="EHW19" s="1"/>
      <c r="EHX19" s="1"/>
      <c r="EHY19" s="1"/>
      <c r="EHZ19" s="1"/>
      <c r="EIA19" s="1"/>
      <c r="EIB19" s="1"/>
      <c r="EIC19" s="1"/>
      <c r="EID19" s="1"/>
      <c r="EIE19" s="1"/>
      <c r="EIF19" s="1"/>
      <c r="EIG19" s="1"/>
      <c r="EIH19" s="1"/>
      <c r="EII19" s="1"/>
      <c r="EIJ19" s="1"/>
      <c r="EIK19" s="1"/>
      <c r="EIL19" s="1"/>
      <c r="EIM19" s="1"/>
      <c r="EIN19" s="1"/>
      <c r="EIO19" s="1"/>
      <c r="EIP19" s="1"/>
      <c r="EIQ19" s="1"/>
      <c r="EIR19" s="1"/>
      <c r="EIS19" s="1"/>
      <c r="EIT19" s="1"/>
      <c r="EIU19" s="1"/>
      <c r="EIV19" s="1"/>
      <c r="EIW19" s="1"/>
      <c r="EIX19" s="1"/>
      <c r="EIY19" s="1"/>
      <c r="EIZ19" s="1"/>
      <c r="EJA19" s="1"/>
      <c r="EJB19" s="1"/>
      <c r="EJC19" s="1"/>
      <c r="EJD19" s="1"/>
      <c r="EJE19" s="1"/>
      <c r="EJF19" s="1"/>
      <c r="EJG19" s="1"/>
      <c r="EJH19" s="1"/>
      <c r="EJI19" s="1"/>
      <c r="EJJ19" s="1"/>
      <c r="EJK19" s="1"/>
      <c r="EJL19" s="1"/>
      <c r="EJM19" s="1"/>
      <c r="EJN19" s="1"/>
      <c r="EJO19" s="1"/>
      <c r="EJP19" s="1"/>
      <c r="EJQ19" s="1"/>
      <c r="EJR19" s="1"/>
      <c r="EJS19" s="1"/>
      <c r="EJT19" s="1"/>
      <c r="EJU19" s="1"/>
      <c r="EJV19" s="1"/>
      <c r="EJW19" s="1"/>
      <c r="EJX19" s="1"/>
      <c r="EJY19" s="1"/>
      <c r="EJZ19" s="1"/>
      <c r="EKA19" s="1"/>
      <c r="EKB19" s="1"/>
      <c r="EKC19" s="1"/>
      <c r="EKD19" s="1"/>
      <c r="EKE19" s="1"/>
      <c r="EKF19" s="1"/>
      <c r="EKG19" s="1"/>
      <c r="EKH19" s="1"/>
      <c r="EKI19" s="1"/>
      <c r="EKJ19" s="1"/>
      <c r="EKK19" s="1"/>
      <c r="EKL19" s="1"/>
      <c r="EKM19" s="1"/>
      <c r="EKN19" s="1"/>
      <c r="EKO19" s="1"/>
      <c r="EKP19" s="1"/>
      <c r="EKQ19" s="1"/>
      <c r="EKR19" s="1"/>
      <c r="EKS19" s="1"/>
      <c r="EKT19" s="1"/>
      <c r="EKU19" s="1"/>
      <c r="EKV19" s="1"/>
      <c r="EKW19" s="1"/>
      <c r="EKX19" s="1"/>
      <c r="EKY19" s="1"/>
      <c r="EKZ19" s="1"/>
      <c r="ELA19" s="1"/>
      <c r="ELB19" s="1"/>
      <c r="ELC19" s="1"/>
      <c r="ELD19" s="1"/>
      <c r="ELE19" s="1"/>
      <c r="ELF19" s="1"/>
      <c r="ELG19" s="1"/>
      <c r="ELH19" s="1"/>
      <c r="ELI19" s="1"/>
      <c r="ELJ19" s="1"/>
      <c r="ELK19" s="1"/>
      <c r="ELL19" s="1"/>
      <c r="ELM19" s="1"/>
      <c r="ELN19" s="1"/>
      <c r="ELO19" s="1"/>
      <c r="ELP19" s="1"/>
      <c r="ELQ19" s="1"/>
      <c r="ELR19" s="1"/>
      <c r="ELS19" s="1"/>
      <c r="ELT19" s="1"/>
      <c r="ELU19" s="1"/>
      <c r="ELV19" s="1"/>
      <c r="ELW19" s="1"/>
      <c r="ELX19" s="1"/>
      <c r="ELY19" s="1"/>
      <c r="ELZ19" s="1"/>
      <c r="EMA19" s="1"/>
      <c r="EMB19" s="1"/>
      <c r="EMC19" s="1"/>
      <c r="EMD19" s="1"/>
      <c r="EME19" s="1"/>
      <c r="EMF19" s="1"/>
      <c r="EMG19" s="1"/>
      <c r="EMH19" s="1"/>
      <c r="EMI19" s="1"/>
      <c r="EMJ19" s="1"/>
      <c r="EMK19" s="1"/>
      <c r="EML19" s="1"/>
      <c r="EMM19" s="1"/>
      <c r="EMN19" s="1"/>
      <c r="EMO19" s="1"/>
      <c r="EMP19" s="1"/>
      <c r="EMQ19" s="1"/>
      <c r="EMR19" s="1"/>
      <c r="EMS19" s="1"/>
      <c r="EMT19" s="1"/>
      <c r="EMU19" s="1"/>
      <c r="EMV19" s="1"/>
      <c r="EMW19" s="1"/>
      <c r="EMX19" s="1"/>
      <c r="EMY19" s="1"/>
      <c r="EMZ19" s="1"/>
      <c r="ENA19" s="1"/>
      <c r="ENB19" s="1"/>
      <c r="ENC19" s="1"/>
      <c r="END19" s="1"/>
      <c r="ENE19" s="1"/>
      <c r="ENF19" s="1"/>
      <c r="ENG19" s="1"/>
      <c r="ENH19" s="1"/>
      <c r="ENI19" s="1"/>
      <c r="ENJ19" s="1"/>
      <c r="ENK19" s="1"/>
      <c r="ENL19" s="1"/>
      <c r="ENM19" s="1"/>
      <c r="ENN19" s="1"/>
      <c r="ENO19" s="1"/>
      <c r="ENP19" s="1"/>
      <c r="ENQ19" s="1"/>
      <c r="ENR19" s="1"/>
      <c r="ENS19" s="1"/>
      <c r="ENT19" s="1"/>
      <c r="ENU19" s="1"/>
      <c r="ENV19" s="1"/>
      <c r="ENW19" s="1"/>
      <c r="ENX19" s="1"/>
      <c r="ENY19" s="1"/>
      <c r="ENZ19" s="1"/>
      <c r="EOA19" s="1"/>
      <c r="EOB19" s="1"/>
      <c r="EOC19" s="1"/>
      <c r="EOD19" s="1"/>
      <c r="EOE19" s="1"/>
      <c r="EOF19" s="1"/>
      <c r="EOG19" s="1"/>
      <c r="EOH19" s="1"/>
      <c r="EOI19" s="1"/>
      <c r="EOJ19" s="1"/>
      <c r="EOK19" s="1"/>
      <c r="EOL19" s="1"/>
      <c r="EOM19" s="1"/>
      <c r="EON19" s="1"/>
      <c r="EOO19" s="1"/>
      <c r="EOP19" s="1"/>
      <c r="EOQ19" s="1"/>
      <c r="EOR19" s="1"/>
      <c r="EOS19" s="1"/>
      <c r="EOT19" s="1"/>
      <c r="EOU19" s="1"/>
      <c r="EOV19" s="1"/>
      <c r="EOW19" s="1"/>
      <c r="EOX19" s="1"/>
      <c r="EOY19" s="1"/>
      <c r="EOZ19" s="1"/>
      <c r="EPA19" s="1"/>
      <c r="EPB19" s="1"/>
      <c r="EPC19" s="1"/>
      <c r="EPD19" s="1"/>
      <c r="EPE19" s="1"/>
      <c r="EPF19" s="1"/>
      <c r="EPG19" s="1"/>
      <c r="EPH19" s="1"/>
      <c r="EPI19" s="1"/>
      <c r="EPJ19" s="1"/>
      <c r="EPK19" s="1"/>
      <c r="EPL19" s="1"/>
      <c r="EPM19" s="1"/>
      <c r="EPN19" s="1"/>
      <c r="EPO19" s="1"/>
      <c r="EPP19" s="1"/>
      <c r="EPQ19" s="1"/>
      <c r="EPR19" s="1"/>
      <c r="EPS19" s="1"/>
      <c r="EPT19" s="1"/>
      <c r="EPU19" s="1"/>
      <c r="EPV19" s="1"/>
      <c r="EPW19" s="1"/>
      <c r="EPX19" s="1"/>
      <c r="EPY19" s="1"/>
      <c r="EPZ19" s="1"/>
      <c r="EQA19" s="1"/>
      <c r="EQB19" s="1"/>
      <c r="EQC19" s="1"/>
      <c r="EQD19" s="1"/>
      <c r="EQE19" s="1"/>
      <c r="EQF19" s="1"/>
      <c r="EQG19" s="1"/>
      <c r="EQH19" s="1"/>
      <c r="EQI19" s="1"/>
      <c r="EQJ19" s="1"/>
      <c r="EQK19" s="1"/>
      <c r="EQL19" s="1"/>
      <c r="EQM19" s="1"/>
      <c r="EQN19" s="1"/>
      <c r="EQO19" s="1"/>
      <c r="EQP19" s="1"/>
      <c r="EQQ19" s="1"/>
      <c r="EQR19" s="1"/>
      <c r="EQS19" s="1"/>
      <c r="EQT19" s="1"/>
      <c r="EQU19" s="1"/>
      <c r="EQV19" s="1"/>
      <c r="EQW19" s="1"/>
      <c r="EQX19" s="1"/>
      <c r="EQY19" s="1"/>
      <c r="EQZ19" s="1"/>
      <c r="ERA19" s="1"/>
      <c r="ERB19" s="1"/>
      <c r="ERC19" s="1"/>
      <c r="ERD19" s="1"/>
      <c r="ERE19" s="1"/>
      <c r="ERF19" s="1"/>
      <c r="ERG19" s="1"/>
      <c r="ERH19" s="1"/>
      <c r="ERI19" s="1"/>
      <c r="ERJ19" s="1"/>
      <c r="ERK19" s="1"/>
      <c r="ERL19" s="1"/>
      <c r="ERM19" s="1"/>
      <c r="ERN19" s="1"/>
      <c r="ERO19" s="1"/>
      <c r="ERP19" s="1"/>
      <c r="ERQ19" s="1"/>
      <c r="ERR19" s="1"/>
      <c r="ERS19" s="1"/>
      <c r="ERT19" s="1"/>
      <c r="ERU19" s="1"/>
      <c r="ERV19" s="1"/>
      <c r="ERW19" s="1"/>
      <c r="ERX19" s="1"/>
      <c r="ERY19" s="1"/>
      <c r="ERZ19" s="1"/>
      <c r="ESA19" s="1"/>
      <c r="ESB19" s="1"/>
      <c r="ESC19" s="1"/>
      <c r="ESD19" s="1"/>
      <c r="ESE19" s="1"/>
      <c r="ESF19" s="1"/>
      <c r="ESG19" s="1"/>
      <c r="ESH19" s="1"/>
      <c r="ESI19" s="1"/>
      <c r="ESJ19" s="1"/>
      <c r="ESK19" s="1"/>
      <c r="ESL19" s="1"/>
      <c r="ESM19" s="1"/>
      <c r="ESN19" s="1"/>
      <c r="ESO19" s="1"/>
      <c r="ESP19" s="1"/>
      <c r="ESQ19" s="1"/>
      <c r="ESR19" s="1"/>
      <c r="ESS19" s="1"/>
      <c r="EST19" s="1"/>
      <c r="ESU19" s="1"/>
      <c r="ESV19" s="1"/>
      <c r="ESW19" s="1"/>
      <c r="ESX19" s="1"/>
      <c r="ESY19" s="1"/>
      <c r="ESZ19" s="1"/>
      <c r="ETA19" s="1"/>
      <c r="ETB19" s="1"/>
      <c r="ETC19" s="1"/>
      <c r="ETD19" s="1"/>
      <c r="ETE19" s="1"/>
      <c r="ETF19" s="1"/>
      <c r="ETG19" s="1"/>
      <c r="ETH19" s="1"/>
      <c r="ETI19" s="1"/>
      <c r="ETJ19" s="1"/>
      <c r="ETK19" s="1"/>
      <c r="ETL19" s="1"/>
      <c r="ETM19" s="1"/>
      <c r="ETN19" s="1"/>
      <c r="ETO19" s="1"/>
      <c r="ETP19" s="1"/>
      <c r="ETQ19" s="1"/>
      <c r="ETR19" s="1"/>
      <c r="ETS19" s="1"/>
      <c r="ETT19" s="1"/>
      <c r="ETU19" s="1"/>
      <c r="ETV19" s="1"/>
      <c r="ETW19" s="1"/>
      <c r="ETX19" s="1"/>
      <c r="ETY19" s="1"/>
      <c r="ETZ19" s="1"/>
      <c r="EUA19" s="1"/>
      <c r="EUB19" s="1"/>
      <c r="EUC19" s="1"/>
      <c r="EUD19" s="1"/>
      <c r="EUE19" s="1"/>
      <c r="EUF19" s="1"/>
      <c r="EUG19" s="1"/>
      <c r="EUH19" s="1"/>
      <c r="EUI19" s="1"/>
      <c r="EUJ19" s="1"/>
      <c r="EUK19" s="1"/>
      <c r="EUL19" s="1"/>
      <c r="EUM19" s="1"/>
      <c r="EUN19" s="1"/>
      <c r="EUO19" s="1"/>
      <c r="EUP19" s="1"/>
      <c r="EUQ19" s="1"/>
      <c r="EUR19" s="1"/>
      <c r="EUS19" s="1"/>
      <c r="EUT19" s="1"/>
      <c r="EUU19" s="1"/>
      <c r="EUV19" s="1"/>
      <c r="EUW19" s="1"/>
      <c r="EUX19" s="1"/>
      <c r="EUY19" s="1"/>
      <c r="EUZ19" s="1"/>
      <c r="EVA19" s="1"/>
      <c r="EVB19" s="1"/>
      <c r="EVC19" s="1"/>
      <c r="EVD19" s="1"/>
      <c r="EVE19" s="1"/>
      <c r="EVF19" s="1"/>
      <c r="EVG19" s="1"/>
      <c r="EVH19" s="1"/>
      <c r="EVI19" s="1"/>
      <c r="EVJ19" s="1"/>
      <c r="EVK19" s="1"/>
      <c r="EVL19" s="1"/>
      <c r="EVM19" s="1"/>
      <c r="EVN19" s="1"/>
      <c r="EVO19" s="1"/>
      <c r="EVP19" s="1"/>
      <c r="EVQ19" s="1"/>
      <c r="EVR19" s="1"/>
      <c r="EVS19" s="1"/>
      <c r="EVT19" s="1"/>
      <c r="EVU19" s="1"/>
      <c r="EVV19" s="1"/>
      <c r="EVW19" s="1"/>
      <c r="EVX19" s="1"/>
      <c r="EVY19" s="1"/>
      <c r="EVZ19" s="1"/>
      <c r="EWA19" s="1"/>
      <c r="EWB19" s="1"/>
      <c r="EWC19" s="1"/>
      <c r="EWD19" s="1"/>
      <c r="EWE19" s="1"/>
      <c r="EWF19" s="1"/>
      <c r="EWG19" s="1"/>
      <c r="EWH19" s="1"/>
      <c r="EWI19" s="1"/>
      <c r="EWJ19" s="1"/>
      <c r="EWK19" s="1"/>
      <c r="EWL19" s="1"/>
      <c r="EWM19" s="1"/>
      <c r="EWN19" s="1"/>
      <c r="EWO19" s="1"/>
      <c r="EWP19" s="1"/>
      <c r="EWQ19" s="1"/>
      <c r="EWR19" s="1"/>
      <c r="EWS19" s="1"/>
      <c r="EWT19" s="1"/>
      <c r="EWU19" s="1"/>
      <c r="EWV19" s="1"/>
      <c r="EWW19" s="1"/>
      <c r="EWX19" s="1"/>
      <c r="EWY19" s="1"/>
      <c r="EWZ19" s="1"/>
      <c r="EXA19" s="1"/>
      <c r="EXB19" s="1"/>
      <c r="EXC19" s="1"/>
      <c r="EXD19" s="1"/>
      <c r="EXE19" s="1"/>
      <c r="EXF19" s="1"/>
      <c r="EXG19" s="1"/>
      <c r="EXH19" s="1"/>
      <c r="EXI19" s="1"/>
      <c r="EXJ19" s="1"/>
      <c r="EXK19" s="1"/>
      <c r="EXL19" s="1"/>
      <c r="EXM19" s="1"/>
      <c r="EXN19" s="1"/>
      <c r="EXO19" s="1"/>
      <c r="EXP19" s="1"/>
      <c r="EXQ19" s="1"/>
      <c r="EXR19" s="1"/>
      <c r="EXS19" s="1"/>
      <c r="EXT19" s="1"/>
      <c r="EXU19" s="1"/>
      <c r="EXV19" s="1"/>
      <c r="EXW19" s="1"/>
      <c r="EXX19" s="1"/>
      <c r="EXY19" s="1"/>
      <c r="EXZ19" s="1"/>
      <c r="EYA19" s="1"/>
      <c r="EYB19" s="1"/>
      <c r="EYC19" s="1"/>
      <c r="EYD19" s="1"/>
      <c r="EYE19" s="1"/>
      <c r="EYF19" s="1"/>
      <c r="EYG19" s="1"/>
      <c r="EYH19" s="1"/>
      <c r="EYI19" s="1"/>
      <c r="EYJ19" s="1"/>
      <c r="EYK19" s="1"/>
      <c r="EYL19" s="1"/>
      <c r="EYM19" s="1"/>
      <c r="EYN19" s="1"/>
      <c r="EYO19" s="1"/>
      <c r="EYP19" s="1"/>
      <c r="EYQ19" s="1"/>
      <c r="EYR19" s="1"/>
      <c r="EYS19" s="1"/>
      <c r="EYT19" s="1"/>
      <c r="EYU19" s="1"/>
      <c r="EYV19" s="1"/>
      <c r="EYW19" s="1"/>
      <c r="EYX19" s="1"/>
      <c r="EYY19" s="1"/>
      <c r="EYZ19" s="1"/>
      <c r="EZA19" s="1"/>
      <c r="EZB19" s="1"/>
      <c r="EZC19" s="1"/>
      <c r="EZD19" s="1"/>
      <c r="EZE19" s="1"/>
      <c r="EZF19" s="1"/>
      <c r="EZG19" s="1"/>
      <c r="EZH19" s="1"/>
      <c r="EZI19" s="1"/>
      <c r="EZJ19" s="1"/>
      <c r="EZK19" s="1"/>
      <c r="EZL19" s="1"/>
      <c r="EZM19" s="1"/>
      <c r="EZN19" s="1"/>
      <c r="EZO19" s="1"/>
      <c r="EZP19" s="1"/>
      <c r="EZQ19" s="1"/>
      <c r="EZR19" s="1"/>
      <c r="EZS19" s="1"/>
      <c r="EZT19" s="1"/>
      <c r="EZU19" s="1"/>
      <c r="EZV19" s="1"/>
      <c r="EZW19" s="1"/>
      <c r="EZX19" s="1"/>
      <c r="EZY19" s="1"/>
      <c r="EZZ19" s="1"/>
      <c r="FAA19" s="1"/>
      <c r="FAB19" s="1"/>
      <c r="FAC19" s="1"/>
      <c r="FAD19" s="1"/>
      <c r="FAE19" s="1"/>
      <c r="FAF19" s="1"/>
      <c r="FAG19" s="1"/>
      <c r="FAH19" s="1"/>
      <c r="FAI19" s="1"/>
      <c r="FAJ19" s="1"/>
      <c r="FAK19" s="1"/>
      <c r="FAL19" s="1"/>
      <c r="FAM19" s="1"/>
      <c r="FAN19" s="1"/>
      <c r="FAO19" s="1"/>
      <c r="FAP19" s="1"/>
      <c r="FAQ19" s="1"/>
      <c r="FAR19" s="1"/>
      <c r="FAS19" s="1"/>
      <c r="FAT19" s="1"/>
      <c r="FAU19" s="1"/>
      <c r="FAV19" s="1"/>
      <c r="FAW19" s="1"/>
      <c r="FAX19" s="1"/>
      <c r="FAY19" s="1"/>
      <c r="FAZ19" s="1"/>
      <c r="FBA19" s="1"/>
      <c r="FBB19" s="1"/>
      <c r="FBC19" s="1"/>
      <c r="FBD19" s="1"/>
      <c r="FBE19" s="1"/>
      <c r="FBF19" s="1"/>
      <c r="FBG19" s="1"/>
      <c r="FBH19" s="1"/>
      <c r="FBI19" s="1"/>
      <c r="FBJ19" s="1"/>
      <c r="FBK19" s="1"/>
      <c r="FBL19" s="1"/>
      <c r="FBM19" s="1"/>
      <c r="FBN19" s="1"/>
      <c r="FBO19" s="1"/>
      <c r="FBP19" s="1"/>
      <c r="FBQ19" s="1"/>
      <c r="FBR19" s="1"/>
      <c r="FBS19" s="1"/>
      <c r="FBT19" s="1"/>
      <c r="FBU19" s="1"/>
      <c r="FBV19" s="1"/>
      <c r="FBW19" s="1"/>
      <c r="FBX19" s="1"/>
      <c r="FBY19" s="1"/>
      <c r="FBZ19" s="1"/>
      <c r="FCA19" s="1"/>
      <c r="FCB19" s="1"/>
      <c r="FCC19" s="1"/>
      <c r="FCD19" s="1"/>
      <c r="FCE19" s="1"/>
      <c r="FCF19" s="1"/>
      <c r="FCG19" s="1"/>
      <c r="FCH19" s="1"/>
      <c r="FCI19" s="1"/>
      <c r="FCJ19" s="1"/>
      <c r="FCK19" s="1"/>
      <c r="FCL19" s="1"/>
      <c r="FCM19" s="1"/>
      <c r="FCN19" s="1"/>
      <c r="FCO19" s="1"/>
      <c r="FCP19" s="1"/>
      <c r="FCQ19" s="1"/>
      <c r="FCR19" s="1"/>
      <c r="FCS19" s="1"/>
      <c r="FCT19" s="1"/>
      <c r="FCU19" s="1"/>
      <c r="FCV19" s="1"/>
      <c r="FCW19" s="1"/>
      <c r="FCX19" s="1"/>
      <c r="FCY19" s="1"/>
      <c r="FCZ19" s="1"/>
      <c r="FDA19" s="1"/>
      <c r="FDB19" s="1"/>
      <c r="FDC19" s="1"/>
      <c r="FDD19" s="1"/>
      <c r="FDE19" s="1"/>
      <c r="FDF19" s="1"/>
      <c r="FDG19" s="1"/>
      <c r="FDH19" s="1"/>
      <c r="FDI19" s="1"/>
      <c r="FDJ19" s="1"/>
      <c r="FDK19" s="1"/>
      <c r="FDL19" s="1"/>
      <c r="FDM19" s="1"/>
      <c r="FDN19" s="1"/>
      <c r="FDO19" s="1"/>
      <c r="FDP19" s="1"/>
      <c r="FDQ19" s="1"/>
      <c r="FDR19" s="1"/>
      <c r="FDS19" s="1"/>
      <c r="FDT19" s="1"/>
      <c r="FDU19" s="1"/>
      <c r="FDV19" s="1"/>
      <c r="FDW19" s="1"/>
      <c r="FDX19" s="1"/>
      <c r="FDY19" s="1"/>
      <c r="FDZ19" s="1"/>
      <c r="FEA19" s="1"/>
      <c r="FEB19" s="1"/>
      <c r="FEC19" s="1"/>
      <c r="FED19" s="1"/>
      <c r="FEE19" s="1"/>
      <c r="FEF19" s="1"/>
      <c r="FEG19" s="1"/>
      <c r="FEH19" s="1"/>
      <c r="FEI19" s="1"/>
      <c r="FEJ19" s="1"/>
      <c r="FEK19" s="1"/>
      <c r="FEL19" s="1"/>
      <c r="FEM19" s="1"/>
      <c r="FEN19" s="1"/>
      <c r="FEO19" s="1"/>
      <c r="FEP19" s="1"/>
      <c r="FEQ19" s="1"/>
      <c r="FER19" s="1"/>
      <c r="FES19" s="1"/>
      <c r="FET19" s="1"/>
      <c r="FEU19" s="1"/>
      <c r="FEV19" s="1"/>
      <c r="FEW19" s="1"/>
      <c r="FEX19" s="1"/>
      <c r="FEY19" s="1"/>
      <c r="FEZ19" s="1"/>
      <c r="FFA19" s="1"/>
      <c r="FFB19" s="1"/>
      <c r="FFC19" s="1"/>
      <c r="FFD19" s="1"/>
      <c r="FFE19" s="1"/>
      <c r="FFF19" s="1"/>
      <c r="FFG19" s="1"/>
      <c r="FFH19" s="1"/>
      <c r="FFI19" s="1"/>
      <c r="FFJ19" s="1"/>
      <c r="FFK19" s="1"/>
      <c r="FFL19" s="1"/>
      <c r="FFM19" s="1"/>
      <c r="FFN19" s="1"/>
      <c r="FFO19" s="1"/>
      <c r="FFP19" s="1"/>
      <c r="FFQ19" s="1"/>
      <c r="FFR19" s="1"/>
      <c r="FFS19" s="1"/>
      <c r="FFT19" s="1"/>
      <c r="FFU19" s="1"/>
      <c r="FFV19" s="1"/>
      <c r="FFW19" s="1"/>
      <c r="FFX19" s="1"/>
      <c r="FFY19" s="1"/>
      <c r="FFZ19" s="1"/>
      <c r="FGA19" s="1"/>
      <c r="FGB19" s="1"/>
      <c r="FGC19" s="1"/>
      <c r="FGD19" s="1"/>
      <c r="FGE19" s="1"/>
      <c r="FGF19" s="1"/>
      <c r="FGG19" s="1"/>
      <c r="FGH19" s="1"/>
      <c r="FGI19" s="1"/>
      <c r="FGJ19" s="1"/>
      <c r="FGK19" s="1"/>
      <c r="FGL19" s="1"/>
      <c r="FGM19" s="1"/>
      <c r="FGN19" s="1"/>
      <c r="FGO19" s="1"/>
      <c r="FGP19" s="1"/>
      <c r="FGQ19" s="1"/>
      <c r="FGR19" s="1"/>
      <c r="FGS19" s="1"/>
      <c r="FGT19" s="1"/>
      <c r="FGU19" s="1"/>
      <c r="FGV19" s="1"/>
      <c r="FGW19" s="1"/>
      <c r="FGX19" s="1"/>
      <c r="FGY19" s="1"/>
      <c r="FGZ19" s="1"/>
      <c r="FHA19" s="1"/>
      <c r="FHB19" s="1"/>
      <c r="FHC19" s="1"/>
      <c r="FHD19" s="1"/>
      <c r="FHE19" s="1"/>
      <c r="FHF19" s="1"/>
      <c r="FHG19" s="1"/>
      <c r="FHH19" s="1"/>
      <c r="FHI19" s="1"/>
      <c r="FHJ19" s="1"/>
      <c r="FHK19" s="1"/>
      <c r="FHL19" s="1"/>
      <c r="FHM19" s="1"/>
      <c r="FHN19" s="1"/>
      <c r="FHO19" s="1"/>
      <c r="FHP19" s="1"/>
      <c r="FHQ19" s="1"/>
      <c r="FHR19" s="1"/>
      <c r="FHS19" s="1"/>
      <c r="FHT19" s="1"/>
      <c r="FHU19" s="1"/>
      <c r="FHV19" s="1"/>
      <c r="FHW19" s="1"/>
      <c r="FHX19" s="1"/>
      <c r="FHY19" s="1"/>
      <c r="FHZ19" s="1"/>
      <c r="FIA19" s="1"/>
      <c r="FIB19" s="1"/>
      <c r="FIC19" s="1"/>
      <c r="FID19" s="1"/>
      <c r="FIE19" s="1"/>
      <c r="FIF19" s="1"/>
      <c r="FIG19" s="1"/>
      <c r="FIH19" s="1"/>
      <c r="FII19" s="1"/>
      <c r="FIJ19" s="1"/>
      <c r="FIK19" s="1"/>
      <c r="FIL19" s="1"/>
      <c r="FIM19" s="1"/>
      <c r="FIN19" s="1"/>
      <c r="FIO19" s="1"/>
      <c r="FIP19" s="1"/>
      <c r="FIQ19" s="1"/>
      <c r="FIR19" s="1"/>
      <c r="FIS19" s="1"/>
      <c r="FIT19" s="1"/>
      <c r="FIU19" s="1"/>
      <c r="FIV19" s="1"/>
      <c r="FIW19" s="1"/>
      <c r="FIX19" s="1"/>
      <c r="FIY19" s="1"/>
      <c r="FIZ19" s="1"/>
      <c r="FJA19" s="1"/>
      <c r="FJB19" s="1"/>
      <c r="FJC19" s="1"/>
      <c r="FJD19" s="1"/>
      <c r="FJE19" s="1"/>
      <c r="FJF19" s="1"/>
      <c r="FJG19" s="1"/>
      <c r="FJH19" s="1"/>
      <c r="FJI19" s="1"/>
      <c r="FJJ19" s="1"/>
      <c r="FJK19" s="1"/>
      <c r="FJL19" s="1"/>
      <c r="FJM19" s="1"/>
      <c r="FJN19" s="1"/>
      <c r="FJO19" s="1"/>
      <c r="FJP19" s="1"/>
      <c r="FJQ19" s="1"/>
      <c r="FJR19" s="1"/>
      <c r="FJS19" s="1"/>
      <c r="FJT19" s="1"/>
      <c r="FJU19" s="1"/>
      <c r="FJV19" s="1"/>
      <c r="FJW19" s="1"/>
      <c r="FJX19" s="1"/>
      <c r="FJY19" s="1"/>
      <c r="FJZ19" s="1"/>
      <c r="FKA19" s="1"/>
      <c r="FKB19" s="1"/>
      <c r="FKC19" s="1"/>
      <c r="FKD19" s="1"/>
      <c r="FKE19" s="1"/>
      <c r="FKF19" s="1"/>
      <c r="FKG19" s="1"/>
      <c r="FKH19" s="1"/>
      <c r="FKI19" s="1"/>
      <c r="FKJ19" s="1"/>
      <c r="FKK19" s="1"/>
      <c r="FKL19" s="1"/>
      <c r="FKM19" s="1"/>
      <c r="FKN19" s="1"/>
      <c r="FKO19" s="1"/>
      <c r="FKP19" s="1"/>
      <c r="FKQ19" s="1"/>
      <c r="FKR19" s="1"/>
      <c r="FKS19" s="1"/>
      <c r="FKT19" s="1"/>
      <c r="FKU19" s="1"/>
      <c r="FKV19" s="1"/>
      <c r="FKW19" s="1"/>
      <c r="FKX19" s="1"/>
      <c r="FKY19" s="1"/>
      <c r="FKZ19" s="1"/>
      <c r="FLA19" s="1"/>
      <c r="FLB19" s="1"/>
      <c r="FLC19" s="1"/>
      <c r="FLD19" s="1"/>
      <c r="FLE19" s="1"/>
      <c r="FLF19" s="1"/>
      <c r="FLG19" s="1"/>
      <c r="FLH19" s="1"/>
      <c r="FLI19" s="1"/>
      <c r="FLJ19" s="1"/>
      <c r="FLK19" s="1"/>
      <c r="FLL19" s="1"/>
      <c r="FLM19" s="1"/>
      <c r="FLN19" s="1"/>
      <c r="FLO19" s="1"/>
      <c r="FLP19" s="1"/>
      <c r="FLQ19" s="1"/>
      <c r="FLR19" s="1"/>
      <c r="FLS19" s="1"/>
      <c r="FLT19" s="1"/>
      <c r="FLU19" s="1"/>
      <c r="FLV19" s="1"/>
      <c r="FLW19" s="1"/>
      <c r="FLX19" s="1"/>
      <c r="FLY19" s="1"/>
      <c r="FLZ19" s="1"/>
      <c r="FMA19" s="1"/>
      <c r="FMB19" s="1"/>
      <c r="FMC19" s="1"/>
      <c r="FMD19" s="1"/>
      <c r="FME19" s="1"/>
      <c r="FMF19" s="1"/>
      <c r="FMG19" s="1"/>
      <c r="FMH19" s="1"/>
      <c r="FMI19" s="1"/>
      <c r="FMJ19" s="1"/>
      <c r="FMK19" s="1"/>
      <c r="FML19" s="1"/>
      <c r="FMM19" s="1"/>
      <c r="FMN19" s="1"/>
      <c r="FMO19" s="1"/>
      <c r="FMP19" s="1"/>
      <c r="FMQ19" s="1"/>
      <c r="FMR19" s="1"/>
      <c r="FMS19" s="1"/>
      <c r="FMT19" s="1"/>
      <c r="FMU19" s="1"/>
      <c r="FMV19" s="1"/>
      <c r="FMW19" s="1"/>
      <c r="FMX19" s="1"/>
      <c r="FMY19" s="1"/>
      <c r="FMZ19" s="1"/>
      <c r="FNA19" s="1"/>
      <c r="FNB19" s="1"/>
      <c r="FNC19" s="1"/>
      <c r="FND19" s="1"/>
      <c r="FNE19" s="1"/>
      <c r="FNF19" s="1"/>
      <c r="FNG19" s="1"/>
      <c r="FNH19" s="1"/>
      <c r="FNI19" s="1"/>
      <c r="FNJ19" s="1"/>
      <c r="FNK19" s="1"/>
      <c r="FNL19" s="1"/>
      <c r="FNM19" s="1"/>
      <c r="FNN19" s="1"/>
      <c r="FNO19" s="1"/>
      <c r="FNP19" s="1"/>
      <c r="FNQ19" s="1"/>
      <c r="FNR19" s="1"/>
      <c r="FNS19" s="1"/>
      <c r="FNT19" s="1"/>
      <c r="FNU19" s="1"/>
      <c r="FNV19" s="1"/>
      <c r="FNW19" s="1"/>
      <c r="FNX19" s="1"/>
      <c r="FNY19" s="1"/>
      <c r="FNZ19" s="1"/>
      <c r="FOA19" s="1"/>
      <c r="FOB19" s="1"/>
      <c r="FOC19" s="1"/>
      <c r="FOD19" s="1"/>
      <c r="FOE19" s="1"/>
      <c r="FOF19" s="1"/>
      <c r="FOG19" s="1"/>
      <c r="FOH19" s="1"/>
      <c r="FOI19" s="1"/>
      <c r="FOJ19" s="1"/>
      <c r="FOK19" s="1"/>
      <c r="FOL19" s="1"/>
      <c r="FOM19" s="1"/>
      <c r="FON19" s="1"/>
      <c r="FOO19" s="1"/>
      <c r="FOP19" s="1"/>
      <c r="FOQ19" s="1"/>
      <c r="FOR19" s="1"/>
      <c r="FOS19" s="1"/>
      <c r="FOT19" s="1"/>
      <c r="FOU19" s="1"/>
      <c r="FOV19" s="1"/>
      <c r="FOW19" s="1"/>
      <c r="FOX19" s="1"/>
      <c r="FOY19" s="1"/>
      <c r="FOZ19" s="1"/>
      <c r="FPA19" s="1"/>
      <c r="FPB19" s="1"/>
      <c r="FPC19" s="1"/>
      <c r="FPD19" s="1"/>
      <c r="FPE19" s="1"/>
      <c r="FPF19" s="1"/>
      <c r="FPG19" s="1"/>
      <c r="FPH19" s="1"/>
      <c r="FPI19" s="1"/>
      <c r="FPJ19" s="1"/>
      <c r="FPK19" s="1"/>
      <c r="FPL19" s="1"/>
      <c r="FPM19" s="1"/>
      <c r="FPN19" s="1"/>
      <c r="FPO19" s="1"/>
      <c r="FPP19" s="1"/>
      <c r="FPQ19" s="1"/>
      <c r="FPR19" s="1"/>
      <c r="FPS19" s="1"/>
      <c r="FPT19" s="1"/>
      <c r="FPU19" s="1"/>
      <c r="FPV19" s="1"/>
      <c r="FPW19" s="1"/>
      <c r="FPX19" s="1"/>
      <c r="FPY19" s="1"/>
      <c r="FPZ19" s="1"/>
      <c r="FQA19" s="1"/>
      <c r="FQB19" s="1"/>
      <c r="FQC19" s="1"/>
      <c r="FQD19" s="1"/>
      <c r="FQE19" s="1"/>
      <c r="FQF19" s="1"/>
      <c r="FQG19" s="1"/>
      <c r="FQH19" s="1"/>
      <c r="FQI19" s="1"/>
      <c r="FQJ19" s="1"/>
      <c r="FQK19" s="1"/>
      <c r="FQL19" s="1"/>
      <c r="FQM19" s="1"/>
      <c r="FQN19" s="1"/>
      <c r="FQO19" s="1"/>
      <c r="FQP19" s="1"/>
      <c r="FQQ19" s="1"/>
      <c r="FQR19" s="1"/>
      <c r="FQS19" s="1"/>
      <c r="FQT19" s="1"/>
      <c r="FQU19" s="1"/>
      <c r="FQV19" s="1"/>
      <c r="FQW19" s="1"/>
      <c r="FQX19" s="1"/>
      <c r="FQY19" s="1"/>
      <c r="FQZ19" s="1"/>
      <c r="FRA19" s="1"/>
      <c r="FRB19" s="1"/>
      <c r="FRC19" s="1"/>
      <c r="FRD19" s="1"/>
      <c r="FRE19" s="1"/>
      <c r="FRF19" s="1"/>
      <c r="FRG19" s="1"/>
      <c r="FRH19" s="1"/>
      <c r="FRI19" s="1"/>
      <c r="FRJ19" s="1"/>
      <c r="FRK19" s="1"/>
      <c r="FRL19" s="1"/>
      <c r="FRM19" s="1"/>
      <c r="FRN19" s="1"/>
      <c r="FRO19" s="1"/>
      <c r="FRP19" s="1"/>
      <c r="FRQ19" s="1"/>
      <c r="FRR19" s="1"/>
      <c r="FRS19" s="1"/>
      <c r="FRT19" s="1"/>
      <c r="FRU19" s="1"/>
      <c r="FRV19" s="1"/>
      <c r="FRW19" s="1"/>
      <c r="FRX19" s="1"/>
      <c r="FRY19" s="1"/>
      <c r="FRZ19" s="1"/>
      <c r="FSA19" s="1"/>
      <c r="FSB19" s="1"/>
      <c r="FSC19" s="1"/>
      <c r="FSD19" s="1"/>
      <c r="FSE19" s="1"/>
      <c r="FSF19" s="1"/>
      <c r="FSG19" s="1"/>
      <c r="FSH19" s="1"/>
      <c r="FSI19" s="1"/>
      <c r="FSJ19" s="1"/>
      <c r="FSK19" s="1"/>
      <c r="FSL19" s="1"/>
      <c r="FSM19" s="1"/>
      <c r="FSN19" s="1"/>
      <c r="FSO19" s="1"/>
      <c r="FSP19" s="1"/>
      <c r="FSQ19" s="1"/>
      <c r="FSR19" s="1"/>
      <c r="FSS19" s="1"/>
      <c r="FST19" s="1"/>
      <c r="FSU19" s="1"/>
      <c r="FSV19" s="1"/>
      <c r="FSW19" s="1"/>
      <c r="FSX19" s="1"/>
      <c r="FSY19" s="1"/>
      <c r="FSZ19" s="1"/>
      <c r="FTA19" s="1"/>
      <c r="FTB19" s="1"/>
      <c r="FTC19" s="1"/>
      <c r="FTD19" s="1"/>
      <c r="FTE19" s="1"/>
      <c r="FTF19" s="1"/>
      <c r="FTG19" s="1"/>
      <c r="FTH19" s="1"/>
      <c r="FTI19" s="1"/>
      <c r="FTJ19" s="1"/>
      <c r="FTK19" s="1"/>
      <c r="FTL19" s="1"/>
      <c r="FTM19" s="1"/>
      <c r="FTN19" s="1"/>
      <c r="FTO19" s="1"/>
      <c r="FTP19" s="1"/>
      <c r="FTQ19" s="1"/>
      <c r="FTR19" s="1"/>
      <c r="FTS19" s="1"/>
      <c r="FTT19" s="1"/>
      <c r="FTU19" s="1"/>
      <c r="FTV19" s="1"/>
      <c r="FTW19" s="1"/>
      <c r="FTX19" s="1"/>
      <c r="FTY19" s="1"/>
      <c r="FTZ19" s="1"/>
      <c r="FUA19" s="1"/>
      <c r="FUB19" s="1"/>
      <c r="FUC19" s="1"/>
      <c r="FUD19" s="1"/>
      <c r="FUE19" s="1"/>
      <c r="FUF19" s="1"/>
      <c r="FUG19" s="1"/>
      <c r="FUH19" s="1"/>
      <c r="FUI19" s="1"/>
      <c r="FUJ19" s="1"/>
      <c r="FUK19" s="1"/>
      <c r="FUL19" s="1"/>
      <c r="FUM19" s="1"/>
      <c r="FUN19" s="1"/>
      <c r="FUO19" s="1"/>
      <c r="FUP19" s="1"/>
      <c r="FUQ19" s="1"/>
      <c r="FUR19" s="1"/>
      <c r="FUS19" s="1"/>
      <c r="FUT19" s="1"/>
      <c r="FUU19" s="1"/>
      <c r="FUV19" s="1"/>
      <c r="FUW19" s="1"/>
      <c r="FUX19" s="1"/>
      <c r="FUY19" s="1"/>
      <c r="FUZ19" s="1"/>
      <c r="FVA19" s="1"/>
      <c r="FVB19" s="1"/>
      <c r="FVC19" s="1"/>
      <c r="FVD19" s="1"/>
      <c r="FVE19" s="1"/>
      <c r="FVF19" s="1"/>
      <c r="FVG19" s="1"/>
      <c r="FVH19" s="1"/>
      <c r="FVI19" s="1"/>
      <c r="FVJ19" s="1"/>
      <c r="FVK19" s="1"/>
      <c r="FVL19" s="1"/>
      <c r="FVM19" s="1"/>
      <c r="FVN19" s="1"/>
      <c r="FVO19" s="1"/>
      <c r="FVP19" s="1"/>
      <c r="FVQ19" s="1"/>
      <c r="FVR19" s="1"/>
      <c r="FVS19" s="1"/>
      <c r="FVT19" s="1"/>
      <c r="FVU19" s="1"/>
      <c r="FVV19" s="1"/>
      <c r="FVW19" s="1"/>
      <c r="FVX19" s="1"/>
      <c r="FVY19" s="1"/>
      <c r="FVZ19" s="1"/>
      <c r="FWA19" s="1"/>
      <c r="FWB19" s="1"/>
      <c r="FWC19" s="1"/>
      <c r="FWD19" s="1"/>
      <c r="FWE19" s="1"/>
      <c r="FWF19" s="1"/>
      <c r="FWG19" s="1"/>
      <c r="FWH19" s="1"/>
      <c r="FWI19" s="1"/>
      <c r="FWJ19" s="1"/>
      <c r="FWK19" s="1"/>
      <c r="FWL19" s="1"/>
      <c r="FWM19" s="1"/>
      <c r="FWN19" s="1"/>
      <c r="FWO19" s="1"/>
      <c r="FWP19" s="1"/>
      <c r="FWQ19" s="1"/>
      <c r="FWR19" s="1"/>
      <c r="FWS19" s="1"/>
      <c r="FWT19" s="1"/>
      <c r="FWU19" s="1"/>
      <c r="FWV19" s="1"/>
      <c r="FWW19" s="1"/>
      <c r="FWX19" s="1"/>
      <c r="FWY19" s="1"/>
      <c r="FWZ19" s="1"/>
      <c r="FXA19" s="1"/>
      <c r="FXB19" s="1"/>
      <c r="FXC19" s="1"/>
      <c r="FXD19" s="1"/>
      <c r="FXE19" s="1"/>
      <c r="FXF19" s="1"/>
      <c r="FXG19" s="1"/>
      <c r="FXH19" s="1"/>
      <c r="FXI19" s="1"/>
      <c r="FXJ19" s="1"/>
      <c r="FXK19" s="1"/>
      <c r="FXL19" s="1"/>
      <c r="FXM19" s="1"/>
      <c r="FXN19" s="1"/>
      <c r="FXO19" s="1"/>
      <c r="FXP19" s="1"/>
      <c r="FXQ19" s="1"/>
      <c r="FXR19" s="1"/>
      <c r="FXS19" s="1"/>
      <c r="FXT19" s="1"/>
      <c r="FXU19" s="1"/>
      <c r="FXV19" s="1"/>
      <c r="FXW19" s="1"/>
      <c r="FXX19" s="1"/>
      <c r="FXY19" s="1"/>
      <c r="FXZ19" s="1"/>
      <c r="FYA19" s="1"/>
      <c r="FYB19" s="1"/>
      <c r="FYC19" s="1"/>
      <c r="FYD19" s="1"/>
      <c r="FYE19" s="1"/>
      <c r="FYF19" s="1"/>
      <c r="FYG19" s="1"/>
      <c r="FYH19" s="1"/>
      <c r="FYI19" s="1"/>
      <c r="FYJ19" s="1"/>
      <c r="FYK19" s="1"/>
      <c r="FYL19" s="1"/>
      <c r="FYM19" s="1"/>
      <c r="FYN19" s="1"/>
      <c r="FYO19" s="1"/>
      <c r="FYP19" s="1"/>
      <c r="FYQ19" s="1"/>
      <c r="FYR19" s="1"/>
      <c r="FYS19" s="1"/>
      <c r="FYT19" s="1"/>
      <c r="FYU19" s="1"/>
      <c r="FYV19" s="1"/>
      <c r="FYW19" s="1"/>
      <c r="FYX19" s="1"/>
      <c r="FYY19" s="1"/>
      <c r="FYZ19" s="1"/>
      <c r="FZA19" s="1"/>
      <c r="FZB19" s="1"/>
      <c r="FZC19" s="1"/>
      <c r="FZD19" s="1"/>
      <c r="FZE19" s="1"/>
      <c r="FZF19" s="1"/>
      <c r="FZG19" s="1"/>
      <c r="FZH19" s="1"/>
      <c r="FZI19" s="1"/>
      <c r="FZJ19" s="1"/>
      <c r="FZK19" s="1"/>
      <c r="FZL19" s="1"/>
      <c r="FZM19" s="1"/>
      <c r="FZN19" s="1"/>
      <c r="FZO19" s="1"/>
      <c r="FZP19" s="1"/>
      <c r="FZQ19" s="1"/>
      <c r="FZR19" s="1"/>
      <c r="FZS19" s="1"/>
      <c r="FZT19" s="1"/>
      <c r="FZU19" s="1"/>
      <c r="FZV19" s="1"/>
      <c r="FZW19" s="1"/>
      <c r="FZX19" s="1"/>
      <c r="FZY19" s="1"/>
      <c r="FZZ19" s="1"/>
      <c r="GAA19" s="1"/>
      <c r="GAB19" s="1"/>
      <c r="GAC19" s="1"/>
      <c r="GAD19" s="1"/>
      <c r="GAE19" s="1"/>
      <c r="GAF19" s="1"/>
      <c r="GAG19" s="1"/>
      <c r="GAH19" s="1"/>
      <c r="GAI19" s="1"/>
      <c r="GAJ19" s="1"/>
      <c r="GAK19" s="1"/>
      <c r="GAL19" s="1"/>
      <c r="GAM19" s="1"/>
      <c r="GAN19" s="1"/>
      <c r="GAO19" s="1"/>
      <c r="GAP19" s="1"/>
      <c r="GAQ19" s="1"/>
      <c r="GAR19" s="1"/>
      <c r="GAS19" s="1"/>
      <c r="GAT19" s="1"/>
      <c r="GAU19" s="1"/>
      <c r="GAV19" s="1"/>
      <c r="GAW19" s="1"/>
      <c r="GAX19" s="1"/>
      <c r="GAY19" s="1"/>
      <c r="GAZ19" s="1"/>
      <c r="GBA19" s="1"/>
      <c r="GBB19" s="1"/>
      <c r="GBC19" s="1"/>
      <c r="GBD19" s="1"/>
      <c r="GBE19" s="1"/>
      <c r="GBF19" s="1"/>
      <c r="GBG19" s="1"/>
      <c r="GBH19" s="1"/>
      <c r="GBI19" s="1"/>
      <c r="GBJ19" s="1"/>
      <c r="GBK19" s="1"/>
      <c r="GBL19" s="1"/>
      <c r="GBM19" s="1"/>
      <c r="GBN19" s="1"/>
      <c r="GBO19" s="1"/>
      <c r="GBP19" s="1"/>
      <c r="GBQ19" s="1"/>
      <c r="GBR19" s="1"/>
      <c r="GBS19" s="1"/>
      <c r="GBT19" s="1"/>
      <c r="GBU19" s="1"/>
      <c r="GBV19" s="1"/>
      <c r="GBW19" s="1"/>
      <c r="GBX19" s="1"/>
      <c r="GBY19" s="1"/>
      <c r="GBZ19" s="1"/>
      <c r="GCA19" s="1"/>
      <c r="GCB19" s="1"/>
      <c r="GCC19" s="1"/>
      <c r="GCD19" s="1"/>
      <c r="GCE19" s="1"/>
      <c r="GCF19" s="1"/>
      <c r="GCG19" s="1"/>
      <c r="GCH19" s="1"/>
      <c r="GCI19" s="1"/>
      <c r="GCJ19" s="1"/>
      <c r="GCK19" s="1"/>
      <c r="GCL19" s="1"/>
      <c r="GCM19" s="1"/>
      <c r="GCN19" s="1"/>
      <c r="GCO19" s="1"/>
      <c r="GCP19" s="1"/>
      <c r="GCQ19" s="1"/>
      <c r="GCR19" s="1"/>
      <c r="GCS19" s="1"/>
      <c r="GCT19" s="1"/>
      <c r="GCU19" s="1"/>
      <c r="GCV19" s="1"/>
      <c r="GCW19" s="1"/>
      <c r="GCX19" s="1"/>
      <c r="GCY19" s="1"/>
      <c r="GCZ19" s="1"/>
      <c r="GDA19" s="1"/>
      <c r="GDB19" s="1"/>
      <c r="GDC19" s="1"/>
      <c r="GDD19" s="1"/>
      <c r="GDE19" s="1"/>
      <c r="GDF19" s="1"/>
      <c r="GDG19" s="1"/>
      <c r="GDH19" s="1"/>
      <c r="GDI19" s="1"/>
      <c r="GDJ19" s="1"/>
      <c r="GDK19" s="1"/>
      <c r="GDL19" s="1"/>
      <c r="GDM19" s="1"/>
      <c r="GDN19" s="1"/>
      <c r="GDO19" s="1"/>
      <c r="GDP19" s="1"/>
      <c r="GDQ19" s="1"/>
      <c r="GDR19" s="1"/>
      <c r="GDS19" s="1"/>
      <c r="GDT19" s="1"/>
      <c r="GDU19" s="1"/>
      <c r="GDV19" s="1"/>
      <c r="GDW19" s="1"/>
      <c r="GDX19" s="1"/>
      <c r="GDY19" s="1"/>
      <c r="GDZ19" s="1"/>
      <c r="GEA19" s="1"/>
      <c r="GEB19" s="1"/>
      <c r="GEC19" s="1"/>
      <c r="GED19" s="1"/>
      <c r="GEE19" s="1"/>
      <c r="GEF19" s="1"/>
      <c r="GEG19" s="1"/>
      <c r="GEH19" s="1"/>
      <c r="GEI19" s="1"/>
      <c r="GEJ19" s="1"/>
      <c r="GEK19" s="1"/>
      <c r="GEL19" s="1"/>
      <c r="GEM19" s="1"/>
      <c r="GEN19" s="1"/>
      <c r="GEO19" s="1"/>
      <c r="GEP19" s="1"/>
      <c r="GEQ19" s="1"/>
      <c r="GER19" s="1"/>
      <c r="GES19" s="1"/>
      <c r="GET19" s="1"/>
      <c r="GEU19" s="1"/>
      <c r="GEV19" s="1"/>
      <c r="GEW19" s="1"/>
      <c r="GEX19" s="1"/>
      <c r="GEY19" s="1"/>
      <c r="GEZ19" s="1"/>
      <c r="GFA19" s="1"/>
      <c r="GFB19" s="1"/>
      <c r="GFC19" s="1"/>
      <c r="GFD19" s="1"/>
      <c r="GFE19" s="1"/>
      <c r="GFF19" s="1"/>
      <c r="GFG19" s="1"/>
      <c r="GFH19" s="1"/>
      <c r="GFI19" s="1"/>
      <c r="GFJ19" s="1"/>
      <c r="GFK19" s="1"/>
      <c r="GFL19" s="1"/>
      <c r="GFM19" s="1"/>
      <c r="GFN19" s="1"/>
      <c r="GFO19" s="1"/>
      <c r="GFP19" s="1"/>
      <c r="GFQ19" s="1"/>
      <c r="GFR19" s="1"/>
      <c r="GFS19" s="1"/>
      <c r="GFT19" s="1"/>
      <c r="GFU19" s="1"/>
      <c r="GFV19" s="1"/>
      <c r="GFW19" s="1"/>
      <c r="GFX19" s="1"/>
      <c r="GFY19" s="1"/>
      <c r="GFZ19" s="1"/>
      <c r="GGA19" s="1"/>
      <c r="GGB19" s="1"/>
      <c r="GGC19" s="1"/>
      <c r="GGD19" s="1"/>
      <c r="GGE19" s="1"/>
      <c r="GGF19" s="1"/>
      <c r="GGG19" s="1"/>
      <c r="GGH19" s="1"/>
      <c r="GGI19" s="1"/>
      <c r="GGJ19" s="1"/>
      <c r="GGK19" s="1"/>
      <c r="GGL19" s="1"/>
      <c r="GGM19" s="1"/>
      <c r="GGN19" s="1"/>
      <c r="GGO19" s="1"/>
      <c r="GGP19" s="1"/>
      <c r="GGQ19" s="1"/>
      <c r="GGR19" s="1"/>
      <c r="GGS19" s="1"/>
      <c r="GGT19" s="1"/>
      <c r="GGU19" s="1"/>
      <c r="GGV19" s="1"/>
      <c r="GGW19" s="1"/>
      <c r="GGX19" s="1"/>
      <c r="GGY19" s="1"/>
      <c r="GGZ19" s="1"/>
      <c r="GHA19" s="1"/>
      <c r="GHB19" s="1"/>
      <c r="GHC19" s="1"/>
      <c r="GHD19" s="1"/>
      <c r="GHE19" s="1"/>
      <c r="GHF19" s="1"/>
      <c r="GHG19" s="1"/>
      <c r="GHH19" s="1"/>
      <c r="GHI19" s="1"/>
      <c r="GHJ19" s="1"/>
      <c r="GHK19" s="1"/>
      <c r="GHL19" s="1"/>
      <c r="GHM19" s="1"/>
      <c r="GHN19" s="1"/>
      <c r="GHO19" s="1"/>
      <c r="GHP19" s="1"/>
      <c r="GHQ19" s="1"/>
      <c r="GHR19" s="1"/>
      <c r="GHS19" s="1"/>
      <c r="GHT19" s="1"/>
      <c r="GHU19" s="1"/>
      <c r="GHV19" s="1"/>
      <c r="GHW19" s="1"/>
      <c r="GHX19" s="1"/>
      <c r="GHY19" s="1"/>
      <c r="GHZ19" s="1"/>
      <c r="GIA19" s="1"/>
      <c r="GIB19" s="1"/>
      <c r="GIC19" s="1"/>
      <c r="GID19" s="1"/>
      <c r="GIE19" s="1"/>
      <c r="GIF19" s="1"/>
      <c r="GIG19" s="1"/>
      <c r="GIH19" s="1"/>
      <c r="GII19" s="1"/>
      <c r="GIJ19" s="1"/>
      <c r="GIK19" s="1"/>
      <c r="GIL19" s="1"/>
      <c r="GIM19" s="1"/>
      <c r="GIN19" s="1"/>
      <c r="GIO19" s="1"/>
      <c r="GIP19" s="1"/>
      <c r="GIQ19" s="1"/>
      <c r="GIR19" s="1"/>
      <c r="GIS19" s="1"/>
      <c r="GIT19" s="1"/>
      <c r="GIU19" s="1"/>
      <c r="GIV19" s="1"/>
      <c r="GIW19" s="1"/>
      <c r="GIX19" s="1"/>
      <c r="GIY19" s="1"/>
      <c r="GIZ19" s="1"/>
      <c r="GJA19" s="1"/>
      <c r="GJB19" s="1"/>
      <c r="GJC19" s="1"/>
      <c r="GJD19" s="1"/>
      <c r="GJE19" s="1"/>
      <c r="GJF19" s="1"/>
      <c r="GJG19" s="1"/>
      <c r="GJH19" s="1"/>
      <c r="GJI19" s="1"/>
      <c r="GJJ19" s="1"/>
      <c r="GJK19" s="1"/>
      <c r="GJL19" s="1"/>
      <c r="GJM19" s="1"/>
      <c r="GJN19" s="1"/>
      <c r="GJO19" s="1"/>
      <c r="GJP19" s="1"/>
      <c r="GJQ19" s="1"/>
      <c r="GJR19" s="1"/>
      <c r="GJS19" s="1"/>
      <c r="GJT19" s="1"/>
      <c r="GJU19" s="1"/>
      <c r="GJV19" s="1"/>
      <c r="GJW19" s="1"/>
      <c r="GJX19" s="1"/>
      <c r="GJY19" s="1"/>
      <c r="GJZ19" s="1"/>
      <c r="GKA19" s="1"/>
      <c r="GKB19" s="1"/>
      <c r="GKC19" s="1"/>
      <c r="GKD19" s="1"/>
      <c r="GKE19" s="1"/>
      <c r="GKF19" s="1"/>
      <c r="GKG19" s="1"/>
      <c r="GKH19" s="1"/>
      <c r="GKI19" s="1"/>
      <c r="GKJ19" s="1"/>
      <c r="GKK19" s="1"/>
      <c r="GKL19" s="1"/>
      <c r="GKM19" s="1"/>
      <c r="GKN19" s="1"/>
      <c r="GKO19" s="1"/>
      <c r="GKP19" s="1"/>
      <c r="GKQ19" s="1"/>
      <c r="GKR19" s="1"/>
      <c r="GKS19" s="1"/>
      <c r="GKT19" s="1"/>
      <c r="GKU19" s="1"/>
      <c r="GKV19" s="1"/>
      <c r="GKW19" s="1"/>
      <c r="GKX19" s="1"/>
      <c r="GKY19" s="1"/>
      <c r="GKZ19" s="1"/>
      <c r="GLA19" s="1"/>
      <c r="GLB19" s="1"/>
      <c r="GLC19" s="1"/>
      <c r="GLD19" s="1"/>
      <c r="GLE19" s="1"/>
      <c r="GLF19" s="1"/>
      <c r="GLG19" s="1"/>
      <c r="GLH19" s="1"/>
      <c r="GLI19" s="1"/>
      <c r="GLJ19" s="1"/>
      <c r="GLK19" s="1"/>
      <c r="GLL19" s="1"/>
      <c r="GLM19" s="1"/>
      <c r="GLN19" s="1"/>
      <c r="GLO19" s="1"/>
      <c r="GLP19" s="1"/>
      <c r="GLQ19" s="1"/>
      <c r="GLR19" s="1"/>
      <c r="GLS19" s="1"/>
      <c r="GLT19" s="1"/>
      <c r="GLU19" s="1"/>
      <c r="GLV19" s="1"/>
      <c r="GLW19" s="1"/>
      <c r="GLX19" s="1"/>
      <c r="GLY19" s="1"/>
      <c r="GLZ19" s="1"/>
      <c r="GMA19" s="1"/>
      <c r="GMB19" s="1"/>
      <c r="GMC19" s="1"/>
      <c r="GMD19" s="1"/>
      <c r="GME19" s="1"/>
      <c r="GMF19" s="1"/>
      <c r="GMG19" s="1"/>
      <c r="GMH19" s="1"/>
      <c r="GMI19" s="1"/>
      <c r="GMJ19" s="1"/>
      <c r="GMK19" s="1"/>
      <c r="GML19" s="1"/>
      <c r="GMM19" s="1"/>
      <c r="GMN19" s="1"/>
      <c r="GMO19" s="1"/>
      <c r="GMP19" s="1"/>
      <c r="GMQ19" s="1"/>
      <c r="GMR19" s="1"/>
      <c r="GMS19" s="1"/>
      <c r="GMT19" s="1"/>
      <c r="GMU19" s="1"/>
      <c r="GMV19" s="1"/>
      <c r="GMW19" s="1"/>
      <c r="GMX19" s="1"/>
      <c r="GMY19" s="1"/>
      <c r="GMZ19" s="1"/>
      <c r="GNA19" s="1"/>
      <c r="GNB19" s="1"/>
      <c r="GNC19" s="1"/>
      <c r="GND19" s="1"/>
      <c r="GNE19" s="1"/>
      <c r="GNF19" s="1"/>
      <c r="GNG19" s="1"/>
      <c r="GNH19" s="1"/>
      <c r="GNI19" s="1"/>
      <c r="GNJ19" s="1"/>
      <c r="GNK19" s="1"/>
      <c r="GNL19" s="1"/>
      <c r="GNM19" s="1"/>
      <c r="GNN19" s="1"/>
      <c r="GNO19" s="1"/>
      <c r="GNP19" s="1"/>
      <c r="GNQ19" s="1"/>
      <c r="GNR19" s="1"/>
      <c r="GNS19" s="1"/>
      <c r="GNT19" s="1"/>
      <c r="GNU19" s="1"/>
      <c r="GNV19" s="1"/>
      <c r="GNW19" s="1"/>
      <c r="GNX19" s="1"/>
      <c r="GNY19" s="1"/>
      <c r="GNZ19" s="1"/>
      <c r="GOA19" s="1"/>
      <c r="GOB19" s="1"/>
      <c r="GOC19" s="1"/>
      <c r="GOD19" s="1"/>
      <c r="GOE19" s="1"/>
      <c r="GOF19" s="1"/>
      <c r="GOG19" s="1"/>
      <c r="GOH19" s="1"/>
      <c r="GOI19" s="1"/>
      <c r="GOJ19" s="1"/>
      <c r="GOK19" s="1"/>
      <c r="GOL19" s="1"/>
      <c r="GOM19" s="1"/>
      <c r="GON19" s="1"/>
      <c r="GOO19" s="1"/>
      <c r="GOP19" s="1"/>
      <c r="GOQ19" s="1"/>
      <c r="GOR19" s="1"/>
      <c r="GOS19" s="1"/>
      <c r="GOT19" s="1"/>
      <c r="GOU19" s="1"/>
      <c r="GOV19" s="1"/>
      <c r="GOW19" s="1"/>
      <c r="GOX19" s="1"/>
      <c r="GOY19" s="1"/>
      <c r="GOZ19" s="1"/>
      <c r="GPA19" s="1"/>
      <c r="GPB19" s="1"/>
      <c r="GPC19" s="1"/>
      <c r="GPD19" s="1"/>
      <c r="GPE19" s="1"/>
      <c r="GPF19" s="1"/>
      <c r="GPG19" s="1"/>
      <c r="GPH19" s="1"/>
      <c r="GPI19" s="1"/>
      <c r="GPJ19" s="1"/>
      <c r="GPK19" s="1"/>
      <c r="GPL19" s="1"/>
      <c r="GPM19" s="1"/>
      <c r="GPN19" s="1"/>
      <c r="GPO19" s="1"/>
      <c r="GPP19" s="1"/>
      <c r="GPQ19" s="1"/>
      <c r="GPR19" s="1"/>
      <c r="GPS19" s="1"/>
      <c r="GPT19" s="1"/>
      <c r="GPU19" s="1"/>
      <c r="GPV19" s="1"/>
      <c r="GPW19" s="1"/>
      <c r="GPX19" s="1"/>
      <c r="GPY19" s="1"/>
      <c r="GPZ19" s="1"/>
      <c r="GQA19" s="1"/>
      <c r="GQB19" s="1"/>
      <c r="GQC19" s="1"/>
      <c r="GQD19" s="1"/>
      <c r="GQE19" s="1"/>
      <c r="GQF19" s="1"/>
      <c r="GQG19" s="1"/>
      <c r="GQH19" s="1"/>
      <c r="GQI19" s="1"/>
      <c r="GQJ19" s="1"/>
      <c r="GQK19" s="1"/>
      <c r="GQL19" s="1"/>
      <c r="GQM19" s="1"/>
      <c r="GQN19" s="1"/>
      <c r="GQO19" s="1"/>
      <c r="GQP19" s="1"/>
      <c r="GQQ19" s="1"/>
      <c r="GQR19" s="1"/>
      <c r="GQS19" s="1"/>
      <c r="GQT19" s="1"/>
      <c r="GQU19" s="1"/>
      <c r="GQV19" s="1"/>
      <c r="GQW19" s="1"/>
      <c r="GQX19" s="1"/>
      <c r="GQY19" s="1"/>
      <c r="GQZ19" s="1"/>
      <c r="GRA19" s="1"/>
      <c r="GRB19" s="1"/>
      <c r="GRC19" s="1"/>
      <c r="GRD19" s="1"/>
      <c r="GRE19" s="1"/>
      <c r="GRF19" s="1"/>
      <c r="GRG19" s="1"/>
      <c r="GRH19" s="1"/>
      <c r="GRI19" s="1"/>
      <c r="GRJ19" s="1"/>
      <c r="GRK19" s="1"/>
      <c r="GRL19" s="1"/>
      <c r="GRM19" s="1"/>
      <c r="GRN19" s="1"/>
      <c r="GRO19" s="1"/>
      <c r="GRP19" s="1"/>
      <c r="GRQ19" s="1"/>
      <c r="GRR19" s="1"/>
      <c r="GRS19" s="1"/>
      <c r="GRT19" s="1"/>
      <c r="GRU19" s="1"/>
      <c r="GRV19" s="1"/>
      <c r="GRW19" s="1"/>
      <c r="GRX19" s="1"/>
      <c r="GRY19" s="1"/>
      <c r="GRZ19" s="1"/>
      <c r="GSA19" s="1"/>
      <c r="GSB19" s="1"/>
      <c r="GSC19" s="1"/>
      <c r="GSD19" s="1"/>
      <c r="GSE19" s="1"/>
      <c r="GSF19" s="1"/>
      <c r="GSG19" s="1"/>
      <c r="GSH19" s="1"/>
      <c r="GSI19" s="1"/>
      <c r="GSJ19" s="1"/>
      <c r="GSK19" s="1"/>
      <c r="GSL19" s="1"/>
      <c r="GSM19" s="1"/>
      <c r="GSN19" s="1"/>
      <c r="GSO19" s="1"/>
      <c r="GSP19" s="1"/>
      <c r="GSQ19" s="1"/>
      <c r="GSR19" s="1"/>
      <c r="GSS19" s="1"/>
      <c r="GST19" s="1"/>
      <c r="GSU19" s="1"/>
      <c r="GSV19" s="1"/>
      <c r="GSW19" s="1"/>
      <c r="GSX19" s="1"/>
      <c r="GSY19" s="1"/>
      <c r="GSZ19" s="1"/>
      <c r="GTA19" s="1"/>
      <c r="GTB19" s="1"/>
      <c r="GTC19" s="1"/>
      <c r="GTD19" s="1"/>
      <c r="GTE19" s="1"/>
      <c r="GTF19" s="1"/>
      <c r="GTG19" s="1"/>
      <c r="GTH19" s="1"/>
      <c r="GTI19" s="1"/>
      <c r="GTJ19" s="1"/>
      <c r="GTK19" s="1"/>
      <c r="GTL19" s="1"/>
      <c r="GTM19" s="1"/>
      <c r="GTN19" s="1"/>
      <c r="GTO19" s="1"/>
      <c r="GTP19" s="1"/>
      <c r="GTQ19" s="1"/>
      <c r="GTR19" s="1"/>
      <c r="GTS19" s="1"/>
      <c r="GTT19" s="1"/>
      <c r="GTU19" s="1"/>
      <c r="GTV19" s="1"/>
      <c r="GTW19" s="1"/>
      <c r="GTX19" s="1"/>
      <c r="GTY19" s="1"/>
      <c r="GTZ19" s="1"/>
      <c r="GUA19" s="1"/>
      <c r="GUB19" s="1"/>
      <c r="GUC19" s="1"/>
      <c r="GUD19" s="1"/>
      <c r="GUE19" s="1"/>
      <c r="GUF19" s="1"/>
      <c r="GUG19" s="1"/>
      <c r="GUH19" s="1"/>
      <c r="GUI19" s="1"/>
      <c r="GUJ19" s="1"/>
      <c r="GUK19" s="1"/>
      <c r="GUL19" s="1"/>
      <c r="GUM19" s="1"/>
      <c r="GUN19" s="1"/>
      <c r="GUO19" s="1"/>
      <c r="GUP19" s="1"/>
      <c r="GUQ19" s="1"/>
      <c r="GUR19" s="1"/>
      <c r="GUS19" s="1"/>
      <c r="GUT19" s="1"/>
      <c r="GUU19" s="1"/>
      <c r="GUV19" s="1"/>
      <c r="GUW19" s="1"/>
      <c r="GUX19" s="1"/>
      <c r="GUY19" s="1"/>
      <c r="GUZ19" s="1"/>
      <c r="GVA19" s="1"/>
      <c r="GVB19" s="1"/>
      <c r="GVC19" s="1"/>
      <c r="GVD19" s="1"/>
      <c r="GVE19" s="1"/>
      <c r="GVF19" s="1"/>
      <c r="GVG19" s="1"/>
      <c r="GVH19" s="1"/>
      <c r="GVI19" s="1"/>
      <c r="GVJ19" s="1"/>
      <c r="GVK19" s="1"/>
      <c r="GVL19" s="1"/>
      <c r="GVM19" s="1"/>
      <c r="GVN19" s="1"/>
      <c r="GVO19" s="1"/>
      <c r="GVP19" s="1"/>
      <c r="GVQ19" s="1"/>
      <c r="GVR19" s="1"/>
      <c r="GVS19" s="1"/>
      <c r="GVT19" s="1"/>
      <c r="GVU19" s="1"/>
      <c r="GVV19" s="1"/>
      <c r="GVW19" s="1"/>
      <c r="GVX19" s="1"/>
      <c r="GVY19" s="1"/>
      <c r="GVZ19" s="1"/>
      <c r="GWA19" s="1"/>
      <c r="GWB19" s="1"/>
      <c r="GWC19" s="1"/>
      <c r="GWD19" s="1"/>
      <c r="GWE19" s="1"/>
      <c r="GWF19" s="1"/>
      <c r="GWG19" s="1"/>
      <c r="GWH19" s="1"/>
      <c r="GWI19" s="1"/>
      <c r="GWJ19" s="1"/>
      <c r="GWK19" s="1"/>
      <c r="GWL19" s="1"/>
      <c r="GWM19" s="1"/>
      <c r="GWN19" s="1"/>
      <c r="GWO19" s="1"/>
      <c r="GWP19" s="1"/>
      <c r="GWQ19" s="1"/>
      <c r="GWR19" s="1"/>
      <c r="GWS19" s="1"/>
      <c r="GWT19" s="1"/>
      <c r="GWU19" s="1"/>
      <c r="GWV19" s="1"/>
      <c r="GWW19" s="1"/>
      <c r="GWX19" s="1"/>
      <c r="GWY19" s="1"/>
      <c r="GWZ19" s="1"/>
      <c r="GXA19" s="1"/>
      <c r="GXB19" s="1"/>
      <c r="GXC19" s="1"/>
      <c r="GXD19" s="1"/>
      <c r="GXE19" s="1"/>
      <c r="GXF19" s="1"/>
      <c r="GXG19" s="1"/>
      <c r="GXH19" s="1"/>
      <c r="GXI19" s="1"/>
      <c r="GXJ19" s="1"/>
      <c r="GXK19" s="1"/>
      <c r="GXL19" s="1"/>
      <c r="GXM19" s="1"/>
      <c r="GXN19" s="1"/>
      <c r="GXO19" s="1"/>
      <c r="GXP19" s="1"/>
      <c r="GXQ19" s="1"/>
      <c r="GXR19" s="1"/>
      <c r="GXS19" s="1"/>
      <c r="GXT19" s="1"/>
      <c r="GXU19" s="1"/>
      <c r="GXV19" s="1"/>
      <c r="GXW19" s="1"/>
      <c r="GXX19" s="1"/>
      <c r="GXY19" s="1"/>
      <c r="GXZ19" s="1"/>
      <c r="GYA19" s="1"/>
      <c r="GYB19" s="1"/>
      <c r="GYC19" s="1"/>
      <c r="GYD19" s="1"/>
      <c r="GYE19" s="1"/>
      <c r="GYF19" s="1"/>
      <c r="GYG19" s="1"/>
      <c r="GYH19" s="1"/>
      <c r="GYI19" s="1"/>
      <c r="GYJ19" s="1"/>
      <c r="GYK19" s="1"/>
      <c r="GYL19" s="1"/>
      <c r="GYM19" s="1"/>
      <c r="GYN19" s="1"/>
      <c r="GYO19" s="1"/>
      <c r="GYP19" s="1"/>
      <c r="GYQ19" s="1"/>
      <c r="GYR19" s="1"/>
      <c r="GYS19" s="1"/>
      <c r="GYT19" s="1"/>
      <c r="GYU19" s="1"/>
      <c r="GYV19" s="1"/>
      <c r="GYW19" s="1"/>
      <c r="GYX19" s="1"/>
      <c r="GYY19" s="1"/>
      <c r="GYZ19" s="1"/>
      <c r="GZA19" s="1"/>
      <c r="GZB19" s="1"/>
      <c r="GZC19" s="1"/>
      <c r="GZD19" s="1"/>
      <c r="GZE19" s="1"/>
      <c r="GZF19" s="1"/>
      <c r="GZG19" s="1"/>
      <c r="GZH19" s="1"/>
      <c r="GZI19" s="1"/>
      <c r="GZJ19" s="1"/>
      <c r="GZK19" s="1"/>
      <c r="GZL19" s="1"/>
      <c r="GZM19" s="1"/>
      <c r="GZN19" s="1"/>
      <c r="GZO19" s="1"/>
      <c r="GZP19" s="1"/>
      <c r="GZQ19" s="1"/>
      <c r="GZR19" s="1"/>
      <c r="GZS19" s="1"/>
      <c r="GZT19" s="1"/>
      <c r="GZU19" s="1"/>
      <c r="GZV19" s="1"/>
      <c r="GZW19" s="1"/>
      <c r="GZX19" s="1"/>
      <c r="GZY19" s="1"/>
      <c r="GZZ19" s="1"/>
      <c r="HAA19" s="1"/>
      <c r="HAB19" s="1"/>
      <c r="HAC19" s="1"/>
      <c r="HAD19" s="1"/>
      <c r="HAE19" s="1"/>
      <c r="HAF19" s="1"/>
      <c r="HAG19" s="1"/>
      <c r="HAH19" s="1"/>
      <c r="HAI19" s="1"/>
      <c r="HAJ19" s="1"/>
      <c r="HAK19" s="1"/>
      <c r="HAL19" s="1"/>
      <c r="HAM19" s="1"/>
      <c r="HAN19" s="1"/>
      <c r="HAO19" s="1"/>
      <c r="HAP19" s="1"/>
      <c r="HAQ19" s="1"/>
      <c r="HAR19" s="1"/>
      <c r="HAS19" s="1"/>
      <c r="HAT19" s="1"/>
      <c r="HAU19" s="1"/>
      <c r="HAV19" s="1"/>
      <c r="HAW19" s="1"/>
      <c r="HAX19" s="1"/>
      <c r="HAY19" s="1"/>
      <c r="HAZ19" s="1"/>
      <c r="HBA19" s="1"/>
      <c r="HBB19" s="1"/>
      <c r="HBC19" s="1"/>
      <c r="HBD19" s="1"/>
      <c r="HBE19" s="1"/>
      <c r="HBF19" s="1"/>
      <c r="HBG19" s="1"/>
      <c r="HBH19" s="1"/>
      <c r="HBI19" s="1"/>
      <c r="HBJ19" s="1"/>
      <c r="HBK19" s="1"/>
      <c r="HBL19" s="1"/>
      <c r="HBM19" s="1"/>
      <c r="HBN19" s="1"/>
      <c r="HBO19" s="1"/>
      <c r="HBP19" s="1"/>
      <c r="HBQ19" s="1"/>
      <c r="HBR19" s="1"/>
      <c r="HBS19" s="1"/>
      <c r="HBT19" s="1"/>
      <c r="HBU19" s="1"/>
      <c r="HBV19" s="1"/>
      <c r="HBW19" s="1"/>
      <c r="HBX19" s="1"/>
      <c r="HBY19" s="1"/>
      <c r="HBZ19" s="1"/>
      <c r="HCA19" s="1"/>
      <c r="HCB19" s="1"/>
      <c r="HCC19" s="1"/>
      <c r="HCD19" s="1"/>
      <c r="HCE19" s="1"/>
      <c r="HCF19" s="1"/>
      <c r="HCG19" s="1"/>
      <c r="HCH19" s="1"/>
      <c r="HCI19" s="1"/>
      <c r="HCJ19" s="1"/>
      <c r="HCK19" s="1"/>
      <c r="HCL19" s="1"/>
      <c r="HCM19" s="1"/>
      <c r="HCN19" s="1"/>
      <c r="HCO19" s="1"/>
      <c r="HCP19" s="1"/>
      <c r="HCQ19" s="1"/>
      <c r="HCR19" s="1"/>
      <c r="HCS19" s="1"/>
      <c r="HCT19" s="1"/>
      <c r="HCU19" s="1"/>
      <c r="HCV19" s="1"/>
      <c r="HCW19" s="1"/>
      <c r="HCX19" s="1"/>
      <c r="HCY19" s="1"/>
      <c r="HCZ19" s="1"/>
      <c r="HDA19" s="1"/>
      <c r="HDB19" s="1"/>
      <c r="HDC19" s="1"/>
      <c r="HDD19" s="1"/>
      <c r="HDE19" s="1"/>
      <c r="HDF19" s="1"/>
      <c r="HDG19" s="1"/>
      <c r="HDH19" s="1"/>
      <c r="HDI19" s="1"/>
      <c r="HDJ19" s="1"/>
      <c r="HDK19" s="1"/>
      <c r="HDL19" s="1"/>
      <c r="HDM19" s="1"/>
      <c r="HDN19" s="1"/>
      <c r="HDO19" s="1"/>
      <c r="HDP19" s="1"/>
      <c r="HDQ19" s="1"/>
      <c r="HDR19" s="1"/>
      <c r="HDS19" s="1"/>
      <c r="HDT19" s="1"/>
      <c r="HDU19" s="1"/>
      <c r="HDV19" s="1"/>
      <c r="HDW19" s="1"/>
      <c r="HDX19" s="1"/>
      <c r="HDY19" s="1"/>
      <c r="HDZ19" s="1"/>
      <c r="HEA19" s="1"/>
      <c r="HEB19" s="1"/>
      <c r="HEC19" s="1"/>
      <c r="HED19" s="1"/>
      <c r="HEE19" s="1"/>
      <c r="HEF19" s="1"/>
      <c r="HEG19" s="1"/>
      <c r="HEH19" s="1"/>
      <c r="HEI19" s="1"/>
      <c r="HEJ19" s="1"/>
      <c r="HEK19" s="1"/>
      <c r="HEL19" s="1"/>
      <c r="HEM19" s="1"/>
      <c r="HEN19" s="1"/>
      <c r="HEO19" s="1"/>
      <c r="HEP19" s="1"/>
      <c r="HEQ19" s="1"/>
      <c r="HER19" s="1"/>
      <c r="HES19" s="1"/>
      <c r="HET19" s="1"/>
      <c r="HEU19" s="1"/>
      <c r="HEV19" s="1"/>
      <c r="HEW19" s="1"/>
      <c r="HEX19" s="1"/>
      <c r="HEY19" s="1"/>
      <c r="HEZ19" s="1"/>
      <c r="HFA19" s="1"/>
      <c r="HFB19" s="1"/>
      <c r="HFC19" s="1"/>
      <c r="HFD19" s="1"/>
      <c r="HFE19" s="1"/>
      <c r="HFF19" s="1"/>
      <c r="HFG19" s="1"/>
      <c r="HFH19" s="1"/>
      <c r="HFI19" s="1"/>
      <c r="HFJ19" s="1"/>
      <c r="HFK19" s="1"/>
      <c r="HFL19" s="1"/>
      <c r="HFM19" s="1"/>
      <c r="HFN19" s="1"/>
      <c r="HFO19" s="1"/>
      <c r="HFP19" s="1"/>
      <c r="HFQ19" s="1"/>
      <c r="HFR19" s="1"/>
      <c r="HFS19" s="1"/>
      <c r="HFT19" s="1"/>
      <c r="HFU19" s="1"/>
      <c r="HFV19" s="1"/>
      <c r="HFW19" s="1"/>
      <c r="HFX19" s="1"/>
      <c r="HFY19" s="1"/>
      <c r="HFZ19" s="1"/>
      <c r="HGA19" s="1"/>
      <c r="HGB19" s="1"/>
      <c r="HGC19" s="1"/>
      <c r="HGD19" s="1"/>
      <c r="HGE19" s="1"/>
      <c r="HGF19" s="1"/>
      <c r="HGG19" s="1"/>
      <c r="HGH19" s="1"/>
      <c r="HGI19" s="1"/>
      <c r="HGJ19" s="1"/>
      <c r="HGK19" s="1"/>
      <c r="HGL19" s="1"/>
      <c r="HGM19" s="1"/>
      <c r="HGN19" s="1"/>
      <c r="HGO19" s="1"/>
      <c r="HGP19" s="1"/>
      <c r="HGQ19" s="1"/>
      <c r="HGR19" s="1"/>
      <c r="HGS19" s="1"/>
      <c r="HGT19" s="1"/>
      <c r="HGU19" s="1"/>
      <c r="HGV19" s="1"/>
      <c r="HGW19" s="1"/>
      <c r="HGX19" s="1"/>
      <c r="HGY19" s="1"/>
      <c r="HGZ19" s="1"/>
      <c r="HHA19" s="1"/>
      <c r="HHB19" s="1"/>
      <c r="HHC19" s="1"/>
      <c r="HHD19" s="1"/>
      <c r="HHE19" s="1"/>
      <c r="HHF19" s="1"/>
      <c r="HHG19" s="1"/>
      <c r="HHH19" s="1"/>
      <c r="HHI19" s="1"/>
      <c r="HHJ19" s="1"/>
      <c r="HHK19" s="1"/>
      <c r="HHL19" s="1"/>
      <c r="HHM19" s="1"/>
      <c r="HHN19" s="1"/>
      <c r="HHO19" s="1"/>
      <c r="HHP19" s="1"/>
      <c r="HHQ19" s="1"/>
      <c r="HHR19" s="1"/>
      <c r="HHS19" s="1"/>
      <c r="HHT19" s="1"/>
      <c r="HHU19" s="1"/>
      <c r="HHV19" s="1"/>
      <c r="HHW19" s="1"/>
      <c r="HHX19" s="1"/>
      <c r="HHY19" s="1"/>
      <c r="HHZ19" s="1"/>
      <c r="HIA19" s="1"/>
      <c r="HIB19" s="1"/>
      <c r="HIC19" s="1"/>
      <c r="HID19" s="1"/>
      <c r="HIE19" s="1"/>
      <c r="HIF19" s="1"/>
      <c r="HIG19" s="1"/>
      <c r="HIH19" s="1"/>
      <c r="HII19" s="1"/>
      <c r="HIJ19" s="1"/>
      <c r="HIK19" s="1"/>
      <c r="HIL19" s="1"/>
      <c r="HIM19" s="1"/>
      <c r="HIN19" s="1"/>
      <c r="HIO19" s="1"/>
      <c r="HIP19" s="1"/>
      <c r="HIQ19" s="1"/>
      <c r="HIR19" s="1"/>
      <c r="HIS19" s="1"/>
      <c r="HIT19" s="1"/>
      <c r="HIU19" s="1"/>
      <c r="HIV19" s="1"/>
      <c r="HIW19" s="1"/>
      <c r="HIX19" s="1"/>
      <c r="HIY19" s="1"/>
      <c r="HIZ19" s="1"/>
      <c r="HJA19" s="1"/>
      <c r="HJB19" s="1"/>
      <c r="HJC19" s="1"/>
      <c r="HJD19" s="1"/>
      <c r="HJE19" s="1"/>
      <c r="HJF19" s="1"/>
      <c r="HJG19" s="1"/>
      <c r="HJH19" s="1"/>
      <c r="HJI19" s="1"/>
      <c r="HJJ19" s="1"/>
      <c r="HJK19" s="1"/>
      <c r="HJL19" s="1"/>
      <c r="HJM19" s="1"/>
      <c r="HJN19" s="1"/>
      <c r="HJO19" s="1"/>
      <c r="HJP19" s="1"/>
      <c r="HJQ19" s="1"/>
      <c r="HJR19" s="1"/>
      <c r="HJS19" s="1"/>
      <c r="HJT19" s="1"/>
      <c r="HJU19" s="1"/>
      <c r="HJV19" s="1"/>
      <c r="HJW19" s="1"/>
      <c r="HJX19" s="1"/>
      <c r="HJY19" s="1"/>
      <c r="HJZ19" s="1"/>
      <c r="HKA19" s="1"/>
      <c r="HKB19" s="1"/>
      <c r="HKC19" s="1"/>
      <c r="HKD19" s="1"/>
      <c r="HKE19" s="1"/>
      <c r="HKF19" s="1"/>
      <c r="HKG19" s="1"/>
      <c r="HKH19" s="1"/>
      <c r="HKI19" s="1"/>
      <c r="HKJ19" s="1"/>
      <c r="HKK19" s="1"/>
      <c r="HKL19" s="1"/>
      <c r="HKM19" s="1"/>
      <c r="HKN19" s="1"/>
      <c r="HKO19" s="1"/>
      <c r="HKP19" s="1"/>
      <c r="HKQ19" s="1"/>
      <c r="HKR19" s="1"/>
      <c r="HKS19" s="1"/>
      <c r="HKT19" s="1"/>
      <c r="HKU19" s="1"/>
      <c r="HKV19" s="1"/>
      <c r="HKW19" s="1"/>
      <c r="HKX19" s="1"/>
      <c r="HKY19" s="1"/>
      <c r="HKZ19" s="1"/>
      <c r="HLA19" s="1"/>
      <c r="HLB19" s="1"/>
      <c r="HLC19" s="1"/>
      <c r="HLD19" s="1"/>
      <c r="HLE19" s="1"/>
      <c r="HLF19" s="1"/>
      <c r="HLG19" s="1"/>
      <c r="HLH19" s="1"/>
      <c r="HLI19" s="1"/>
      <c r="HLJ19" s="1"/>
      <c r="HLK19" s="1"/>
      <c r="HLL19" s="1"/>
      <c r="HLM19" s="1"/>
      <c r="HLN19" s="1"/>
      <c r="HLO19" s="1"/>
      <c r="HLP19" s="1"/>
      <c r="HLQ19" s="1"/>
      <c r="HLR19" s="1"/>
      <c r="HLS19" s="1"/>
      <c r="HLT19" s="1"/>
      <c r="HLU19" s="1"/>
      <c r="HLV19" s="1"/>
      <c r="HLW19" s="1"/>
      <c r="HLX19" s="1"/>
      <c r="HLY19" s="1"/>
      <c r="HLZ19" s="1"/>
      <c r="HMA19" s="1"/>
      <c r="HMB19" s="1"/>
      <c r="HMC19" s="1"/>
      <c r="HMD19" s="1"/>
      <c r="HME19" s="1"/>
      <c r="HMF19" s="1"/>
      <c r="HMG19" s="1"/>
      <c r="HMH19" s="1"/>
      <c r="HMI19" s="1"/>
      <c r="HMJ19" s="1"/>
      <c r="HMK19" s="1"/>
      <c r="HML19" s="1"/>
      <c r="HMM19" s="1"/>
      <c r="HMN19" s="1"/>
      <c r="HMO19" s="1"/>
      <c r="HMP19" s="1"/>
      <c r="HMQ19" s="1"/>
      <c r="HMR19" s="1"/>
      <c r="HMS19" s="1"/>
      <c r="HMT19" s="1"/>
      <c r="HMU19" s="1"/>
      <c r="HMV19" s="1"/>
      <c r="HMW19" s="1"/>
      <c r="HMX19" s="1"/>
      <c r="HMY19" s="1"/>
      <c r="HMZ19" s="1"/>
      <c r="HNA19" s="1"/>
      <c r="HNB19" s="1"/>
      <c r="HNC19" s="1"/>
      <c r="HND19" s="1"/>
      <c r="HNE19" s="1"/>
      <c r="HNF19" s="1"/>
      <c r="HNG19" s="1"/>
      <c r="HNH19" s="1"/>
      <c r="HNI19" s="1"/>
      <c r="HNJ19" s="1"/>
      <c r="HNK19" s="1"/>
      <c r="HNL19" s="1"/>
      <c r="HNM19" s="1"/>
      <c r="HNN19" s="1"/>
      <c r="HNO19" s="1"/>
      <c r="HNP19" s="1"/>
      <c r="HNQ19" s="1"/>
      <c r="HNR19" s="1"/>
      <c r="HNS19" s="1"/>
      <c r="HNT19" s="1"/>
      <c r="HNU19" s="1"/>
      <c r="HNV19" s="1"/>
      <c r="HNW19" s="1"/>
      <c r="HNX19" s="1"/>
      <c r="HNY19" s="1"/>
      <c r="HNZ19" s="1"/>
      <c r="HOA19" s="1"/>
      <c r="HOB19" s="1"/>
      <c r="HOC19" s="1"/>
      <c r="HOD19" s="1"/>
      <c r="HOE19" s="1"/>
      <c r="HOF19" s="1"/>
      <c r="HOG19" s="1"/>
      <c r="HOH19" s="1"/>
      <c r="HOI19" s="1"/>
      <c r="HOJ19" s="1"/>
      <c r="HOK19" s="1"/>
      <c r="HOL19" s="1"/>
      <c r="HOM19" s="1"/>
      <c r="HON19" s="1"/>
      <c r="HOO19" s="1"/>
      <c r="HOP19" s="1"/>
      <c r="HOQ19" s="1"/>
      <c r="HOR19" s="1"/>
      <c r="HOS19" s="1"/>
      <c r="HOT19" s="1"/>
      <c r="HOU19" s="1"/>
      <c r="HOV19" s="1"/>
      <c r="HOW19" s="1"/>
      <c r="HOX19" s="1"/>
      <c r="HOY19" s="1"/>
      <c r="HOZ19" s="1"/>
      <c r="HPA19" s="1"/>
      <c r="HPB19" s="1"/>
      <c r="HPC19" s="1"/>
      <c r="HPD19" s="1"/>
      <c r="HPE19" s="1"/>
      <c r="HPF19" s="1"/>
      <c r="HPG19" s="1"/>
      <c r="HPH19" s="1"/>
      <c r="HPI19" s="1"/>
      <c r="HPJ19" s="1"/>
      <c r="HPK19" s="1"/>
      <c r="HPL19" s="1"/>
      <c r="HPM19" s="1"/>
      <c r="HPN19" s="1"/>
      <c r="HPO19" s="1"/>
      <c r="HPP19" s="1"/>
      <c r="HPQ19" s="1"/>
      <c r="HPR19" s="1"/>
      <c r="HPS19" s="1"/>
      <c r="HPT19" s="1"/>
      <c r="HPU19" s="1"/>
      <c r="HPV19" s="1"/>
      <c r="HPW19" s="1"/>
      <c r="HPX19" s="1"/>
      <c r="HPY19" s="1"/>
      <c r="HPZ19" s="1"/>
      <c r="HQA19" s="1"/>
      <c r="HQB19" s="1"/>
      <c r="HQC19" s="1"/>
      <c r="HQD19" s="1"/>
      <c r="HQE19" s="1"/>
      <c r="HQF19" s="1"/>
      <c r="HQG19" s="1"/>
      <c r="HQH19" s="1"/>
      <c r="HQI19" s="1"/>
      <c r="HQJ19" s="1"/>
      <c r="HQK19" s="1"/>
      <c r="HQL19" s="1"/>
      <c r="HQM19" s="1"/>
      <c r="HQN19" s="1"/>
      <c r="HQO19" s="1"/>
      <c r="HQP19" s="1"/>
      <c r="HQQ19" s="1"/>
      <c r="HQR19" s="1"/>
      <c r="HQS19" s="1"/>
      <c r="HQT19" s="1"/>
      <c r="HQU19" s="1"/>
      <c r="HQV19" s="1"/>
      <c r="HQW19" s="1"/>
      <c r="HQX19" s="1"/>
      <c r="HQY19" s="1"/>
      <c r="HQZ19" s="1"/>
      <c r="HRA19" s="1"/>
      <c r="HRB19" s="1"/>
      <c r="HRC19" s="1"/>
      <c r="HRD19" s="1"/>
      <c r="HRE19" s="1"/>
      <c r="HRF19" s="1"/>
      <c r="HRG19" s="1"/>
      <c r="HRH19" s="1"/>
      <c r="HRI19" s="1"/>
      <c r="HRJ19" s="1"/>
      <c r="HRK19" s="1"/>
      <c r="HRL19" s="1"/>
      <c r="HRM19" s="1"/>
      <c r="HRN19" s="1"/>
      <c r="HRO19" s="1"/>
      <c r="HRP19" s="1"/>
      <c r="HRQ19" s="1"/>
      <c r="HRR19" s="1"/>
      <c r="HRS19" s="1"/>
      <c r="HRT19" s="1"/>
      <c r="HRU19" s="1"/>
      <c r="HRV19" s="1"/>
      <c r="HRW19" s="1"/>
      <c r="HRX19" s="1"/>
      <c r="HRY19" s="1"/>
      <c r="HRZ19" s="1"/>
      <c r="HSA19" s="1"/>
      <c r="HSB19" s="1"/>
      <c r="HSC19" s="1"/>
      <c r="HSD19" s="1"/>
      <c r="HSE19" s="1"/>
      <c r="HSF19" s="1"/>
      <c r="HSG19" s="1"/>
      <c r="HSH19" s="1"/>
      <c r="HSI19" s="1"/>
      <c r="HSJ19" s="1"/>
      <c r="HSK19" s="1"/>
      <c r="HSL19" s="1"/>
      <c r="HSM19" s="1"/>
      <c r="HSN19" s="1"/>
      <c r="HSO19" s="1"/>
      <c r="HSP19" s="1"/>
      <c r="HSQ19" s="1"/>
      <c r="HSR19" s="1"/>
      <c r="HSS19" s="1"/>
      <c r="HST19" s="1"/>
      <c r="HSU19" s="1"/>
      <c r="HSV19" s="1"/>
      <c r="HSW19" s="1"/>
      <c r="HSX19" s="1"/>
      <c r="HSY19" s="1"/>
      <c r="HSZ19" s="1"/>
      <c r="HTA19" s="1"/>
      <c r="HTB19" s="1"/>
      <c r="HTC19" s="1"/>
      <c r="HTD19" s="1"/>
      <c r="HTE19" s="1"/>
      <c r="HTF19" s="1"/>
      <c r="HTG19" s="1"/>
      <c r="HTH19" s="1"/>
      <c r="HTI19" s="1"/>
      <c r="HTJ19" s="1"/>
      <c r="HTK19" s="1"/>
      <c r="HTL19" s="1"/>
      <c r="HTM19" s="1"/>
      <c r="HTN19" s="1"/>
      <c r="HTO19" s="1"/>
      <c r="HTP19" s="1"/>
      <c r="HTQ19" s="1"/>
      <c r="HTR19" s="1"/>
      <c r="HTS19" s="1"/>
      <c r="HTT19" s="1"/>
      <c r="HTU19" s="1"/>
      <c r="HTV19" s="1"/>
      <c r="HTW19" s="1"/>
      <c r="HTX19" s="1"/>
      <c r="HTY19" s="1"/>
      <c r="HTZ19" s="1"/>
      <c r="HUA19" s="1"/>
      <c r="HUB19" s="1"/>
      <c r="HUC19" s="1"/>
      <c r="HUD19" s="1"/>
      <c r="HUE19" s="1"/>
      <c r="HUF19" s="1"/>
      <c r="HUG19" s="1"/>
      <c r="HUH19" s="1"/>
      <c r="HUI19" s="1"/>
      <c r="HUJ19" s="1"/>
      <c r="HUK19" s="1"/>
      <c r="HUL19" s="1"/>
      <c r="HUM19" s="1"/>
      <c r="HUN19" s="1"/>
      <c r="HUO19" s="1"/>
      <c r="HUP19" s="1"/>
      <c r="HUQ19" s="1"/>
      <c r="HUR19" s="1"/>
      <c r="HUS19" s="1"/>
      <c r="HUT19" s="1"/>
      <c r="HUU19" s="1"/>
      <c r="HUV19" s="1"/>
      <c r="HUW19" s="1"/>
      <c r="HUX19" s="1"/>
      <c r="HUY19" s="1"/>
      <c r="HUZ19" s="1"/>
      <c r="HVA19" s="1"/>
      <c r="HVB19" s="1"/>
      <c r="HVC19" s="1"/>
      <c r="HVD19" s="1"/>
      <c r="HVE19" s="1"/>
      <c r="HVF19" s="1"/>
      <c r="HVG19" s="1"/>
      <c r="HVH19" s="1"/>
      <c r="HVI19" s="1"/>
      <c r="HVJ19" s="1"/>
      <c r="HVK19" s="1"/>
      <c r="HVL19" s="1"/>
      <c r="HVM19" s="1"/>
      <c r="HVN19" s="1"/>
      <c r="HVO19" s="1"/>
      <c r="HVP19" s="1"/>
      <c r="HVQ19" s="1"/>
      <c r="HVR19" s="1"/>
      <c r="HVS19" s="1"/>
      <c r="HVT19" s="1"/>
      <c r="HVU19" s="1"/>
      <c r="HVV19" s="1"/>
      <c r="HVW19" s="1"/>
      <c r="HVX19" s="1"/>
      <c r="HVY19" s="1"/>
      <c r="HVZ19" s="1"/>
      <c r="HWA19" s="1"/>
      <c r="HWB19" s="1"/>
      <c r="HWC19" s="1"/>
      <c r="HWD19" s="1"/>
      <c r="HWE19" s="1"/>
      <c r="HWF19" s="1"/>
      <c r="HWG19" s="1"/>
      <c r="HWH19" s="1"/>
      <c r="HWI19" s="1"/>
      <c r="HWJ19" s="1"/>
      <c r="HWK19" s="1"/>
      <c r="HWL19" s="1"/>
      <c r="HWM19" s="1"/>
      <c r="HWN19" s="1"/>
      <c r="HWO19" s="1"/>
      <c r="HWP19" s="1"/>
      <c r="HWQ19" s="1"/>
      <c r="HWR19" s="1"/>
      <c r="HWS19" s="1"/>
      <c r="HWT19" s="1"/>
      <c r="HWU19" s="1"/>
      <c r="HWV19" s="1"/>
      <c r="HWW19" s="1"/>
      <c r="HWX19" s="1"/>
      <c r="HWY19" s="1"/>
      <c r="HWZ19" s="1"/>
      <c r="HXA19" s="1"/>
      <c r="HXB19" s="1"/>
      <c r="HXC19" s="1"/>
      <c r="HXD19" s="1"/>
      <c r="HXE19" s="1"/>
      <c r="HXF19" s="1"/>
      <c r="HXG19" s="1"/>
      <c r="HXH19" s="1"/>
      <c r="HXI19" s="1"/>
      <c r="HXJ19" s="1"/>
      <c r="HXK19" s="1"/>
      <c r="HXL19" s="1"/>
      <c r="HXM19" s="1"/>
      <c r="HXN19" s="1"/>
      <c r="HXO19" s="1"/>
      <c r="HXP19" s="1"/>
      <c r="HXQ19" s="1"/>
      <c r="HXR19" s="1"/>
      <c r="HXS19" s="1"/>
      <c r="HXT19" s="1"/>
      <c r="HXU19" s="1"/>
      <c r="HXV19" s="1"/>
      <c r="HXW19" s="1"/>
      <c r="HXX19" s="1"/>
      <c r="HXY19" s="1"/>
      <c r="HXZ19" s="1"/>
      <c r="HYA19" s="1"/>
      <c r="HYB19" s="1"/>
      <c r="HYC19" s="1"/>
      <c r="HYD19" s="1"/>
      <c r="HYE19" s="1"/>
      <c r="HYF19" s="1"/>
      <c r="HYG19" s="1"/>
      <c r="HYH19" s="1"/>
      <c r="HYI19" s="1"/>
      <c r="HYJ19" s="1"/>
      <c r="HYK19" s="1"/>
      <c r="HYL19" s="1"/>
      <c r="HYM19" s="1"/>
      <c r="HYN19" s="1"/>
      <c r="HYO19" s="1"/>
      <c r="HYP19" s="1"/>
      <c r="HYQ19" s="1"/>
      <c r="HYR19" s="1"/>
      <c r="HYS19" s="1"/>
      <c r="HYT19" s="1"/>
      <c r="HYU19" s="1"/>
      <c r="HYV19" s="1"/>
      <c r="HYW19" s="1"/>
      <c r="HYX19" s="1"/>
      <c r="HYY19" s="1"/>
      <c r="HYZ19" s="1"/>
      <c r="HZA19" s="1"/>
      <c r="HZB19" s="1"/>
      <c r="HZC19" s="1"/>
      <c r="HZD19" s="1"/>
      <c r="HZE19" s="1"/>
      <c r="HZF19" s="1"/>
      <c r="HZG19" s="1"/>
      <c r="HZH19" s="1"/>
      <c r="HZI19" s="1"/>
      <c r="HZJ19" s="1"/>
      <c r="HZK19" s="1"/>
      <c r="HZL19" s="1"/>
      <c r="HZM19" s="1"/>
      <c r="HZN19" s="1"/>
      <c r="HZO19" s="1"/>
      <c r="HZP19" s="1"/>
      <c r="HZQ19" s="1"/>
      <c r="HZR19" s="1"/>
      <c r="HZS19" s="1"/>
      <c r="HZT19" s="1"/>
      <c r="HZU19" s="1"/>
      <c r="HZV19" s="1"/>
      <c r="HZW19" s="1"/>
      <c r="HZX19" s="1"/>
      <c r="HZY19" s="1"/>
      <c r="HZZ19" s="1"/>
      <c r="IAA19" s="1"/>
      <c r="IAB19" s="1"/>
      <c r="IAC19" s="1"/>
      <c r="IAD19" s="1"/>
      <c r="IAE19" s="1"/>
      <c r="IAF19" s="1"/>
      <c r="IAG19" s="1"/>
      <c r="IAH19" s="1"/>
      <c r="IAI19" s="1"/>
      <c r="IAJ19" s="1"/>
      <c r="IAK19" s="1"/>
      <c r="IAL19" s="1"/>
      <c r="IAM19" s="1"/>
      <c r="IAN19" s="1"/>
      <c r="IAO19" s="1"/>
      <c r="IAP19" s="1"/>
      <c r="IAQ19" s="1"/>
      <c r="IAR19" s="1"/>
      <c r="IAS19" s="1"/>
      <c r="IAT19" s="1"/>
      <c r="IAU19" s="1"/>
      <c r="IAV19" s="1"/>
      <c r="IAW19" s="1"/>
      <c r="IAX19" s="1"/>
      <c r="IAY19" s="1"/>
      <c r="IAZ19" s="1"/>
      <c r="IBA19" s="1"/>
      <c r="IBB19" s="1"/>
      <c r="IBC19" s="1"/>
      <c r="IBD19" s="1"/>
      <c r="IBE19" s="1"/>
      <c r="IBF19" s="1"/>
      <c r="IBG19" s="1"/>
      <c r="IBH19" s="1"/>
      <c r="IBI19" s="1"/>
      <c r="IBJ19" s="1"/>
      <c r="IBK19" s="1"/>
      <c r="IBL19" s="1"/>
      <c r="IBM19" s="1"/>
      <c r="IBN19" s="1"/>
      <c r="IBO19" s="1"/>
      <c r="IBP19" s="1"/>
      <c r="IBQ19" s="1"/>
      <c r="IBR19" s="1"/>
      <c r="IBS19" s="1"/>
      <c r="IBT19" s="1"/>
      <c r="IBU19" s="1"/>
      <c r="IBV19" s="1"/>
      <c r="IBW19" s="1"/>
      <c r="IBX19" s="1"/>
      <c r="IBY19" s="1"/>
      <c r="IBZ19" s="1"/>
      <c r="ICA19" s="1"/>
      <c r="ICB19" s="1"/>
      <c r="ICC19" s="1"/>
      <c r="ICD19" s="1"/>
      <c r="ICE19" s="1"/>
      <c r="ICF19" s="1"/>
      <c r="ICG19" s="1"/>
      <c r="ICH19" s="1"/>
      <c r="ICI19" s="1"/>
      <c r="ICJ19" s="1"/>
      <c r="ICK19" s="1"/>
      <c r="ICL19" s="1"/>
      <c r="ICM19" s="1"/>
      <c r="ICN19" s="1"/>
      <c r="ICO19" s="1"/>
      <c r="ICP19" s="1"/>
      <c r="ICQ19" s="1"/>
      <c r="ICR19" s="1"/>
      <c r="ICS19" s="1"/>
      <c r="ICT19" s="1"/>
      <c r="ICU19" s="1"/>
      <c r="ICV19" s="1"/>
      <c r="ICW19" s="1"/>
      <c r="ICX19" s="1"/>
      <c r="ICY19" s="1"/>
      <c r="ICZ19" s="1"/>
      <c r="IDA19" s="1"/>
      <c r="IDB19" s="1"/>
      <c r="IDC19" s="1"/>
      <c r="IDD19" s="1"/>
      <c r="IDE19" s="1"/>
      <c r="IDF19" s="1"/>
      <c r="IDG19" s="1"/>
      <c r="IDH19" s="1"/>
      <c r="IDI19" s="1"/>
      <c r="IDJ19" s="1"/>
      <c r="IDK19" s="1"/>
      <c r="IDL19" s="1"/>
      <c r="IDM19" s="1"/>
      <c r="IDN19" s="1"/>
      <c r="IDO19" s="1"/>
      <c r="IDP19" s="1"/>
      <c r="IDQ19" s="1"/>
      <c r="IDR19" s="1"/>
      <c r="IDS19" s="1"/>
      <c r="IDT19" s="1"/>
      <c r="IDU19" s="1"/>
      <c r="IDV19" s="1"/>
      <c r="IDW19" s="1"/>
      <c r="IDX19" s="1"/>
      <c r="IDY19" s="1"/>
      <c r="IDZ19" s="1"/>
      <c r="IEA19" s="1"/>
      <c r="IEB19" s="1"/>
      <c r="IEC19" s="1"/>
      <c r="IED19" s="1"/>
      <c r="IEE19" s="1"/>
      <c r="IEF19" s="1"/>
      <c r="IEG19" s="1"/>
      <c r="IEH19" s="1"/>
      <c r="IEI19" s="1"/>
      <c r="IEJ19" s="1"/>
      <c r="IEK19" s="1"/>
      <c r="IEL19" s="1"/>
      <c r="IEM19" s="1"/>
      <c r="IEN19" s="1"/>
      <c r="IEO19" s="1"/>
      <c r="IEP19" s="1"/>
      <c r="IEQ19" s="1"/>
      <c r="IER19" s="1"/>
      <c r="IES19" s="1"/>
      <c r="IET19" s="1"/>
      <c r="IEU19" s="1"/>
      <c r="IEV19" s="1"/>
      <c r="IEW19" s="1"/>
      <c r="IEX19" s="1"/>
      <c r="IEY19" s="1"/>
      <c r="IEZ19" s="1"/>
      <c r="IFA19" s="1"/>
      <c r="IFB19" s="1"/>
      <c r="IFC19" s="1"/>
      <c r="IFD19" s="1"/>
      <c r="IFE19" s="1"/>
      <c r="IFF19" s="1"/>
      <c r="IFG19" s="1"/>
      <c r="IFH19" s="1"/>
      <c r="IFI19" s="1"/>
      <c r="IFJ19" s="1"/>
      <c r="IFK19" s="1"/>
      <c r="IFL19" s="1"/>
      <c r="IFM19" s="1"/>
      <c r="IFN19" s="1"/>
      <c r="IFO19" s="1"/>
      <c r="IFP19" s="1"/>
      <c r="IFQ19" s="1"/>
      <c r="IFR19" s="1"/>
      <c r="IFS19" s="1"/>
      <c r="IFT19" s="1"/>
      <c r="IFU19" s="1"/>
      <c r="IFV19" s="1"/>
      <c r="IFW19" s="1"/>
      <c r="IFX19" s="1"/>
      <c r="IFY19" s="1"/>
      <c r="IFZ19" s="1"/>
      <c r="IGA19" s="1"/>
      <c r="IGB19" s="1"/>
      <c r="IGC19" s="1"/>
      <c r="IGD19" s="1"/>
      <c r="IGE19" s="1"/>
      <c r="IGF19" s="1"/>
      <c r="IGG19" s="1"/>
      <c r="IGH19" s="1"/>
      <c r="IGI19" s="1"/>
      <c r="IGJ19" s="1"/>
      <c r="IGK19" s="1"/>
      <c r="IGL19" s="1"/>
      <c r="IGM19" s="1"/>
      <c r="IGN19" s="1"/>
      <c r="IGO19" s="1"/>
      <c r="IGP19" s="1"/>
      <c r="IGQ19" s="1"/>
      <c r="IGR19" s="1"/>
      <c r="IGS19" s="1"/>
      <c r="IGT19" s="1"/>
      <c r="IGU19" s="1"/>
      <c r="IGV19" s="1"/>
      <c r="IGW19" s="1"/>
      <c r="IGX19" s="1"/>
      <c r="IGY19" s="1"/>
      <c r="IGZ19" s="1"/>
      <c r="IHA19" s="1"/>
      <c r="IHB19" s="1"/>
      <c r="IHC19" s="1"/>
      <c r="IHD19" s="1"/>
      <c r="IHE19" s="1"/>
      <c r="IHF19" s="1"/>
      <c r="IHG19" s="1"/>
      <c r="IHH19" s="1"/>
      <c r="IHI19" s="1"/>
      <c r="IHJ19" s="1"/>
      <c r="IHK19" s="1"/>
      <c r="IHL19" s="1"/>
      <c r="IHM19" s="1"/>
      <c r="IHN19" s="1"/>
      <c r="IHO19" s="1"/>
      <c r="IHP19" s="1"/>
      <c r="IHQ19" s="1"/>
      <c r="IHR19" s="1"/>
      <c r="IHS19" s="1"/>
      <c r="IHT19" s="1"/>
      <c r="IHU19" s="1"/>
      <c r="IHV19" s="1"/>
      <c r="IHW19" s="1"/>
      <c r="IHX19" s="1"/>
      <c r="IHY19" s="1"/>
      <c r="IHZ19" s="1"/>
      <c r="IIA19" s="1"/>
      <c r="IIB19" s="1"/>
      <c r="IIC19" s="1"/>
      <c r="IID19" s="1"/>
      <c r="IIE19" s="1"/>
      <c r="IIF19" s="1"/>
      <c r="IIG19" s="1"/>
      <c r="IIH19" s="1"/>
      <c r="III19" s="1"/>
      <c r="IIJ19" s="1"/>
      <c r="IIK19" s="1"/>
      <c r="IIL19" s="1"/>
      <c r="IIM19" s="1"/>
      <c r="IIN19" s="1"/>
      <c r="IIO19" s="1"/>
      <c r="IIP19" s="1"/>
      <c r="IIQ19" s="1"/>
      <c r="IIR19" s="1"/>
      <c r="IIS19" s="1"/>
      <c r="IIT19" s="1"/>
      <c r="IIU19" s="1"/>
      <c r="IIV19" s="1"/>
      <c r="IIW19" s="1"/>
      <c r="IIX19" s="1"/>
      <c r="IIY19" s="1"/>
      <c r="IIZ19" s="1"/>
      <c r="IJA19" s="1"/>
      <c r="IJB19" s="1"/>
      <c r="IJC19" s="1"/>
      <c r="IJD19" s="1"/>
      <c r="IJE19" s="1"/>
      <c r="IJF19" s="1"/>
      <c r="IJG19" s="1"/>
      <c r="IJH19" s="1"/>
      <c r="IJI19" s="1"/>
      <c r="IJJ19" s="1"/>
      <c r="IJK19" s="1"/>
      <c r="IJL19" s="1"/>
      <c r="IJM19" s="1"/>
      <c r="IJN19" s="1"/>
      <c r="IJO19" s="1"/>
      <c r="IJP19" s="1"/>
      <c r="IJQ19" s="1"/>
      <c r="IJR19" s="1"/>
      <c r="IJS19" s="1"/>
      <c r="IJT19" s="1"/>
      <c r="IJU19" s="1"/>
      <c r="IJV19" s="1"/>
      <c r="IJW19" s="1"/>
      <c r="IJX19" s="1"/>
      <c r="IJY19" s="1"/>
      <c r="IJZ19" s="1"/>
      <c r="IKA19" s="1"/>
      <c r="IKB19" s="1"/>
      <c r="IKC19" s="1"/>
      <c r="IKD19" s="1"/>
      <c r="IKE19" s="1"/>
      <c r="IKF19" s="1"/>
      <c r="IKG19" s="1"/>
      <c r="IKH19" s="1"/>
      <c r="IKI19" s="1"/>
      <c r="IKJ19" s="1"/>
      <c r="IKK19" s="1"/>
      <c r="IKL19" s="1"/>
      <c r="IKM19" s="1"/>
      <c r="IKN19" s="1"/>
      <c r="IKO19" s="1"/>
      <c r="IKP19" s="1"/>
      <c r="IKQ19" s="1"/>
      <c r="IKR19" s="1"/>
      <c r="IKS19" s="1"/>
      <c r="IKT19" s="1"/>
      <c r="IKU19" s="1"/>
      <c r="IKV19" s="1"/>
      <c r="IKW19" s="1"/>
      <c r="IKX19" s="1"/>
      <c r="IKY19" s="1"/>
      <c r="IKZ19" s="1"/>
      <c r="ILA19" s="1"/>
      <c r="ILB19" s="1"/>
      <c r="ILC19" s="1"/>
      <c r="ILD19" s="1"/>
      <c r="ILE19" s="1"/>
      <c r="ILF19" s="1"/>
      <c r="ILG19" s="1"/>
      <c r="ILH19" s="1"/>
      <c r="ILI19" s="1"/>
      <c r="ILJ19" s="1"/>
      <c r="ILK19" s="1"/>
      <c r="ILL19" s="1"/>
      <c r="ILM19" s="1"/>
      <c r="ILN19" s="1"/>
      <c r="ILO19" s="1"/>
      <c r="ILP19" s="1"/>
      <c r="ILQ19" s="1"/>
      <c r="ILR19" s="1"/>
      <c r="ILS19" s="1"/>
      <c r="ILT19" s="1"/>
      <c r="ILU19" s="1"/>
      <c r="ILV19" s="1"/>
      <c r="ILW19" s="1"/>
      <c r="ILX19" s="1"/>
      <c r="ILY19" s="1"/>
      <c r="ILZ19" s="1"/>
      <c r="IMA19" s="1"/>
      <c r="IMB19" s="1"/>
      <c r="IMC19" s="1"/>
      <c r="IMD19" s="1"/>
      <c r="IME19" s="1"/>
      <c r="IMF19" s="1"/>
      <c r="IMG19" s="1"/>
      <c r="IMH19" s="1"/>
      <c r="IMI19" s="1"/>
      <c r="IMJ19" s="1"/>
      <c r="IMK19" s="1"/>
      <c r="IML19" s="1"/>
      <c r="IMM19" s="1"/>
      <c r="IMN19" s="1"/>
      <c r="IMO19" s="1"/>
      <c r="IMP19" s="1"/>
      <c r="IMQ19" s="1"/>
      <c r="IMR19" s="1"/>
      <c r="IMS19" s="1"/>
      <c r="IMT19" s="1"/>
      <c r="IMU19" s="1"/>
      <c r="IMV19" s="1"/>
      <c r="IMW19" s="1"/>
      <c r="IMX19" s="1"/>
      <c r="IMY19" s="1"/>
      <c r="IMZ19" s="1"/>
      <c r="INA19" s="1"/>
      <c r="INB19" s="1"/>
      <c r="INC19" s="1"/>
      <c r="IND19" s="1"/>
      <c r="INE19" s="1"/>
      <c r="INF19" s="1"/>
      <c r="ING19" s="1"/>
      <c r="INH19" s="1"/>
      <c r="INI19" s="1"/>
      <c r="INJ19" s="1"/>
      <c r="INK19" s="1"/>
      <c r="INL19" s="1"/>
      <c r="INM19" s="1"/>
      <c r="INN19" s="1"/>
      <c r="INO19" s="1"/>
      <c r="INP19" s="1"/>
      <c r="INQ19" s="1"/>
      <c r="INR19" s="1"/>
      <c r="INS19" s="1"/>
      <c r="INT19" s="1"/>
      <c r="INU19" s="1"/>
      <c r="INV19" s="1"/>
      <c r="INW19" s="1"/>
      <c r="INX19" s="1"/>
      <c r="INY19" s="1"/>
      <c r="INZ19" s="1"/>
      <c r="IOA19" s="1"/>
      <c r="IOB19" s="1"/>
      <c r="IOC19" s="1"/>
      <c r="IOD19" s="1"/>
      <c r="IOE19" s="1"/>
      <c r="IOF19" s="1"/>
      <c r="IOG19" s="1"/>
      <c r="IOH19" s="1"/>
      <c r="IOI19" s="1"/>
      <c r="IOJ19" s="1"/>
      <c r="IOK19" s="1"/>
      <c r="IOL19" s="1"/>
      <c r="IOM19" s="1"/>
      <c r="ION19" s="1"/>
      <c r="IOO19" s="1"/>
      <c r="IOP19" s="1"/>
      <c r="IOQ19" s="1"/>
      <c r="IOR19" s="1"/>
      <c r="IOS19" s="1"/>
      <c r="IOT19" s="1"/>
      <c r="IOU19" s="1"/>
      <c r="IOV19" s="1"/>
      <c r="IOW19" s="1"/>
      <c r="IOX19" s="1"/>
      <c r="IOY19" s="1"/>
      <c r="IOZ19" s="1"/>
      <c r="IPA19" s="1"/>
      <c r="IPB19" s="1"/>
      <c r="IPC19" s="1"/>
      <c r="IPD19" s="1"/>
      <c r="IPE19" s="1"/>
      <c r="IPF19" s="1"/>
      <c r="IPG19" s="1"/>
      <c r="IPH19" s="1"/>
      <c r="IPI19" s="1"/>
      <c r="IPJ19" s="1"/>
      <c r="IPK19" s="1"/>
      <c r="IPL19" s="1"/>
      <c r="IPM19" s="1"/>
      <c r="IPN19" s="1"/>
      <c r="IPO19" s="1"/>
      <c r="IPP19" s="1"/>
      <c r="IPQ19" s="1"/>
      <c r="IPR19" s="1"/>
      <c r="IPS19" s="1"/>
      <c r="IPT19" s="1"/>
      <c r="IPU19" s="1"/>
      <c r="IPV19" s="1"/>
      <c r="IPW19" s="1"/>
      <c r="IPX19" s="1"/>
      <c r="IPY19" s="1"/>
      <c r="IPZ19" s="1"/>
      <c r="IQA19" s="1"/>
      <c r="IQB19" s="1"/>
      <c r="IQC19" s="1"/>
      <c r="IQD19" s="1"/>
      <c r="IQE19" s="1"/>
      <c r="IQF19" s="1"/>
      <c r="IQG19" s="1"/>
      <c r="IQH19" s="1"/>
      <c r="IQI19" s="1"/>
      <c r="IQJ19" s="1"/>
      <c r="IQK19" s="1"/>
      <c r="IQL19" s="1"/>
      <c r="IQM19" s="1"/>
      <c r="IQN19" s="1"/>
      <c r="IQO19" s="1"/>
      <c r="IQP19" s="1"/>
      <c r="IQQ19" s="1"/>
      <c r="IQR19" s="1"/>
      <c r="IQS19" s="1"/>
      <c r="IQT19" s="1"/>
      <c r="IQU19" s="1"/>
      <c r="IQV19" s="1"/>
      <c r="IQW19" s="1"/>
      <c r="IQX19" s="1"/>
      <c r="IQY19" s="1"/>
      <c r="IQZ19" s="1"/>
      <c r="IRA19" s="1"/>
      <c r="IRB19" s="1"/>
      <c r="IRC19" s="1"/>
      <c r="IRD19" s="1"/>
      <c r="IRE19" s="1"/>
      <c r="IRF19" s="1"/>
      <c r="IRG19" s="1"/>
      <c r="IRH19" s="1"/>
      <c r="IRI19" s="1"/>
      <c r="IRJ19" s="1"/>
      <c r="IRK19" s="1"/>
      <c r="IRL19" s="1"/>
      <c r="IRM19" s="1"/>
      <c r="IRN19" s="1"/>
      <c r="IRO19" s="1"/>
      <c r="IRP19" s="1"/>
      <c r="IRQ19" s="1"/>
      <c r="IRR19" s="1"/>
      <c r="IRS19" s="1"/>
      <c r="IRT19" s="1"/>
      <c r="IRU19" s="1"/>
      <c r="IRV19" s="1"/>
      <c r="IRW19" s="1"/>
      <c r="IRX19" s="1"/>
      <c r="IRY19" s="1"/>
      <c r="IRZ19" s="1"/>
      <c r="ISA19" s="1"/>
      <c r="ISB19" s="1"/>
      <c r="ISC19" s="1"/>
      <c r="ISD19" s="1"/>
      <c r="ISE19" s="1"/>
      <c r="ISF19" s="1"/>
      <c r="ISG19" s="1"/>
      <c r="ISH19" s="1"/>
      <c r="ISI19" s="1"/>
      <c r="ISJ19" s="1"/>
      <c r="ISK19" s="1"/>
      <c r="ISL19" s="1"/>
      <c r="ISM19" s="1"/>
      <c r="ISN19" s="1"/>
      <c r="ISO19" s="1"/>
      <c r="ISP19" s="1"/>
      <c r="ISQ19" s="1"/>
      <c r="ISR19" s="1"/>
      <c r="ISS19" s="1"/>
      <c r="IST19" s="1"/>
      <c r="ISU19" s="1"/>
      <c r="ISV19" s="1"/>
      <c r="ISW19" s="1"/>
      <c r="ISX19" s="1"/>
      <c r="ISY19" s="1"/>
      <c r="ISZ19" s="1"/>
      <c r="ITA19" s="1"/>
      <c r="ITB19" s="1"/>
      <c r="ITC19" s="1"/>
      <c r="ITD19" s="1"/>
      <c r="ITE19" s="1"/>
      <c r="ITF19" s="1"/>
      <c r="ITG19" s="1"/>
      <c r="ITH19" s="1"/>
      <c r="ITI19" s="1"/>
      <c r="ITJ19" s="1"/>
      <c r="ITK19" s="1"/>
      <c r="ITL19" s="1"/>
      <c r="ITM19" s="1"/>
      <c r="ITN19" s="1"/>
      <c r="ITO19" s="1"/>
      <c r="ITP19" s="1"/>
      <c r="ITQ19" s="1"/>
      <c r="ITR19" s="1"/>
      <c r="ITS19" s="1"/>
      <c r="ITT19" s="1"/>
      <c r="ITU19" s="1"/>
      <c r="ITV19" s="1"/>
      <c r="ITW19" s="1"/>
      <c r="ITX19" s="1"/>
      <c r="ITY19" s="1"/>
      <c r="ITZ19" s="1"/>
      <c r="IUA19" s="1"/>
      <c r="IUB19" s="1"/>
      <c r="IUC19" s="1"/>
      <c r="IUD19" s="1"/>
      <c r="IUE19" s="1"/>
      <c r="IUF19" s="1"/>
      <c r="IUG19" s="1"/>
      <c r="IUH19" s="1"/>
      <c r="IUI19" s="1"/>
      <c r="IUJ19" s="1"/>
      <c r="IUK19" s="1"/>
      <c r="IUL19" s="1"/>
      <c r="IUM19" s="1"/>
      <c r="IUN19" s="1"/>
      <c r="IUO19" s="1"/>
      <c r="IUP19" s="1"/>
      <c r="IUQ19" s="1"/>
      <c r="IUR19" s="1"/>
      <c r="IUS19" s="1"/>
      <c r="IUT19" s="1"/>
      <c r="IUU19" s="1"/>
      <c r="IUV19" s="1"/>
      <c r="IUW19" s="1"/>
      <c r="IUX19" s="1"/>
      <c r="IUY19" s="1"/>
      <c r="IUZ19" s="1"/>
      <c r="IVA19" s="1"/>
      <c r="IVB19" s="1"/>
      <c r="IVC19" s="1"/>
      <c r="IVD19" s="1"/>
      <c r="IVE19" s="1"/>
      <c r="IVF19" s="1"/>
      <c r="IVG19" s="1"/>
      <c r="IVH19" s="1"/>
      <c r="IVI19" s="1"/>
      <c r="IVJ19" s="1"/>
      <c r="IVK19" s="1"/>
      <c r="IVL19" s="1"/>
      <c r="IVM19" s="1"/>
      <c r="IVN19" s="1"/>
      <c r="IVO19" s="1"/>
      <c r="IVP19" s="1"/>
      <c r="IVQ19" s="1"/>
      <c r="IVR19" s="1"/>
      <c r="IVS19" s="1"/>
      <c r="IVT19" s="1"/>
      <c r="IVU19" s="1"/>
      <c r="IVV19" s="1"/>
      <c r="IVW19" s="1"/>
      <c r="IVX19" s="1"/>
      <c r="IVY19" s="1"/>
      <c r="IVZ19" s="1"/>
      <c r="IWA19" s="1"/>
      <c r="IWB19" s="1"/>
      <c r="IWC19" s="1"/>
      <c r="IWD19" s="1"/>
      <c r="IWE19" s="1"/>
      <c r="IWF19" s="1"/>
      <c r="IWG19" s="1"/>
      <c r="IWH19" s="1"/>
      <c r="IWI19" s="1"/>
      <c r="IWJ19" s="1"/>
      <c r="IWK19" s="1"/>
      <c r="IWL19" s="1"/>
      <c r="IWM19" s="1"/>
      <c r="IWN19" s="1"/>
      <c r="IWO19" s="1"/>
      <c r="IWP19" s="1"/>
      <c r="IWQ19" s="1"/>
      <c r="IWR19" s="1"/>
      <c r="IWS19" s="1"/>
      <c r="IWT19" s="1"/>
      <c r="IWU19" s="1"/>
      <c r="IWV19" s="1"/>
      <c r="IWW19" s="1"/>
      <c r="IWX19" s="1"/>
      <c r="IWY19" s="1"/>
      <c r="IWZ19" s="1"/>
      <c r="IXA19" s="1"/>
      <c r="IXB19" s="1"/>
      <c r="IXC19" s="1"/>
      <c r="IXD19" s="1"/>
      <c r="IXE19" s="1"/>
      <c r="IXF19" s="1"/>
      <c r="IXG19" s="1"/>
      <c r="IXH19" s="1"/>
      <c r="IXI19" s="1"/>
      <c r="IXJ19" s="1"/>
      <c r="IXK19" s="1"/>
      <c r="IXL19" s="1"/>
      <c r="IXM19" s="1"/>
      <c r="IXN19" s="1"/>
      <c r="IXO19" s="1"/>
      <c r="IXP19" s="1"/>
      <c r="IXQ19" s="1"/>
      <c r="IXR19" s="1"/>
      <c r="IXS19" s="1"/>
      <c r="IXT19" s="1"/>
      <c r="IXU19" s="1"/>
      <c r="IXV19" s="1"/>
      <c r="IXW19" s="1"/>
      <c r="IXX19" s="1"/>
      <c r="IXY19" s="1"/>
      <c r="IXZ19" s="1"/>
      <c r="IYA19" s="1"/>
      <c r="IYB19" s="1"/>
      <c r="IYC19" s="1"/>
      <c r="IYD19" s="1"/>
      <c r="IYE19" s="1"/>
      <c r="IYF19" s="1"/>
      <c r="IYG19" s="1"/>
      <c r="IYH19" s="1"/>
      <c r="IYI19" s="1"/>
      <c r="IYJ19" s="1"/>
      <c r="IYK19" s="1"/>
      <c r="IYL19" s="1"/>
      <c r="IYM19" s="1"/>
      <c r="IYN19" s="1"/>
      <c r="IYO19" s="1"/>
      <c r="IYP19" s="1"/>
      <c r="IYQ19" s="1"/>
      <c r="IYR19" s="1"/>
      <c r="IYS19" s="1"/>
      <c r="IYT19" s="1"/>
      <c r="IYU19" s="1"/>
      <c r="IYV19" s="1"/>
      <c r="IYW19" s="1"/>
      <c r="IYX19" s="1"/>
      <c r="IYY19" s="1"/>
      <c r="IYZ19" s="1"/>
      <c r="IZA19" s="1"/>
      <c r="IZB19" s="1"/>
      <c r="IZC19" s="1"/>
      <c r="IZD19" s="1"/>
      <c r="IZE19" s="1"/>
      <c r="IZF19" s="1"/>
      <c r="IZG19" s="1"/>
      <c r="IZH19" s="1"/>
      <c r="IZI19" s="1"/>
      <c r="IZJ19" s="1"/>
      <c r="IZK19" s="1"/>
      <c r="IZL19" s="1"/>
      <c r="IZM19" s="1"/>
      <c r="IZN19" s="1"/>
      <c r="IZO19" s="1"/>
      <c r="IZP19" s="1"/>
      <c r="IZQ19" s="1"/>
      <c r="IZR19" s="1"/>
      <c r="IZS19" s="1"/>
      <c r="IZT19" s="1"/>
      <c r="IZU19" s="1"/>
      <c r="IZV19" s="1"/>
      <c r="IZW19" s="1"/>
      <c r="IZX19" s="1"/>
      <c r="IZY19" s="1"/>
      <c r="IZZ19" s="1"/>
      <c r="JAA19" s="1"/>
      <c r="JAB19" s="1"/>
      <c r="JAC19" s="1"/>
      <c r="JAD19" s="1"/>
      <c r="JAE19" s="1"/>
      <c r="JAF19" s="1"/>
      <c r="JAG19" s="1"/>
      <c r="JAH19" s="1"/>
      <c r="JAI19" s="1"/>
      <c r="JAJ19" s="1"/>
      <c r="JAK19" s="1"/>
      <c r="JAL19" s="1"/>
      <c r="JAM19" s="1"/>
      <c r="JAN19" s="1"/>
      <c r="JAO19" s="1"/>
      <c r="JAP19" s="1"/>
      <c r="JAQ19" s="1"/>
      <c r="JAR19" s="1"/>
      <c r="JAS19" s="1"/>
      <c r="JAT19" s="1"/>
      <c r="JAU19" s="1"/>
      <c r="JAV19" s="1"/>
      <c r="JAW19" s="1"/>
      <c r="JAX19" s="1"/>
      <c r="JAY19" s="1"/>
      <c r="JAZ19" s="1"/>
      <c r="JBA19" s="1"/>
      <c r="JBB19" s="1"/>
      <c r="JBC19" s="1"/>
      <c r="JBD19" s="1"/>
      <c r="JBE19" s="1"/>
      <c r="JBF19" s="1"/>
      <c r="JBG19" s="1"/>
      <c r="JBH19" s="1"/>
      <c r="JBI19" s="1"/>
      <c r="JBJ19" s="1"/>
      <c r="JBK19" s="1"/>
      <c r="JBL19" s="1"/>
      <c r="JBM19" s="1"/>
      <c r="JBN19" s="1"/>
      <c r="JBO19" s="1"/>
      <c r="JBP19" s="1"/>
      <c r="JBQ19" s="1"/>
      <c r="JBR19" s="1"/>
      <c r="JBS19" s="1"/>
      <c r="JBT19" s="1"/>
      <c r="JBU19" s="1"/>
      <c r="JBV19" s="1"/>
      <c r="JBW19" s="1"/>
      <c r="JBX19" s="1"/>
      <c r="JBY19" s="1"/>
      <c r="JBZ19" s="1"/>
      <c r="JCA19" s="1"/>
      <c r="JCB19" s="1"/>
      <c r="JCC19" s="1"/>
      <c r="JCD19" s="1"/>
      <c r="JCE19" s="1"/>
      <c r="JCF19" s="1"/>
      <c r="JCG19" s="1"/>
      <c r="JCH19" s="1"/>
      <c r="JCI19" s="1"/>
      <c r="JCJ19" s="1"/>
      <c r="JCK19" s="1"/>
      <c r="JCL19" s="1"/>
      <c r="JCM19" s="1"/>
      <c r="JCN19" s="1"/>
      <c r="JCO19" s="1"/>
      <c r="JCP19" s="1"/>
      <c r="JCQ19" s="1"/>
      <c r="JCR19" s="1"/>
      <c r="JCS19" s="1"/>
      <c r="JCT19" s="1"/>
      <c r="JCU19" s="1"/>
      <c r="JCV19" s="1"/>
      <c r="JCW19" s="1"/>
      <c r="JCX19" s="1"/>
      <c r="JCY19" s="1"/>
      <c r="JCZ19" s="1"/>
      <c r="JDA19" s="1"/>
      <c r="JDB19" s="1"/>
      <c r="JDC19" s="1"/>
      <c r="JDD19" s="1"/>
      <c r="JDE19" s="1"/>
      <c r="JDF19" s="1"/>
      <c r="JDG19" s="1"/>
      <c r="JDH19" s="1"/>
      <c r="JDI19" s="1"/>
      <c r="JDJ19" s="1"/>
      <c r="JDK19" s="1"/>
      <c r="JDL19" s="1"/>
      <c r="JDM19" s="1"/>
      <c r="JDN19" s="1"/>
      <c r="JDO19" s="1"/>
      <c r="JDP19" s="1"/>
      <c r="JDQ19" s="1"/>
      <c r="JDR19" s="1"/>
      <c r="JDS19" s="1"/>
      <c r="JDT19" s="1"/>
      <c r="JDU19" s="1"/>
      <c r="JDV19" s="1"/>
      <c r="JDW19" s="1"/>
      <c r="JDX19" s="1"/>
      <c r="JDY19" s="1"/>
      <c r="JDZ19" s="1"/>
      <c r="JEA19" s="1"/>
      <c r="JEB19" s="1"/>
      <c r="JEC19" s="1"/>
      <c r="JED19" s="1"/>
      <c r="JEE19" s="1"/>
      <c r="JEF19" s="1"/>
      <c r="JEG19" s="1"/>
      <c r="JEH19" s="1"/>
      <c r="JEI19" s="1"/>
      <c r="JEJ19" s="1"/>
      <c r="JEK19" s="1"/>
      <c r="JEL19" s="1"/>
      <c r="JEM19" s="1"/>
      <c r="JEN19" s="1"/>
      <c r="JEO19" s="1"/>
      <c r="JEP19" s="1"/>
      <c r="JEQ19" s="1"/>
      <c r="JER19" s="1"/>
      <c r="JES19" s="1"/>
      <c r="JET19" s="1"/>
      <c r="JEU19" s="1"/>
      <c r="JEV19" s="1"/>
      <c r="JEW19" s="1"/>
      <c r="JEX19" s="1"/>
      <c r="JEY19" s="1"/>
      <c r="JEZ19" s="1"/>
      <c r="JFA19" s="1"/>
      <c r="JFB19" s="1"/>
      <c r="JFC19" s="1"/>
      <c r="JFD19" s="1"/>
      <c r="JFE19" s="1"/>
      <c r="JFF19" s="1"/>
      <c r="JFG19" s="1"/>
      <c r="JFH19" s="1"/>
      <c r="JFI19" s="1"/>
      <c r="JFJ19" s="1"/>
      <c r="JFK19" s="1"/>
      <c r="JFL19" s="1"/>
      <c r="JFM19" s="1"/>
      <c r="JFN19" s="1"/>
      <c r="JFO19" s="1"/>
      <c r="JFP19" s="1"/>
      <c r="JFQ19" s="1"/>
      <c r="JFR19" s="1"/>
      <c r="JFS19" s="1"/>
      <c r="JFT19" s="1"/>
      <c r="JFU19" s="1"/>
      <c r="JFV19" s="1"/>
      <c r="JFW19" s="1"/>
      <c r="JFX19" s="1"/>
      <c r="JFY19" s="1"/>
      <c r="JFZ19" s="1"/>
      <c r="JGA19" s="1"/>
      <c r="JGB19" s="1"/>
      <c r="JGC19" s="1"/>
      <c r="JGD19" s="1"/>
      <c r="JGE19" s="1"/>
      <c r="JGF19" s="1"/>
      <c r="JGG19" s="1"/>
      <c r="JGH19" s="1"/>
      <c r="JGI19" s="1"/>
      <c r="JGJ19" s="1"/>
      <c r="JGK19" s="1"/>
      <c r="JGL19" s="1"/>
      <c r="JGM19" s="1"/>
      <c r="JGN19" s="1"/>
      <c r="JGO19" s="1"/>
      <c r="JGP19" s="1"/>
      <c r="JGQ19" s="1"/>
      <c r="JGR19" s="1"/>
      <c r="JGS19" s="1"/>
      <c r="JGT19" s="1"/>
      <c r="JGU19" s="1"/>
      <c r="JGV19" s="1"/>
      <c r="JGW19" s="1"/>
      <c r="JGX19" s="1"/>
      <c r="JGY19" s="1"/>
      <c r="JGZ19" s="1"/>
      <c r="JHA19" s="1"/>
      <c r="JHB19" s="1"/>
      <c r="JHC19" s="1"/>
      <c r="JHD19" s="1"/>
      <c r="JHE19" s="1"/>
      <c r="JHF19" s="1"/>
      <c r="JHG19" s="1"/>
      <c r="JHH19" s="1"/>
      <c r="JHI19" s="1"/>
      <c r="JHJ19" s="1"/>
      <c r="JHK19" s="1"/>
      <c r="JHL19" s="1"/>
      <c r="JHM19" s="1"/>
      <c r="JHN19" s="1"/>
      <c r="JHO19" s="1"/>
      <c r="JHP19" s="1"/>
      <c r="JHQ19" s="1"/>
      <c r="JHR19" s="1"/>
      <c r="JHS19" s="1"/>
      <c r="JHT19" s="1"/>
      <c r="JHU19" s="1"/>
      <c r="JHV19" s="1"/>
      <c r="JHW19" s="1"/>
      <c r="JHX19" s="1"/>
      <c r="JHY19" s="1"/>
      <c r="JHZ19" s="1"/>
      <c r="JIA19" s="1"/>
      <c r="JIB19" s="1"/>
      <c r="JIC19" s="1"/>
      <c r="JID19" s="1"/>
      <c r="JIE19" s="1"/>
      <c r="JIF19" s="1"/>
      <c r="JIG19" s="1"/>
      <c r="JIH19" s="1"/>
      <c r="JII19" s="1"/>
      <c r="JIJ19" s="1"/>
      <c r="JIK19" s="1"/>
      <c r="JIL19" s="1"/>
      <c r="JIM19" s="1"/>
      <c r="JIN19" s="1"/>
      <c r="JIO19" s="1"/>
      <c r="JIP19" s="1"/>
      <c r="JIQ19" s="1"/>
      <c r="JIR19" s="1"/>
      <c r="JIS19" s="1"/>
      <c r="JIT19" s="1"/>
      <c r="JIU19" s="1"/>
      <c r="JIV19" s="1"/>
      <c r="JIW19" s="1"/>
      <c r="JIX19" s="1"/>
      <c r="JIY19" s="1"/>
      <c r="JIZ19" s="1"/>
      <c r="JJA19" s="1"/>
      <c r="JJB19" s="1"/>
      <c r="JJC19" s="1"/>
      <c r="JJD19" s="1"/>
      <c r="JJE19" s="1"/>
      <c r="JJF19" s="1"/>
      <c r="JJG19" s="1"/>
      <c r="JJH19" s="1"/>
      <c r="JJI19" s="1"/>
      <c r="JJJ19" s="1"/>
      <c r="JJK19" s="1"/>
      <c r="JJL19" s="1"/>
      <c r="JJM19" s="1"/>
      <c r="JJN19" s="1"/>
      <c r="JJO19" s="1"/>
      <c r="JJP19" s="1"/>
      <c r="JJQ19" s="1"/>
      <c r="JJR19" s="1"/>
      <c r="JJS19" s="1"/>
      <c r="JJT19" s="1"/>
      <c r="JJU19" s="1"/>
      <c r="JJV19" s="1"/>
      <c r="JJW19" s="1"/>
      <c r="JJX19" s="1"/>
      <c r="JJY19" s="1"/>
      <c r="JJZ19" s="1"/>
      <c r="JKA19" s="1"/>
      <c r="JKB19" s="1"/>
      <c r="JKC19" s="1"/>
      <c r="JKD19" s="1"/>
      <c r="JKE19" s="1"/>
      <c r="JKF19" s="1"/>
      <c r="JKG19" s="1"/>
      <c r="JKH19" s="1"/>
      <c r="JKI19" s="1"/>
      <c r="JKJ19" s="1"/>
      <c r="JKK19" s="1"/>
      <c r="JKL19" s="1"/>
      <c r="JKM19" s="1"/>
      <c r="JKN19" s="1"/>
      <c r="JKO19" s="1"/>
      <c r="JKP19" s="1"/>
      <c r="JKQ19" s="1"/>
      <c r="JKR19" s="1"/>
      <c r="JKS19" s="1"/>
      <c r="JKT19" s="1"/>
      <c r="JKU19" s="1"/>
      <c r="JKV19" s="1"/>
      <c r="JKW19" s="1"/>
      <c r="JKX19" s="1"/>
      <c r="JKY19" s="1"/>
      <c r="JKZ19" s="1"/>
      <c r="JLA19" s="1"/>
      <c r="JLB19" s="1"/>
      <c r="JLC19" s="1"/>
      <c r="JLD19" s="1"/>
      <c r="JLE19" s="1"/>
      <c r="JLF19" s="1"/>
      <c r="JLG19" s="1"/>
      <c r="JLH19" s="1"/>
      <c r="JLI19" s="1"/>
      <c r="JLJ19" s="1"/>
      <c r="JLK19" s="1"/>
      <c r="JLL19" s="1"/>
      <c r="JLM19" s="1"/>
      <c r="JLN19" s="1"/>
      <c r="JLO19" s="1"/>
      <c r="JLP19" s="1"/>
      <c r="JLQ19" s="1"/>
      <c r="JLR19" s="1"/>
      <c r="JLS19" s="1"/>
      <c r="JLT19" s="1"/>
      <c r="JLU19" s="1"/>
      <c r="JLV19" s="1"/>
      <c r="JLW19" s="1"/>
      <c r="JLX19" s="1"/>
      <c r="JLY19" s="1"/>
      <c r="JLZ19" s="1"/>
      <c r="JMA19" s="1"/>
      <c r="JMB19" s="1"/>
      <c r="JMC19" s="1"/>
      <c r="JMD19" s="1"/>
      <c r="JME19" s="1"/>
      <c r="JMF19" s="1"/>
      <c r="JMG19" s="1"/>
      <c r="JMH19" s="1"/>
      <c r="JMI19" s="1"/>
      <c r="JMJ19" s="1"/>
      <c r="JMK19" s="1"/>
      <c r="JML19" s="1"/>
      <c r="JMM19" s="1"/>
      <c r="JMN19" s="1"/>
      <c r="JMO19" s="1"/>
      <c r="JMP19" s="1"/>
      <c r="JMQ19" s="1"/>
      <c r="JMR19" s="1"/>
      <c r="JMS19" s="1"/>
      <c r="JMT19" s="1"/>
      <c r="JMU19" s="1"/>
      <c r="JMV19" s="1"/>
      <c r="JMW19" s="1"/>
      <c r="JMX19" s="1"/>
      <c r="JMY19" s="1"/>
      <c r="JMZ19" s="1"/>
      <c r="JNA19" s="1"/>
      <c r="JNB19" s="1"/>
      <c r="JNC19" s="1"/>
      <c r="JND19" s="1"/>
      <c r="JNE19" s="1"/>
      <c r="JNF19" s="1"/>
      <c r="JNG19" s="1"/>
      <c r="JNH19" s="1"/>
      <c r="JNI19" s="1"/>
      <c r="JNJ19" s="1"/>
      <c r="JNK19" s="1"/>
      <c r="JNL19" s="1"/>
      <c r="JNM19" s="1"/>
      <c r="JNN19" s="1"/>
      <c r="JNO19" s="1"/>
      <c r="JNP19" s="1"/>
      <c r="JNQ19" s="1"/>
      <c r="JNR19" s="1"/>
      <c r="JNS19" s="1"/>
      <c r="JNT19" s="1"/>
      <c r="JNU19" s="1"/>
      <c r="JNV19" s="1"/>
      <c r="JNW19" s="1"/>
      <c r="JNX19" s="1"/>
      <c r="JNY19" s="1"/>
      <c r="JNZ19" s="1"/>
      <c r="JOA19" s="1"/>
      <c r="JOB19" s="1"/>
      <c r="JOC19" s="1"/>
      <c r="JOD19" s="1"/>
      <c r="JOE19" s="1"/>
      <c r="JOF19" s="1"/>
      <c r="JOG19" s="1"/>
      <c r="JOH19" s="1"/>
      <c r="JOI19" s="1"/>
      <c r="JOJ19" s="1"/>
      <c r="JOK19" s="1"/>
      <c r="JOL19" s="1"/>
      <c r="JOM19" s="1"/>
      <c r="JON19" s="1"/>
      <c r="JOO19" s="1"/>
      <c r="JOP19" s="1"/>
      <c r="JOQ19" s="1"/>
      <c r="JOR19" s="1"/>
      <c r="JOS19" s="1"/>
      <c r="JOT19" s="1"/>
      <c r="JOU19" s="1"/>
      <c r="JOV19" s="1"/>
      <c r="JOW19" s="1"/>
      <c r="JOX19" s="1"/>
      <c r="JOY19" s="1"/>
      <c r="JOZ19" s="1"/>
      <c r="JPA19" s="1"/>
      <c r="JPB19" s="1"/>
      <c r="JPC19" s="1"/>
      <c r="JPD19" s="1"/>
      <c r="JPE19" s="1"/>
      <c r="JPF19" s="1"/>
      <c r="JPG19" s="1"/>
      <c r="JPH19" s="1"/>
      <c r="JPI19" s="1"/>
      <c r="JPJ19" s="1"/>
      <c r="JPK19" s="1"/>
      <c r="JPL19" s="1"/>
      <c r="JPM19" s="1"/>
      <c r="JPN19" s="1"/>
      <c r="JPO19" s="1"/>
      <c r="JPP19" s="1"/>
      <c r="JPQ19" s="1"/>
      <c r="JPR19" s="1"/>
      <c r="JPS19" s="1"/>
      <c r="JPT19" s="1"/>
      <c r="JPU19" s="1"/>
      <c r="JPV19" s="1"/>
      <c r="JPW19" s="1"/>
      <c r="JPX19" s="1"/>
      <c r="JPY19" s="1"/>
      <c r="JPZ19" s="1"/>
      <c r="JQA19" s="1"/>
      <c r="JQB19" s="1"/>
      <c r="JQC19" s="1"/>
      <c r="JQD19" s="1"/>
      <c r="JQE19" s="1"/>
      <c r="JQF19" s="1"/>
      <c r="JQG19" s="1"/>
      <c r="JQH19" s="1"/>
      <c r="JQI19" s="1"/>
      <c r="JQJ19" s="1"/>
      <c r="JQK19" s="1"/>
      <c r="JQL19" s="1"/>
      <c r="JQM19" s="1"/>
      <c r="JQN19" s="1"/>
      <c r="JQO19" s="1"/>
      <c r="JQP19" s="1"/>
      <c r="JQQ19" s="1"/>
      <c r="JQR19" s="1"/>
      <c r="JQS19" s="1"/>
      <c r="JQT19" s="1"/>
      <c r="JQU19" s="1"/>
      <c r="JQV19" s="1"/>
      <c r="JQW19" s="1"/>
      <c r="JQX19" s="1"/>
      <c r="JQY19" s="1"/>
      <c r="JQZ19" s="1"/>
      <c r="JRA19" s="1"/>
      <c r="JRB19" s="1"/>
      <c r="JRC19" s="1"/>
      <c r="JRD19" s="1"/>
      <c r="JRE19" s="1"/>
      <c r="JRF19" s="1"/>
      <c r="JRG19" s="1"/>
      <c r="JRH19" s="1"/>
      <c r="JRI19" s="1"/>
      <c r="JRJ19" s="1"/>
      <c r="JRK19" s="1"/>
      <c r="JRL19" s="1"/>
      <c r="JRM19" s="1"/>
      <c r="JRN19" s="1"/>
      <c r="JRO19" s="1"/>
      <c r="JRP19" s="1"/>
      <c r="JRQ19" s="1"/>
      <c r="JRR19" s="1"/>
      <c r="JRS19" s="1"/>
      <c r="JRT19" s="1"/>
      <c r="JRU19" s="1"/>
      <c r="JRV19" s="1"/>
      <c r="JRW19" s="1"/>
      <c r="JRX19" s="1"/>
      <c r="JRY19" s="1"/>
      <c r="JRZ19" s="1"/>
      <c r="JSA19" s="1"/>
      <c r="JSB19" s="1"/>
      <c r="JSC19" s="1"/>
      <c r="JSD19" s="1"/>
      <c r="JSE19" s="1"/>
      <c r="JSF19" s="1"/>
      <c r="JSG19" s="1"/>
      <c r="JSH19" s="1"/>
      <c r="JSI19" s="1"/>
      <c r="JSJ19" s="1"/>
      <c r="JSK19" s="1"/>
      <c r="JSL19" s="1"/>
      <c r="JSM19" s="1"/>
      <c r="JSN19" s="1"/>
      <c r="JSO19" s="1"/>
      <c r="JSP19" s="1"/>
      <c r="JSQ19" s="1"/>
      <c r="JSR19" s="1"/>
      <c r="JSS19" s="1"/>
      <c r="JST19" s="1"/>
      <c r="JSU19" s="1"/>
      <c r="JSV19" s="1"/>
      <c r="JSW19" s="1"/>
      <c r="JSX19" s="1"/>
      <c r="JSY19" s="1"/>
      <c r="JSZ19" s="1"/>
      <c r="JTA19" s="1"/>
      <c r="JTB19" s="1"/>
      <c r="JTC19" s="1"/>
      <c r="JTD19" s="1"/>
      <c r="JTE19" s="1"/>
      <c r="JTF19" s="1"/>
      <c r="JTG19" s="1"/>
      <c r="JTH19" s="1"/>
      <c r="JTI19" s="1"/>
      <c r="JTJ19" s="1"/>
      <c r="JTK19" s="1"/>
      <c r="JTL19" s="1"/>
      <c r="JTM19" s="1"/>
      <c r="JTN19" s="1"/>
      <c r="JTO19" s="1"/>
      <c r="JTP19" s="1"/>
      <c r="JTQ19" s="1"/>
      <c r="JTR19" s="1"/>
      <c r="JTS19" s="1"/>
      <c r="JTT19" s="1"/>
      <c r="JTU19" s="1"/>
      <c r="JTV19" s="1"/>
      <c r="JTW19" s="1"/>
      <c r="JTX19" s="1"/>
      <c r="JTY19" s="1"/>
      <c r="JTZ19" s="1"/>
      <c r="JUA19" s="1"/>
      <c r="JUB19" s="1"/>
      <c r="JUC19" s="1"/>
      <c r="JUD19" s="1"/>
      <c r="JUE19" s="1"/>
      <c r="JUF19" s="1"/>
      <c r="JUG19" s="1"/>
      <c r="JUH19" s="1"/>
      <c r="JUI19" s="1"/>
      <c r="JUJ19" s="1"/>
      <c r="JUK19" s="1"/>
      <c r="JUL19" s="1"/>
      <c r="JUM19" s="1"/>
      <c r="JUN19" s="1"/>
      <c r="JUO19" s="1"/>
      <c r="JUP19" s="1"/>
      <c r="JUQ19" s="1"/>
      <c r="JUR19" s="1"/>
      <c r="JUS19" s="1"/>
      <c r="JUT19" s="1"/>
      <c r="JUU19" s="1"/>
      <c r="JUV19" s="1"/>
      <c r="JUW19" s="1"/>
      <c r="JUX19" s="1"/>
      <c r="JUY19" s="1"/>
      <c r="JUZ19" s="1"/>
      <c r="JVA19" s="1"/>
      <c r="JVB19" s="1"/>
      <c r="JVC19" s="1"/>
      <c r="JVD19" s="1"/>
      <c r="JVE19" s="1"/>
      <c r="JVF19" s="1"/>
      <c r="JVG19" s="1"/>
      <c r="JVH19" s="1"/>
      <c r="JVI19" s="1"/>
      <c r="JVJ19" s="1"/>
      <c r="JVK19" s="1"/>
      <c r="JVL19" s="1"/>
      <c r="JVM19" s="1"/>
      <c r="JVN19" s="1"/>
      <c r="JVO19" s="1"/>
      <c r="JVP19" s="1"/>
      <c r="JVQ19" s="1"/>
      <c r="JVR19" s="1"/>
      <c r="JVS19" s="1"/>
      <c r="JVT19" s="1"/>
      <c r="JVU19" s="1"/>
      <c r="JVV19" s="1"/>
      <c r="JVW19" s="1"/>
      <c r="JVX19" s="1"/>
      <c r="JVY19" s="1"/>
      <c r="JVZ19" s="1"/>
      <c r="JWA19" s="1"/>
      <c r="JWB19" s="1"/>
      <c r="JWC19" s="1"/>
      <c r="JWD19" s="1"/>
      <c r="JWE19" s="1"/>
      <c r="JWF19" s="1"/>
      <c r="JWG19" s="1"/>
      <c r="JWH19" s="1"/>
      <c r="JWI19" s="1"/>
      <c r="JWJ19" s="1"/>
      <c r="JWK19" s="1"/>
      <c r="JWL19" s="1"/>
      <c r="JWM19" s="1"/>
      <c r="JWN19" s="1"/>
      <c r="JWO19" s="1"/>
      <c r="JWP19" s="1"/>
      <c r="JWQ19" s="1"/>
      <c r="JWR19" s="1"/>
      <c r="JWS19" s="1"/>
      <c r="JWT19" s="1"/>
      <c r="JWU19" s="1"/>
      <c r="JWV19" s="1"/>
      <c r="JWW19" s="1"/>
      <c r="JWX19" s="1"/>
      <c r="JWY19" s="1"/>
      <c r="JWZ19" s="1"/>
      <c r="JXA19" s="1"/>
      <c r="JXB19" s="1"/>
      <c r="JXC19" s="1"/>
      <c r="JXD19" s="1"/>
      <c r="JXE19" s="1"/>
      <c r="JXF19" s="1"/>
      <c r="JXG19" s="1"/>
      <c r="JXH19" s="1"/>
      <c r="JXI19" s="1"/>
      <c r="JXJ19" s="1"/>
      <c r="JXK19" s="1"/>
      <c r="JXL19" s="1"/>
      <c r="JXM19" s="1"/>
      <c r="JXN19" s="1"/>
      <c r="JXO19" s="1"/>
      <c r="JXP19" s="1"/>
      <c r="JXQ19" s="1"/>
      <c r="JXR19" s="1"/>
      <c r="JXS19" s="1"/>
      <c r="JXT19" s="1"/>
      <c r="JXU19" s="1"/>
      <c r="JXV19" s="1"/>
      <c r="JXW19" s="1"/>
      <c r="JXX19" s="1"/>
      <c r="JXY19" s="1"/>
      <c r="JXZ19" s="1"/>
      <c r="JYA19" s="1"/>
      <c r="JYB19" s="1"/>
      <c r="JYC19" s="1"/>
      <c r="JYD19" s="1"/>
      <c r="JYE19" s="1"/>
      <c r="JYF19" s="1"/>
      <c r="JYG19" s="1"/>
      <c r="JYH19" s="1"/>
      <c r="JYI19" s="1"/>
      <c r="JYJ19" s="1"/>
      <c r="JYK19" s="1"/>
      <c r="JYL19" s="1"/>
      <c r="JYM19" s="1"/>
      <c r="JYN19" s="1"/>
      <c r="JYO19" s="1"/>
      <c r="JYP19" s="1"/>
      <c r="JYQ19" s="1"/>
      <c r="JYR19" s="1"/>
      <c r="JYS19" s="1"/>
      <c r="JYT19" s="1"/>
      <c r="JYU19" s="1"/>
      <c r="JYV19" s="1"/>
      <c r="JYW19" s="1"/>
      <c r="JYX19" s="1"/>
      <c r="JYY19" s="1"/>
      <c r="JYZ19" s="1"/>
      <c r="JZA19" s="1"/>
      <c r="JZB19" s="1"/>
      <c r="JZC19" s="1"/>
      <c r="JZD19" s="1"/>
      <c r="JZE19" s="1"/>
      <c r="JZF19" s="1"/>
      <c r="JZG19" s="1"/>
      <c r="JZH19" s="1"/>
      <c r="JZI19" s="1"/>
      <c r="JZJ19" s="1"/>
      <c r="JZK19" s="1"/>
      <c r="JZL19" s="1"/>
      <c r="JZM19" s="1"/>
      <c r="JZN19" s="1"/>
      <c r="JZO19" s="1"/>
      <c r="JZP19" s="1"/>
      <c r="JZQ19" s="1"/>
      <c r="JZR19" s="1"/>
      <c r="JZS19" s="1"/>
      <c r="JZT19" s="1"/>
      <c r="JZU19" s="1"/>
      <c r="JZV19" s="1"/>
      <c r="JZW19" s="1"/>
      <c r="JZX19" s="1"/>
      <c r="JZY19" s="1"/>
      <c r="JZZ19" s="1"/>
      <c r="KAA19" s="1"/>
      <c r="KAB19" s="1"/>
      <c r="KAC19" s="1"/>
      <c r="KAD19" s="1"/>
      <c r="KAE19" s="1"/>
      <c r="KAF19" s="1"/>
      <c r="KAG19" s="1"/>
      <c r="KAH19" s="1"/>
      <c r="KAI19" s="1"/>
      <c r="KAJ19" s="1"/>
      <c r="KAK19" s="1"/>
      <c r="KAL19" s="1"/>
      <c r="KAM19" s="1"/>
      <c r="KAN19" s="1"/>
      <c r="KAO19" s="1"/>
      <c r="KAP19" s="1"/>
      <c r="KAQ19" s="1"/>
      <c r="KAR19" s="1"/>
      <c r="KAS19" s="1"/>
      <c r="KAT19" s="1"/>
      <c r="KAU19" s="1"/>
      <c r="KAV19" s="1"/>
      <c r="KAW19" s="1"/>
      <c r="KAX19" s="1"/>
      <c r="KAY19" s="1"/>
      <c r="KAZ19" s="1"/>
      <c r="KBA19" s="1"/>
      <c r="KBB19" s="1"/>
      <c r="KBC19" s="1"/>
      <c r="KBD19" s="1"/>
      <c r="KBE19" s="1"/>
      <c r="KBF19" s="1"/>
      <c r="KBG19" s="1"/>
      <c r="KBH19" s="1"/>
      <c r="KBI19" s="1"/>
      <c r="KBJ19" s="1"/>
      <c r="KBK19" s="1"/>
      <c r="KBL19" s="1"/>
      <c r="KBM19" s="1"/>
      <c r="KBN19" s="1"/>
      <c r="KBO19" s="1"/>
      <c r="KBP19" s="1"/>
      <c r="KBQ19" s="1"/>
      <c r="KBR19" s="1"/>
      <c r="KBS19" s="1"/>
      <c r="KBT19" s="1"/>
      <c r="KBU19" s="1"/>
      <c r="KBV19" s="1"/>
      <c r="KBW19" s="1"/>
      <c r="KBX19" s="1"/>
      <c r="KBY19" s="1"/>
      <c r="KBZ19" s="1"/>
      <c r="KCA19" s="1"/>
      <c r="KCB19" s="1"/>
      <c r="KCC19" s="1"/>
      <c r="KCD19" s="1"/>
      <c r="KCE19" s="1"/>
      <c r="KCF19" s="1"/>
      <c r="KCG19" s="1"/>
      <c r="KCH19" s="1"/>
      <c r="KCI19" s="1"/>
      <c r="KCJ19" s="1"/>
      <c r="KCK19" s="1"/>
      <c r="KCL19" s="1"/>
      <c r="KCM19" s="1"/>
      <c r="KCN19" s="1"/>
      <c r="KCO19" s="1"/>
      <c r="KCP19" s="1"/>
      <c r="KCQ19" s="1"/>
      <c r="KCR19" s="1"/>
      <c r="KCS19" s="1"/>
      <c r="KCT19" s="1"/>
      <c r="KCU19" s="1"/>
      <c r="KCV19" s="1"/>
      <c r="KCW19" s="1"/>
      <c r="KCX19" s="1"/>
      <c r="KCY19" s="1"/>
      <c r="KCZ19" s="1"/>
      <c r="KDA19" s="1"/>
      <c r="KDB19" s="1"/>
      <c r="KDC19" s="1"/>
      <c r="KDD19" s="1"/>
      <c r="KDE19" s="1"/>
      <c r="KDF19" s="1"/>
      <c r="KDG19" s="1"/>
      <c r="KDH19" s="1"/>
      <c r="KDI19" s="1"/>
      <c r="KDJ19" s="1"/>
      <c r="KDK19" s="1"/>
      <c r="KDL19" s="1"/>
      <c r="KDM19" s="1"/>
      <c r="KDN19" s="1"/>
      <c r="KDO19" s="1"/>
      <c r="KDP19" s="1"/>
      <c r="KDQ19" s="1"/>
      <c r="KDR19" s="1"/>
      <c r="KDS19" s="1"/>
      <c r="KDT19" s="1"/>
      <c r="KDU19" s="1"/>
      <c r="KDV19" s="1"/>
      <c r="KDW19" s="1"/>
      <c r="KDX19" s="1"/>
      <c r="KDY19" s="1"/>
      <c r="KDZ19" s="1"/>
      <c r="KEA19" s="1"/>
      <c r="KEB19" s="1"/>
      <c r="KEC19" s="1"/>
      <c r="KED19" s="1"/>
      <c r="KEE19" s="1"/>
      <c r="KEF19" s="1"/>
      <c r="KEG19" s="1"/>
      <c r="KEH19" s="1"/>
      <c r="KEI19" s="1"/>
      <c r="KEJ19" s="1"/>
      <c r="KEK19" s="1"/>
      <c r="KEL19" s="1"/>
      <c r="KEM19" s="1"/>
      <c r="KEN19" s="1"/>
      <c r="KEO19" s="1"/>
      <c r="KEP19" s="1"/>
      <c r="KEQ19" s="1"/>
      <c r="KER19" s="1"/>
      <c r="KES19" s="1"/>
      <c r="KET19" s="1"/>
      <c r="KEU19" s="1"/>
      <c r="KEV19" s="1"/>
      <c r="KEW19" s="1"/>
      <c r="KEX19" s="1"/>
      <c r="KEY19" s="1"/>
      <c r="KEZ19" s="1"/>
      <c r="KFA19" s="1"/>
      <c r="KFB19" s="1"/>
      <c r="KFC19" s="1"/>
      <c r="KFD19" s="1"/>
      <c r="KFE19" s="1"/>
      <c r="KFF19" s="1"/>
      <c r="KFG19" s="1"/>
      <c r="KFH19" s="1"/>
      <c r="KFI19" s="1"/>
      <c r="KFJ19" s="1"/>
      <c r="KFK19" s="1"/>
      <c r="KFL19" s="1"/>
      <c r="KFM19" s="1"/>
      <c r="KFN19" s="1"/>
      <c r="KFO19" s="1"/>
      <c r="KFP19" s="1"/>
      <c r="KFQ19" s="1"/>
      <c r="KFR19" s="1"/>
      <c r="KFS19" s="1"/>
      <c r="KFT19" s="1"/>
      <c r="KFU19" s="1"/>
      <c r="KFV19" s="1"/>
      <c r="KFW19" s="1"/>
      <c r="KFX19" s="1"/>
      <c r="KFY19" s="1"/>
      <c r="KFZ19" s="1"/>
      <c r="KGA19" s="1"/>
      <c r="KGB19" s="1"/>
      <c r="KGC19" s="1"/>
      <c r="KGD19" s="1"/>
      <c r="KGE19" s="1"/>
      <c r="KGF19" s="1"/>
      <c r="KGG19" s="1"/>
      <c r="KGH19" s="1"/>
      <c r="KGI19" s="1"/>
      <c r="KGJ19" s="1"/>
      <c r="KGK19" s="1"/>
      <c r="KGL19" s="1"/>
      <c r="KGM19" s="1"/>
      <c r="KGN19" s="1"/>
      <c r="KGO19" s="1"/>
      <c r="KGP19" s="1"/>
      <c r="KGQ19" s="1"/>
      <c r="KGR19" s="1"/>
      <c r="KGS19" s="1"/>
      <c r="KGT19" s="1"/>
      <c r="KGU19" s="1"/>
      <c r="KGV19" s="1"/>
      <c r="KGW19" s="1"/>
      <c r="KGX19" s="1"/>
      <c r="KGY19" s="1"/>
      <c r="KGZ19" s="1"/>
      <c r="KHA19" s="1"/>
      <c r="KHB19" s="1"/>
      <c r="KHC19" s="1"/>
      <c r="KHD19" s="1"/>
      <c r="KHE19" s="1"/>
      <c r="KHF19" s="1"/>
      <c r="KHG19" s="1"/>
      <c r="KHH19" s="1"/>
      <c r="KHI19" s="1"/>
      <c r="KHJ19" s="1"/>
      <c r="KHK19" s="1"/>
      <c r="KHL19" s="1"/>
      <c r="KHM19" s="1"/>
      <c r="KHN19" s="1"/>
      <c r="KHO19" s="1"/>
      <c r="KHP19" s="1"/>
      <c r="KHQ19" s="1"/>
      <c r="KHR19" s="1"/>
      <c r="KHS19" s="1"/>
      <c r="KHT19" s="1"/>
      <c r="KHU19" s="1"/>
      <c r="KHV19" s="1"/>
      <c r="KHW19" s="1"/>
      <c r="KHX19" s="1"/>
      <c r="KHY19" s="1"/>
      <c r="KHZ19" s="1"/>
      <c r="KIA19" s="1"/>
      <c r="KIB19" s="1"/>
      <c r="KIC19" s="1"/>
      <c r="KID19" s="1"/>
      <c r="KIE19" s="1"/>
      <c r="KIF19" s="1"/>
      <c r="KIG19" s="1"/>
      <c r="KIH19" s="1"/>
      <c r="KII19" s="1"/>
      <c r="KIJ19" s="1"/>
      <c r="KIK19" s="1"/>
      <c r="KIL19" s="1"/>
      <c r="KIM19" s="1"/>
      <c r="KIN19" s="1"/>
      <c r="KIO19" s="1"/>
      <c r="KIP19" s="1"/>
      <c r="KIQ19" s="1"/>
      <c r="KIR19" s="1"/>
      <c r="KIS19" s="1"/>
      <c r="KIT19" s="1"/>
      <c r="KIU19" s="1"/>
      <c r="KIV19" s="1"/>
      <c r="KIW19" s="1"/>
      <c r="KIX19" s="1"/>
      <c r="KIY19" s="1"/>
      <c r="KIZ19" s="1"/>
      <c r="KJA19" s="1"/>
      <c r="KJB19" s="1"/>
      <c r="KJC19" s="1"/>
      <c r="KJD19" s="1"/>
      <c r="KJE19" s="1"/>
      <c r="KJF19" s="1"/>
      <c r="KJG19" s="1"/>
      <c r="KJH19" s="1"/>
      <c r="KJI19" s="1"/>
      <c r="KJJ19" s="1"/>
      <c r="KJK19" s="1"/>
      <c r="KJL19" s="1"/>
      <c r="KJM19" s="1"/>
      <c r="KJN19" s="1"/>
      <c r="KJO19" s="1"/>
      <c r="KJP19" s="1"/>
      <c r="KJQ19" s="1"/>
      <c r="KJR19" s="1"/>
      <c r="KJS19" s="1"/>
      <c r="KJT19" s="1"/>
      <c r="KJU19" s="1"/>
      <c r="KJV19" s="1"/>
      <c r="KJW19" s="1"/>
      <c r="KJX19" s="1"/>
      <c r="KJY19" s="1"/>
      <c r="KJZ19" s="1"/>
      <c r="KKA19" s="1"/>
      <c r="KKB19" s="1"/>
      <c r="KKC19" s="1"/>
      <c r="KKD19" s="1"/>
      <c r="KKE19" s="1"/>
      <c r="KKF19" s="1"/>
      <c r="KKG19" s="1"/>
      <c r="KKH19" s="1"/>
      <c r="KKI19" s="1"/>
      <c r="KKJ19" s="1"/>
      <c r="KKK19" s="1"/>
      <c r="KKL19" s="1"/>
      <c r="KKM19" s="1"/>
      <c r="KKN19" s="1"/>
      <c r="KKO19" s="1"/>
      <c r="KKP19" s="1"/>
      <c r="KKQ19" s="1"/>
      <c r="KKR19" s="1"/>
      <c r="KKS19" s="1"/>
      <c r="KKT19" s="1"/>
      <c r="KKU19" s="1"/>
      <c r="KKV19" s="1"/>
      <c r="KKW19" s="1"/>
      <c r="KKX19" s="1"/>
      <c r="KKY19" s="1"/>
      <c r="KKZ19" s="1"/>
      <c r="KLA19" s="1"/>
      <c r="KLB19" s="1"/>
      <c r="KLC19" s="1"/>
      <c r="KLD19" s="1"/>
      <c r="KLE19" s="1"/>
      <c r="KLF19" s="1"/>
      <c r="KLG19" s="1"/>
      <c r="KLH19" s="1"/>
      <c r="KLI19" s="1"/>
      <c r="KLJ19" s="1"/>
      <c r="KLK19" s="1"/>
      <c r="KLL19" s="1"/>
      <c r="KLM19" s="1"/>
      <c r="KLN19" s="1"/>
      <c r="KLO19" s="1"/>
      <c r="KLP19" s="1"/>
      <c r="KLQ19" s="1"/>
      <c r="KLR19" s="1"/>
      <c r="KLS19" s="1"/>
      <c r="KLT19" s="1"/>
      <c r="KLU19" s="1"/>
      <c r="KLV19" s="1"/>
      <c r="KLW19" s="1"/>
      <c r="KLX19" s="1"/>
      <c r="KLY19" s="1"/>
      <c r="KLZ19" s="1"/>
      <c r="KMA19" s="1"/>
      <c r="KMB19" s="1"/>
      <c r="KMC19" s="1"/>
      <c r="KMD19" s="1"/>
      <c r="KME19" s="1"/>
      <c r="KMF19" s="1"/>
      <c r="KMG19" s="1"/>
      <c r="KMH19" s="1"/>
      <c r="KMI19" s="1"/>
      <c r="KMJ19" s="1"/>
      <c r="KMK19" s="1"/>
      <c r="KML19" s="1"/>
      <c r="KMM19" s="1"/>
      <c r="KMN19" s="1"/>
      <c r="KMO19" s="1"/>
      <c r="KMP19" s="1"/>
      <c r="KMQ19" s="1"/>
      <c r="KMR19" s="1"/>
      <c r="KMS19" s="1"/>
      <c r="KMT19" s="1"/>
      <c r="KMU19" s="1"/>
      <c r="KMV19" s="1"/>
      <c r="KMW19" s="1"/>
      <c r="KMX19" s="1"/>
      <c r="KMY19" s="1"/>
      <c r="KMZ19" s="1"/>
      <c r="KNA19" s="1"/>
      <c r="KNB19" s="1"/>
      <c r="KNC19" s="1"/>
      <c r="KND19" s="1"/>
      <c r="KNE19" s="1"/>
      <c r="KNF19" s="1"/>
      <c r="KNG19" s="1"/>
      <c r="KNH19" s="1"/>
      <c r="KNI19" s="1"/>
      <c r="KNJ19" s="1"/>
      <c r="KNK19" s="1"/>
      <c r="KNL19" s="1"/>
      <c r="KNM19" s="1"/>
      <c r="KNN19" s="1"/>
      <c r="KNO19" s="1"/>
      <c r="KNP19" s="1"/>
      <c r="KNQ19" s="1"/>
      <c r="KNR19" s="1"/>
      <c r="KNS19" s="1"/>
      <c r="KNT19" s="1"/>
      <c r="KNU19" s="1"/>
      <c r="KNV19" s="1"/>
      <c r="KNW19" s="1"/>
      <c r="KNX19" s="1"/>
      <c r="KNY19" s="1"/>
      <c r="KNZ19" s="1"/>
      <c r="KOA19" s="1"/>
      <c r="KOB19" s="1"/>
      <c r="KOC19" s="1"/>
      <c r="KOD19" s="1"/>
      <c r="KOE19" s="1"/>
      <c r="KOF19" s="1"/>
      <c r="KOG19" s="1"/>
      <c r="KOH19" s="1"/>
      <c r="KOI19" s="1"/>
      <c r="KOJ19" s="1"/>
      <c r="KOK19" s="1"/>
      <c r="KOL19" s="1"/>
      <c r="KOM19" s="1"/>
      <c r="KON19" s="1"/>
      <c r="KOO19" s="1"/>
      <c r="KOP19" s="1"/>
      <c r="KOQ19" s="1"/>
      <c r="KOR19" s="1"/>
      <c r="KOS19" s="1"/>
      <c r="KOT19" s="1"/>
      <c r="KOU19" s="1"/>
      <c r="KOV19" s="1"/>
      <c r="KOW19" s="1"/>
      <c r="KOX19" s="1"/>
      <c r="KOY19" s="1"/>
      <c r="KOZ19" s="1"/>
      <c r="KPA19" s="1"/>
      <c r="KPB19" s="1"/>
      <c r="KPC19" s="1"/>
      <c r="KPD19" s="1"/>
      <c r="KPE19" s="1"/>
      <c r="KPF19" s="1"/>
      <c r="KPG19" s="1"/>
      <c r="KPH19" s="1"/>
      <c r="KPI19" s="1"/>
      <c r="KPJ19" s="1"/>
      <c r="KPK19" s="1"/>
      <c r="KPL19" s="1"/>
      <c r="KPM19" s="1"/>
      <c r="KPN19" s="1"/>
      <c r="KPO19" s="1"/>
      <c r="KPP19" s="1"/>
      <c r="KPQ19" s="1"/>
      <c r="KPR19" s="1"/>
      <c r="KPS19" s="1"/>
      <c r="KPT19" s="1"/>
      <c r="KPU19" s="1"/>
      <c r="KPV19" s="1"/>
      <c r="KPW19" s="1"/>
      <c r="KPX19" s="1"/>
      <c r="KPY19" s="1"/>
      <c r="KPZ19" s="1"/>
      <c r="KQA19" s="1"/>
      <c r="KQB19" s="1"/>
      <c r="KQC19" s="1"/>
      <c r="KQD19" s="1"/>
      <c r="KQE19" s="1"/>
      <c r="KQF19" s="1"/>
      <c r="KQG19" s="1"/>
      <c r="KQH19" s="1"/>
      <c r="KQI19" s="1"/>
      <c r="KQJ19" s="1"/>
      <c r="KQK19" s="1"/>
      <c r="KQL19" s="1"/>
      <c r="KQM19" s="1"/>
      <c r="KQN19" s="1"/>
      <c r="KQO19" s="1"/>
      <c r="KQP19" s="1"/>
      <c r="KQQ19" s="1"/>
      <c r="KQR19" s="1"/>
      <c r="KQS19" s="1"/>
      <c r="KQT19" s="1"/>
      <c r="KQU19" s="1"/>
      <c r="KQV19" s="1"/>
      <c r="KQW19" s="1"/>
      <c r="KQX19" s="1"/>
      <c r="KQY19" s="1"/>
      <c r="KQZ19" s="1"/>
      <c r="KRA19" s="1"/>
      <c r="KRB19" s="1"/>
      <c r="KRC19" s="1"/>
      <c r="KRD19" s="1"/>
      <c r="KRE19" s="1"/>
      <c r="KRF19" s="1"/>
      <c r="KRG19" s="1"/>
      <c r="KRH19" s="1"/>
      <c r="KRI19" s="1"/>
      <c r="KRJ19" s="1"/>
      <c r="KRK19" s="1"/>
      <c r="KRL19" s="1"/>
      <c r="KRM19" s="1"/>
      <c r="KRN19" s="1"/>
      <c r="KRO19" s="1"/>
      <c r="KRP19" s="1"/>
      <c r="KRQ19" s="1"/>
      <c r="KRR19" s="1"/>
      <c r="KRS19" s="1"/>
      <c r="KRT19" s="1"/>
      <c r="KRU19" s="1"/>
      <c r="KRV19" s="1"/>
      <c r="KRW19" s="1"/>
      <c r="KRX19" s="1"/>
      <c r="KRY19" s="1"/>
      <c r="KRZ19" s="1"/>
      <c r="KSA19" s="1"/>
      <c r="KSB19" s="1"/>
      <c r="KSC19" s="1"/>
      <c r="KSD19" s="1"/>
      <c r="KSE19" s="1"/>
      <c r="KSF19" s="1"/>
      <c r="KSG19" s="1"/>
      <c r="KSH19" s="1"/>
      <c r="KSI19" s="1"/>
      <c r="KSJ19" s="1"/>
      <c r="KSK19" s="1"/>
      <c r="KSL19" s="1"/>
      <c r="KSM19" s="1"/>
      <c r="KSN19" s="1"/>
      <c r="KSO19" s="1"/>
      <c r="KSP19" s="1"/>
      <c r="KSQ19" s="1"/>
      <c r="KSR19" s="1"/>
      <c r="KSS19" s="1"/>
      <c r="KST19" s="1"/>
      <c r="KSU19" s="1"/>
      <c r="KSV19" s="1"/>
      <c r="KSW19" s="1"/>
      <c r="KSX19" s="1"/>
      <c r="KSY19" s="1"/>
      <c r="KSZ19" s="1"/>
      <c r="KTA19" s="1"/>
      <c r="KTB19" s="1"/>
      <c r="KTC19" s="1"/>
      <c r="KTD19" s="1"/>
      <c r="KTE19" s="1"/>
      <c r="KTF19" s="1"/>
      <c r="KTG19" s="1"/>
      <c r="KTH19" s="1"/>
      <c r="KTI19" s="1"/>
      <c r="KTJ19" s="1"/>
      <c r="KTK19" s="1"/>
      <c r="KTL19" s="1"/>
      <c r="KTM19" s="1"/>
      <c r="KTN19" s="1"/>
      <c r="KTO19" s="1"/>
      <c r="KTP19" s="1"/>
      <c r="KTQ19" s="1"/>
      <c r="KTR19" s="1"/>
      <c r="KTS19" s="1"/>
      <c r="KTT19" s="1"/>
      <c r="KTU19" s="1"/>
      <c r="KTV19" s="1"/>
      <c r="KTW19" s="1"/>
      <c r="KTX19" s="1"/>
      <c r="KTY19" s="1"/>
      <c r="KTZ19" s="1"/>
      <c r="KUA19" s="1"/>
      <c r="KUB19" s="1"/>
      <c r="KUC19" s="1"/>
      <c r="KUD19" s="1"/>
      <c r="KUE19" s="1"/>
      <c r="KUF19" s="1"/>
      <c r="KUG19" s="1"/>
      <c r="KUH19" s="1"/>
      <c r="KUI19" s="1"/>
      <c r="KUJ19" s="1"/>
      <c r="KUK19" s="1"/>
      <c r="KUL19" s="1"/>
      <c r="KUM19" s="1"/>
      <c r="KUN19" s="1"/>
      <c r="KUO19" s="1"/>
      <c r="KUP19" s="1"/>
      <c r="KUQ19" s="1"/>
      <c r="KUR19" s="1"/>
      <c r="KUS19" s="1"/>
      <c r="KUT19" s="1"/>
      <c r="KUU19" s="1"/>
      <c r="KUV19" s="1"/>
      <c r="KUW19" s="1"/>
      <c r="KUX19" s="1"/>
      <c r="KUY19" s="1"/>
      <c r="KUZ19" s="1"/>
      <c r="KVA19" s="1"/>
      <c r="KVB19" s="1"/>
      <c r="KVC19" s="1"/>
      <c r="KVD19" s="1"/>
      <c r="KVE19" s="1"/>
      <c r="KVF19" s="1"/>
      <c r="KVG19" s="1"/>
      <c r="KVH19" s="1"/>
      <c r="KVI19" s="1"/>
      <c r="KVJ19" s="1"/>
      <c r="KVK19" s="1"/>
      <c r="KVL19" s="1"/>
      <c r="KVM19" s="1"/>
      <c r="KVN19" s="1"/>
      <c r="KVO19" s="1"/>
      <c r="KVP19" s="1"/>
      <c r="KVQ19" s="1"/>
      <c r="KVR19" s="1"/>
      <c r="KVS19" s="1"/>
      <c r="KVT19" s="1"/>
      <c r="KVU19" s="1"/>
      <c r="KVV19" s="1"/>
      <c r="KVW19" s="1"/>
      <c r="KVX19" s="1"/>
      <c r="KVY19" s="1"/>
      <c r="KVZ19" s="1"/>
      <c r="KWA19" s="1"/>
      <c r="KWB19" s="1"/>
      <c r="KWC19" s="1"/>
      <c r="KWD19" s="1"/>
      <c r="KWE19" s="1"/>
      <c r="KWF19" s="1"/>
      <c r="KWG19" s="1"/>
      <c r="KWH19" s="1"/>
      <c r="KWI19" s="1"/>
      <c r="KWJ19" s="1"/>
      <c r="KWK19" s="1"/>
      <c r="KWL19" s="1"/>
      <c r="KWM19" s="1"/>
      <c r="KWN19" s="1"/>
      <c r="KWO19" s="1"/>
      <c r="KWP19" s="1"/>
      <c r="KWQ19" s="1"/>
      <c r="KWR19" s="1"/>
      <c r="KWS19" s="1"/>
      <c r="KWT19" s="1"/>
      <c r="KWU19" s="1"/>
      <c r="KWV19" s="1"/>
      <c r="KWW19" s="1"/>
      <c r="KWX19" s="1"/>
      <c r="KWY19" s="1"/>
      <c r="KWZ19" s="1"/>
      <c r="KXA19" s="1"/>
      <c r="KXB19" s="1"/>
      <c r="KXC19" s="1"/>
      <c r="KXD19" s="1"/>
      <c r="KXE19" s="1"/>
      <c r="KXF19" s="1"/>
      <c r="KXG19" s="1"/>
      <c r="KXH19" s="1"/>
      <c r="KXI19" s="1"/>
      <c r="KXJ19" s="1"/>
      <c r="KXK19" s="1"/>
      <c r="KXL19" s="1"/>
      <c r="KXM19" s="1"/>
      <c r="KXN19" s="1"/>
      <c r="KXO19" s="1"/>
      <c r="KXP19" s="1"/>
      <c r="KXQ19" s="1"/>
      <c r="KXR19" s="1"/>
      <c r="KXS19" s="1"/>
      <c r="KXT19" s="1"/>
      <c r="KXU19" s="1"/>
      <c r="KXV19" s="1"/>
      <c r="KXW19" s="1"/>
      <c r="KXX19" s="1"/>
      <c r="KXY19" s="1"/>
      <c r="KXZ19" s="1"/>
      <c r="KYA19" s="1"/>
      <c r="KYB19" s="1"/>
      <c r="KYC19" s="1"/>
      <c r="KYD19" s="1"/>
      <c r="KYE19" s="1"/>
      <c r="KYF19" s="1"/>
      <c r="KYG19" s="1"/>
      <c r="KYH19" s="1"/>
      <c r="KYI19" s="1"/>
      <c r="KYJ19" s="1"/>
      <c r="KYK19" s="1"/>
      <c r="KYL19" s="1"/>
      <c r="KYM19" s="1"/>
      <c r="KYN19" s="1"/>
      <c r="KYO19" s="1"/>
      <c r="KYP19" s="1"/>
      <c r="KYQ19" s="1"/>
      <c r="KYR19" s="1"/>
      <c r="KYS19" s="1"/>
      <c r="KYT19" s="1"/>
      <c r="KYU19" s="1"/>
      <c r="KYV19" s="1"/>
      <c r="KYW19" s="1"/>
      <c r="KYX19" s="1"/>
      <c r="KYY19" s="1"/>
      <c r="KYZ19" s="1"/>
      <c r="KZA19" s="1"/>
      <c r="KZB19" s="1"/>
      <c r="KZC19" s="1"/>
      <c r="KZD19" s="1"/>
      <c r="KZE19" s="1"/>
      <c r="KZF19" s="1"/>
      <c r="KZG19" s="1"/>
      <c r="KZH19" s="1"/>
      <c r="KZI19" s="1"/>
      <c r="KZJ19" s="1"/>
      <c r="KZK19" s="1"/>
      <c r="KZL19" s="1"/>
      <c r="KZM19" s="1"/>
      <c r="KZN19" s="1"/>
      <c r="KZO19" s="1"/>
      <c r="KZP19" s="1"/>
      <c r="KZQ19" s="1"/>
      <c r="KZR19" s="1"/>
      <c r="KZS19" s="1"/>
      <c r="KZT19" s="1"/>
      <c r="KZU19" s="1"/>
      <c r="KZV19" s="1"/>
      <c r="KZW19" s="1"/>
      <c r="KZX19" s="1"/>
      <c r="KZY19" s="1"/>
      <c r="KZZ19" s="1"/>
      <c r="LAA19" s="1"/>
      <c r="LAB19" s="1"/>
      <c r="LAC19" s="1"/>
      <c r="LAD19" s="1"/>
      <c r="LAE19" s="1"/>
      <c r="LAF19" s="1"/>
      <c r="LAG19" s="1"/>
      <c r="LAH19" s="1"/>
      <c r="LAI19" s="1"/>
      <c r="LAJ19" s="1"/>
      <c r="LAK19" s="1"/>
      <c r="LAL19" s="1"/>
      <c r="LAM19" s="1"/>
      <c r="LAN19" s="1"/>
      <c r="LAO19" s="1"/>
      <c r="LAP19" s="1"/>
      <c r="LAQ19" s="1"/>
      <c r="LAR19" s="1"/>
      <c r="LAS19" s="1"/>
      <c r="LAT19" s="1"/>
      <c r="LAU19" s="1"/>
      <c r="LAV19" s="1"/>
      <c r="LAW19" s="1"/>
      <c r="LAX19" s="1"/>
      <c r="LAY19" s="1"/>
      <c r="LAZ19" s="1"/>
      <c r="LBA19" s="1"/>
      <c r="LBB19" s="1"/>
      <c r="LBC19" s="1"/>
      <c r="LBD19" s="1"/>
      <c r="LBE19" s="1"/>
      <c r="LBF19" s="1"/>
      <c r="LBG19" s="1"/>
      <c r="LBH19" s="1"/>
      <c r="LBI19" s="1"/>
      <c r="LBJ19" s="1"/>
      <c r="LBK19" s="1"/>
      <c r="LBL19" s="1"/>
      <c r="LBM19" s="1"/>
      <c r="LBN19" s="1"/>
      <c r="LBO19" s="1"/>
      <c r="LBP19" s="1"/>
      <c r="LBQ19" s="1"/>
      <c r="LBR19" s="1"/>
      <c r="LBS19" s="1"/>
      <c r="LBT19" s="1"/>
      <c r="LBU19" s="1"/>
      <c r="LBV19" s="1"/>
      <c r="LBW19" s="1"/>
      <c r="LBX19" s="1"/>
      <c r="LBY19" s="1"/>
      <c r="LBZ19" s="1"/>
      <c r="LCA19" s="1"/>
      <c r="LCB19" s="1"/>
      <c r="LCC19" s="1"/>
      <c r="LCD19" s="1"/>
      <c r="LCE19" s="1"/>
      <c r="LCF19" s="1"/>
      <c r="LCG19" s="1"/>
      <c r="LCH19" s="1"/>
      <c r="LCI19" s="1"/>
      <c r="LCJ19" s="1"/>
      <c r="LCK19" s="1"/>
      <c r="LCL19" s="1"/>
      <c r="LCM19" s="1"/>
      <c r="LCN19" s="1"/>
      <c r="LCO19" s="1"/>
      <c r="LCP19" s="1"/>
      <c r="LCQ19" s="1"/>
      <c r="LCR19" s="1"/>
      <c r="LCS19" s="1"/>
      <c r="LCT19" s="1"/>
      <c r="LCU19" s="1"/>
      <c r="LCV19" s="1"/>
      <c r="LCW19" s="1"/>
      <c r="LCX19" s="1"/>
      <c r="LCY19" s="1"/>
      <c r="LCZ19" s="1"/>
      <c r="LDA19" s="1"/>
      <c r="LDB19" s="1"/>
      <c r="LDC19" s="1"/>
      <c r="LDD19" s="1"/>
      <c r="LDE19" s="1"/>
      <c r="LDF19" s="1"/>
      <c r="LDG19" s="1"/>
      <c r="LDH19" s="1"/>
      <c r="LDI19" s="1"/>
      <c r="LDJ19" s="1"/>
      <c r="LDK19" s="1"/>
      <c r="LDL19" s="1"/>
      <c r="LDM19" s="1"/>
      <c r="LDN19" s="1"/>
      <c r="LDO19" s="1"/>
      <c r="LDP19" s="1"/>
      <c r="LDQ19" s="1"/>
      <c r="LDR19" s="1"/>
      <c r="LDS19" s="1"/>
      <c r="LDT19" s="1"/>
      <c r="LDU19" s="1"/>
      <c r="LDV19" s="1"/>
      <c r="LDW19" s="1"/>
      <c r="LDX19" s="1"/>
      <c r="LDY19" s="1"/>
      <c r="LDZ19" s="1"/>
      <c r="LEA19" s="1"/>
      <c r="LEB19" s="1"/>
      <c r="LEC19" s="1"/>
      <c r="LED19" s="1"/>
      <c r="LEE19" s="1"/>
      <c r="LEF19" s="1"/>
      <c r="LEG19" s="1"/>
      <c r="LEH19" s="1"/>
      <c r="LEI19" s="1"/>
      <c r="LEJ19" s="1"/>
      <c r="LEK19" s="1"/>
      <c r="LEL19" s="1"/>
      <c r="LEM19" s="1"/>
      <c r="LEN19" s="1"/>
      <c r="LEO19" s="1"/>
      <c r="LEP19" s="1"/>
      <c r="LEQ19" s="1"/>
      <c r="LER19" s="1"/>
      <c r="LES19" s="1"/>
      <c r="LET19" s="1"/>
      <c r="LEU19" s="1"/>
      <c r="LEV19" s="1"/>
      <c r="LEW19" s="1"/>
      <c r="LEX19" s="1"/>
      <c r="LEY19" s="1"/>
      <c r="LEZ19" s="1"/>
      <c r="LFA19" s="1"/>
      <c r="LFB19" s="1"/>
      <c r="LFC19" s="1"/>
      <c r="LFD19" s="1"/>
      <c r="LFE19" s="1"/>
      <c r="LFF19" s="1"/>
      <c r="LFG19" s="1"/>
      <c r="LFH19" s="1"/>
      <c r="LFI19" s="1"/>
      <c r="LFJ19" s="1"/>
      <c r="LFK19" s="1"/>
      <c r="LFL19" s="1"/>
      <c r="LFM19" s="1"/>
      <c r="LFN19" s="1"/>
      <c r="LFO19" s="1"/>
      <c r="LFP19" s="1"/>
      <c r="LFQ19" s="1"/>
      <c r="LFR19" s="1"/>
      <c r="LFS19" s="1"/>
      <c r="LFT19" s="1"/>
      <c r="LFU19" s="1"/>
      <c r="LFV19" s="1"/>
      <c r="LFW19" s="1"/>
      <c r="LFX19" s="1"/>
      <c r="LFY19" s="1"/>
      <c r="LFZ19" s="1"/>
      <c r="LGA19" s="1"/>
      <c r="LGB19" s="1"/>
      <c r="LGC19" s="1"/>
      <c r="LGD19" s="1"/>
      <c r="LGE19" s="1"/>
      <c r="LGF19" s="1"/>
      <c r="LGG19" s="1"/>
      <c r="LGH19" s="1"/>
      <c r="LGI19" s="1"/>
      <c r="LGJ19" s="1"/>
      <c r="LGK19" s="1"/>
      <c r="LGL19" s="1"/>
      <c r="LGM19" s="1"/>
      <c r="LGN19" s="1"/>
      <c r="LGO19" s="1"/>
      <c r="LGP19" s="1"/>
      <c r="LGQ19" s="1"/>
      <c r="LGR19" s="1"/>
      <c r="LGS19" s="1"/>
      <c r="LGT19" s="1"/>
      <c r="LGU19" s="1"/>
      <c r="LGV19" s="1"/>
      <c r="LGW19" s="1"/>
      <c r="LGX19" s="1"/>
      <c r="LGY19" s="1"/>
      <c r="LGZ19" s="1"/>
      <c r="LHA19" s="1"/>
      <c r="LHB19" s="1"/>
      <c r="LHC19" s="1"/>
      <c r="LHD19" s="1"/>
      <c r="LHE19" s="1"/>
      <c r="LHF19" s="1"/>
      <c r="LHG19" s="1"/>
      <c r="LHH19" s="1"/>
      <c r="LHI19" s="1"/>
      <c r="LHJ19" s="1"/>
      <c r="LHK19" s="1"/>
      <c r="LHL19" s="1"/>
      <c r="LHM19" s="1"/>
      <c r="LHN19" s="1"/>
      <c r="LHO19" s="1"/>
      <c r="LHP19" s="1"/>
      <c r="LHQ19" s="1"/>
      <c r="LHR19" s="1"/>
      <c r="LHS19" s="1"/>
      <c r="LHT19" s="1"/>
      <c r="LHU19" s="1"/>
      <c r="LHV19" s="1"/>
      <c r="LHW19" s="1"/>
      <c r="LHX19" s="1"/>
      <c r="LHY19" s="1"/>
      <c r="LHZ19" s="1"/>
      <c r="LIA19" s="1"/>
      <c r="LIB19" s="1"/>
      <c r="LIC19" s="1"/>
      <c r="LID19" s="1"/>
      <c r="LIE19" s="1"/>
      <c r="LIF19" s="1"/>
      <c r="LIG19" s="1"/>
      <c r="LIH19" s="1"/>
      <c r="LII19" s="1"/>
      <c r="LIJ19" s="1"/>
      <c r="LIK19" s="1"/>
      <c r="LIL19" s="1"/>
      <c r="LIM19" s="1"/>
      <c r="LIN19" s="1"/>
      <c r="LIO19" s="1"/>
      <c r="LIP19" s="1"/>
      <c r="LIQ19" s="1"/>
      <c r="LIR19" s="1"/>
      <c r="LIS19" s="1"/>
      <c r="LIT19" s="1"/>
      <c r="LIU19" s="1"/>
      <c r="LIV19" s="1"/>
      <c r="LIW19" s="1"/>
      <c r="LIX19" s="1"/>
      <c r="LIY19" s="1"/>
      <c r="LIZ19" s="1"/>
      <c r="LJA19" s="1"/>
      <c r="LJB19" s="1"/>
      <c r="LJC19" s="1"/>
      <c r="LJD19" s="1"/>
      <c r="LJE19" s="1"/>
      <c r="LJF19" s="1"/>
      <c r="LJG19" s="1"/>
      <c r="LJH19" s="1"/>
      <c r="LJI19" s="1"/>
      <c r="LJJ19" s="1"/>
      <c r="LJK19" s="1"/>
      <c r="LJL19" s="1"/>
      <c r="LJM19" s="1"/>
      <c r="LJN19" s="1"/>
      <c r="LJO19" s="1"/>
      <c r="LJP19" s="1"/>
      <c r="LJQ19" s="1"/>
      <c r="LJR19" s="1"/>
      <c r="LJS19" s="1"/>
      <c r="LJT19" s="1"/>
      <c r="LJU19" s="1"/>
      <c r="LJV19" s="1"/>
      <c r="LJW19" s="1"/>
      <c r="LJX19" s="1"/>
      <c r="LJY19" s="1"/>
      <c r="LJZ19" s="1"/>
      <c r="LKA19" s="1"/>
      <c r="LKB19" s="1"/>
      <c r="LKC19" s="1"/>
      <c r="LKD19" s="1"/>
      <c r="LKE19" s="1"/>
      <c r="LKF19" s="1"/>
      <c r="LKG19" s="1"/>
      <c r="LKH19" s="1"/>
      <c r="LKI19" s="1"/>
      <c r="LKJ19" s="1"/>
      <c r="LKK19" s="1"/>
      <c r="LKL19" s="1"/>
      <c r="LKM19" s="1"/>
      <c r="LKN19" s="1"/>
      <c r="LKO19" s="1"/>
      <c r="LKP19" s="1"/>
      <c r="LKQ19" s="1"/>
      <c r="LKR19" s="1"/>
      <c r="LKS19" s="1"/>
      <c r="LKT19" s="1"/>
      <c r="LKU19" s="1"/>
      <c r="LKV19" s="1"/>
      <c r="LKW19" s="1"/>
      <c r="LKX19" s="1"/>
      <c r="LKY19" s="1"/>
      <c r="LKZ19" s="1"/>
      <c r="LLA19" s="1"/>
      <c r="LLB19" s="1"/>
      <c r="LLC19" s="1"/>
      <c r="LLD19" s="1"/>
      <c r="LLE19" s="1"/>
      <c r="LLF19" s="1"/>
      <c r="LLG19" s="1"/>
      <c r="LLH19" s="1"/>
      <c r="LLI19" s="1"/>
      <c r="LLJ19" s="1"/>
      <c r="LLK19" s="1"/>
      <c r="LLL19" s="1"/>
      <c r="LLM19" s="1"/>
      <c r="LLN19" s="1"/>
      <c r="LLO19" s="1"/>
      <c r="LLP19" s="1"/>
      <c r="LLQ19" s="1"/>
      <c r="LLR19" s="1"/>
      <c r="LLS19" s="1"/>
      <c r="LLT19" s="1"/>
      <c r="LLU19" s="1"/>
      <c r="LLV19" s="1"/>
      <c r="LLW19" s="1"/>
      <c r="LLX19" s="1"/>
      <c r="LLY19" s="1"/>
      <c r="LLZ19" s="1"/>
      <c r="LMA19" s="1"/>
      <c r="LMB19" s="1"/>
      <c r="LMC19" s="1"/>
      <c r="LMD19" s="1"/>
      <c r="LME19" s="1"/>
      <c r="LMF19" s="1"/>
      <c r="LMG19" s="1"/>
      <c r="LMH19" s="1"/>
      <c r="LMI19" s="1"/>
      <c r="LMJ19" s="1"/>
      <c r="LMK19" s="1"/>
      <c r="LML19" s="1"/>
      <c r="LMM19" s="1"/>
      <c r="LMN19" s="1"/>
      <c r="LMO19" s="1"/>
      <c r="LMP19" s="1"/>
      <c r="LMQ19" s="1"/>
      <c r="LMR19" s="1"/>
      <c r="LMS19" s="1"/>
      <c r="LMT19" s="1"/>
      <c r="LMU19" s="1"/>
      <c r="LMV19" s="1"/>
      <c r="LMW19" s="1"/>
      <c r="LMX19" s="1"/>
      <c r="LMY19" s="1"/>
      <c r="LMZ19" s="1"/>
      <c r="LNA19" s="1"/>
      <c r="LNB19" s="1"/>
      <c r="LNC19" s="1"/>
      <c r="LND19" s="1"/>
      <c r="LNE19" s="1"/>
      <c r="LNF19" s="1"/>
      <c r="LNG19" s="1"/>
      <c r="LNH19" s="1"/>
      <c r="LNI19" s="1"/>
      <c r="LNJ19" s="1"/>
      <c r="LNK19" s="1"/>
      <c r="LNL19" s="1"/>
      <c r="LNM19" s="1"/>
      <c r="LNN19" s="1"/>
      <c r="LNO19" s="1"/>
      <c r="LNP19" s="1"/>
      <c r="LNQ19" s="1"/>
      <c r="LNR19" s="1"/>
      <c r="LNS19" s="1"/>
      <c r="LNT19" s="1"/>
      <c r="LNU19" s="1"/>
      <c r="LNV19" s="1"/>
      <c r="LNW19" s="1"/>
      <c r="LNX19" s="1"/>
      <c r="LNY19" s="1"/>
      <c r="LNZ19" s="1"/>
      <c r="LOA19" s="1"/>
      <c r="LOB19" s="1"/>
      <c r="LOC19" s="1"/>
      <c r="LOD19" s="1"/>
      <c r="LOE19" s="1"/>
      <c r="LOF19" s="1"/>
      <c r="LOG19" s="1"/>
      <c r="LOH19" s="1"/>
      <c r="LOI19" s="1"/>
      <c r="LOJ19" s="1"/>
      <c r="LOK19" s="1"/>
      <c r="LOL19" s="1"/>
      <c r="LOM19" s="1"/>
      <c r="LON19" s="1"/>
      <c r="LOO19" s="1"/>
      <c r="LOP19" s="1"/>
      <c r="LOQ19" s="1"/>
      <c r="LOR19" s="1"/>
      <c r="LOS19" s="1"/>
      <c r="LOT19" s="1"/>
      <c r="LOU19" s="1"/>
      <c r="LOV19" s="1"/>
      <c r="LOW19" s="1"/>
      <c r="LOX19" s="1"/>
      <c r="LOY19" s="1"/>
      <c r="LOZ19" s="1"/>
      <c r="LPA19" s="1"/>
      <c r="LPB19" s="1"/>
      <c r="LPC19" s="1"/>
      <c r="LPD19" s="1"/>
      <c r="LPE19" s="1"/>
      <c r="LPF19" s="1"/>
      <c r="LPG19" s="1"/>
      <c r="LPH19" s="1"/>
      <c r="LPI19" s="1"/>
      <c r="LPJ19" s="1"/>
      <c r="LPK19" s="1"/>
      <c r="LPL19" s="1"/>
      <c r="LPM19" s="1"/>
      <c r="LPN19" s="1"/>
      <c r="LPO19" s="1"/>
      <c r="LPP19" s="1"/>
      <c r="LPQ19" s="1"/>
      <c r="LPR19" s="1"/>
      <c r="LPS19" s="1"/>
      <c r="LPT19" s="1"/>
      <c r="LPU19" s="1"/>
      <c r="LPV19" s="1"/>
      <c r="LPW19" s="1"/>
      <c r="LPX19" s="1"/>
      <c r="LPY19" s="1"/>
      <c r="LPZ19" s="1"/>
      <c r="LQA19" s="1"/>
      <c r="LQB19" s="1"/>
      <c r="LQC19" s="1"/>
      <c r="LQD19" s="1"/>
      <c r="LQE19" s="1"/>
      <c r="LQF19" s="1"/>
      <c r="LQG19" s="1"/>
      <c r="LQH19" s="1"/>
      <c r="LQI19" s="1"/>
      <c r="LQJ19" s="1"/>
      <c r="LQK19" s="1"/>
      <c r="LQL19" s="1"/>
      <c r="LQM19" s="1"/>
      <c r="LQN19" s="1"/>
      <c r="LQO19" s="1"/>
      <c r="LQP19" s="1"/>
      <c r="LQQ19" s="1"/>
      <c r="LQR19" s="1"/>
      <c r="LQS19" s="1"/>
      <c r="LQT19" s="1"/>
      <c r="LQU19" s="1"/>
      <c r="LQV19" s="1"/>
      <c r="LQW19" s="1"/>
      <c r="LQX19" s="1"/>
      <c r="LQY19" s="1"/>
      <c r="LQZ19" s="1"/>
      <c r="LRA19" s="1"/>
      <c r="LRB19" s="1"/>
      <c r="LRC19" s="1"/>
      <c r="LRD19" s="1"/>
      <c r="LRE19" s="1"/>
      <c r="LRF19" s="1"/>
      <c r="LRG19" s="1"/>
      <c r="LRH19" s="1"/>
      <c r="LRI19" s="1"/>
      <c r="LRJ19" s="1"/>
      <c r="LRK19" s="1"/>
      <c r="LRL19" s="1"/>
      <c r="LRM19" s="1"/>
      <c r="LRN19" s="1"/>
      <c r="LRO19" s="1"/>
      <c r="LRP19" s="1"/>
      <c r="LRQ19" s="1"/>
      <c r="LRR19" s="1"/>
      <c r="LRS19" s="1"/>
      <c r="LRT19" s="1"/>
      <c r="LRU19" s="1"/>
      <c r="LRV19" s="1"/>
      <c r="LRW19" s="1"/>
      <c r="LRX19" s="1"/>
      <c r="LRY19" s="1"/>
      <c r="LRZ19" s="1"/>
      <c r="LSA19" s="1"/>
      <c r="LSB19" s="1"/>
      <c r="LSC19" s="1"/>
      <c r="LSD19" s="1"/>
      <c r="LSE19" s="1"/>
      <c r="LSF19" s="1"/>
      <c r="LSG19" s="1"/>
      <c r="LSH19" s="1"/>
      <c r="LSI19" s="1"/>
      <c r="LSJ19" s="1"/>
      <c r="LSK19" s="1"/>
      <c r="LSL19" s="1"/>
      <c r="LSM19" s="1"/>
      <c r="LSN19" s="1"/>
      <c r="LSO19" s="1"/>
      <c r="LSP19" s="1"/>
      <c r="LSQ19" s="1"/>
      <c r="LSR19" s="1"/>
      <c r="LSS19" s="1"/>
      <c r="LST19" s="1"/>
      <c r="LSU19" s="1"/>
      <c r="LSV19" s="1"/>
      <c r="LSW19" s="1"/>
      <c r="LSX19" s="1"/>
      <c r="LSY19" s="1"/>
      <c r="LSZ19" s="1"/>
      <c r="LTA19" s="1"/>
      <c r="LTB19" s="1"/>
      <c r="LTC19" s="1"/>
      <c r="LTD19" s="1"/>
      <c r="LTE19" s="1"/>
      <c r="LTF19" s="1"/>
      <c r="LTG19" s="1"/>
      <c r="LTH19" s="1"/>
      <c r="LTI19" s="1"/>
      <c r="LTJ19" s="1"/>
      <c r="LTK19" s="1"/>
      <c r="LTL19" s="1"/>
      <c r="LTM19" s="1"/>
      <c r="LTN19" s="1"/>
      <c r="LTO19" s="1"/>
      <c r="LTP19" s="1"/>
      <c r="LTQ19" s="1"/>
      <c r="LTR19" s="1"/>
      <c r="LTS19" s="1"/>
      <c r="LTT19" s="1"/>
      <c r="LTU19" s="1"/>
      <c r="LTV19" s="1"/>
      <c r="LTW19" s="1"/>
      <c r="LTX19" s="1"/>
      <c r="LTY19" s="1"/>
      <c r="LTZ19" s="1"/>
      <c r="LUA19" s="1"/>
      <c r="LUB19" s="1"/>
      <c r="LUC19" s="1"/>
      <c r="LUD19" s="1"/>
      <c r="LUE19" s="1"/>
      <c r="LUF19" s="1"/>
      <c r="LUG19" s="1"/>
      <c r="LUH19" s="1"/>
      <c r="LUI19" s="1"/>
      <c r="LUJ19" s="1"/>
      <c r="LUK19" s="1"/>
      <c r="LUL19" s="1"/>
      <c r="LUM19" s="1"/>
      <c r="LUN19" s="1"/>
      <c r="LUO19" s="1"/>
      <c r="LUP19" s="1"/>
      <c r="LUQ19" s="1"/>
      <c r="LUR19" s="1"/>
      <c r="LUS19" s="1"/>
      <c r="LUT19" s="1"/>
      <c r="LUU19" s="1"/>
      <c r="LUV19" s="1"/>
      <c r="LUW19" s="1"/>
      <c r="LUX19" s="1"/>
      <c r="LUY19" s="1"/>
      <c r="LUZ19" s="1"/>
      <c r="LVA19" s="1"/>
      <c r="LVB19" s="1"/>
      <c r="LVC19" s="1"/>
      <c r="LVD19" s="1"/>
      <c r="LVE19" s="1"/>
      <c r="LVF19" s="1"/>
      <c r="LVG19" s="1"/>
      <c r="LVH19" s="1"/>
      <c r="LVI19" s="1"/>
      <c r="LVJ19" s="1"/>
      <c r="LVK19" s="1"/>
      <c r="LVL19" s="1"/>
      <c r="LVM19" s="1"/>
      <c r="LVN19" s="1"/>
      <c r="LVO19" s="1"/>
      <c r="LVP19" s="1"/>
      <c r="LVQ19" s="1"/>
      <c r="LVR19" s="1"/>
      <c r="LVS19" s="1"/>
      <c r="LVT19" s="1"/>
      <c r="LVU19" s="1"/>
      <c r="LVV19" s="1"/>
      <c r="LVW19" s="1"/>
      <c r="LVX19" s="1"/>
      <c r="LVY19" s="1"/>
      <c r="LVZ19" s="1"/>
      <c r="LWA19" s="1"/>
      <c r="LWB19" s="1"/>
      <c r="LWC19" s="1"/>
      <c r="LWD19" s="1"/>
      <c r="LWE19" s="1"/>
      <c r="LWF19" s="1"/>
      <c r="LWG19" s="1"/>
      <c r="LWH19" s="1"/>
      <c r="LWI19" s="1"/>
      <c r="LWJ19" s="1"/>
      <c r="LWK19" s="1"/>
      <c r="LWL19" s="1"/>
      <c r="LWM19" s="1"/>
      <c r="LWN19" s="1"/>
      <c r="LWO19" s="1"/>
      <c r="LWP19" s="1"/>
      <c r="LWQ19" s="1"/>
      <c r="LWR19" s="1"/>
      <c r="LWS19" s="1"/>
      <c r="LWT19" s="1"/>
      <c r="LWU19" s="1"/>
      <c r="LWV19" s="1"/>
      <c r="LWW19" s="1"/>
      <c r="LWX19" s="1"/>
      <c r="LWY19" s="1"/>
      <c r="LWZ19" s="1"/>
      <c r="LXA19" s="1"/>
      <c r="LXB19" s="1"/>
      <c r="LXC19" s="1"/>
      <c r="LXD19" s="1"/>
      <c r="LXE19" s="1"/>
      <c r="LXF19" s="1"/>
      <c r="LXG19" s="1"/>
      <c r="LXH19" s="1"/>
      <c r="LXI19" s="1"/>
      <c r="LXJ19" s="1"/>
      <c r="LXK19" s="1"/>
      <c r="LXL19" s="1"/>
      <c r="LXM19" s="1"/>
      <c r="LXN19" s="1"/>
      <c r="LXO19" s="1"/>
      <c r="LXP19" s="1"/>
      <c r="LXQ19" s="1"/>
      <c r="LXR19" s="1"/>
      <c r="LXS19" s="1"/>
      <c r="LXT19" s="1"/>
      <c r="LXU19" s="1"/>
      <c r="LXV19" s="1"/>
      <c r="LXW19" s="1"/>
      <c r="LXX19" s="1"/>
      <c r="LXY19" s="1"/>
      <c r="LXZ19" s="1"/>
      <c r="LYA19" s="1"/>
      <c r="LYB19" s="1"/>
      <c r="LYC19" s="1"/>
      <c r="LYD19" s="1"/>
      <c r="LYE19" s="1"/>
      <c r="LYF19" s="1"/>
      <c r="LYG19" s="1"/>
      <c r="LYH19" s="1"/>
      <c r="LYI19" s="1"/>
      <c r="LYJ19" s="1"/>
      <c r="LYK19" s="1"/>
      <c r="LYL19" s="1"/>
      <c r="LYM19" s="1"/>
      <c r="LYN19" s="1"/>
      <c r="LYO19" s="1"/>
      <c r="LYP19" s="1"/>
      <c r="LYQ19" s="1"/>
      <c r="LYR19" s="1"/>
      <c r="LYS19" s="1"/>
      <c r="LYT19" s="1"/>
      <c r="LYU19" s="1"/>
      <c r="LYV19" s="1"/>
      <c r="LYW19" s="1"/>
      <c r="LYX19" s="1"/>
      <c r="LYY19" s="1"/>
      <c r="LYZ19" s="1"/>
      <c r="LZA19" s="1"/>
      <c r="LZB19" s="1"/>
      <c r="LZC19" s="1"/>
      <c r="LZD19" s="1"/>
      <c r="LZE19" s="1"/>
      <c r="LZF19" s="1"/>
      <c r="LZG19" s="1"/>
      <c r="LZH19" s="1"/>
      <c r="LZI19" s="1"/>
      <c r="LZJ19" s="1"/>
      <c r="LZK19" s="1"/>
      <c r="LZL19" s="1"/>
      <c r="LZM19" s="1"/>
      <c r="LZN19" s="1"/>
      <c r="LZO19" s="1"/>
      <c r="LZP19" s="1"/>
      <c r="LZQ19" s="1"/>
      <c r="LZR19" s="1"/>
      <c r="LZS19" s="1"/>
      <c r="LZT19" s="1"/>
      <c r="LZU19" s="1"/>
      <c r="LZV19" s="1"/>
      <c r="LZW19" s="1"/>
      <c r="LZX19" s="1"/>
      <c r="LZY19" s="1"/>
      <c r="LZZ19" s="1"/>
      <c r="MAA19" s="1"/>
      <c r="MAB19" s="1"/>
      <c r="MAC19" s="1"/>
      <c r="MAD19" s="1"/>
      <c r="MAE19" s="1"/>
      <c r="MAF19" s="1"/>
      <c r="MAG19" s="1"/>
      <c r="MAH19" s="1"/>
      <c r="MAI19" s="1"/>
      <c r="MAJ19" s="1"/>
      <c r="MAK19" s="1"/>
      <c r="MAL19" s="1"/>
      <c r="MAM19" s="1"/>
      <c r="MAN19" s="1"/>
      <c r="MAO19" s="1"/>
      <c r="MAP19" s="1"/>
      <c r="MAQ19" s="1"/>
      <c r="MAR19" s="1"/>
      <c r="MAS19" s="1"/>
      <c r="MAT19" s="1"/>
      <c r="MAU19" s="1"/>
      <c r="MAV19" s="1"/>
      <c r="MAW19" s="1"/>
      <c r="MAX19" s="1"/>
      <c r="MAY19" s="1"/>
      <c r="MAZ19" s="1"/>
      <c r="MBA19" s="1"/>
      <c r="MBB19" s="1"/>
      <c r="MBC19" s="1"/>
      <c r="MBD19" s="1"/>
      <c r="MBE19" s="1"/>
      <c r="MBF19" s="1"/>
      <c r="MBG19" s="1"/>
      <c r="MBH19" s="1"/>
      <c r="MBI19" s="1"/>
      <c r="MBJ19" s="1"/>
      <c r="MBK19" s="1"/>
      <c r="MBL19" s="1"/>
      <c r="MBM19" s="1"/>
      <c r="MBN19" s="1"/>
      <c r="MBO19" s="1"/>
      <c r="MBP19" s="1"/>
      <c r="MBQ19" s="1"/>
      <c r="MBR19" s="1"/>
      <c r="MBS19" s="1"/>
      <c r="MBT19" s="1"/>
      <c r="MBU19" s="1"/>
      <c r="MBV19" s="1"/>
      <c r="MBW19" s="1"/>
      <c r="MBX19" s="1"/>
      <c r="MBY19" s="1"/>
      <c r="MBZ19" s="1"/>
      <c r="MCA19" s="1"/>
      <c r="MCB19" s="1"/>
      <c r="MCC19" s="1"/>
      <c r="MCD19" s="1"/>
      <c r="MCE19" s="1"/>
      <c r="MCF19" s="1"/>
      <c r="MCG19" s="1"/>
      <c r="MCH19" s="1"/>
      <c r="MCI19" s="1"/>
      <c r="MCJ19" s="1"/>
      <c r="MCK19" s="1"/>
      <c r="MCL19" s="1"/>
      <c r="MCM19" s="1"/>
      <c r="MCN19" s="1"/>
      <c r="MCO19" s="1"/>
      <c r="MCP19" s="1"/>
      <c r="MCQ19" s="1"/>
      <c r="MCR19" s="1"/>
      <c r="MCS19" s="1"/>
      <c r="MCT19" s="1"/>
      <c r="MCU19" s="1"/>
      <c r="MCV19" s="1"/>
      <c r="MCW19" s="1"/>
      <c r="MCX19" s="1"/>
      <c r="MCY19" s="1"/>
      <c r="MCZ19" s="1"/>
      <c r="MDA19" s="1"/>
      <c r="MDB19" s="1"/>
      <c r="MDC19" s="1"/>
      <c r="MDD19" s="1"/>
      <c r="MDE19" s="1"/>
      <c r="MDF19" s="1"/>
      <c r="MDG19" s="1"/>
      <c r="MDH19" s="1"/>
      <c r="MDI19" s="1"/>
      <c r="MDJ19" s="1"/>
      <c r="MDK19" s="1"/>
      <c r="MDL19" s="1"/>
      <c r="MDM19" s="1"/>
      <c r="MDN19" s="1"/>
      <c r="MDO19" s="1"/>
      <c r="MDP19" s="1"/>
      <c r="MDQ19" s="1"/>
      <c r="MDR19" s="1"/>
      <c r="MDS19" s="1"/>
      <c r="MDT19" s="1"/>
      <c r="MDU19" s="1"/>
      <c r="MDV19" s="1"/>
      <c r="MDW19" s="1"/>
      <c r="MDX19" s="1"/>
      <c r="MDY19" s="1"/>
      <c r="MDZ19" s="1"/>
      <c r="MEA19" s="1"/>
      <c r="MEB19" s="1"/>
      <c r="MEC19" s="1"/>
      <c r="MED19" s="1"/>
      <c r="MEE19" s="1"/>
      <c r="MEF19" s="1"/>
      <c r="MEG19" s="1"/>
      <c r="MEH19" s="1"/>
      <c r="MEI19" s="1"/>
      <c r="MEJ19" s="1"/>
      <c r="MEK19" s="1"/>
      <c r="MEL19" s="1"/>
      <c r="MEM19" s="1"/>
      <c r="MEN19" s="1"/>
      <c r="MEO19" s="1"/>
      <c r="MEP19" s="1"/>
      <c r="MEQ19" s="1"/>
      <c r="MER19" s="1"/>
      <c r="MES19" s="1"/>
      <c r="MET19" s="1"/>
      <c r="MEU19" s="1"/>
      <c r="MEV19" s="1"/>
      <c r="MEW19" s="1"/>
      <c r="MEX19" s="1"/>
      <c r="MEY19" s="1"/>
      <c r="MEZ19" s="1"/>
      <c r="MFA19" s="1"/>
      <c r="MFB19" s="1"/>
      <c r="MFC19" s="1"/>
      <c r="MFD19" s="1"/>
      <c r="MFE19" s="1"/>
      <c r="MFF19" s="1"/>
      <c r="MFG19" s="1"/>
      <c r="MFH19" s="1"/>
      <c r="MFI19" s="1"/>
      <c r="MFJ19" s="1"/>
      <c r="MFK19" s="1"/>
      <c r="MFL19" s="1"/>
      <c r="MFM19" s="1"/>
      <c r="MFN19" s="1"/>
      <c r="MFO19" s="1"/>
      <c r="MFP19" s="1"/>
      <c r="MFQ19" s="1"/>
      <c r="MFR19" s="1"/>
      <c r="MFS19" s="1"/>
      <c r="MFT19" s="1"/>
      <c r="MFU19" s="1"/>
      <c r="MFV19" s="1"/>
      <c r="MFW19" s="1"/>
      <c r="MFX19" s="1"/>
      <c r="MFY19" s="1"/>
      <c r="MFZ19" s="1"/>
      <c r="MGA19" s="1"/>
      <c r="MGB19" s="1"/>
      <c r="MGC19" s="1"/>
      <c r="MGD19" s="1"/>
      <c r="MGE19" s="1"/>
      <c r="MGF19" s="1"/>
      <c r="MGG19" s="1"/>
      <c r="MGH19" s="1"/>
      <c r="MGI19" s="1"/>
      <c r="MGJ19" s="1"/>
      <c r="MGK19" s="1"/>
      <c r="MGL19" s="1"/>
      <c r="MGM19" s="1"/>
      <c r="MGN19" s="1"/>
      <c r="MGO19" s="1"/>
      <c r="MGP19" s="1"/>
      <c r="MGQ19" s="1"/>
      <c r="MGR19" s="1"/>
      <c r="MGS19" s="1"/>
      <c r="MGT19" s="1"/>
      <c r="MGU19" s="1"/>
      <c r="MGV19" s="1"/>
      <c r="MGW19" s="1"/>
      <c r="MGX19" s="1"/>
      <c r="MGY19" s="1"/>
      <c r="MGZ19" s="1"/>
      <c r="MHA19" s="1"/>
      <c r="MHB19" s="1"/>
      <c r="MHC19" s="1"/>
      <c r="MHD19" s="1"/>
      <c r="MHE19" s="1"/>
      <c r="MHF19" s="1"/>
      <c r="MHG19" s="1"/>
      <c r="MHH19" s="1"/>
      <c r="MHI19" s="1"/>
      <c r="MHJ19" s="1"/>
      <c r="MHK19" s="1"/>
      <c r="MHL19" s="1"/>
      <c r="MHM19" s="1"/>
      <c r="MHN19" s="1"/>
      <c r="MHO19" s="1"/>
      <c r="MHP19" s="1"/>
      <c r="MHQ19" s="1"/>
      <c r="MHR19" s="1"/>
      <c r="MHS19" s="1"/>
      <c r="MHT19" s="1"/>
      <c r="MHU19" s="1"/>
      <c r="MHV19" s="1"/>
      <c r="MHW19" s="1"/>
      <c r="MHX19" s="1"/>
      <c r="MHY19" s="1"/>
      <c r="MHZ19" s="1"/>
      <c r="MIA19" s="1"/>
      <c r="MIB19" s="1"/>
      <c r="MIC19" s="1"/>
      <c r="MID19" s="1"/>
      <c r="MIE19" s="1"/>
      <c r="MIF19" s="1"/>
      <c r="MIG19" s="1"/>
      <c r="MIH19" s="1"/>
      <c r="MII19" s="1"/>
      <c r="MIJ19" s="1"/>
      <c r="MIK19" s="1"/>
      <c r="MIL19" s="1"/>
      <c r="MIM19" s="1"/>
      <c r="MIN19" s="1"/>
      <c r="MIO19" s="1"/>
      <c r="MIP19" s="1"/>
      <c r="MIQ19" s="1"/>
      <c r="MIR19" s="1"/>
      <c r="MIS19" s="1"/>
      <c r="MIT19" s="1"/>
      <c r="MIU19" s="1"/>
      <c r="MIV19" s="1"/>
      <c r="MIW19" s="1"/>
      <c r="MIX19" s="1"/>
      <c r="MIY19" s="1"/>
      <c r="MIZ19" s="1"/>
      <c r="MJA19" s="1"/>
      <c r="MJB19" s="1"/>
      <c r="MJC19" s="1"/>
      <c r="MJD19" s="1"/>
      <c r="MJE19" s="1"/>
      <c r="MJF19" s="1"/>
      <c r="MJG19" s="1"/>
      <c r="MJH19" s="1"/>
      <c r="MJI19" s="1"/>
      <c r="MJJ19" s="1"/>
      <c r="MJK19" s="1"/>
      <c r="MJL19" s="1"/>
      <c r="MJM19" s="1"/>
      <c r="MJN19" s="1"/>
      <c r="MJO19" s="1"/>
      <c r="MJP19" s="1"/>
      <c r="MJQ19" s="1"/>
      <c r="MJR19" s="1"/>
      <c r="MJS19" s="1"/>
      <c r="MJT19" s="1"/>
      <c r="MJU19" s="1"/>
      <c r="MJV19" s="1"/>
      <c r="MJW19" s="1"/>
      <c r="MJX19" s="1"/>
      <c r="MJY19" s="1"/>
      <c r="MJZ19" s="1"/>
      <c r="MKA19" s="1"/>
      <c r="MKB19" s="1"/>
      <c r="MKC19" s="1"/>
      <c r="MKD19" s="1"/>
      <c r="MKE19" s="1"/>
      <c r="MKF19" s="1"/>
      <c r="MKG19" s="1"/>
      <c r="MKH19" s="1"/>
      <c r="MKI19" s="1"/>
      <c r="MKJ19" s="1"/>
      <c r="MKK19" s="1"/>
      <c r="MKL19" s="1"/>
      <c r="MKM19" s="1"/>
      <c r="MKN19" s="1"/>
      <c r="MKO19" s="1"/>
      <c r="MKP19" s="1"/>
      <c r="MKQ19" s="1"/>
      <c r="MKR19" s="1"/>
      <c r="MKS19" s="1"/>
      <c r="MKT19" s="1"/>
      <c r="MKU19" s="1"/>
      <c r="MKV19" s="1"/>
      <c r="MKW19" s="1"/>
      <c r="MKX19" s="1"/>
      <c r="MKY19" s="1"/>
      <c r="MKZ19" s="1"/>
      <c r="MLA19" s="1"/>
      <c r="MLB19" s="1"/>
      <c r="MLC19" s="1"/>
      <c r="MLD19" s="1"/>
      <c r="MLE19" s="1"/>
      <c r="MLF19" s="1"/>
      <c r="MLG19" s="1"/>
      <c r="MLH19" s="1"/>
      <c r="MLI19" s="1"/>
      <c r="MLJ19" s="1"/>
      <c r="MLK19" s="1"/>
      <c r="MLL19" s="1"/>
      <c r="MLM19" s="1"/>
      <c r="MLN19" s="1"/>
      <c r="MLO19" s="1"/>
      <c r="MLP19" s="1"/>
      <c r="MLQ19" s="1"/>
      <c r="MLR19" s="1"/>
      <c r="MLS19" s="1"/>
      <c r="MLT19" s="1"/>
      <c r="MLU19" s="1"/>
      <c r="MLV19" s="1"/>
      <c r="MLW19" s="1"/>
      <c r="MLX19" s="1"/>
      <c r="MLY19" s="1"/>
      <c r="MLZ19" s="1"/>
      <c r="MMA19" s="1"/>
      <c r="MMB19" s="1"/>
      <c r="MMC19" s="1"/>
      <c r="MMD19" s="1"/>
      <c r="MME19" s="1"/>
      <c r="MMF19" s="1"/>
      <c r="MMG19" s="1"/>
      <c r="MMH19" s="1"/>
      <c r="MMI19" s="1"/>
      <c r="MMJ19" s="1"/>
      <c r="MMK19" s="1"/>
      <c r="MML19" s="1"/>
      <c r="MMM19" s="1"/>
      <c r="MMN19" s="1"/>
      <c r="MMO19" s="1"/>
      <c r="MMP19" s="1"/>
      <c r="MMQ19" s="1"/>
      <c r="MMR19" s="1"/>
      <c r="MMS19" s="1"/>
      <c r="MMT19" s="1"/>
      <c r="MMU19" s="1"/>
      <c r="MMV19" s="1"/>
      <c r="MMW19" s="1"/>
      <c r="MMX19" s="1"/>
      <c r="MMY19" s="1"/>
      <c r="MMZ19" s="1"/>
      <c r="MNA19" s="1"/>
      <c r="MNB19" s="1"/>
      <c r="MNC19" s="1"/>
      <c r="MND19" s="1"/>
      <c r="MNE19" s="1"/>
      <c r="MNF19" s="1"/>
      <c r="MNG19" s="1"/>
      <c r="MNH19" s="1"/>
      <c r="MNI19" s="1"/>
      <c r="MNJ19" s="1"/>
      <c r="MNK19" s="1"/>
      <c r="MNL19" s="1"/>
      <c r="MNM19" s="1"/>
      <c r="MNN19" s="1"/>
      <c r="MNO19" s="1"/>
      <c r="MNP19" s="1"/>
      <c r="MNQ19" s="1"/>
      <c r="MNR19" s="1"/>
      <c r="MNS19" s="1"/>
      <c r="MNT19" s="1"/>
      <c r="MNU19" s="1"/>
      <c r="MNV19" s="1"/>
      <c r="MNW19" s="1"/>
      <c r="MNX19" s="1"/>
      <c r="MNY19" s="1"/>
      <c r="MNZ19" s="1"/>
      <c r="MOA19" s="1"/>
      <c r="MOB19" s="1"/>
      <c r="MOC19" s="1"/>
      <c r="MOD19" s="1"/>
      <c r="MOE19" s="1"/>
      <c r="MOF19" s="1"/>
      <c r="MOG19" s="1"/>
      <c r="MOH19" s="1"/>
      <c r="MOI19" s="1"/>
      <c r="MOJ19" s="1"/>
      <c r="MOK19" s="1"/>
      <c r="MOL19" s="1"/>
      <c r="MOM19" s="1"/>
      <c r="MON19" s="1"/>
      <c r="MOO19" s="1"/>
      <c r="MOP19" s="1"/>
      <c r="MOQ19" s="1"/>
      <c r="MOR19" s="1"/>
      <c r="MOS19" s="1"/>
      <c r="MOT19" s="1"/>
      <c r="MOU19" s="1"/>
      <c r="MOV19" s="1"/>
      <c r="MOW19" s="1"/>
      <c r="MOX19" s="1"/>
      <c r="MOY19" s="1"/>
      <c r="MOZ19" s="1"/>
      <c r="MPA19" s="1"/>
      <c r="MPB19" s="1"/>
      <c r="MPC19" s="1"/>
      <c r="MPD19" s="1"/>
      <c r="MPE19" s="1"/>
      <c r="MPF19" s="1"/>
      <c r="MPG19" s="1"/>
      <c r="MPH19" s="1"/>
      <c r="MPI19" s="1"/>
      <c r="MPJ19" s="1"/>
      <c r="MPK19" s="1"/>
      <c r="MPL19" s="1"/>
      <c r="MPM19" s="1"/>
      <c r="MPN19" s="1"/>
      <c r="MPO19" s="1"/>
      <c r="MPP19" s="1"/>
      <c r="MPQ19" s="1"/>
      <c r="MPR19" s="1"/>
      <c r="MPS19" s="1"/>
      <c r="MPT19" s="1"/>
      <c r="MPU19" s="1"/>
      <c r="MPV19" s="1"/>
      <c r="MPW19" s="1"/>
      <c r="MPX19" s="1"/>
      <c r="MPY19" s="1"/>
      <c r="MPZ19" s="1"/>
      <c r="MQA19" s="1"/>
      <c r="MQB19" s="1"/>
      <c r="MQC19" s="1"/>
      <c r="MQD19" s="1"/>
      <c r="MQE19" s="1"/>
      <c r="MQF19" s="1"/>
      <c r="MQG19" s="1"/>
      <c r="MQH19" s="1"/>
      <c r="MQI19" s="1"/>
      <c r="MQJ19" s="1"/>
      <c r="MQK19" s="1"/>
      <c r="MQL19" s="1"/>
      <c r="MQM19" s="1"/>
      <c r="MQN19" s="1"/>
      <c r="MQO19" s="1"/>
      <c r="MQP19" s="1"/>
      <c r="MQQ19" s="1"/>
      <c r="MQR19" s="1"/>
      <c r="MQS19" s="1"/>
      <c r="MQT19" s="1"/>
      <c r="MQU19" s="1"/>
      <c r="MQV19" s="1"/>
      <c r="MQW19" s="1"/>
      <c r="MQX19" s="1"/>
      <c r="MQY19" s="1"/>
      <c r="MQZ19" s="1"/>
      <c r="MRA19" s="1"/>
      <c r="MRB19" s="1"/>
      <c r="MRC19" s="1"/>
      <c r="MRD19" s="1"/>
      <c r="MRE19" s="1"/>
      <c r="MRF19" s="1"/>
      <c r="MRG19" s="1"/>
      <c r="MRH19" s="1"/>
      <c r="MRI19" s="1"/>
      <c r="MRJ19" s="1"/>
      <c r="MRK19" s="1"/>
      <c r="MRL19" s="1"/>
      <c r="MRM19" s="1"/>
      <c r="MRN19" s="1"/>
      <c r="MRO19" s="1"/>
      <c r="MRP19" s="1"/>
      <c r="MRQ19" s="1"/>
      <c r="MRR19" s="1"/>
      <c r="MRS19" s="1"/>
      <c r="MRT19" s="1"/>
      <c r="MRU19" s="1"/>
      <c r="MRV19" s="1"/>
      <c r="MRW19" s="1"/>
      <c r="MRX19" s="1"/>
      <c r="MRY19" s="1"/>
      <c r="MRZ19" s="1"/>
      <c r="MSA19" s="1"/>
      <c r="MSB19" s="1"/>
      <c r="MSC19" s="1"/>
      <c r="MSD19" s="1"/>
      <c r="MSE19" s="1"/>
      <c r="MSF19" s="1"/>
      <c r="MSG19" s="1"/>
      <c r="MSH19" s="1"/>
      <c r="MSI19" s="1"/>
      <c r="MSJ19" s="1"/>
      <c r="MSK19" s="1"/>
      <c r="MSL19" s="1"/>
      <c r="MSM19" s="1"/>
      <c r="MSN19" s="1"/>
      <c r="MSO19" s="1"/>
      <c r="MSP19" s="1"/>
      <c r="MSQ19" s="1"/>
      <c r="MSR19" s="1"/>
      <c r="MSS19" s="1"/>
      <c r="MST19" s="1"/>
      <c r="MSU19" s="1"/>
      <c r="MSV19" s="1"/>
      <c r="MSW19" s="1"/>
      <c r="MSX19" s="1"/>
      <c r="MSY19" s="1"/>
      <c r="MSZ19" s="1"/>
      <c r="MTA19" s="1"/>
      <c r="MTB19" s="1"/>
      <c r="MTC19" s="1"/>
      <c r="MTD19" s="1"/>
      <c r="MTE19" s="1"/>
      <c r="MTF19" s="1"/>
      <c r="MTG19" s="1"/>
      <c r="MTH19" s="1"/>
      <c r="MTI19" s="1"/>
      <c r="MTJ19" s="1"/>
      <c r="MTK19" s="1"/>
      <c r="MTL19" s="1"/>
      <c r="MTM19" s="1"/>
      <c r="MTN19" s="1"/>
      <c r="MTO19" s="1"/>
      <c r="MTP19" s="1"/>
      <c r="MTQ19" s="1"/>
      <c r="MTR19" s="1"/>
      <c r="MTS19" s="1"/>
      <c r="MTT19" s="1"/>
      <c r="MTU19" s="1"/>
      <c r="MTV19" s="1"/>
      <c r="MTW19" s="1"/>
      <c r="MTX19" s="1"/>
      <c r="MTY19" s="1"/>
      <c r="MTZ19" s="1"/>
      <c r="MUA19" s="1"/>
      <c r="MUB19" s="1"/>
      <c r="MUC19" s="1"/>
      <c r="MUD19" s="1"/>
      <c r="MUE19" s="1"/>
      <c r="MUF19" s="1"/>
      <c r="MUG19" s="1"/>
      <c r="MUH19" s="1"/>
      <c r="MUI19" s="1"/>
      <c r="MUJ19" s="1"/>
      <c r="MUK19" s="1"/>
      <c r="MUL19" s="1"/>
      <c r="MUM19" s="1"/>
      <c r="MUN19" s="1"/>
      <c r="MUO19" s="1"/>
      <c r="MUP19" s="1"/>
      <c r="MUQ19" s="1"/>
      <c r="MUR19" s="1"/>
      <c r="MUS19" s="1"/>
      <c r="MUT19" s="1"/>
      <c r="MUU19" s="1"/>
      <c r="MUV19" s="1"/>
      <c r="MUW19" s="1"/>
      <c r="MUX19" s="1"/>
      <c r="MUY19" s="1"/>
      <c r="MUZ19" s="1"/>
      <c r="MVA19" s="1"/>
      <c r="MVB19" s="1"/>
      <c r="MVC19" s="1"/>
      <c r="MVD19" s="1"/>
      <c r="MVE19" s="1"/>
      <c r="MVF19" s="1"/>
      <c r="MVG19" s="1"/>
      <c r="MVH19" s="1"/>
      <c r="MVI19" s="1"/>
      <c r="MVJ19" s="1"/>
      <c r="MVK19" s="1"/>
      <c r="MVL19" s="1"/>
      <c r="MVM19" s="1"/>
      <c r="MVN19" s="1"/>
      <c r="MVO19" s="1"/>
      <c r="MVP19" s="1"/>
      <c r="MVQ19" s="1"/>
      <c r="MVR19" s="1"/>
      <c r="MVS19" s="1"/>
      <c r="MVT19" s="1"/>
      <c r="MVU19" s="1"/>
      <c r="MVV19" s="1"/>
      <c r="MVW19" s="1"/>
      <c r="MVX19" s="1"/>
      <c r="MVY19" s="1"/>
      <c r="MVZ19" s="1"/>
      <c r="MWA19" s="1"/>
      <c r="MWB19" s="1"/>
      <c r="MWC19" s="1"/>
      <c r="MWD19" s="1"/>
      <c r="MWE19" s="1"/>
      <c r="MWF19" s="1"/>
      <c r="MWG19" s="1"/>
      <c r="MWH19" s="1"/>
      <c r="MWI19" s="1"/>
      <c r="MWJ19" s="1"/>
      <c r="MWK19" s="1"/>
      <c r="MWL19" s="1"/>
      <c r="MWM19" s="1"/>
      <c r="MWN19" s="1"/>
      <c r="MWO19" s="1"/>
      <c r="MWP19" s="1"/>
      <c r="MWQ19" s="1"/>
      <c r="MWR19" s="1"/>
      <c r="MWS19" s="1"/>
      <c r="MWT19" s="1"/>
      <c r="MWU19" s="1"/>
      <c r="MWV19" s="1"/>
      <c r="MWW19" s="1"/>
      <c r="MWX19" s="1"/>
      <c r="MWY19" s="1"/>
      <c r="MWZ19" s="1"/>
      <c r="MXA19" s="1"/>
      <c r="MXB19" s="1"/>
      <c r="MXC19" s="1"/>
      <c r="MXD19" s="1"/>
      <c r="MXE19" s="1"/>
      <c r="MXF19" s="1"/>
      <c r="MXG19" s="1"/>
      <c r="MXH19" s="1"/>
      <c r="MXI19" s="1"/>
      <c r="MXJ19" s="1"/>
      <c r="MXK19" s="1"/>
      <c r="MXL19" s="1"/>
      <c r="MXM19" s="1"/>
      <c r="MXN19" s="1"/>
      <c r="MXO19" s="1"/>
      <c r="MXP19" s="1"/>
      <c r="MXQ19" s="1"/>
      <c r="MXR19" s="1"/>
      <c r="MXS19" s="1"/>
      <c r="MXT19" s="1"/>
      <c r="MXU19" s="1"/>
      <c r="MXV19" s="1"/>
      <c r="MXW19" s="1"/>
      <c r="MXX19" s="1"/>
      <c r="MXY19" s="1"/>
      <c r="MXZ19" s="1"/>
      <c r="MYA19" s="1"/>
      <c r="MYB19" s="1"/>
      <c r="MYC19" s="1"/>
      <c r="MYD19" s="1"/>
      <c r="MYE19" s="1"/>
      <c r="MYF19" s="1"/>
      <c r="MYG19" s="1"/>
      <c r="MYH19" s="1"/>
      <c r="MYI19" s="1"/>
      <c r="MYJ19" s="1"/>
      <c r="MYK19" s="1"/>
      <c r="MYL19" s="1"/>
      <c r="MYM19" s="1"/>
      <c r="MYN19" s="1"/>
      <c r="MYO19" s="1"/>
      <c r="MYP19" s="1"/>
      <c r="MYQ19" s="1"/>
      <c r="MYR19" s="1"/>
      <c r="MYS19" s="1"/>
      <c r="MYT19" s="1"/>
      <c r="MYU19" s="1"/>
      <c r="MYV19" s="1"/>
      <c r="MYW19" s="1"/>
      <c r="MYX19" s="1"/>
      <c r="MYY19" s="1"/>
      <c r="MYZ19" s="1"/>
      <c r="MZA19" s="1"/>
      <c r="MZB19" s="1"/>
      <c r="MZC19" s="1"/>
      <c r="MZD19" s="1"/>
      <c r="MZE19" s="1"/>
      <c r="MZF19" s="1"/>
      <c r="MZG19" s="1"/>
      <c r="MZH19" s="1"/>
      <c r="MZI19" s="1"/>
      <c r="MZJ19" s="1"/>
      <c r="MZK19" s="1"/>
      <c r="MZL19" s="1"/>
      <c r="MZM19" s="1"/>
      <c r="MZN19" s="1"/>
      <c r="MZO19" s="1"/>
      <c r="MZP19" s="1"/>
      <c r="MZQ19" s="1"/>
      <c r="MZR19" s="1"/>
      <c r="MZS19" s="1"/>
      <c r="MZT19" s="1"/>
      <c r="MZU19" s="1"/>
      <c r="MZV19" s="1"/>
      <c r="MZW19" s="1"/>
      <c r="MZX19" s="1"/>
      <c r="MZY19" s="1"/>
      <c r="MZZ19" s="1"/>
      <c r="NAA19" s="1"/>
      <c r="NAB19" s="1"/>
      <c r="NAC19" s="1"/>
      <c r="NAD19" s="1"/>
      <c r="NAE19" s="1"/>
      <c r="NAF19" s="1"/>
      <c r="NAG19" s="1"/>
      <c r="NAH19" s="1"/>
      <c r="NAI19" s="1"/>
      <c r="NAJ19" s="1"/>
      <c r="NAK19" s="1"/>
      <c r="NAL19" s="1"/>
      <c r="NAM19" s="1"/>
      <c r="NAN19" s="1"/>
      <c r="NAO19" s="1"/>
      <c r="NAP19" s="1"/>
      <c r="NAQ19" s="1"/>
      <c r="NAR19" s="1"/>
      <c r="NAS19" s="1"/>
      <c r="NAT19" s="1"/>
      <c r="NAU19" s="1"/>
      <c r="NAV19" s="1"/>
      <c r="NAW19" s="1"/>
      <c r="NAX19" s="1"/>
      <c r="NAY19" s="1"/>
      <c r="NAZ19" s="1"/>
      <c r="NBA19" s="1"/>
      <c r="NBB19" s="1"/>
      <c r="NBC19" s="1"/>
      <c r="NBD19" s="1"/>
      <c r="NBE19" s="1"/>
      <c r="NBF19" s="1"/>
      <c r="NBG19" s="1"/>
      <c r="NBH19" s="1"/>
      <c r="NBI19" s="1"/>
      <c r="NBJ19" s="1"/>
      <c r="NBK19" s="1"/>
      <c r="NBL19" s="1"/>
      <c r="NBM19" s="1"/>
      <c r="NBN19" s="1"/>
      <c r="NBO19" s="1"/>
      <c r="NBP19" s="1"/>
      <c r="NBQ19" s="1"/>
      <c r="NBR19" s="1"/>
      <c r="NBS19" s="1"/>
      <c r="NBT19" s="1"/>
      <c r="NBU19" s="1"/>
      <c r="NBV19" s="1"/>
      <c r="NBW19" s="1"/>
      <c r="NBX19" s="1"/>
      <c r="NBY19" s="1"/>
      <c r="NBZ19" s="1"/>
      <c r="NCA19" s="1"/>
      <c r="NCB19" s="1"/>
      <c r="NCC19" s="1"/>
      <c r="NCD19" s="1"/>
      <c r="NCE19" s="1"/>
      <c r="NCF19" s="1"/>
      <c r="NCG19" s="1"/>
      <c r="NCH19" s="1"/>
      <c r="NCI19" s="1"/>
      <c r="NCJ19" s="1"/>
      <c r="NCK19" s="1"/>
      <c r="NCL19" s="1"/>
      <c r="NCM19" s="1"/>
      <c r="NCN19" s="1"/>
      <c r="NCO19" s="1"/>
      <c r="NCP19" s="1"/>
      <c r="NCQ19" s="1"/>
      <c r="NCR19" s="1"/>
      <c r="NCS19" s="1"/>
      <c r="NCT19" s="1"/>
      <c r="NCU19" s="1"/>
      <c r="NCV19" s="1"/>
      <c r="NCW19" s="1"/>
      <c r="NCX19" s="1"/>
      <c r="NCY19" s="1"/>
      <c r="NCZ19" s="1"/>
      <c r="NDA19" s="1"/>
      <c r="NDB19" s="1"/>
      <c r="NDC19" s="1"/>
      <c r="NDD19" s="1"/>
      <c r="NDE19" s="1"/>
      <c r="NDF19" s="1"/>
      <c r="NDG19" s="1"/>
      <c r="NDH19" s="1"/>
      <c r="NDI19" s="1"/>
      <c r="NDJ19" s="1"/>
      <c r="NDK19" s="1"/>
      <c r="NDL19" s="1"/>
      <c r="NDM19" s="1"/>
      <c r="NDN19" s="1"/>
      <c r="NDO19" s="1"/>
      <c r="NDP19" s="1"/>
      <c r="NDQ19" s="1"/>
      <c r="NDR19" s="1"/>
      <c r="NDS19" s="1"/>
      <c r="NDT19" s="1"/>
      <c r="NDU19" s="1"/>
      <c r="NDV19" s="1"/>
      <c r="NDW19" s="1"/>
      <c r="NDX19" s="1"/>
      <c r="NDY19" s="1"/>
      <c r="NDZ19" s="1"/>
      <c r="NEA19" s="1"/>
      <c r="NEB19" s="1"/>
      <c r="NEC19" s="1"/>
      <c r="NED19" s="1"/>
      <c r="NEE19" s="1"/>
      <c r="NEF19" s="1"/>
      <c r="NEG19" s="1"/>
      <c r="NEH19" s="1"/>
      <c r="NEI19" s="1"/>
      <c r="NEJ19" s="1"/>
      <c r="NEK19" s="1"/>
      <c r="NEL19" s="1"/>
      <c r="NEM19" s="1"/>
      <c r="NEN19" s="1"/>
      <c r="NEO19" s="1"/>
      <c r="NEP19" s="1"/>
      <c r="NEQ19" s="1"/>
      <c r="NER19" s="1"/>
      <c r="NES19" s="1"/>
      <c r="NET19" s="1"/>
      <c r="NEU19" s="1"/>
      <c r="NEV19" s="1"/>
      <c r="NEW19" s="1"/>
      <c r="NEX19" s="1"/>
      <c r="NEY19" s="1"/>
      <c r="NEZ19" s="1"/>
      <c r="NFA19" s="1"/>
      <c r="NFB19" s="1"/>
      <c r="NFC19" s="1"/>
      <c r="NFD19" s="1"/>
      <c r="NFE19" s="1"/>
      <c r="NFF19" s="1"/>
      <c r="NFG19" s="1"/>
      <c r="NFH19" s="1"/>
      <c r="NFI19" s="1"/>
      <c r="NFJ19" s="1"/>
      <c r="NFK19" s="1"/>
      <c r="NFL19" s="1"/>
      <c r="NFM19" s="1"/>
      <c r="NFN19" s="1"/>
      <c r="NFO19" s="1"/>
      <c r="NFP19" s="1"/>
      <c r="NFQ19" s="1"/>
      <c r="NFR19" s="1"/>
      <c r="NFS19" s="1"/>
      <c r="NFT19" s="1"/>
      <c r="NFU19" s="1"/>
      <c r="NFV19" s="1"/>
      <c r="NFW19" s="1"/>
      <c r="NFX19" s="1"/>
      <c r="NFY19" s="1"/>
      <c r="NFZ19" s="1"/>
      <c r="NGA19" s="1"/>
      <c r="NGB19" s="1"/>
      <c r="NGC19" s="1"/>
      <c r="NGD19" s="1"/>
      <c r="NGE19" s="1"/>
      <c r="NGF19" s="1"/>
      <c r="NGG19" s="1"/>
      <c r="NGH19" s="1"/>
      <c r="NGI19" s="1"/>
      <c r="NGJ19" s="1"/>
      <c r="NGK19" s="1"/>
      <c r="NGL19" s="1"/>
      <c r="NGM19" s="1"/>
      <c r="NGN19" s="1"/>
      <c r="NGO19" s="1"/>
      <c r="NGP19" s="1"/>
      <c r="NGQ19" s="1"/>
      <c r="NGR19" s="1"/>
      <c r="NGS19" s="1"/>
      <c r="NGT19" s="1"/>
      <c r="NGU19" s="1"/>
      <c r="NGV19" s="1"/>
      <c r="NGW19" s="1"/>
      <c r="NGX19" s="1"/>
      <c r="NGY19" s="1"/>
      <c r="NGZ19" s="1"/>
      <c r="NHA19" s="1"/>
      <c r="NHB19" s="1"/>
      <c r="NHC19" s="1"/>
      <c r="NHD19" s="1"/>
      <c r="NHE19" s="1"/>
      <c r="NHF19" s="1"/>
      <c r="NHG19" s="1"/>
      <c r="NHH19" s="1"/>
      <c r="NHI19" s="1"/>
      <c r="NHJ19" s="1"/>
      <c r="NHK19" s="1"/>
      <c r="NHL19" s="1"/>
      <c r="NHM19" s="1"/>
      <c r="NHN19" s="1"/>
      <c r="NHO19" s="1"/>
      <c r="NHP19" s="1"/>
      <c r="NHQ19" s="1"/>
      <c r="NHR19" s="1"/>
      <c r="NHS19" s="1"/>
      <c r="NHT19" s="1"/>
      <c r="NHU19" s="1"/>
      <c r="NHV19" s="1"/>
      <c r="NHW19" s="1"/>
      <c r="NHX19" s="1"/>
      <c r="NHY19" s="1"/>
      <c r="NHZ19" s="1"/>
      <c r="NIA19" s="1"/>
      <c r="NIB19" s="1"/>
      <c r="NIC19" s="1"/>
      <c r="NID19" s="1"/>
      <c r="NIE19" s="1"/>
      <c r="NIF19" s="1"/>
      <c r="NIG19" s="1"/>
      <c r="NIH19" s="1"/>
      <c r="NII19" s="1"/>
      <c r="NIJ19" s="1"/>
      <c r="NIK19" s="1"/>
      <c r="NIL19" s="1"/>
      <c r="NIM19" s="1"/>
      <c r="NIN19" s="1"/>
      <c r="NIO19" s="1"/>
      <c r="NIP19" s="1"/>
      <c r="NIQ19" s="1"/>
      <c r="NIR19" s="1"/>
      <c r="NIS19" s="1"/>
      <c r="NIT19" s="1"/>
      <c r="NIU19" s="1"/>
      <c r="NIV19" s="1"/>
      <c r="NIW19" s="1"/>
      <c r="NIX19" s="1"/>
      <c r="NIY19" s="1"/>
      <c r="NIZ19" s="1"/>
      <c r="NJA19" s="1"/>
      <c r="NJB19" s="1"/>
      <c r="NJC19" s="1"/>
      <c r="NJD19" s="1"/>
      <c r="NJE19" s="1"/>
      <c r="NJF19" s="1"/>
      <c r="NJG19" s="1"/>
      <c r="NJH19" s="1"/>
      <c r="NJI19" s="1"/>
      <c r="NJJ19" s="1"/>
      <c r="NJK19" s="1"/>
      <c r="NJL19" s="1"/>
      <c r="NJM19" s="1"/>
      <c r="NJN19" s="1"/>
      <c r="NJO19" s="1"/>
      <c r="NJP19" s="1"/>
      <c r="NJQ19" s="1"/>
      <c r="NJR19" s="1"/>
      <c r="NJS19" s="1"/>
      <c r="NJT19" s="1"/>
      <c r="NJU19" s="1"/>
      <c r="NJV19" s="1"/>
      <c r="NJW19" s="1"/>
      <c r="NJX19" s="1"/>
      <c r="NJY19" s="1"/>
      <c r="NJZ19" s="1"/>
      <c r="NKA19" s="1"/>
      <c r="NKB19" s="1"/>
      <c r="NKC19" s="1"/>
      <c r="NKD19" s="1"/>
      <c r="NKE19" s="1"/>
      <c r="NKF19" s="1"/>
      <c r="NKG19" s="1"/>
      <c r="NKH19" s="1"/>
      <c r="NKI19" s="1"/>
      <c r="NKJ19" s="1"/>
      <c r="NKK19" s="1"/>
      <c r="NKL19" s="1"/>
      <c r="NKM19" s="1"/>
      <c r="NKN19" s="1"/>
      <c r="NKO19" s="1"/>
      <c r="NKP19" s="1"/>
      <c r="NKQ19" s="1"/>
      <c r="NKR19" s="1"/>
      <c r="NKS19" s="1"/>
      <c r="NKT19" s="1"/>
      <c r="NKU19" s="1"/>
      <c r="NKV19" s="1"/>
      <c r="NKW19" s="1"/>
      <c r="NKX19" s="1"/>
      <c r="NKY19" s="1"/>
      <c r="NKZ19" s="1"/>
      <c r="NLA19" s="1"/>
      <c r="NLB19" s="1"/>
      <c r="NLC19" s="1"/>
      <c r="NLD19" s="1"/>
      <c r="NLE19" s="1"/>
      <c r="NLF19" s="1"/>
      <c r="NLG19" s="1"/>
      <c r="NLH19" s="1"/>
      <c r="NLI19" s="1"/>
      <c r="NLJ19" s="1"/>
      <c r="NLK19" s="1"/>
      <c r="NLL19" s="1"/>
      <c r="NLM19" s="1"/>
      <c r="NLN19" s="1"/>
      <c r="NLO19" s="1"/>
      <c r="NLP19" s="1"/>
      <c r="NLQ19" s="1"/>
      <c r="NLR19" s="1"/>
      <c r="NLS19" s="1"/>
      <c r="NLT19" s="1"/>
      <c r="NLU19" s="1"/>
      <c r="NLV19" s="1"/>
      <c r="NLW19" s="1"/>
      <c r="NLX19" s="1"/>
      <c r="NLY19" s="1"/>
      <c r="NLZ19" s="1"/>
      <c r="NMA19" s="1"/>
      <c r="NMB19" s="1"/>
      <c r="NMC19" s="1"/>
      <c r="NMD19" s="1"/>
      <c r="NME19" s="1"/>
      <c r="NMF19" s="1"/>
      <c r="NMG19" s="1"/>
      <c r="NMH19" s="1"/>
      <c r="NMI19" s="1"/>
      <c r="NMJ19" s="1"/>
      <c r="NMK19" s="1"/>
      <c r="NML19" s="1"/>
      <c r="NMM19" s="1"/>
      <c r="NMN19" s="1"/>
      <c r="NMO19" s="1"/>
      <c r="NMP19" s="1"/>
      <c r="NMQ19" s="1"/>
      <c r="NMR19" s="1"/>
      <c r="NMS19" s="1"/>
      <c r="NMT19" s="1"/>
      <c r="NMU19" s="1"/>
      <c r="NMV19" s="1"/>
      <c r="NMW19" s="1"/>
      <c r="NMX19" s="1"/>
      <c r="NMY19" s="1"/>
      <c r="NMZ19" s="1"/>
      <c r="NNA19" s="1"/>
      <c r="NNB19" s="1"/>
      <c r="NNC19" s="1"/>
      <c r="NND19" s="1"/>
      <c r="NNE19" s="1"/>
      <c r="NNF19" s="1"/>
      <c r="NNG19" s="1"/>
      <c r="NNH19" s="1"/>
      <c r="NNI19" s="1"/>
      <c r="NNJ19" s="1"/>
      <c r="NNK19" s="1"/>
      <c r="NNL19" s="1"/>
      <c r="NNM19" s="1"/>
      <c r="NNN19" s="1"/>
      <c r="NNO19" s="1"/>
      <c r="NNP19" s="1"/>
      <c r="NNQ19" s="1"/>
      <c r="NNR19" s="1"/>
      <c r="NNS19" s="1"/>
      <c r="NNT19" s="1"/>
      <c r="NNU19" s="1"/>
      <c r="NNV19" s="1"/>
      <c r="NNW19" s="1"/>
      <c r="NNX19" s="1"/>
      <c r="NNY19" s="1"/>
      <c r="NNZ19" s="1"/>
      <c r="NOA19" s="1"/>
      <c r="NOB19" s="1"/>
      <c r="NOC19" s="1"/>
      <c r="NOD19" s="1"/>
      <c r="NOE19" s="1"/>
      <c r="NOF19" s="1"/>
      <c r="NOG19" s="1"/>
      <c r="NOH19" s="1"/>
      <c r="NOI19" s="1"/>
      <c r="NOJ19" s="1"/>
      <c r="NOK19" s="1"/>
      <c r="NOL19" s="1"/>
      <c r="NOM19" s="1"/>
      <c r="NON19" s="1"/>
      <c r="NOO19" s="1"/>
      <c r="NOP19" s="1"/>
      <c r="NOQ19" s="1"/>
      <c r="NOR19" s="1"/>
      <c r="NOS19" s="1"/>
      <c r="NOT19" s="1"/>
      <c r="NOU19" s="1"/>
      <c r="NOV19" s="1"/>
      <c r="NOW19" s="1"/>
      <c r="NOX19" s="1"/>
      <c r="NOY19" s="1"/>
      <c r="NOZ19" s="1"/>
      <c r="NPA19" s="1"/>
      <c r="NPB19" s="1"/>
      <c r="NPC19" s="1"/>
      <c r="NPD19" s="1"/>
      <c r="NPE19" s="1"/>
      <c r="NPF19" s="1"/>
      <c r="NPG19" s="1"/>
      <c r="NPH19" s="1"/>
      <c r="NPI19" s="1"/>
      <c r="NPJ19" s="1"/>
      <c r="NPK19" s="1"/>
      <c r="NPL19" s="1"/>
      <c r="NPM19" s="1"/>
      <c r="NPN19" s="1"/>
      <c r="NPO19" s="1"/>
      <c r="NPP19" s="1"/>
      <c r="NPQ19" s="1"/>
      <c r="NPR19" s="1"/>
      <c r="NPS19" s="1"/>
      <c r="NPT19" s="1"/>
      <c r="NPU19" s="1"/>
      <c r="NPV19" s="1"/>
      <c r="NPW19" s="1"/>
      <c r="NPX19" s="1"/>
      <c r="NPY19" s="1"/>
      <c r="NPZ19" s="1"/>
      <c r="NQA19" s="1"/>
      <c r="NQB19" s="1"/>
      <c r="NQC19" s="1"/>
      <c r="NQD19" s="1"/>
      <c r="NQE19" s="1"/>
      <c r="NQF19" s="1"/>
      <c r="NQG19" s="1"/>
      <c r="NQH19" s="1"/>
      <c r="NQI19" s="1"/>
      <c r="NQJ19" s="1"/>
      <c r="NQK19" s="1"/>
      <c r="NQL19" s="1"/>
      <c r="NQM19" s="1"/>
      <c r="NQN19" s="1"/>
      <c r="NQO19" s="1"/>
      <c r="NQP19" s="1"/>
      <c r="NQQ19" s="1"/>
      <c r="NQR19" s="1"/>
      <c r="NQS19" s="1"/>
      <c r="NQT19" s="1"/>
      <c r="NQU19" s="1"/>
      <c r="NQV19" s="1"/>
      <c r="NQW19" s="1"/>
      <c r="NQX19" s="1"/>
      <c r="NQY19" s="1"/>
      <c r="NQZ19" s="1"/>
      <c r="NRA19" s="1"/>
      <c r="NRB19" s="1"/>
      <c r="NRC19" s="1"/>
      <c r="NRD19" s="1"/>
      <c r="NRE19" s="1"/>
      <c r="NRF19" s="1"/>
      <c r="NRG19" s="1"/>
      <c r="NRH19" s="1"/>
      <c r="NRI19" s="1"/>
      <c r="NRJ19" s="1"/>
      <c r="NRK19" s="1"/>
      <c r="NRL19" s="1"/>
      <c r="NRM19" s="1"/>
      <c r="NRN19" s="1"/>
      <c r="NRO19" s="1"/>
      <c r="NRP19" s="1"/>
      <c r="NRQ19" s="1"/>
      <c r="NRR19" s="1"/>
      <c r="NRS19" s="1"/>
      <c r="NRT19" s="1"/>
      <c r="NRU19" s="1"/>
      <c r="NRV19" s="1"/>
      <c r="NRW19" s="1"/>
      <c r="NRX19" s="1"/>
      <c r="NRY19" s="1"/>
      <c r="NRZ19" s="1"/>
      <c r="NSA19" s="1"/>
      <c r="NSB19" s="1"/>
      <c r="NSC19" s="1"/>
      <c r="NSD19" s="1"/>
      <c r="NSE19" s="1"/>
      <c r="NSF19" s="1"/>
      <c r="NSG19" s="1"/>
      <c r="NSH19" s="1"/>
      <c r="NSI19" s="1"/>
      <c r="NSJ19" s="1"/>
      <c r="NSK19" s="1"/>
      <c r="NSL19" s="1"/>
      <c r="NSM19" s="1"/>
      <c r="NSN19" s="1"/>
      <c r="NSO19" s="1"/>
      <c r="NSP19" s="1"/>
      <c r="NSQ19" s="1"/>
      <c r="NSR19" s="1"/>
      <c r="NSS19" s="1"/>
      <c r="NST19" s="1"/>
      <c r="NSU19" s="1"/>
      <c r="NSV19" s="1"/>
      <c r="NSW19" s="1"/>
      <c r="NSX19" s="1"/>
      <c r="NSY19" s="1"/>
      <c r="NSZ19" s="1"/>
      <c r="NTA19" s="1"/>
      <c r="NTB19" s="1"/>
      <c r="NTC19" s="1"/>
      <c r="NTD19" s="1"/>
      <c r="NTE19" s="1"/>
      <c r="NTF19" s="1"/>
      <c r="NTG19" s="1"/>
      <c r="NTH19" s="1"/>
      <c r="NTI19" s="1"/>
      <c r="NTJ19" s="1"/>
      <c r="NTK19" s="1"/>
      <c r="NTL19" s="1"/>
      <c r="NTM19" s="1"/>
      <c r="NTN19" s="1"/>
      <c r="NTO19" s="1"/>
      <c r="NTP19" s="1"/>
      <c r="NTQ19" s="1"/>
      <c r="NTR19" s="1"/>
      <c r="NTS19" s="1"/>
      <c r="NTT19" s="1"/>
      <c r="NTU19" s="1"/>
      <c r="NTV19" s="1"/>
      <c r="NTW19" s="1"/>
      <c r="NTX19" s="1"/>
      <c r="NTY19" s="1"/>
      <c r="NTZ19" s="1"/>
      <c r="NUA19" s="1"/>
      <c r="NUB19" s="1"/>
      <c r="NUC19" s="1"/>
      <c r="NUD19" s="1"/>
      <c r="NUE19" s="1"/>
      <c r="NUF19" s="1"/>
      <c r="NUG19" s="1"/>
      <c r="NUH19" s="1"/>
      <c r="NUI19" s="1"/>
      <c r="NUJ19" s="1"/>
      <c r="NUK19" s="1"/>
      <c r="NUL19" s="1"/>
      <c r="NUM19" s="1"/>
      <c r="NUN19" s="1"/>
      <c r="NUO19" s="1"/>
      <c r="NUP19" s="1"/>
      <c r="NUQ19" s="1"/>
      <c r="NUR19" s="1"/>
      <c r="NUS19" s="1"/>
      <c r="NUT19" s="1"/>
      <c r="NUU19" s="1"/>
      <c r="NUV19" s="1"/>
      <c r="NUW19" s="1"/>
      <c r="NUX19" s="1"/>
      <c r="NUY19" s="1"/>
      <c r="NUZ19" s="1"/>
      <c r="NVA19" s="1"/>
      <c r="NVB19" s="1"/>
      <c r="NVC19" s="1"/>
      <c r="NVD19" s="1"/>
      <c r="NVE19" s="1"/>
      <c r="NVF19" s="1"/>
      <c r="NVG19" s="1"/>
      <c r="NVH19" s="1"/>
      <c r="NVI19" s="1"/>
      <c r="NVJ19" s="1"/>
      <c r="NVK19" s="1"/>
      <c r="NVL19" s="1"/>
      <c r="NVM19" s="1"/>
      <c r="NVN19" s="1"/>
      <c r="NVO19" s="1"/>
      <c r="NVP19" s="1"/>
      <c r="NVQ19" s="1"/>
      <c r="NVR19" s="1"/>
      <c r="NVS19" s="1"/>
      <c r="NVT19" s="1"/>
      <c r="NVU19" s="1"/>
      <c r="NVV19" s="1"/>
      <c r="NVW19" s="1"/>
      <c r="NVX19" s="1"/>
      <c r="NVY19" s="1"/>
      <c r="NVZ19" s="1"/>
      <c r="NWA19" s="1"/>
      <c r="NWB19" s="1"/>
      <c r="NWC19" s="1"/>
      <c r="NWD19" s="1"/>
      <c r="NWE19" s="1"/>
      <c r="NWF19" s="1"/>
      <c r="NWG19" s="1"/>
      <c r="NWH19" s="1"/>
      <c r="NWI19" s="1"/>
      <c r="NWJ19" s="1"/>
      <c r="NWK19" s="1"/>
      <c r="NWL19" s="1"/>
      <c r="NWM19" s="1"/>
      <c r="NWN19" s="1"/>
      <c r="NWO19" s="1"/>
      <c r="NWP19" s="1"/>
      <c r="NWQ19" s="1"/>
      <c r="NWR19" s="1"/>
      <c r="NWS19" s="1"/>
      <c r="NWT19" s="1"/>
      <c r="NWU19" s="1"/>
      <c r="NWV19" s="1"/>
      <c r="NWW19" s="1"/>
      <c r="NWX19" s="1"/>
      <c r="NWY19" s="1"/>
      <c r="NWZ19" s="1"/>
      <c r="NXA19" s="1"/>
      <c r="NXB19" s="1"/>
      <c r="NXC19" s="1"/>
      <c r="NXD19" s="1"/>
      <c r="NXE19" s="1"/>
      <c r="NXF19" s="1"/>
      <c r="NXG19" s="1"/>
      <c r="NXH19" s="1"/>
      <c r="NXI19" s="1"/>
      <c r="NXJ19" s="1"/>
      <c r="NXK19" s="1"/>
      <c r="NXL19" s="1"/>
      <c r="NXM19" s="1"/>
      <c r="NXN19" s="1"/>
      <c r="NXO19" s="1"/>
      <c r="NXP19" s="1"/>
      <c r="NXQ19" s="1"/>
      <c r="NXR19" s="1"/>
      <c r="NXS19" s="1"/>
      <c r="NXT19" s="1"/>
      <c r="NXU19" s="1"/>
      <c r="NXV19" s="1"/>
      <c r="NXW19" s="1"/>
      <c r="NXX19" s="1"/>
      <c r="NXY19" s="1"/>
      <c r="NXZ19" s="1"/>
      <c r="NYA19" s="1"/>
      <c r="NYB19" s="1"/>
      <c r="NYC19" s="1"/>
      <c r="NYD19" s="1"/>
      <c r="NYE19" s="1"/>
      <c r="NYF19" s="1"/>
      <c r="NYG19" s="1"/>
      <c r="NYH19" s="1"/>
      <c r="NYI19" s="1"/>
      <c r="NYJ19" s="1"/>
      <c r="NYK19" s="1"/>
      <c r="NYL19" s="1"/>
      <c r="NYM19" s="1"/>
      <c r="NYN19" s="1"/>
      <c r="NYO19" s="1"/>
      <c r="NYP19" s="1"/>
      <c r="NYQ19" s="1"/>
      <c r="NYR19" s="1"/>
      <c r="NYS19" s="1"/>
      <c r="NYT19" s="1"/>
      <c r="NYU19" s="1"/>
      <c r="NYV19" s="1"/>
      <c r="NYW19" s="1"/>
      <c r="NYX19" s="1"/>
      <c r="NYY19" s="1"/>
      <c r="NYZ19" s="1"/>
      <c r="NZA19" s="1"/>
      <c r="NZB19" s="1"/>
      <c r="NZC19" s="1"/>
      <c r="NZD19" s="1"/>
      <c r="NZE19" s="1"/>
      <c r="NZF19" s="1"/>
      <c r="NZG19" s="1"/>
      <c r="NZH19" s="1"/>
      <c r="NZI19" s="1"/>
      <c r="NZJ19" s="1"/>
      <c r="NZK19" s="1"/>
      <c r="NZL19" s="1"/>
      <c r="NZM19" s="1"/>
      <c r="NZN19" s="1"/>
      <c r="NZO19" s="1"/>
      <c r="NZP19" s="1"/>
      <c r="NZQ19" s="1"/>
      <c r="NZR19" s="1"/>
      <c r="NZS19" s="1"/>
      <c r="NZT19" s="1"/>
      <c r="NZU19" s="1"/>
      <c r="NZV19" s="1"/>
      <c r="NZW19" s="1"/>
      <c r="NZX19" s="1"/>
      <c r="NZY19" s="1"/>
      <c r="NZZ19" s="1"/>
      <c r="OAA19" s="1"/>
      <c r="OAB19" s="1"/>
      <c r="OAC19" s="1"/>
      <c r="OAD19" s="1"/>
      <c r="OAE19" s="1"/>
      <c r="OAF19" s="1"/>
      <c r="OAG19" s="1"/>
      <c r="OAH19" s="1"/>
      <c r="OAI19" s="1"/>
      <c r="OAJ19" s="1"/>
      <c r="OAK19" s="1"/>
      <c r="OAL19" s="1"/>
      <c r="OAM19" s="1"/>
      <c r="OAN19" s="1"/>
      <c r="OAO19" s="1"/>
      <c r="OAP19" s="1"/>
      <c r="OAQ19" s="1"/>
      <c r="OAR19" s="1"/>
      <c r="OAS19" s="1"/>
      <c r="OAT19" s="1"/>
      <c r="OAU19" s="1"/>
      <c r="OAV19" s="1"/>
      <c r="OAW19" s="1"/>
      <c r="OAX19" s="1"/>
      <c r="OAY19" s="1"/>
      <c r="OAZ19" s="1"/>
      <c r="OBA19" s="1"/>
      <c r="OBB19" s="1"/>
      <c r="OBC19" s="1"/>
      <c r="OBD19" s="1"/>
      <c r="OBE19" s="1"/>
      <c r="OBF19" s="1"/>
      <c r="OBG19" s="1"/>
      <c r="OBH19" s="1"/>
      <c r="OBI19" s="1"/>
      <c r="OBJ19" s="1"/>
      <c r="OBK19" s="1"/>
      <c r="OBL19" s="1"/>
      <c r="OBM19" s="1"/>
      <c r="OBN19" s="1"/>
      <c r="OBO19" s="1"/>
      <c r="OBP19" s="1"/>
      <c r="OBQ19" s="1"/>
      <c r="OBR19" s="1"/>
      <c r="OBS19" s="1"/>
      <c r="OBT19" s="1"/>
      <c r="OBU19" s="1"/>
      <c r="OBV19" s="1"/>
      <c r="OBW19" s="1"/>
      <c r="OBX19" s="1"/>
      <c r="OBY19" s="1"/>
      <c r="OBZ19" s="1"/>
      <c r="OCA19" s="1"/>
      <c r="OCB19" s="1"/>
      <c r="OCC19" s="1"/>
      <c r="OCD19" s="1"/>
      <c r="OCE19" s="1"/>
      <c r="OCF19" s="1"/>
      <c r="OCG19" s="1"/>
      <c r="OCH19" s="1"/>
      <c r="OCI19" s="1"/>
      <c r="OCJ19" s="1"/>
      <c r="OCK19" s="1"/>
      <c r="OCL19" s="1"/>
      <c r="OCM19" s="1"/>
      <c r="OCN19" s="1"/>
      <c r="OCO19" s="1"/>
      <c r="OCP19" s="1"/>
      <c r="OCQ19" s="1"/>
      <c r="OCR19" s="1"/>
      <c r="OCS19" s="1"/>
      <c r="OCT19" s="1"/>
      <c r="OCU19" s="1"/>
      <c r="OCV19" s="1"/>
      <c r="OCW19" s="1"/>
      <c r="OCX19" s="1"/>
      <c r="OCY19" s="1"/>
      <c r="OCZ19" s="1"/>
      <c r="ODA19" s="1"/>
      <c r="ODB19" s="1"/>
      <c r="ODC19" s="1"/>
      <c r="ODD19" s="1"/>
      <c r="ODE19" s="1"/>
      <c r="ODF19" s="1"/>
      <c r="ODG19" s="1"/>
      <c r="ODH19" s="1"/>
      <c r="ODI19" s="1"/>
      <c r="ODJ19" s="1"/>
      <c r="ODK19" s="1"/>
      <c r="ODL19" s="1"/>
      <c r="ODM19" s="1"/>
      <c r="ODN19" s="1"/>
      <c r="ODO19" s="1"/>
      <c r="ODP19" s="1"/>
      <c r="ODQ19" s="1"/>
      <c r="ODR19" s="1"/>
      <c r="ODS19" s="1"/>
      <c r="ODT19" s="1"/>
      <c r="ODU19" s="1"/>
      <c r="ODV19" s="1"/>
      <c r="ODW19" s="1"/>
      <c r="ODX19" s="1"/>
      <c r="ODY19" s="1"/>
      <c r="ODZ19" s="1"/>
      <c r="OEA19" s="1"/>
      <c r="OEB19" s="1"/>
      <c r="OEC19" s="1"/>
      <c r="OED19" s="1"/>
      <c r="OEE19" s="1"/>
      <c r="OEF19" s="1"/>
      <c r="OEG19" s="1"/>
      <c r="OEH19" s="1"/>
      <c r="OEI19" s="1"/>
      <c r="OEJ19" s="1"/>
      <c r="OEK19" s="1"/>
      <c r="OEL19" s="1"/>
      <c r="OEM19" s="1"/>
      <c r="OEN19" s="1"/>
      <c r="OEO19" s="1"/>
      <c r="OEP19" s="1"/>
      <c r="OEQ19" s="1"/>
      <c r="OER19" s="1"/>
      <c r="OES19" s="1"/>
      <c r="OET19" s="1"/>
      <c r="OEU19" s="1"/>
      <c r="OEV19" s="1"/>
      <c r="OEW19" s="1"/>
      <c r="OEX19" s="1"/>
      <c r="OEY19" s="1"/>
      <c r="OEZ19" s="1"/>
      <c r="OFA19" s="1"/>
      <c r="OFB19" s="1"/>
      <c r="OFC19" s="1"/>
      <c r="OFD19" s="1"/>
      <c r="OFE19" s="1"/>
      <c r="OFF19" s="1"/>
      <c r="OFG19" s="1"/>
      <c r="OFH19" s="1"/>
      <c r="OFI19" s="1"/>
      <c r="OFJ19" s="1"/>
      <c r="OFK19" s="1"/>
      <c r="OFL19" s="1"/>
      <c r="OFM19" s="1"/>
      <c r="OFN19" s="1"/>
      <c r="OFO19" s="1"/>
      <c r="OFP19" s="1"/>
      <c r="OFQ19" s="1"/>
      <c r="OFR19" s="1"/>
      <c r="OFS19" s="1"/>
      <c r="OFT19" s="1"/>
      <c r="OFU19" s="1"/>
      <c r="OFV19" s="1"/>
      <c r="OFW19" s="1"/>
      <c r="OFX19" s="1"/>
      <c r="OFY19" s="1"/>
      <c r="OFZ19" s="1"/>
      <c r="OGA19" s="1"/>
      <c r="OGB19" s="1"/>
      <c r="OGC19" s="1"/>
      <c r="OGD19" s="1"/>
      <c r="OGE19" s="1"/>
      <c r="OGF19" s="1"/>
      <c r="OGG19" s="1"/>
      <c r="OGH19" s="1"/>
      <c r="OGI19" s="1"/>
      <c r="OGJ19" s="1"/>
      <c r="OGK19" s="1"/>
      <c r="OGL19" s="1"/>
      <c r="OGM19" s="1"/>
      <c r="OGN19" s="1"/>
      <c r="OGO19" s="1"/>
      <c r="OGP19" s="1"/>
      <c r="OGQ19" s="1"/>
      <c r="OGR19" s="1"/>
      <c r="OGS19" s="1"/>
      <c r="OGT19" s="1"/>
      <c r="OGU19" s="1"/>
      <c r="OGV19" s="1"/>
      <c r="OGW19" s="1"/>
      <c r="OGX19" s="1"/>
      <c r="OGY19" s="1"/>
      <c r="OGZ19" s="1"/>
      <c r="OHA19" s="1"/>
      <c r="OHB19" s="1"/>
      <c r="OHC19" s="1"/>
      <c r="OHD19" s="1"/>
      <c r="OHE19" s="1"/>
      <c r="OHF19" s="1"/>
      <c r="OHG19" s="1"/>
      <c r="OHH19" s="1"/>
      <c r="OHI19" s="1"/>
      <c r="OHJ19" s="1"/>
      <c r="OHK19" s="1"/>
      <c r="OHL19" s="1"/>
      <c r="OHM19" s="1"/>
      <c r="OHN19" s="1"/>
      <c r="OHO19" s="1"/>
      <c r="OHP19" s="1"/>
      <c r="OHQ19" s="1"/>
      <c r="OHR19" s="1"/>
      <c r="OHS19" s="1"/>
      <c r="OHT19" s="1"/>
      <c r="OHU19" s="1"/>
      <c r="OHV19" s="1"/>
      <c r="OHW19" s="1"/>
      <c r="OHX19" s="1"/>
      <c r="OHY19" s="1"/>
      <c r="OHZ19" s="1"/>
      <c r="OIA19" s="1"/>
      <c r="OIB19" s="1"/>
      <c r="OIC19" s="1"/>
      <c r="OID19" s="1"/>
      <c r="OIE19" s="1"/>
      <c r="OIF19" s="1"/>
      <c r="OIG19" s="1"/>
      <c r="OIH19" s="1"/>
      <c r="OII19" s="1"/>
      <c r="OIJ19" s="1"/>
      <c r="OIK19" s="1"/>
      <c r="OIL19" s="1"/>
      <c r="OIM19" s="1"/>
      <c r="OIN19" s="1"/>
      <c r="OIO19" s="1"/>
      <c r="OIP19" s="1"/>
      <c r="OIQ19" s="1"/>
      <c r="OIR19" s="1"/>
      <c r="OIS19" s="1"/>
      <c r="OIT19" s="1"/>
      <c r="OIU19" s="1"/>
      <c r="OIV19" s="1"/>
      <c r="OIW19" s="1"/>
      <c r="OIX19" s="1"/>
      <c r="OIY19" s="1"/>
      <c r="OIZ19" s="1"/>
      <c r="OJA19" s="1"/>
      <c r="OJB19" s="1"/>
      <c r="OJC19" s="1"/>
      <c r="OJD19" s="1"/>
      <c r="OJE19" s="1"/>
      <c r="OJF19" s="1"/>
      <c r="OJG19" s="1"/>
      <c r="OJH19" s="1"/>
      <c r="OJI19" s="1"/>
      <c r="OJJ19" s="1"/>
      <c r="OJK19" s="1"/>
      <c r="OJL19" s="1"/>
      <c r="OJM19" s="1"/>
      <c r="OJN19" s="1"/>
      <c r="OJO19" s="1"/>
      <c r="OJP19" s="1"/>
      <c r="OJQ19" s="1"/>
      <c r="OJR19" s="1"/>
      <c r="OJS19" s="1"/>
      <c r="OJT19" s="1"/>
      <c r="OJU19" s="1"/>
      <c r="OJV19" s="1"/>
      <c r="OJW19" s="1"/>
      <c r="OJX19" s="1"/>
      <c r="OJY19" s="1"/>
      <c r="OJZ19" s="1"/>
      <c r="OKA19" s="1"/>
      <c r="OKB19" s="1"/>
      <c r="OKC19" s="1"/>
      <c r="OKD19" s="1"/>
      <c r="OKE19" s="1"/>
      <c r="OKF19" s="1"/>
      <c r="OKG19" s="1"/>
      <c r="OKH19" s="1"/>
      <c r="OKI19" s="1"/>
      <c r="OKJ19" s="1"/>
      <c r="OKK19" s="1"/>
      <c r="OKL19" s="1"/>
      <c r="OKM19" s="1"/>
      <c r="OKN19" s="1"/>
      <c r="OKO19" s="1"/>
      <c r="OKP19" s="1"/>
      <c r="OKQ19" s="1"/>
      <c r="OKR19" s="1"/>
      <c r="OKS19" s="1"/>
      <c r="OKT19" s="1"/>
      <c r="OKU19" s="1"/>
      <c r="OKV19" s="1"/>
      <c r="OKW19" s="1"/>
      <c r="OKX19" s="1"/>
      <c r="OKY19" s="1"/>
      <c r="OKZ19" s="1"/>
      <c r="OLA19" s="1"/>
      <c r="OLB19" s="1"/>
      <c r="OLC19" s="1"/>
      <c r="OLD19" s="1"/>
      <c r="OLE19" s="1"/>
      <c r="OLF19" s="1"/>
      <c r="OLG19" s="1"/>
      <c r="OLH19" s="1"/>
      <c r="OLI19" s="1"/>
      <c r="OLJ19" s="1"/>
      <c r="OLK19" s="1"/>
      <c r="OLL19" s="1"/>
      <c r="OLM19" s="1"/>
      <c r="OLN19" s="1"/>
      <c r="OLO19" s="1"/>
      <c r="OLP19" s="1"/>
      <c r="OLQ19" s="1"/>
      <c r="OLR19" s="1"/>
      <c r="OLS19" s="1"/>
      <c r="OLT19" s="1"/>
      <c r="OLU19" s="1"/>
      <c r="OLV19" s="1"/>
      <c r="OLW19" s="1"/>
      <c r="OLX19" s="1"/>
      <c r="OLY19" s="1"/>
      <c r="OLZ19" s="1"/>
      <c r="OMA19" s="1"/>
      <c r="OMB19" s="1"/>
      <c r="OMC19" s="1"/>
      <c r="OMD19" s="1"/>
      <c r="OME19" s="1"/>
      <c r="OMF19" s="1"/>
      <c r="OMG19" s="1"/>
      <c r="OMH19" s="1"/>
      <c r="OMI19" s="1"/>
      <c r="OMJ19" s="1"/>
      <c r="OMK19" s="1"/>
      <c r="OML19" s="1"/>
      <c r="OMM19" s="1"/>
      <c r="OMN19" s="1"/>
      <c r="OMO19" s="1"/>
      <c r="OMP19" s="1"/>
      <c r="OMQ19" s="1"/>
      <c r="OMR19" s="1"/>
      <c r="OMS19" s="1"/>
      <c r="OMT19" s="1"/>
      <c r="OMU19" s="1"/>
      <c r="OMV19" s="1"/>
      <c r="OMW19" s="1"/>
      <c r="OMX19" s="1"/>
      <c r="OMY19" s="1"/>
      <c r="OMZ19" s="1"/>
      <c r="ONA19" s="1"/>
      <c r="ONB19" s="1"/>
      <c r="ONC19" s="1"/>
      <c r="OND19" s="1"/>
      <c r="ONE19" s="1"/>
      <c r="ONF19" s="1"/>
      <c r="ONG19" s="1"/>
      <c r="ONH19" s="1"/>
      <c r="ONI19" s="1"/>
      <c r="ONJ19" s="1"/>
      <c r="ONK19" s="1"/>
      <c r="ONL19" s="1"/>
      <c r="ONM19" s="1"/>
      <c r="ONN19" s="1"/>
      <c r="ONO19" s="1"/>
      <c r="ONP19" s="1"/>
      <c r="ONQ19" s="1"/>
      <c r="ONR19" s="1"/>
      <c r="ONS19" s="1"/>
      <c r="ONT19" s="1"/>
      <c r="ONU19" s="1"/>
      <c r="ONV19" s="1"/>
      <c r="ONW19" s="1"/>
      <c r="ONX19" s="1"/>
      <c r="ONY19" s="1"/>
      <c r="ONZ19" s="1"/>
      <c r="OOA19" s="1"/>
      <c r="OOB19" s="1"/>
      <c r="OOC19" s="1"/>
      <c r="OOD19" s="1"/>
      <c r="OOE19" s="1"/>
      <c r="OOF19" s="1"/>
      <c r="OOG19" s="1"/>
      <c r="OOH19" s="1"/>
      <c r="OOI19" s="1"/>
      <c r="OOJ19" s="1"/>
      <c r="OOK19" s="1"/>
      <c r="OOL19" s="1"/>
      <c r="OOM19" s="1"/>
      <c r="OON19" s="1"/>
      <c r="OOO19" s="1"/>
      <c r="OOP19" s="1"/>
      <c r="OOQ19" s="1"/>
      <c r="OOR19" s="1"/>
      <c r="OOS19" s="1"/>
      <c r="OOT19" s="1"/>
      <c r="OOU19" s="1"/>
      <c r="OOV19" s="1"/>
      <c r="OOW19" s="1"/>
      <c r="OOX19" s="1"/>
      <c r="OOY19" s="1"/>
      <c r="OOZ19" s="1"/>
      <c r="OPA19" s="1"/>
      <c r="OPB19" s="1"/>
      <c r="OPC19" s="1"/>
      <c r="OPD19" s="1"/>
      <c r="OPE19" s="1"/>
      <c r="OPF19" s="1"/>
      <c r="OPG19" s="1"/>
      <c r="OPH19" s="1"/>
      <c r="OPI19" s="1"/>
      <c r="OPJ19" s="1"/>
      <c r="OPK19" s="1"/>
      <c r="OPL19" s="1"/>
      <c r="OPM19" s="1"/>
      <c r="OPN19" s="1"/>
      <c r="OPO19" s="1"/>
      <c r="OPP19" s="1"/>
      <c r="OPQ19" s="1"/>
      <c r="OPR19" s="1"/>
      <c r="OPS19" s="1"/>
      <c r="OPT19" s="1"/>
      <c r="OPU19" s="1"/>
      <c r="OPV19" s="1"/>
      <c r="OPW19" s="1"/>
      <c r="OPX19" s="1"/>
      <c r="OPY19" s="1"/>
      <c r="OPZ19" s="1"/>
      <c r="OQA19" s="1"/>
      <c r="OQB19" s="1"/>
      <c r="OQC19" s="1"/>
      <c r="OQD19" s="1"/>
      <c r="OQE19" s="1"/>
      <c r="OQF19" s="1"/>
      <c r="OQG19" s="1"/>
      <c r="OQH19" s="1"/>
      <c r="OQI19" s="1"/>
      <c r="OQJ19" s="1"/>
      <c r="OQK19" s="1"/>
      <c r="OQL19" s="1"/>
      <c r="OQM19" s="1"/>
      <c r="OQN19" s="1"/>
      <c r="OQO19" s="1"/>
      <c r="OQP19" s="1"/>
      <c r="OQQ19" s="1"/>
      <c r="OQR19" s="1"/>
      <c r="OQS19" s="1"/>
      <c r="OQT19" s="1"/>
      <c r="OQU19" s="1"/>
      <c r="OQV19" s="1"/>
      <c r="OQW19" s="1"/>
      <c r="OQX19" s="1"/>
      <c r="OQY19" s="1"/>
      <c r="OQZ19" s="1"/>
      <c r="ORA19" s="1"/>
      <c r="ORB19" s="1"/>
      <c r="ORC19" s="1"/>
      <c r="ORD19" s="1"/>
      <c r="ORE19" s="1"/>
      <c r="ORF19" s="1"/>
      <c r="ORG19" s="1"/>
      <c r="ORH19" s="1"/>
      <c r="ORI19" s="1"/>
      <c r="ORJ19" s="1"/>
      <c r="ORK19" s="1"/>
      <c r="ORL19" s="1"/>
      <c r="ORM19" s="1"/>
      <c r="ORN19" s="1"/>
      <c r="ORO19" s="1"/>
      <c r="ORP19" s="1"/>
      <c r="ORQ19" s="1"/>
      <c r="ORR19" s="1"/>
      <c r="ORS19" s="1"/>
      <c r="ORT19" s="1"/>
      <c r="ORU19" s="1"/>
      <c r="ORV19" s="1"/>
      <c r="ORW19" s="1"/>
      <c r="ORX19" s="1"/>
      <c r="ORY19" s="1"/>
      <c r="ORZ19" s="1"/>
      <c r="OSA19" s="1"/>
      <c r="OSB19" s="1"/>
      <c r="OSC19" s="1"/>
      <c r="OSD19" s="1"/>
      <c r="OSE19" s="1"/>
      <c r="OSF19" s="1"/>
      <c r="OSG19" s="1"/>
      <c r="OSH19" s="1"/>
      <c r="OSI19" s="1"/>
      <c r="OSJ19" s="1"/>
      <c r="OSK19" s="1"/>
      <c r="OSL19" s="1"/>
      <c r="OSM19" s="1"/>
      <c r="OSN19" s="1"/>
      <c r="OSO19" s="1"/>
      <c r="OSP19" s="1"/>
      <c r="OSQ19" s="1"/>
      <c r="OSR19" s="1"/>
      <c r="OSS19" s="1"/>
      <c r="OST19" s="1"/>
      <c r="OSU19" s="1"/>
      <c r="OSV19" s="1"/>
      <c r="OSW19" s="1"/>
      <c r="OSX19" s="1"/>
      <c r="OSY19" s="1"/>
      <c r="OSZ19" s="1"/>
      <c r="OTA19" s="1"/>
      <c r="OTB19" s="1"/>
      <c r="OTC19" s="1"/>
      <c r="OTD19" s="1"/>
      <c r="OTE19" s="1"/>
      <c r="OTF19" s="1"/>
      <c r="OTG19" s="1"/>
      <c r="OTH19" s="1"/>
      <c r="OTI19" s="1"/>
      <c r="OTJ19" s="1"/>
      <c r="OTK19" s="1"/>
      <c r="OTL19" s="1"/>
      <c r="OTM19" s="1"/>
      <c r="OTN19" s="1"/>
      <c r="OTO19" s="1"/>
      <c r="OTP19" s="1"/>
      <c r="OTQ19" s="1"/>
      <c r="OTR19" s="1"/>
      <c r="OTS19" s="1"/>
      <c r="OTT19" s="1"/>
      <c r="OTU19" s="1"/>
      <c r="OTV19" s="1"/>
      <c r="OTW19" s="1"/>
      <c r="OTX19" s="1"/>
      <c r="OTY19" s="1"/>
      <c r="OTZ19" s="1"/>
      <c r="OUA19" s="1"/>
      <c r="OUB19" s="1"/>
      <c r="OUC19" s="1"/>
      <c r="OUD19" s="1"/>
      <c r="OUE19" s="1"/>
      <c r="OUF19" s="1"/>
      <c r="OUG19" s="1"/>
      <c r="OUH19" s="1"/>
      <c r="OUI19" s="1"/>
      <c r="OUJ19" s="1"/>
      <c r="OUK19" s="1"/>
      <c r="OUL19" s="1"/>
      <c r="OUM19" s="1"/>
      <c r="OUN19" s="1"/>
      <c r="OUO19" s="1"/>
      <c r="OUP19" s="1"/>
      <c r="OUQ19" s="1"/>
      <c r="OUR19" s="1"/>
      <c r="OUS19" s="1"/>
      <c r="OUT19" s="1"/>
      <c r="OUU19" s="1"/>
      <c r="OUV19" s="1"/>
      <c r="OUW19" s="1"/>
      <c r="OUX19" s="1"/>
      <c r="OUY19" s="1"/>
      <c r="OUZ19" s="1"/>
      <c r="OVA19" s="1"/>
      <c r="OVB19" s="1"/>
      <c r="OVC19" s="1"/>
      <c r="OVD19" s="1"/>
      <c r="OVE19" s="1"/>
      <c r="OVF19" s="1"/>
      <c r="OVG19" s="1"/>
      <c r="OVH19" s="1"/>
      <c r="OVI19" s="1"/>
      <c r="OVJ19" s="1"/>
      <c r="OVK19" s="1"/>
      <c r="OVL19" s="1"/>
      <c r="OVM19" s="1"/>
      <c r="OVN19" s="1"/>
      <c r="OVO19" s="1"/>
      <c r="OVP19" s="1"/>
      <c r="OVQ19" s="1"/>
      <c r="OVR19" s="1"/>
      <c r="OVS19" s="1"/>
      <c r="OVT19" s="1"/>
      <c r="OVU19" s="1"/>
      <c r="OVV19" s="1"/>
      <c r="OVW19" s="1"/>
      <c r="OVX19" s="1"/>
      <c r="OVY19" s="1"/>
      <c r="OVZ19" s="1"/>
      <c r="OWA19" s="1"/>
      <c r="OWB19" s="1"/>
      <c r="OWC19" s="1"/>
      <c r="OWD19" s="1"/>
      <c r="OWE19" s="1"/>
      <c r="OWF19" s="1"/>
      <c r="OWG19" s="1"/>
      <c r="OWH19" s="1"/>
      <c r="OWI19" s="1"/>
      <c r="OWJ19" s="1"/>
      <c r="OWK19" s="1"/>
      <c r="OWL19" s="1"/>
      <c r="OWM19" s="1"/>
      <c r="OWN19" s="1"/>
      <c r="OWO19" s="1"/>
      <c r="OWP19" s="1"/>
      <c r="OWQ19" s="1"/>
      <c r="OWR19" s="1"/>
      <c r="OWS19" s="1"/>
      <c r="OWT19" s="1"/>
      <c r="OWU19" s="1"/>
      <c r="OWV19" s="1"/>
      <c r="OWW19" s="1"/>
      <c r="OWX19" s="1"/>
      <c r="OWY19" s="1"/>
      <c r="OWZ19" s="1"/>
      <c r="OXA19" s="1"/>
      <c r="OXB19" s="1"/>
      <c r="OXC19" s="1"/>
      <c r="OXD19" s="1"/>
      <c r="OXE19" s="1"/>
      <c r="OXF19" s="1"/>
      <c r="OXG19" s="1"/>
      <c r="OXH19" s="1"/>
      <c r="OXI19" s="1"/>
      <c r="OXJ19" s="1"/>
      <c r="OXK19" s="1"/>
      <c r="OXL19" s="1"/>
      <c r="OXM19" s="1"/>
      <c r="OXN19" s="1"/>
      <c r="OXO19" s="1"/>
      <c r="OXP19" s="1"/>
      <c r="OXQ19" s="1"/>
      <c r="OXR19" s="1"/>
      <c r="OXS19" s="1"/>
      <c r="OXT19" s="1"/>
      <c r="OXU19" s="1"/>
      <c r="OXV19" s="1"/>
      <c r="OXW19" s="1"/>
      <c r="OXX19" s="1"/>
      <c r="OXY19" s="1"/>
      <c r="OXZ19" s="1"/>
      <c r="OYA19" s="1"/>
      <c r="OYB19" s="1"/>
      <c r="OYC19" s="1"/>
      <c r="OYD19" s="1"/>
      <c r="OYE19" s="1"/>
      <c r="OYF19" s="1"/>
      <c r="OYG19" s="1"/>
      <c r="OYH19" s="1"/>
      <c r="OYI19" s="1"/>
      <c r="OYJ19" s="1"/>
      <c r="OYK19" s="1"/>
      <c r="OYL19" s="1"/>
      <c r="OYM19" s="1"/>
      <c r="OYN19" s="1"/>
      <c r="OYO19" s="1"/>
      <c r="OYP19" s="1"/>
      <c r="OYQ19" s="1"/>
      <c r="OYR19" s="1"/>
      <c r="OYS19" s="1"/>
      <c r="OYT19" s="1"/>
      <c r="OYU19" s="1"/>
      <c r="OYV19" s="1"/>
      <c r="OYW19" s="1"/>
      <c r="OYX19" s="1"/>
      <c r="OYY19" s="1"/>
      <c r="OYZ19" s="1"/>
      <c r="OZA19" s="1"/>
      <c r="OZB19" s="1"/>
      <c r="OZC19" s="1"/>
      <c r="OZD19" s="1"/>
      <c r="OZE19" s="1"/>
      <c r="OZF19" s="1"/>
      <c r="OZG19" s="1"/>
      <c r="OZH19" s="1"/>
      <c r="OZI19" s="1"/>
      <c r="OZJ19" s="1"/>
      <c r="OZK19" s="1"/>
      <c r="OZL19" s="1"/>
      <c r="OZM19" s="1"/>
      <c r="OZN19" s="1"/>
      <c r="OZO19" s="1"/>
      <c r="OZP19" s="1"/>
      <c r="OZQ19" s="1"/>
      <c r="OZR19" s="1"/>
      <c r="OZS19" s="1"/>
      <c r="OZT19" s="1"/>
      <c r="OZU19" s="1"/>
      <c r="OZV19" s="1"/>
      <c r="OZW19" s="1"/>
      <c r="OZX19" s="1"/>
      <c r="OZY19" s="1"/>
      <c r="OZZ19" s="1"/>
      <c r="PAA19" s="1"/>
      <c r="PAB19" s="1"/>
      <c r="PAC19" s="1"/>
      <c r="PAD19" s="1"/>
      <c r="PAE19" s="1"/>
      <c r="PAF19" s="1"/>
      <c r="PAG19" s="1"/>
      <c r="PAH19" s="1"/>
      <c r="PAI19" s="1"/>
      <c r="PAJ19" s="1"/>
      <c r="PAK19" s="1"/>
      <c r="PAL19" s="1"/>
      <c r="PAM19" s="1"/>
      <c r="PAN19" s="1"/>
      <c r="PAO19" s="1"/>
      <c r="PAP19" s="1"/>
      <c r="PAQ19" s="1"/>
      <c r="PAR19" s="1"/>
      <c r="PAS19" s="1"/>
      <c r="PAT19" s="1"/>
      <c r="PAU19" s="1"/>
      <c r="PAV19" s="1"/>
      <c r="PAW19" s="1"/>
      <c r="PAX19" s="1"/>
      <c r="PAY19" s="1"/>
      <c r="PAZ19" s="1"/>
      <c r="PBA19" s="1"/>
      <c r="PBB19" s="1"/>
      <c r="PBC19" s="1"/>
      <c r="PBD19" s="1"/>
      <c r="PBE19" s="1"/>
      <c r="PBF19" s="1"/>
      <c r="PBG19" s="1"/>
      <c r="PBH19" s="1"/>
      <c r="PBI19" s="1"/>
      <c r="PBJ19" s="1"/>
      <c r="PBK19" s="1"/>
      <c r="PBL19" s="1"/>
      <c r="PBM19" s="1"/>
      <c r="PBN19" s="1"/>
      <c r="PBO19" s="1"/>
      <c r="PBP19" s="1"/>
      <c r="PBQ19" s="1"/>
      <c r="PBR19" s="1"/>
      <c r="PBS19" s="1"/>
      <c r="PBT19" s="1"/>
      <c r="PBU19" s="1"/>
      <c r="PBV19" s="1"/>
      <c r="PBW19" s="1"/>
      <c r="PBX19" s="1"/>
      <c r="PBY19" s="1"/>
      <c r="PBZ19" s="1"/>
      <c r="PCA19" s="1"/>
      <c r="PCB19" s="1"/>
      <c r="PCC19" s="1"/>
      <c r="PCD19" s="1"/>
      <c r="PCE19" s="1"/>
      <c r="PCF19" s="1"/>
      <c r="PCG19" s="1"/>
      <c r="PCH19" s="1"/>
      <c r="PCI19" s="1"/>
      <c r="PCJ19" s="1"/>
      <c r="PCK19" s="1"/>
      <c r="PCL19" s="1"/>
      <c r="PCM19" s="1"/>
      <c r="PCN19" s="1"/>
      <c r="PCO19" s="1"/>
      <c r="PCP19" s="1"/>
      <c r="PCQ19" s="1"/>
      <c r="PCR19" s="1"/>
      <c r="PCS19" s="1"/>
      <c r="PCT19" s="1"/>
      <c r="PCU19" s="1"/>
      <c r="PCV19" s="1"/>
      <c r="PCW19" s="1"/>
      <c r="PCX19" s="1"/>
      <c r="PCY19" s="1"/>
      <c r="PCZ19" s="1"/>
      <c r="PDA19" s="1"/>
      <c r="PDB19" s="1"/>
      <c r="PDC19" s="1"/>
      <c r="PDD19" s="1"/>
      <c r="PDE19" s="1"/>
      <c r="PDF19" s="1"/>
      <c r="PDG19" s="1"/>
      <c r="PDH19" s="1"/>
      <c r="PDI19" s="1"/>
      <c r="PDJ19" s="1"/>
      <c r="PDK19" s="1"/>
      <c r="PDL19" s="1"/>
      <c r="PDM19" s="1"/>
      <c r="PDN19" s="1"/>
      <c r="PDO19" s="1"/>
      <c r="PDP19" s="1"/>
      <c r="PDQ19" s="1"/>
      <c r="PDR19" s="1"/>
      <c r="PDS19" s="1"/>
      <c r="PDT19" s="1"/>
      <c r="PDU19" s="1"/>
      <c r="PDV19" s="1"/>
      <c r="PDW19" s="1"/>
      <c r="PDX19" s="1"/>
      <c r="PDY19" s="1"/>
      <c r="PDZ19" s="1"/>
      <c r="PEA19" s="1"/>
      <c r="PEB19" s="1"/>
      <c r="PEC19" s="1"/>
      <c r="PED19" s="1"/>
      <c r="PEE19" s="1"/>
      <c r="PEF19" s="1"/>
      <c r="PEG19" s="1"/>
      <c r="PEH19" s="1"/>
      <c r="PEI19" s="1"/>
      <c r="PEJ19" s="1"/>
      <c r="PEK19" s="1"/>
      <c r="PEL19" s="1"/>
      <c r="PEM19" s="1"/>
      <c r="PEN19" s="1"/>
      <c r="PEO19" s="1"/>
      <c r="PEP19" s="1"/>
      <c r="PEQ19" s="1"/>
      <c r="PER19" s="1"/>
      <c r="PES19" s="1"/>
      <c r="PET19" s="1"/>
      <c r="PEU19" s="1"/>
      <c r="PEV19" s="1"/>
      <c r="PEW19" s="1"/>
      <c r="PEX19" s="1"/>
      <c r="PEY19" s="1"/>
      <c r="PEZ19" s="1"/>
      <c r="PFA19" s="1"/>
      <c r="PFB19" s="1"/>
      <c r="PFC19" s="1"/>
      <c r="PFD19" s="1"/>
      <c r="PFE19" s="1"/>
      <c r="PFF19" s="1"/>
      <c r="PFG19" s="1"/>
      <c r="PFH19" s="1"/>
      <c r="PFI19" s="1"/>
      <c r="PFJ19" s="1"/>
      <c r="PFK19" s="1"/>
      <c r="PFL19" s="1"/>
      <c r="PFM19" s="1"/>
      <c r="PFN19" s="1"/>
      <c r="PFO19" s="1"/>
      <c r="PFP19" s="1"/>
      <c r="PFQ19" s="1"/>
      <c r="PFR19" s="1"/>
      <c r="PFS19" s="1"/>
      <c r="PFT19" s="1"/>
      <c r="PFU19" s="1"/>
      <c r="PFV19" s="1"/>
      <c r="PFW19" s="1"/>
      <c r="PFX19" s="1"/>
      <c r="PFY19" s="1"/>
      <c r="PFZ19" s="1"/>
      <c r="PGA19" s="1"/>
      <c r="PGB19" s="1"/>
      <c r="PGC19" s="1"/>
      <c r="PGD19" s="1"/>
      <c r="PGE19" s="1"/>
      <c r="PGF19" s="1"/>
      <c r="PGG19" s="1"/>
      <c r="PGH19" s="1"/>
      <c r="PGI19" s="1"/>
      <c r="PGJ19" s="1"/>
      <c r="PGK19" s="1"/>
      <c r="PGL19" s="1"/>
      <c r="PGM19" s="1"/>
      <c r="PGN19" s="1"/>
      <c r="PGO19" s="1"/>
      <c r="PGP19" s="1"/>
      <c r="PGQ19" s="1"/>
      <c r="PGR19" s="1"/>
      <c r="PGS19" s="1"/>
      <c r="PGT19" s="1"/>
      <c r="PGU19" s="1"/>
      <c r="PGV19" s="1"/>
      <c r="PGW19" s="1"/>
      <c r="PGX19" s="1"/>
      <c r="PGY19" s="1"/>
      <c r="PGZ19" s="1"/>
      <c r="PHA19" s="1"/>
      <c r="PHB19" s="1"/>
      <c r="PHC19" s="1"/>
      <c r="PHD19" s="1"/>
      <c r="PHE19" s="1"/>
      <c r="PHF19" s="1"/>
      <c r="PHG19" s="1"/>
      <c r="PHH19" s="1"/>
      <c r="PHI19" s="1"/>
      <c r="PHJ19" s="1"/>
      <c r="PHK19" s="1"/>
      <c r="PHL19" s="1"/>
      <c r="PHM19" s="1"/>
      <c r="PHN19" s="1"/>
      <c r="PHO19" s="1"/>
      <c r="PHP19" s="1"/>
      <c r="PHQ19" s="1"/>
      <c r="PHR19" s="1"/>
      <c r="PHS19" s="1"/>
      <c r="PHT19" s="1"/>
      <c r="PHU19" s="1"/>
      <c r="PHV19" s="1"/>
      <c r="PHW19" s="1"/>
      <c r="PHX19" s="1"/>
      <c r="PHY19" s="1"/>
      <c r="PHZ19" s="1"/>
      <c r="PIA19" s="1"/>
      <c r="PIB19" s="1"/>
      <c r="PIC19" s="1"/>
      <c r="PID19" s="1"/>
      <c r="PIE19" s="1"/>
      <c r="PIF19" s="1"/>
      <c r="PIG19" s="1"/>
      <c r="PIH19" s="1"/>
      <c r="PII19" s="1"/>
      <c r="PIJ19" s="1"/>
      <c r="PIK19" s="1"/>
      <c r="PIL19" s="1"/>
      <c r="PIM19" s="1"/>
      <c r="PIN19" s="1"/>
      <c r="PIO19" s="1"/>
      <c r="PIP19" s="1"/>
      <c r="PIQ19" s="1"/>
      <c r="PIR19" s="1"/>
      <c r="PIS19" s="1"/>
      <c r="PIT19" s="1"/>
      <c r="PIU19" s="1"/>
      <c r="PIV19" s="1"/>
      <c r="PIW19" s="1"/>
      <c r="PIX19" s="1"/>
      <c r="PIY19" s="1"/>
      <c r="PIZ19" s="1"/>
      <c r="PJA19" s="1"/>
      <c r="PJB19" s="1"/>
      <c r="PJC19" s="1"/>
      <c r="PJD19" s="1"/>
      <c r="PJE19" s="1"/>
      <c r="PJF19" s="1"/>
      <c r="PJG19" s="1"/>
      <c r="PJH19" s="1"/>
      <c r="PJI19" s="1"/>
      <c r="PJJ19" s="1"/>
      <c r="PJK19" s="1"/>
      <c r="PJL19" s="1"/>
      <c r="PJM19" s="1"/>
      <c r="PJN19" s="1"/>
      <c r="PJO19" s="1"/>
      <c r="PJP19" s="1"/>
      <c r="PJQ19" s="1"/>
      <c r="PJR19" s="1"/>
      <c r="PJS19" s="1"/>
      <c r="PJT19" s="1"/>
      <c r="PJU19" s="1"/>
      <c r="PJV19" s="1"/>
      <c r="PJW19" s="1"/>
      <c r="PJX19" s="1"/>
      <c r="PJY19" s="1"/>
      <c r="PJZ19" s="1"/>
      <c r="PKA19" s="1"/>
      <c r="PKB19" s="1"/>
      <c r="PKC19" s="1"/>
      <c r="PKD19" s="1"/>
      <c r="PKE19" s="1"/>
      <c r="PKF19" s="1"/>
      <c r="PKG19" s="1"/>
      <c r="PKH19" s="1"/>
      <c r="PKI19" s="1"/>
      <c r="PKJ19" s="1"/>
      <c r="PKK19" s="1"/>
      <c r="PKL19" s="1"/>
      <c r="PKM19" s="1"/>
      <c r="PKN19" s="1"/>
      <c r="PKO19" s="1"/>
      <c r="PKP19" s="1"/>
      <c r="PKQ19" s="1"/>
      <c r="PKR19" s="1"/>
      <c r="PKS19" s="1"/>
      <c r="PKT19" s="1"/>
      <c r="PKU19" s="1"/>
      <c r="PKV19" s="1"/>
      <c r="PKW19" s="1"/>
      <c r="PKX19" s="1"/>
      <c r="PKY19" s="1"/>
      <c r="PKZ19" s="1"/>
      <c r="PLA19" s="1"/>
      <c r="PLB19" s="1"/>
      <c r="PLC19" s="1"/>
      <c r="PLD19" s="1"/>
      <c r="PLE19" s="1"/>
      <c r="PLF19" s="1"/>
      <c r="PLG19" s="1"/>
      <c r="PLH19" s="1"/>
      <c r="PLI19" s="1"/>
      <c r="PLJ19" s="1"/>
      <c r="PLK19" s="1"/>
      <c r="PLL19" s="1"/>
      <c r="PLM19" s="1"/>
      <c r="PLN19" s="1"/>
      <c r="PLO19" s="1"/>
      <c r="PLP19" s="1"/>
      <c r="PLQ19" s="1"/>
      <c r="PLR19" s="1"/>
      <c r="PLS19" s="1"/>
      <c r="PLT19" s="1"/>
      <c r="PLU19" s="1"/>
      <c r="PLV19" s="1"/>
      <c r="PLW19" s="1"/>
      <c r="PLX19" s="1"/>
      <c r="PLY19" s="1"/>
      <c r="PLZ19" s="1"/>
      <c r="PMA19" s="1"/>
      <c r="PMB19" s="1"/>
      <c r="PMC19" s="1"/>
      <c r="PMD19" s="1"/>
      <c r="PME19" s="1"/>
      <c r="PMF19" s="1"/>
      <c r="PMG19" s="1"/>
      <c r="PMH19" s="1"/>
      <c r="PMI19" s="1"/>
      <c r="PMJ19" s="1"/>
      <c r="PMK19" s="1"/>
      <c r="PML19" s="1"/>
      <c r="PMM19" s="1"/>
      <c r="PMN19" s="1"/>
      <c r="PMO19" s="1"/>
      <c r="PMP19" s="1"/>
      <c r="PMQ19" s="1"/>
      <c r="PMR19" s="1"/>
      <c r="PMS19" s="1"/>
      <c r="PMT19" s="1"/>
      <c r="PMU19" s="1"/>
      <c r="PMV19" s="1"/>
      <c r="PMW19" s="1"/>
      <c r="PMX19" s="1"/>
      <c r="PMY19" s="1"/>
      <c r="PMZ19" s="1"/>
      <c r="PNA19" s="1"/>
      <c r="PNB19" s="1"/>
      <c r="PNC19" s="1"/>
      <c r="PND19" s="1"/>
      <c r="PNE19" s="1"/>
      <c r="PNF19" s="1"/>
      <c r="PNG19" s="1"/>
      <c r="PNH19" s="1"/>
      <c r="PNI19" s="1"/>
      <c r="PNJ19" s="1"/>
      <c r="PNK19" s="1"/>
      <c r="PNL19" s="1"/>
      <c r="PNM19" s="1"/>
      <c r="PNN19" s="1"/>
      <c r="PNO19" s="1"/>
      <c r="PNP19" s="1"/>
      <c r="PNQ19" s="1"/>
      <c r="PNR19" s="1"/>
      <c r="PNS19" s="1"/>
      <c r="PNT19" s="1"/>
      <c r="PNU19" s="1"/>
      <c r="PNV19" s="1"/>
      <c r="PNW19" s="1"/>
      <c r="PNX19" s="1"/>
      <c r="PNY19" s="1"/>
      <c r="PNZ19" s="1"/>
      <c r="POA19" s="1"/>
      <c r="POB19" s="1"/>
      <c r="POC19" s="1"/>
      <c r="POD19" s="1"/>
      <c r="POE19" s="1"/>
      <c r="POF19" s="1"/>
      <c r="POG19" s="1"/>
      <c r="POH19" s="1"/>
      <c r="POI19" s="1"/>
      <c r="POJ19" s="1"/>
      <c r="POK19" s="1"/>
      <c r="POL19" s="1"/>
      <c r="POM19" s="1"/>
      <c r="PON19" s="1"/>
      <c r="POO19" s="1"/>
      <c r="POP19" s="1"/>
      <c r="POQ19" s="1"/>
      <c r="POR19" s="1"/>
      <c r="POS19" s="1"/>
      <c r="POT19" s="1"/>
      <c r="POU19" s="1"/>
      <c r="POV19" s="1"/>
      <c r="POW19" s="1"/>
      <c r="POX19" s="1"/>
      <c r="POY19" s="1"/>
      <c r="POZ19" s="1"/>
      <c r="PPA19" s="1"/>
      <c r="PPB19" s="1"/>
      <c r="PPC19" s="1"/>
      <c r="PPD19" s="1"/>
      <c r="PPE19" s="1"/>
      <c r="PPF19" s="1"/>
      <c r="PPG19" s="1"/>
      <c r="PPH19" s="1"/>
      <c r="PPI19" s="1"/>
      <c r="PPJ19" s="1"/>
      <c r="PPK19" s="1"/>
      <c r="PPL19" s="1"/>
      <c r="PPM19" s="1"/>
      <c r="PPN19" s="1"/>
      <c r="PPO19" s="1"/>
      <c r="PPP19" s="1"/>
      <c r="PPQ19" s="1"/>
      <c r="PPR19" s="1"/>
      <c r="PPS19" s="1"/>
      <c r="PPT19" s="1"/>
      <c r="PPU19" s="1"/>
      <c r="PPV19" s="1"/>
      <c r="PPW19" s="1"/>
      <c r="PPX19" s="1"/>
      <c r="PPY19" s="1"/>
      <c r="PPZ19" s="1"/>
      <c r="PQA19" s="1"/>
      <c r="PQB19" s="1"/>
      <c r="PQC19" s="1"/>
      <c r="PQD19" s="1"/>
      <c r="PQE19" s="1"/>
      <c r="PQF19" s="1"/>
      <c r="PQG19" s="1"/>
      <c r="PQH19" s="1"/>
      <c r="PQI19" s="1"/>
      <c r="PQJ19" s="1"/>
      <c r="PQK19" s="1"/>
      <c r="PQL19" s="1"/>
      <c r="PQM19" s="1"/>
      <c r="PQN19" s="1"/>
      <c r="PQO19" s="1"/>
      <c r="PQP19" s="1"/>
      <c r="PQQ19" s="1"/>
      <c r="PQR19" s="1"/>
      <c r="PQS19" s="1"/>
      <c r="PQT19" s="1"/>
      <c r="PQU19" s="1"/>
      <c r="PQV19" s="1"/>
      <c r="PQW19" s="1"/>
      <c r="PQX19" s="1"/>
      <c r="PQY19" s="1"/>
      <c r="PQZ19" s="1"/>
      <c r="PRA19" s="1"/>
      <c r="PRB19" s="1"/>
      <c r="PRC19" s="1"/>
      <c r="PRD19" s="1"/>
      <c r="PRE19" s="1"/>
      <c r="PRF19" s="1"/>
      <c r="PRG19" s="1"/>
      <c r="PRH19" s="1"/>
      <c r="PRI19" s="1"/>
      <c r="PRJ19" s="1"/>
      <c r="PRK19" s="1"/>
      <c r="PRL19" s="1"/>
      <c r="PRM19" s="1"/>
      <c r="PRN19" s="1"/>
      <c r="PRO19" s="1"/>
      <c r="PRP19" s="1"/>
      <c r="PRQ19" s="1"/>
      <c r="PRR19" s="1"/>
      <c r="PRS19" s="1"/>
      <c r="PRT19" s="1"/>
      <c r="PRU19" s="1"/>
      <c r="PRV19" s="1"/>
      <c r="PRW19" s="1"/>
      <c r="PRX19" s="1"/>
      <c r="PRY19" s="1"/>
      <c r="PRZ19" s="1"/>
      <c r="PSA19" s="1"/>
      <c r="PSB19" s="1"/>
      <c r="PSC19" s="1"/>
      <c r="PSD19" s="1"/>
      <c r="PSE19" s="1"/>
      <c r="PSF19" s="1"/>
      <c r="PSG19" s="1"/>
      <c r="PSH19" s="1"/>
      <c r="PSI19" s="1"/>
      <c r="PSJ19" s="1"/>
      <c r="PSK19" s="1"/>
      <c r="PSL19" s="1"/>
      <c r="PSM19" s="1"/>
      <c r="PSN19" s="1"/>
      <c r="PSO19" s="1"/>
      <c r="PSP19" s="1"/>
      <c r="PSQ19" s="1"/>
      <c r="PSR19" s="1"/>
      <c r="PSS19" s="1"/>
      <c r="PST19" s="1"/>
      <c r="PSU19" s="1"/>
      <c r="PSV19" s="1"/>
      <c r="PSW19" s="1"/>
      <c r="PSX19" s="1"/>
      <c r="PSY19" s="1"/>
      <c r="PSZ19" s="1"/>
      <c r="PTA19" s="1"/>
      <c r="PTB19" s="1"/>
      <c r="PTC19" s="1"/>
      <c r="PTD19" s="1"/>
      <c r="PTE19" s="1"/>
      <c r="PTF19" s="1"/>
      <c r="PTG19" s="1"/>
      <c r="PTH19" s="1"/>
      <c r="PTI19" s="1"/>
      <c r="PTJ19" s="1"/>
      <c r="PTK19" s="1"/>
      <c r="PTL19" s="1"/>
      <c r="PTM19" s="1"/>
      <c r="PTN19" s="1"/>
      <c r="PTO19" s="1"/>
      <c r="PTP19" s="1"/>
      <c r="PTQ19" s="1"/>
      <c r="PTR19" s="1"/>
      <c r="PTS19" s="1"/>
      <c r="PTT19" s="1"/>
      <c r="PTU19" s="1"/>
      <c r="PTV19" s="1"/>
      <c r="PTW19" s="1"/>
      <c r="PTX19" s="1"/>
      <c r="PTY19" s="1"/>
      <c r="PTZ19" s="1"/>
      <c r="PUA19" s="1"/>
      <c r="PUB19" s="1"/>
      <c r="PUC19" s="1"/>
      <c r="PUD19" s="1"/>
      <c r="PUE19" s="1"/>
      <c r="PUF19" s="1"/>
      <c r="PUG19" s="1"/>
      <c r="PUH19" s="1"/>
      <c r="PUI19" s="1"/>
      <c r="PUJ19" s="1"/>
      <c r="PUK19" s="1"/>
      <c r="PUL19" s="1"/>
      <c r="PUM19" s="1"/>
      <c r="PUN19" s="1"/>
      <c r="PUO19" s="1"/>
      <c r="PUP19" s="1"/>
      <c r="PUQ19" s="1"/>
      <c r="PUR19" s="1"/>
      <c r="PUS19" s="1"/>
      <c r="PUT19" s="1"/>
      <c r="PUU19" s="1"/>
      <c r="PUV19" s="1"/>
      <c r="PUW19" s="1"/>
      <c r="PUX19" s="1"/>
      <c r="PUY19" s="1"/>
      <c r="PUZ19" s="1"/>
      <c r="PVA19" s="1"/>
      <c r="PVB19" s="1"/>
      <c r="PVC19" s="1"/>
      <c r="PVD19" s="1"/>
      <c r="PVE19" s="1"/>
      <c r="PVF19" s="1"/>
      <c r="PVG19" s="1"/>
      <c r="PVH19" s="1"/>
      <c r="PVI19" s="1"/>
      <c r="PVJ19" s="1"/>
      <c r="PVK19" s="1"/>
      <c r="PVL19" s="1"/>
      <c r="PVM19" s="1"/>
      <c r="PVN19" s="1"/>
      <c r="PVO19" s="1"/>
      <c r="PVP19" s="1"/>
      <c r="PVQ19" s="1"/>
      <c r="PVR19" s="1"/>
      <c r="PVS19" s="1"/>
      <c r="PVT19" s="1"/>
      <c r="PVU19" s="1"/>
      <c r="PVV19" s="1"/>
      <c r="PVW19" s="1"/>
      <c r="PVX19" s="1"/>
      <c r="PVY19" s="1"/>
      <c r="PVZ19" s="1"/>
      <c r="PWA19" s="1"/>
      <c r="PWB19" s="1"/>
      <c r="PWC19" s="1"/>
      <c r="PWD19" s="1"/>
      <c r="PWE19" s="1"/>
      <c r="PWF19" s="1"/>
      <c r="PWG19" s="1"/>
      <c r="PWH19" s="1"/>
      <c r="PWI19" s="1"/>
      <c r="PWJ19" s="1"/>
      <c r="PWK19" s="1"/>
      <c r="PWL19" s="1"/>
      <c r="PWM19" s="1"/>
      <c r="PWN19" s="1"/>
      <c r="PWO19" s="1"/>
      <c r="PWP19" s="1"/>
      <c r="PWQ19" s="1"/>
      <c r="PWR19" s="1"/>
      <c r="PWS19" s="1"/>
      <c r="PWT19" s="1"/>
      <c r="PWU19" s="1"/>
      <c r="PWV19" s="1"/>
      <c r="PWW19" s="1"/>
      <c r="PWX19" s="1"/>
      <c r="PWY19" s="1"/>
      <c r="PWZ19" s="1"/>
      <c r="PXA19" s="1"/>
      <c r="PXB19" s="1"/>
      <c r="PXC19" s="1"/>
      <c r="PXD19" s="1"/>
      <c r="PXE19" s="1"/>
      <c r="PXF19" s="1"/>
      <c r="PXG19" s="1"/>
      <c r="PXH19" s="1"/>
      <c r="PXI19" s="1"/>
      <c r="PXJ19" s="1"/>
      <c r="PXK19" s="1"/>
      <c r="PXL19" s="1"/>
      <c r="PXM19" s="1"/>
      <c r="PXN19" s="1"/>
      <c r="PXO19" s="1"/>
      <c r="PXP19" s="1"/>
      <c r="PXQ19" s="1"/>
      <c r="PXR19" s="1"/>
      <c r="PXS19" s="1"/>
      <c r="PXT19" s="1"/>
      <c r="PXU19" s="1"/>
      <c r="PXV19" s="1"/>
      <c r="PXW19" s="1"/>
      <c r="PXX19" s="1"/>
      <c r="PXY19" s="1"/>
      <c r="PXZ19" s="1"/>
      <c r="PYA19" s="1"/>
      <c r="PYB19" s="1"/>
      <c r="PYC19" s="1"/>
      <c r="PYD19" s="1"/>
      <c r="PYE19" s="1"/>
      <c r="PYF19" s="1"/>
      <c r="PYG19" s="1"/>
      <c r="PYH19" s="1"/>
      <c r="PYI19" s="1"/>
      <c r="PYJ19" s="1"/>
      <c r="PYK19" s="1"/>
      <c r="PYL19" s="1"/>
      <c r="PYM19" s="1"/>
      <c r="PYN19" s="1"/>
      <c r="PYO19" s="1"/>
      <c r="PYP19" s="1"/>
      <c r="PYQ19" s="1"/>
      <c r="PYR19" s="1"/>
      <c r="PYS19" s="1"/>
      <c r="PYT19" s="1"/>
      <c r="PYU19" s="1"/>
      <c r="PYV19" s="1"/>
      <c r="PYW19" s="1"/>
      <c r="PYX19" s="1"/>
      <c r="PYY19" s="1"/>
      <c r="PYZ19" s="1"/>
      <c r="PZA19" s="1"/>
      <c r="PZB19" s="1"/>
      <c r="PZC19" s="1"/>
      <c r="PZD19" s="1"/>
      <c r="PZE19" s="1"/>
      <c r="PZF19" s="1"/>
      <c r="PZG19" s="1"/>
      <c r="PZH19" s="1"/>
      <c r="PZI19" s="1"/>
      <c r="PZJ19" s="1"/>
      <c r="PZK19" s="1"/>
      <c r="PZL19" s="1"/>
      <c r="PZM19" s="1"/>
      <c r="PZN19" s="1"/>
      <c r="PZO19" s="1"/>
      <c r="PZP19" s="1"/>
      <c r="PZQ19" s="1"/>
      <c r="PZR19" s="1"/>
      <c r="PZS19" s="1"/>
      <c r="PZT19" s="1"/>
      <c r="PZU19" s="1"/>
      <c r="PZV19" s="1"/>
      <c r="PZW19" s="1"/>
      <c r="PZX19" s="1"/>
      <c r="PZY19" s="1"/>
      <c r="PZZ19" s="1"/>
      <c r="QAA19" s="1"/>
      <c r="QAB19" s="1"/>
      <c r="QAC19" s="1"/>
      <c r="QAD19" s="1"/>
      <c r="QAE19" s="1"/>
      <c r="QAF19" s="1"/>
      <c r="QAG19" s="1"/>
      <c r="QAH19" s="1"/>
      <c r="QAI19" s="1"/>
      <c r="QAJ19" s="1"/>
      <c r="QAK19" s="1"/>
      <c r="QAL19" s="1"/>
      <c r="QAM19" s="1"/>
      <c r="QAN19" s="1"/>
      <c r="QAO19" s="1"/>
      <c r="QAP19" s="1"/>
      <c r="QAQ19" s="1"/>
      <c r="QAR19" s="1"/>
      <c r="QAS19" s="1"/>
      <c r="QAT19" s="1"/>
      <c r="QAU19" s="1"/>
      <c r="QAV19" s="1"/>
      <c r="QAW19" s="1"/>
      <c r="QAX19" s="1"/>
      <c r="QAY19" s="1"/>
      <c r="QAZ19" s="1"/>
      <c r="QBA19" s="1"/>
      <c r="QBB19" s="1"/>
      <c r="QBC19" s="1"/>
      <c r="QBD19" s="1"/>
      <c r="QBE19" s="1"/>
      <c r="QBF19" s="1"/>
      <c r="QBG19" s="1"/>
      <c r="QBH19" s="1"/>
      <c r="QBI19" s="1"/>
      <c r="QBJ19" s="1"/>
      <c r="QBK19" s="1"/>
      <c r="QBL19" s="1"/>
      <c r="QBM19" s="1"/>
      <c r="QBN19" s="1"/>
      <c r="QBO19" s="1"/>
      <c r="QBP19" s="1"/>
      <c r="QBQ19" s="1"/>
      <c r="QBR19" s="1"/>
      <c r="QBS19" s="1"/>
      <c r="QBT19" s="1"/>
      <c r="QBU19" s="1"/>
      <c r="QBV19" s="1"/>
      <c r="QBW19" s="1"/>
      <c r="QBX19" s="1"/>
      <c r="QBY19" s="1"/>
      <c r="QBZ19" s="1"/>
      <c r="QCA19" s="1"/>
      <c r="QCB19" s="1"/>
      <c r="QCC19" s="1"/>
      <c r="QCD19" s="1"/>
      <c r="QCE19" s="1"/>
      <c r="QCF19" s="1"/>
      <c r="QCG19" s="1"/>
      <c r="QCH19" s="1"/>
      <c r="QCI19" s="1"/>
      <c r="QCJ19" s="1"/>
      <c r="QCK19" s="1"/>
      <c r="QCL19" s="1"/>
      <c r="QCM19" s="1"/>
      <c r="QCN19" s="1"/>
      <c r="QCO19" s="1"/>
      <c r="QCP19" s="1"/>
      <c r="QCQ19" s="1"/>
      <c r="QCR19" s="1"/>
      <c r="QCS19" s="1"/>
      <c r="QCT19" s="1"/>
      <c r="QCU19" s="1"/>
      <c r="QCV19" s="1"/>
      <c r="QCW19" s="1"/>
      <c r="QCX19" s="1"/>
      <c r="QCY19" s="1"/>
      <c r="QCZ19" s="1"/>
      <c r="QDA19" s="1"/>
      <c r="QDB19" s="1"/>
      <c r="QDC19" s="1"/>
      <c r="QDD19" s="1"/>
      <c r="QDE19" s="1"/>
      <c r="QDF19" s="1"/>
      <c r="QDG19" s="1"/>
      <c r="QDH19" s="1"/>
      <c r="QDI19" s="1"/>
      <c r="QDJ19" s="1"/>
      <c r="QDK19" s="1"/>
      <c r="QDL19" s="1"/>
      <c r="QDM19" s="1"/>
      <c r="QDN19" s="1"/>
      <c r="QDO19" s="1"/>
      <c r="QDP19" s="1"/>
      <c r="QDQ19" s="1"/>
      <c r="QDR19" s="1"/>
      <c r="QDS19" s="1"/>
      <c r="QDT19" s="1"/>
      <c r="QDU19" s="1"/>
      <c r="QDV19" s="1"/>
      <c r="QDW19" s="1"/>
      <c r="QDX19" s="1"/>
      <c r="QDY19" s="1"/>
      <c r="QDZ19" s="1"/>
      <c r="QEA19" s="1"/>
      <c r="QEB19" s="1"/>
      <c r="QEC19" s="1"/>
      <c r="QED19" s="1"/>
      <c r="QEE19" s="1"/>
      <c r="QEF19" s="1"/>
      <c r="QEG19" s="1"/>
      <c r="QEH19" s="1"/>
      <c r="QEI19" s="1"/>
      <c r="QEJ19" s="1"/>
      <c r="QEK19" s="1"/>
      <c r="QEL19" s="1"/>
      <c r="QEM19" s="1"/>
      <c r="QEN19" s="1"/>
      <c r="QEO19" s="1"/>
      <c r="QEP19" s="1"/>
      <c r="QEQ19" s="1"/>
      <c r="QER19" s="1"/>
      <c r="QES19" s="1"/>
      <c r="QET19" s="1"/>
      <c r="QEU19" s="1"/>
      <c r="QEV19" s="1"/>
      <c r="QEW19" s="1"/>
      <c r="QEX19" s="1"/>
      <c r="QEY19" s="1"/>
      <c r="QEZ19" s="1"/>
      <c r="QFA19" s="1"/>
      <c r="QFB19" s="1"/>
      <c r="QFC19" s="1"/>
      <c r="QFD19" s="1"/>
      <c r="QFE19" s="1"/>
      <c r="QFF19" s="1"/>
      <c r="QFG19" s="1"/>
      <c r="QFH19" s="1"/>
      <c r="QFI19" s="1"/>
      <c r="QFJ19" s="1"/>
      <c r="QFK19" s="1"/>
      <c r="QFL19" s="1"/>
      <c r="QFM19" s="1"/>
      <c r="QFN19" s="1"/>
      <c r="QFO19" s="1"/>
      <c r="QFP19" s="1"/>
      <c r="QFQ19" s="1"/>
      <c r="QFR19" s="1"/>
      <c r="QFS19" s="1"/>
      <c r="QFT19" s="1"/>
      <c r="QFU19" s="1"/>
      <c r="QFV19" s="1"/>
      <c r="QFW19" s="1"/>
      <c r="QFX19" s="1"/>
      <c r="QFY19" s="1"/>
      <c r="QFZ19" s="1"/>
      <c r="QGA19" s="1"/>
      <c r="QGB19" s="1"/>
      <c r="QGC19" s="1"/>
      <c r="QGD19" s="1"/>
      <c r="QGE19" s="1"/>
      <c r="QGF19" s="1"/>
      <c r="QGG19" s="1"/>
      <c r="QGH19" s="1"/>
      <c r="QGI19" s="1"/>
      <c r="QGJ19" s="1"/>
      <c r="QGK19" s="1"/>
      <c r="QGL19" s="1"/>
      <c r="QGM19" s="1"/>
      <c r="QGN19" s="1"/>
      <c r="QGO19" s="1"/>
      <c r="QGP19" s="1"/>
      <c r="QGQ19" s="1"/>
      <c r="QGR19" s="1"/>
      <c r="QGS19" s="1"/>
      <c r="QGT19" s="1"/>
      <c r="QGU19" s="1"/>
      <c r="QGV19" s="1"/>
      <c r="QGW19" s="1"/>
      <c r="QGX19" s="1"/>
      <c r="QGY19" s="1"/>
      <c r="QGZ19" s="1"/>
      <c r="QHA19" s="1"/>
      <c r="QHB19" s="1"/>
      <c r="QHC19" s="1"/>
      <c r="QHD19" s="1"/>
      <c r="QHE19" s="1"/>
      <c r="QHF19" s="1"/>
      <c r="QHG19" s="1"/>
      <c r="QHH19" s="1"/>
      <c r="QHI19" s="1"/>
      <c r="QHJ19" s="1"/>
      <c r="QHK19" s="1"/>
      <c r="QHL19" s="1"/>
      <c r="QHM19" s="1"/>
      <c r="QHN19" s="1"/>
      <c r="QHO19" s="1"/>
      <c r="QHP19" s="1"/>
      <c r="QHQ19" s="1"/>
      <c r="QHR19" s="1"/>
      <c r="QHS19" s="1"/>
      <c r="QHT19" s="1"/>
      <c r="QHU19" s="1"/>
      <c r="QHV19" s="1"/>
      <c r="QHW19" s="1"/>
      <c r="QHX19" s="1"/>
      <c r="QHY19" s="1"/>
      <c r="QHZ19" s="1"/>
      <c r="QIA19" s="1"/>
      <c r="QIB19" s="1"/>
      <c r="QIC19" s="1"/>
      <c r="QID19" s="1"/>
      <c r="QIE19" s="1"/>
      <c r="QIF19" s="1"/>
      <c r="QIG19" s="1"/>
      <c r="QIH19" s="1"/>
      <c r="QII19" s="1"/>
      <c r="QIJ19" s="1"/>
      <c r="QIK19" s="1"/>
      <c r="QIL19" s="1"/>
      <c r="QIM19" s="1"/>
      <c r="QIN19" s="1"/>
      <c r="QIO19" s="1"/>
      <c r="QIP19" s="1"/>
      <c r="QIQ19" s="1"/>
      <c r="QIR19" s="1"/>
      <c r="QIS19" s="1"/>
      <c r="QIT19" s="1"/>
      <c r="QIU19" s="1"/>
      <c r="QIV19" s="1"/>
      <c r="QIW19" s="1"/>
      <c r="QIX19" s="1"/>
      <c r="QIY19" s="1"/>
      <c r="QIZ19" s="1"/>
      <c r="QJA19" s="1"/>
      <c r="QJB19" s="1"/>
      <c r="QJC19" s="1"/>
      <c r="QJD19" s="1"/>
      <c r="QJE19" s="1"/>
      <c r="QJF19" s="1"/>
      <c r="QJG19" s="1"/>
      <c r="QJH19" s="1"/>
      <c r="QJI19" s="1"/>
      <c r="QJJ19" s="1"/>
      <c r="QJK19" s="1"/>
      <c r="QJL19" s="1"/>
      <c r="QJM19" s="1"/>
      <c r="QJN19" s="1"/>
      <c r="QJO19" s="1"/>
      <c r="QJP19" s="1"/>
      <c r="QJQ19" s="1"/>
      <c r="QJR19" s="1"/>
      <c r="QJS19" s="1"/>
      <c r="QJT19" s="1"/>
      <c r="QJU19" s="1"/>
      <c r="QJV19" s="1"/>
      <c r="QJW19" s="1"/>
      <c r="QJX19" s="1"/>
      <c r="QJY19" s="1"/>
      <c r="QJZ19" s="1"/>
      <c r="QKA19" s="1"/>
      <c r="QKB19" s="1"/>
      <c r="QKC19" s="1"/>
      <c r="QKD19" s="1"/>
      <c r="QKE19" s="1"/>
      <c r="QKF19" s="1"/>
      <c r="QKG19" s="1"/>
      <c r="QKH19" s="1"/>
      <c r="QKI19" s="1"/>
      <c r="QKJ19" s="1"/>
      <c r="QKK19" s="1"/>
      <c r="QKL19" s="1"/>
      <c r="QKM19" s="1"/>
      <c r="QKN19" s="1"/>
      <c r="QKO19" s="1"/>
      <c r="QKP19" s="1"/>
      <c r="QKQ19" s="1"/>
      <c r="QKR19" s="1"/>
      <c r="QKS19" s="1"/>
      <c r="QKT19" s="1"/>
      <c r="QKU19" s="1"/>
      <c r="QKV19" s="1"/>
      <c r="QKW19" s="1"/>
      <c r="QKX19" s="1"/>
      <c r="QKY19" s="1"/>
      <c r="QKZ19" s="1"/>
      <c r="QLA19" s="1"/>
      <c r="QLB19" s="1"/>
      <c r="QLC19" s="1"/>
      <c r="QLD19" s="1"/>
      <c r="QLE19" s="1"/>
      <c r="QLF19" s="1"/>
      <c r="QLG19" s="1"/>
      <c r="QLH19" s="1"/>
      <c r="QLI19" s="1"/>
      <c r="QLJ19" s="1"/>
      <c r="QLK19" s="1"/>
      <c r="QLL19" s="1"/>
      <c r="QLM19" s="1"/>
      <c r="QLN19" s="1"/>
      <c r="QLO19" s="1"/>
      <c r="QLP19" s="1"/>
      <c r="QLQ19" s="1"/>
      <c r="QLR19" s="1"/>
      <c r="QLS19" s="1"/>
      <c r="QLT19" s="1"/>
      <c r="QLU19" s="1"/>
      <c r="QLV19" s="1"/>
      <c r="QLW19" s="1"/>
      <c r="QLX19" s="1"/>
      <c r="QLY19" s="1"/>
      <c r="QLZ19" s="1"/>
      <c r="QMA19" s="1"/>
      <c r="QMB19" s="1"/>
      <c r="QMC19" s="1"/>
      <c r="QMD19" s="1"/>
      <c r="QME19" s="1"/>
      <c r="QMF19" s="1"/>
      <c r="QMG19" s="1"/>
      <c r="QMH19" s="1"/>
      <c r="QMI19" s="1"/>
      <c r="QMJ19" s="1"/>
      <c r="QMK19" s="1"/>
      <c r="QML19" s="1"/>
      <c r="QMM19" s="1"/>
      <c r="QMN19" s="1"/>
      <c r="QMO19" s="1"/>
      <c r="QMP19" s="1"/>
      <c r="QMQ19" s="1"/>
      <c r="QMR19" s="1"/>
      <c r="QMS19" s="1"/>
      <c r="QMT19" s="1"/>
      <c r="QMU19" s="1"/>
      <c r="QMV19" s="1"/>
      <c r="QMW19" s="1"/>
      <c r="QMX19" s="1"/>
      <c r="QMY19" s="1"/>
      <c r="QMZ19" s="1"/>
      <c r="QNA19" s="1"/>
      <c r="QNB19" s="1"/>
      <c r="QNC19" s="1"/>
      <c r="QND19" s="1"/>
      <c r="QNE19" s="1"/>
      <c r="QNF19" s="1"/>
      <c r="QNG19" s="1"/>
      <c r="QNH19" s="1"/>
      <c r="QNI19" s="1"/>
      <c r="QNJ19" s="1"/>
      <c r="QNK19" s="1"/>
      <c r="QNL19" s="1"/>
      <c r="QNM19" s="1"/>
      <c r="QNN19" s="1"/>
      <c r="QNO19" s="1"/>
      <c r="QNP19" s="1"/>
      <c r="QNQ19" s="1"/>
      <c r="QNR19" s="1"/>
      <c r="QNS19" s="1"/>
      <c r="QNT19" s="1"/>
      <c r="QNU19" s="1"/>
      <c r="QNV19" s="1"/>
      <c r="QNW19" s="1"/>
      <c r="QNX19" s="1"/>
      <c r="QNY19" s="1"/>
      <c r="QNZ19" s="1"/>
      <c r="QOA19" s="1"/>
      <c r="QOB19" s="1"/>
      <c r="QOC19" s="1"/>
      <c r="QOD19" s="1"/>
      <c r="QOE19" s="1"/>
      <c r="QOF19" s="1"/>
      <c r="QOG19" s="1"/>
      <c r="QOH19" s="1"/>
      <c r="QOI19" s="1"/>
      <c r="QOJ19" s="1"/>
      <c r="QOK19" s="1"/>
      <c r="QOL19" s="1"/>
      <c r="QOM19" s="1"/>
      <c r="QON19" s="1"/>
      <c r="QOO19" s="1"/>
      <c r="QOP19" s="1"/>
      <c r="QOQ19" s="1"/>
      <c r="QOR19" s="1"/>
      <c r="QOS19" s="1"/>
      <c r="QOT19" s="1"/>
      <c r="QOU19" s="1"/>
      <c r="QOV19" s="1"/>
      <c r="QOW19" s="1"/>
      <c r="QOX19" s="1"/>
      <c r="QOY19" s="1"/>
      <c r="QOZ19" s="1"/>
      <c r="QPA19" s="1"/>
      <c r="QPB19" s="1"/>
      <c r="QPC19" s="1"/>
      <c r="QPD19" s="1"/>
      <c r="QPE19" s="1"/>
      <c r="QPF19" s="1"/>
      <c r="QPG19" s="1"/>
      <c r="QPH19" s="1"/>
      <c r="QPI19" s="1"/>
      <c r="QPJ19" s="1"/>
      <c r="QPK19" s="1"/>
      <c r="QPL19" s="1"/>
      <c r="QPM19" s="1"/>
      <c r="QPN19" s="1"/>
      <c r="QPO19" s="1"/>
      <c r="QPP19" s="1"/>
      <c r="QPQ19" s="1"/>
      <c r="QPR19" s="1"/>
      <c r="QPS19" s="1"/>
      <c r="QPT19" s="1"/>
      <c r="QPU19" s="1"/>
      <c r="QPV19" s="1"/>
      <c r="QPW19" s="1"/>
      <c r="QPX19" s="1"/>
      <c r="QPY19" s="1"/>
      <c r="QPZ19" s="1"/>
      <c r="QQA19" s="1"/>
      <c r="QQB19" s="1"/>
      <c r="QQC19" s="1"/>
      <c r="QQD19" s="1"/>
      <c r="QQE19" s="1"/>
      <c r="QQF19" s="1"/>
      <c r="QQG19" s="1"/>
      <c r="QQH19" s="1"/>
      <c r="QQI19" s="1"/>
      <c r="QQJ19" s="1"/>
      <c r="QQK19" s="1"/>
      <c r="QQL19" s="1"/>
      <c r="QQM19" s="1"/>
      <c r="QQN19" s="1"/>
      <c r="QQO19" s="1"/>
      <c r="QQP19" s="1"/>
      <c r="QQQ19" s="1"/>
      <c r="QQR19" s="1"/>
      <c r="QQS19" s="1"/>
      <c r="QQT19" s="1"/>
      <c r="QQU19" s="1"/>
      <c r="QQV19" s="1"/>
      <c r="QQW19" s="1"/>
      <c r="QQX19" s="1"/>
      <c r="QQY19" s="1"/>
      <c r="QQZ19" s="1"/>
      <c r="QRA19" s="1"/>
      <c r="QRB19" s="1"/>
      <c r="QRC19" s="1"/>
      <c r="QRD19" s="1"/>
      <c r="QRE19" s="1"/>
      <c r="QRF19" s="1"/>
      <c r="QRG19" s="1"/>
      <c r="QRH19" s="1"/>
      <c r="QRI19" s="1"/>
      <c r="QRJ19" s="1"/>
      <c r="QRK19" s="1"/>
      <c r="QRL19" s="1"/>
      <c r="QRM19" s="1"/>
      <c r="QRN19" s="1"/>
      <c r="QRO19" s="1"/>
      <c r="QRP19" s="1"/>
      <c r="QRQ19" s="1"/>
      <c r="QRR19" s="1"/>
      <c r="QRS19" s="1"/>
      <c r="QRT19" s="1"/>
      <c r="QRU19" s="1"/>
      <c r="QRV19" s="1"/>
      <c r="QRW19" s="1"/>
      <c r="QRX19" s="1"/>
      <c r="QRY19" s="1"/>
      <c r="QRZ19" s="1"/>
      <c r="QSA19" s="1"/>
      <c r="QSB19" s="1"/>
      <c r="QSC19" s="1"/>
      <c r="QSD19" s="1"/>
      <c r="QSE19" s="1"/>
      <c r="QSF19" s="1"/>
      <c r="QSG19" s="1"/>
      <c r="QSH19" s="1"/>
      <c r="QSI19" s="1"/>
      <c r="QSJ19" s="1"/>
      <c r="QSK19" s="1"/>
      <c r="QSL19" s="1"/>
      <c r="QSM19" s="1"/>
      <c r="QSN19" s="1"/>
      <c r="QSO19" s="1"/>
      <c r="QSP19" s="1"/>
      <c r="QSQ19" s="1"/>
      <c r="QSR19" s="1"/>
      <c r="QSS19" s="1"/>
      <c r="QST19" s="1"/>
      <c r="QSU19" s="1"/>
      <c r="QSV19" s="1"/>
      <c r="QSW19" s="1"/>
      <c r="QSX19" s="1"/>
      <c r="QSY19" s="1"/>
      <c r="QSZ19" s="1"/>
      <c r="QTA19" s="1"/>
      <c r="QTB19" s="1"/>
      <c r="QTC19" s="1"/>
      <c r="QTD19" s="1"/>
      <c r="QTE19" s="1"/>
      <c r="QTF19" s="1"/>
      <c r="QTG19" s="1"/>
      <c r="QTH19" s="1"/>
      <c r="QTI19" s="1"/>
      <c r="QTJ19" s="1"/>
      <c r="QTK19" s="1"/>
      <c r="QTL19" s="1"/>
      <c r="QTM19" s="1"/>
      <c r="QTN19" s="1"/>
      <c r="QTO19" s="1"/>
      <c r="QTP19" s="1"/>
      <c r="QTQ19" s="1"/>
      <c r="QTR19" s="1"/>
      <c r="QTS19" s="1"/>
      <c r="QTT19" s="1"/>
      <c r="QTU19" s="1"/>
      <c r="QTV19" s="1"/>
      <c r="QTW19" s="1"/>
      <c r="QTX19" s="1"/>
      <c r="QTY19" s="1"/>
      <c r="QTZ19" s="1"/>
      <c r="QUA19" s="1"/>
      <c r="QUB19" s="1"/>
      <c r="QUC19" s="1"/>
      <c r="QUD19" s="1"/>
      <c r="QUE19" s="1"/>
      <c r="QUF19" s="1"/>
      <c r="QUG19" s="1"/>
      <c r="QUH19" s="1"/>
      <c r="QUI19" s="1"/>
      <c r="QUJ19" s="1"/>
      <c r="QUK19" s="1"/>
      <c r="QUL19" s="1"/>
      <c r="QUM19" s="1"/>
      <c r="QUN19" s="1"/>
      <c r="QUO19" s="1"/>
      <c r="QUP19" s="1"/>
      <c r="QUQ19" s="1"/>
      <c r="QUR19" s="1"/>
      <c r="QUS19" s="1"/>
      <c r="QUT19" s="1"/>
      <c r="QUU19" s="1"/>
      <c r="QUV19" s="1"/>
      <c r="QUW19" s="1"/>
      <c r="QUX19" s="1"/>
      <c r="QUY19" s="1"/>
      <c r="QUZ19" s="1"/>
      <c r="QVA19" s="1"/>
      <c r="QVB19" s="1"/>
      <c r="QVC19" s="1"/>
      <c r="QVD19" s="1"/>
      <c r="QVE19" s="1"/>
      <c r="QVF19" s="1"/>
      <c r="QVG19" s="1"/>
      <c r="QVH19" s="1"/>
      <c r="QVI19" s="1"/>
      <c r="QVJ19" s="1"/>
      <c r="QVK19" s="1"/>
      <c r="QVL19" s="1"/>
      <c r="QVM19" s="1"/>
      <c r="QVN19" s="1"/>
      <c r="QVO19" s="1"/>
      <c r="QVP19" s="1"/>
      <c r="QVQ19" s="1"/>
      <c r="QVR19" s="1"/>
      <c r="QVS19" s="1"/>
      <c r="QVT19" s="1"/>
      <c r="QVU19" s="1"/>
      <c r="QVV19" s="1"/>
      <c r="QVW19" s="1"/>
      <c r="QVX19" s="1"/>
      <c r="QVY19" s="1"/>
      <c r="QVZ19" s="1"/>
      <c r="QWA19" s="1"/>
      <c r="QWB19" s="1"/>
      <c r="QWC19" s="1"/>
      <c r="QWD19" s="1"/>
      <c r="QWE19" s="1"/>
      <c r="QWF19" s="1"/>
      <c r="QWG19" s="1"/>
      <c r="QWH19" s="1"/>
      <c r="QWI19" s="1"/>
      <c r="QWJ19" s="1"/>
      <c r="QWK19" s="1"/>
      <c r="QWL19" s="1"/>
      <c r="QWM19" s="1"/>
      <c r="QWN19" s="1"/>
      <c r="QWO19" s="1"/>
      <c r="QWP19" s="1"/>
      <c r="QWQ19" s="1"/>
      <c r="QWR19" s="1"/>
      <c r="QWS19" s="1"/>
      <c r="QWT19" s="1"/>
      <c r="QWU19" s="1"/>
      <c r="QWV19" s="1"/>
      <c r="QWW19" s="1"/>
      <c r="QWX19" s="1"/>
      <c r="QWY19" s="1"/>
      <c r="QWZ19" s="1"/>
      <c r="QXA19" s="1"/>
      <c r="QXB19" s="1"/>
      <c r="QXC19" s="1"/>
      <c r="QXD19" s="1"/>
      <c r="QXE19" s="1"/>
      <c r="QXF19" s="1"/>
      <c r="QXG19" s="1"/>
      <c r="QXH19" s="1"/>
      <c r="QXI19" s="1"/>
      <c r="QXJ19" s="1"/>
      <c r="QXK19" s="1"/>
      <c r="QXL19" s="1"/>
      <c r="QXM19" s="1"/>
      <c r="QXN19" s="1"/>
      <c r="QXO19" s="1"/>
      <c r="QXP19" s="1"/>
      <c r="QXQ19" s="1"/>
      <c r="QXR19" s="1"/>
      <c r="QXS19" s="1"/>
      <c r="QXT19" s="1"/>
      <c r="QXU19" s="1"/>
      <c r="QXV19" s="1"/>
      <c r="QXW19" s="1"/>
      <c r="QXX19" s="1"/>
      <c r="QXY19" s="1"/>
      <c r="QXZ19" s="1"/>
      <c r="QYA19" s="1"/>
      <c r="QYB19" s="1"/>
      <c r="QYC19" s="1"/>
      <c r="QYD19" s="1"/>
      <c r="QYE19" s="1"/>
      <c r="QYF19" s="1"/>
      <c r="QYG19" s="1"/>
      <c r="QYH19" s="1"/>
      <c r="QYI19" s="1"/>
      <c r="QYJ19" s="1"/>
      <c r="QYK19" s="1"/>
      <c r="QYL19" s="1"/>
      <c r="QYM19" s="1"/>
      <c r="QYN19" s="1"/>
      <c r="QYO19" s="1"/>
      <c r="QYP19" s="1"/>
      <c r="QYQ19" s="1"/>
      <c r="QYR19" s="1"/>
      <c r="QYS19" s="1"/>
      <c r="QYT19" s="1"/>
      <c r="QYU19" s="1"/>
      <c r="QYV19" s="1"/>
      <c r="QYW19" s="1"/>
      <c r="QYX19" s="1"/>
      <c r="QYY19" s="1"/>
      <c r="QYZ19" s="1"/>
      <c r="QZA19" s="1"/>
      <c r="QZB19" s="1"/>
      <c r="QZC19" s="1"/>
      <c r="QZD19" s="1"/>
      <c r="QZE19" s="1"/>
      <c r="QZF19" s="1"/>
      <c r="QZG19" s="1"/>
      <c r="QZH19" s="1"/>
      <c r="QZI19" s="1"/>
      <c r="QZJ19" s="1"/>
      <c r="QZK19" s="1"/>
      <c r="QZL19" s="1"/>
      <c r="QZM19" s="1"/>
      <c r="QZN19" s="1"/>
      <c r="QZO19" s="1"/>
      <c r="QZP19" s="1"/>
      <c r="QZQ19" s="1"/>
      <c r="QZR19" s="1"/>
      <c r="QZS19" s="1"/>
      <c r="QZT19" s="1"/>
      <c r="QZU19" s="1"/>
      <c r="QZV19" s="1"/>
      <c r="QZW19" s="1"/>
      <c r="QZX19" s="1"/>
      <c r="QZY19" s="1"/>
      <c r="QZZ19" s="1"/>
      <c r="RAA19" s="1"/>
      <c r="RAB19" s="1"/>
      <c r="RAC19" s="1"/>
      <c r="RAD19" s="1"/>
      <c r="RAE19" s="1"/>
      <c r="RAF19" s="1"/>
      <c r="RAG19" s="1"/>
      <c r="RAH19" s="1"/>
      <c r="RAI19" s="1"/>
      <c r="RAJ19" s="1"/>
      <c r="RAK19" s="1"/>
      <c r="RAL19" s="1"/>
      <c r="RAM19" s="1"/>
      <c r="RAN19" s="1"/>
      <c r="RAO19" s="1"/>
      <c r="RAP19" s="1"/>
      <c r="RAQ19" s="1"/>
      <c r="RAR19" s="1"/>
      <c r="RAS19" s="1"/>
      <c r="RAT19" s="1"/>
      <c r="RAU19" s="1"/>
      <c r="RAV19" s="1"/>
      <c r="RAW19" s="1"/>
      <c r="RAX19" s="1"/>
      <c r="RAY19" s="1"/>
      <c r="RAZ19" s="1"/>
      <c r="RBA19" s="1"/>
      <c r="RBB19" s="1"/>
      <c r="RBC19" s="1"/>
      <c r="RBD19" s="1"/>
      <c r="RBE19" s="1"/>
      <c r="RBF19" s="1"/>
      <c r="RBG19" s="1"/>
      <c r="RBH19" s="1"/>
      <c r="RBI19" s="1"/>
      <c r="RBJ19" s="1"/>
      <c r="RBK19" s="1"/>
      <c r="RBL19" s="1"/>
      <c r="RBM19" s="1"/>
      <c r="RBN19" s="1"/>
      <c r="RBO19" s="1"/>
      <c r="RBP19" s="1"/>
      <c r="RBQ19" s="1"/>
      <c r="RBR19" s="1"/>
      <c r="RBS19" s="1"/>
      <c r="RBT19" s="1"/>
      <c r="RBU19" s="1"/>
      <c r="RBV19" s="1"/>
      <c r="RBW19" s="1"/>
      <c r="RBX19" s="1"/>
      <c r="RBY19" s="1"/>
      <c r="RBZ19" s="1"/>
      <c r="RCA19" s="1"/>
      <c r="RCB19" s="1"/>
      <c r="RCC19" s="1"/>
      <c r="RCD19" s="1"/>
      <c r="RCE19" s="1"/>
      <c r="RCF19" s="1"/>
      <c r="RCG19" s="1"/>
      <c r="RCH19" s="1"/>
      <c r="RCI19" s="1"/>
      <c r="RCJ19" s="1"/>
      <c r="RCK19" s="1"/>
      <c r="RCL19" s="1"/>
      <c r="RCM19" s="1"/>
      <c r="RCN19" s="1"/>
      <c r="RCO19" s="1"/>
      <c r="RCP19" s="1"/>
      <c r="RCQ19" s="1"/>
      <c r="RCR19" s="1"/>
      <c r="RCS19" s="1"/>
      <c r="RCT19" s="1"/>
      <c r="RCU19" s="1"/>
      <c r="RCV19" s="1"/>
      <c r="RCW19" s="1"/>
      <c r="RCX19" s="1"/>
      <c r="RCY19" s="1"/>
      <c r="RCZ19" s="1"/>
      <c r="RDA19" s="1"/>
      <c r="RDB19" s="1"/>
      <c r="RDC19" s="1"/>
      <c r="RDD19" s="1"/>
      <c r="RDE19" s="1"/>
      <c r="RDF19" s="1"/>
      <c r="RDG19" s="1"/>
      <c r="RDH19" s="1"/>
      <c r="RDI19" s="1"/>
      <c r="RDJ19" s="1"/>
      <c r="RDK19" s="1"/>
      <c r="RDL19" s="1"/>
      <c r="RDM19" s="1"/>
      <c r="RDN19" s="1"/>
      <c r="RDO19" s="1"/>
      <c r="RDP19" s="1"/>
      <c r="RDQ19" s="1"/>
      <c r="RDR19" s="1"/>
      <c r="RDS19" s="1"/>
      <c r="RDT19" s="1"/>
      <c r="RDU19" s="1"/>
      <c r="RDV19" s="1"/>
      <c r="RDW19" s="1"/>
      <c r="RDX19" s="1"/>
      <c r="RDY19" s="1"/>
      <c r="RDZ19" s="1"/>
      <c r="REA19" s="1"/>
      <c r="REB19" s="1"/>
      <c r="REC19" s="1"/>
      <c r="RED19" s="1"/>
      <c r="REE19" s="1"/>
      <c r="REF19" s="1"/>
      <c r="REG19" s="1"/>
      <c r="REH19" s="1"/>
      <c r="REI19" s="1"/>
      <c r="REJ19" s="1"/>
      <c r="REK19" s="1"/>
      <c r="REL19" s="1"/>
      <c r="REM19" s="1"/>
      <c r="REN19" s="1"/>
      <c r="REO19" s="1"/>
      <c r="REP19" s="1"/>
      <c r="REQ19" s="1"/>
      <c r="RER19" s="1"/>
      <c r="RES19" s="1"/>
      <c r="RET19" s="1"/>
      <c r="REU19" s="1"/>
      <c r="REV19" s="1"/>
      <c r="REW19" s="1"/>
      <c r="REX19" s="1"/>
      <c r="REY19" s="1"/>
      <c r="REZ19" s="1"/>
      <c r="RFA19" s="1"/>
      <c r="RFB19" s="1"/>
      <c r="RFC19" s="1"/>
      <c r="RFD19" s="1"/>
      <c r="RFE19" s="1"/>
      <c r="RFF19" s="1"/>
      <c r="RFG19" s="1"/>
      <c r="RFH19" s="1"/>
      <c r="RFI19" s="1"/>
      <c r="RFJ19" s="1"/>
      <c r="RFK19" s="1"/>
      <c r="RFL19" s="1"/>
      <c r="RFM19" s="1"/>
      <c r="RFN19" s="1"/>
      <c r="RFO19" s="1"/>
      <c r="RFP19" s="1"/>
      <c r="RFQ19" s="1"/>
      <c r="RFR19" s="1"/>
      <c r="RFS19" s="1"/>
      <c r="RFT19" s="1"/>
      <c r="RFU19" s="1"/>
      <c r="RFV19" s="1"/>
      <c r="RFW19" s="1"/>
      <c r="RFX19" s="1"/>
      <c r="RFY19" s="1"/>
      <c r="RFZ19" s="1"/>
      <c r="RGA19" s="1"/>
      <c r="RGB19" s="1"/>
      <c r="RGC19" s="1"/>
      <c r="RGD19" s="1"/>
      <c r="RGE19" s="1"/>
      <c r="RGF19" s="1"/>
      <c r="RGG19" s="1"/>
      <c r="RGH19" s="1"/>
      <c r="RGI19" s="1"/>
      <c r="RGJ19" s="1"/>
      <c r="RGK19" s="1"/>
      <c r="RGL19" s="1"/>
      <c r="RGM19" s="1"/>
      <c r="RGN19" s="1"/>
      <c r="RGO19" s="1"/>
      <c r="RGP19" s="1"/>
      <c r="RGQ19" s="1"/>
      <c r="RGR19" s="1"/>
      <c r="RGS19" s="1"/>
      <c r="RGT19" s="1"/>
      <c r="RGU19" s="1"/>
      <c r="RGV19" s="1"/>
      <c r="RGW19" s="1"/>
      <c r="RGX19" s="1"/>
      <c r="RGY19" s="1"/>
      <c r="RGZ19" s="1"/>
      <c r="RHA19" s="1"/>
      <c r="RHB19" s="1"/>
      <c r="RHC19" s="1"/>
      <c r="RHD19" s="1"/>
      <c r="RHE19" s="1"/>
      <c r="RHF19" s="1"/>
      <c r="RHG19" s="1"/>
      <c r="RHH19" s="1"/>
      <c r="RHI19" s="1"/>
      <c r="RHJ19" s="1"/>
      <c r="RHK19" s="1"/>
      <c r="RHL19" s="1"/>
      <c r="RHM19" s="1"/>
      <c r="RHN19" s="1"/>
      <c r="RHO19" s="1"/>
      <c r="RHP19" s="1"/>
      <c r="RHQ19" s="1"/>
      <c r="RHR19" s="1"/>
      <c r="RHS19" s="1"/>
      <c r="RHT19" s="1"/>
      <c r="RHU19" s="1"/>
      <c r="RHV19" s="1"/>
      <c r="RHW19" s="1"/>
      <c r="RHX19" s="1"/>
      <c r="RHY19" s="1"/>
      <c r="RHZ19" s="1"/>
      <c r="RIA19" s="1"/>
      <c r="RIB19" s="1"/>
      <c r="RIC19" s="1"/>
      <c r="RID19" s="1"/>
      <c r="RIE19" s="1"/>
      <c r="RIF19" s="1"/>
      <c r="RIG19" s="1"/>
      <c r="RIH19" s="1"/>
      <c r="RII19" s="1"/>
      <c r="RIJ19" s="1"/>
      <c r="RIK19" s="1"/>
      <c r="RIL19" s="1"/>
      <c r="RIM19" s="1"/>
      <c r="RIN19" s="1"/>
      <c r="RIO19" s="1"/>
      <c r="RIP19" s="1"/>
      <c r="RIQ19" s="1"/>
      <c r="RIR19" s="1"/>
      <c r="RIS19" s="1"/>
      <c r="RIT19" s="1"/>
      <c r="RIU19" s="1"/>
      <c r="RIV19" s="1"/>
      <c r="RIW19" s="1"/>
      <c r="RIX19" s="1"/>
      <c r="RIY19" s="1"/>
      <c r="RIZ19" s="1"/>
      <c r="RJA19" s="1"/>
      <c r="RJB19" s="1"/>
      <c r="RJC19" s="1"/>
      <c r="RJD19" s="1"/>
      <c r="RJE19" s="1"/>
      <c r="RJF19" s="1"/>
      <c r="RJG19" s="1"/>
      <c r="RJH19" s="1"/>
      <c r="RJI19" s="1"/>
      <c r="RJJ19" s="1"/>
      <c r="RJK19" s="1"/>
      <c r="RJL19" s="1"/>
      <c r="RJM19" s="1"/>
      <c r="RJN19" s="1"/>
      <c r="RJO19" s="1"/>
      <c r="RJP19" s="1"/>
      <c r="RJQ19" s="1"/>
      <c r="RJR19" s="1"/>
      <c r="RJS19" s="1"/>
      <c r="RJT19" s="1"/>
      <c r="RJU19" s="1"/>
      <c r="RJV19" s="1"/>
      <c r="RJW19" s="1"/>
      <c r="RJX19" s="1"/>
      <c r="RJY19" s="1"/>
      <c r="RJZ19" s="1"/>
      <c r="RKA19" s="1"/>
      <c r="RKB19" s="1"/>
      <c r="RKC19" s="1"/>
      <c r="RKD19" s="1"/>
      <c r="RKE19" s="1"/>
      <c r="RKF19" s="1"/>
      <c r="RKG19" s="1"/>
      <c r="RKH19" s="1"/>
      <c r="RKI19" s="1"/>
      <c r="RKJ19" s="1"/>
      <c r="RKK19" s="1"/>
      <c r="RKL19" s="1"/>
      <c r="RKM19" s="1"/>
      <c r="RKN19" s="1"/>
      <c r="RKO19" s="1"/>
      <c r="RKP19" s="1"/>
      <c r="RKQ19" s="1"/>
      <c r="RKR19" s="1"/>
      <c r="RKS19" s="1"/>
      <c r="RKT19" s="1"/>
      <c r="RKU19" s="1"/>
      <c r="RKV19" s="1"/>
      <c r="RKW19" s="1"/>
      <c r="RKX19" s="1"/>
      <c r="RKY19" s="1"/>
      <c r="RKZ19" s="1"/>
      <c r="RLA19" s="1"/>
      <c r="RLB19" s="1"/>
      <c r="RLC19" s="1"/>
      <c r="RLD19" s="1"/>
      <c r="RLE19" s="1"/>
      <c r="RLF19" s="1"/>
      <c r="RLG19" s="1"/>
      <c r="RLH19" s="1"/>
      <c r="RLI19" s="1"/>
      <c r="RLJ19" s="1"/>
      <c r="RLK19" s="1"/>
      <c r="RLL19" s="1"/>
      <c r="RLM19" s="1"/>
      <c r="RLN19" s="1"/>
      <c r="RLO19" s="1"/>
      <c r="RLP19" s="1"/>
      <c r="RLQ19" s="1"/>
      <c r="RLR19" s="1"/>
      <c r="RLS19" s="1"/>
      <c r="RLT19" s="1"/>
      <c r="RLU19" s="1"/>
      <c r="RLV19" s="1"/>
      <c r="RLW19" s="1"/>
      <c r="RLX19" s="1"/>
      <c r="RLY19" s="1"/>
      <c r="RLZ19" s="1"/>
      <c r="RMA19" s="1"/>
      <c r="RMB19" s="1"/>
      <c r="RMC19" s="1"/>
      <c r="RMD19" s="1"/>
      <c r="RME19" s="1"/>
      <c r="RMF19" s="1"/>
      <c r="RMG19" s="1"/>
      <c r="RMH19" s="1"/>
      <c r="RMI19" s="1"/>
      <c r="RMJ19" s="1"/>
      <c r="RMK19" s="1"/>
      <c r="RML19" s="1"/>
      <c r="RMM19" s="1"/>
      <c r="RMN19" s="1"/>
      <c r="RMO19" s="1"/>
      <c r="RMP19" s="1"/>
      <c r="RMQ19" s="1"/>
      <c r="RMR19" s="1"/>
      <c r="RMS19" s="1"/>
      <c r="RMT19" s="1"/>
      <c r="RMU19" s="1"/>
      <c r="RMV19" s="1"/>
      <c r="RMW19" s="1"/>
      <c r="RMX19" s="1"/>
      <c r="RMY19" s="1"/>
      <c r="RMZ19" s="1"/>
      <c r="RNA19" s="1"/>
      <c r="RNB19" s="1"/>
      <c r="RNC19" s="1"/>
      <c r="RND19" s="1"/>
      <c r="RNE19" s="1"/>
      <c r="RNF19" s="1"/>
      <c r="RNG19" s="1"/>
      <c r="RNH19" s="1"/>
      <c r="RNI19" s="1"/>
      <c r="RNJ19" s="1"/>
      <c r="RNK19" s="1"/>
      <c r="RNL19" s="1"/>
      <c r="RNM19" s="1"/>
      <c r="RNN19" s="1"/>
      <c r="RNO19" s="1"/>
      <c r="RNP19" s="1"/>
      <c r="RNQ19" s="1"/>
      <c r="RNR19" s="1"/>
      <c r="RNS19" s="1"/>
      <c r="RNT19" s="1"/>
      <c r="RNU19" s="1"/>
      <c r="RNV19" s="1"/>
      <c r="RNW19" s="1"/>
      <c r="RNX19" s="1"/>
      <c r="RNY19" s="1"/>
      <c r="RNZ19" s="1"/>
      <c r="ROA19" s="1"/>
      <c r="ROB19" s="1"/>
      <c r="ROC19" s="1"/>
      <c r="ROD19" s="1"/>
      <c r="ROE19" s="1"/>
      <c r="ROF19" s="1"/>
      <c r="ROG19" s="1"/>
      <c r="ROH19" s="1"/>
      <c r="ROI19" s="1"/>
      <c r="ROJ19" s="1"/>
      <c r="ROK19" s="1"/>
      <c r="ROL19" s="1"/>
      <c r="ROM19" s="1"/>
      <c r="RON19" s="1"/>
      <c r="ROO19" s="1"/>
      <c r="ROP19" s="1"/>
      <c r="ROQ19" s="1"/>
      <c r="ROR19" s="1"/>
      <c r="ROS19" s="1"/>
      <c r="ROT19" s="1"/>
      <c r="ROU19" s="1"/>
      <c r="ROV19" s="1"/>
      <c r="ROW19" s="1"/>
      <c r="ROX19" s="1"/>
      <c r="ROY19" s="1"/>
      <c r="ROZ19" s="1"/>
      <c r="RPA19" s="1"/>
      <c r="RPB19" s="1"/>
      <c r="RPC19" s="1"/>
      <c r="RPD19" s="1"/>
      <c r="RPE19" s="1"/>
      <c r="RPF19" s="1"/>
      <c r="RPG19" s="1"/>
      <c r="RPH19" s="1"/>
      <c r="RPI19" s="1"/>
      <c r="RPJ19" s="1"/>
      <c r="RPK19" s="1"/>
      <c r="RPL19" s="1"/>
      <c r="RPM19" s="1"/>
      <c r="RPN19" s="1"/>
      <c r="RPO19" s="1"/>
      <c r="RPP19" s="1"/>
      <c r="RPQ19" s="1"/>
      <c r="RPR19" s="1"/>
      <c r="RPS19" s="1"/>
      <c r="RPT19" s="1"/>
      <c r="RPU19" s="1"/>
      <c r="RPV19" s="1"/>
      <c r="RPW19" s="1"/>
      <c r="RPX19" s="1"/>
      <c r="RPY19" s="1"/>
      <c r="RPZ19" s="1"/>
      <c r="RQA19" s="1"/>
      <c r="RQB19" s="1"/>
      <c r="RQC19" s="1"/>
      <c r="RQD19" s="1"/>
      <c r="RQE19" s="1"/>
      <c r="RQF19" s="1"/>
      <c r="RQG19" s="1"/>
      <c r="RQH19" s="1"/>
      <c r="RQI19" s="1"/>
      <c r="RQJ19" s="1"/>
      <c r="RQK19" s="1"/>
      <c r="RQL19" s="1"/>
      <c r="RQM19" s="1"/>
      <c r="RQN19" s="1"/>
      <c r="RQO19" s="1"/>
      <c r="RQP19" s="1"/>
      <c r="RQQ19" s="1"/>
      <c r="RQR19" s="1"/>
      <c r="RQS19" s="1"/>
      <c r="RQT19" s="1"/>
      <c r="RQU19" s="1"/>
      <c r="RQV19" s="1"/>
      <c r="RQW19" s="1"/>
      <c r="RQX19" s="1"/>
      <c r="RQY19" s="1"/>
      <c r="RQZ19" s="1"/>
      <c r="RRA19" s="1"/>
      <c r="RRB19" s="1"/>
      <c r="RRC19" s="1"/>
      <c r="RRD19" s="1"/>
      <c r="RRE19" s="1"/>
      <c r="RRF19" s="1"/>
      <c r="RRG19" s="1"/>
      <c r="RRH19" s="1"/>
      <c r="RRI19" s="1"/>
      <c r="RRJ19" s="1"/>
      <c r="RRK19" s="1"/>
      <c r="RRL19" s="1"/>
      <c r="RRM19" s="1"/>
      <c r="RRN19" s="1"/>
      <c r="RRO19" s="1"/>
      <c r="RRP19" s="1"/>
      <c r="RRQ19" s="1"/>
      <c r="RRR19" s="1"/>
      <c r="RRS19" s="1"/>
      <c r="RRT19" s="1"/>
      <c r="RRU19" s="1"/>
      <c r="RRV19" s="1"/>
      <c r="RRW19" s="1"/>
      <c r="RRX19" s="1"/>
      <c r="RRY19" s="1"/>
      <c r="RRZ19" s="1"/>
      <c r="RSA19" s="1"/>
      <c r="RSB19" s="1"/>
      <c r="RSC19" s="1"/>
      <c r="RSD19" s="1"/>
      <c r="RSE19" s="1"/>
      <c r="RSF19" s="1"/>
      <c r="RSG19" s="1"/>
      <c r="RSH19" s="1"/>
      <c r="RSI19" s="1"/>
      <c r="RSJ19" s="1"/>
      <c r="RSK19" s="1"/>
      <c r="RSL19" s="1"/>
      <c r="RSM19" s="1"/>
      <c r="RSN19" s="1"/>
      <c r="RSO19" s="1"/>
      <c r="RSP19" s="1"/>
      <c r="RSQ19" s="1"/>
      <c r="RSR19" s="1"/>
      <c r="RSS19" s="1"/>
      <c r="RST19" s="1"/>
      <c r="RSU19" s="1"/>
      <c r="RSV19" s="1"/>
      <c r="RSW19" s="1"/>
      <c r="RSX19" s="1"/>
      <c r="RSY19" s="1"/>
      <c r="RSZ19" s="1"/>
      <c r="RTA19" s="1"/>
      <c r="RTB19" s="1"/>
      <c r="RTC19" s="1"/>
      <c r="RTD19" s="1"/>
      <c r="RTE19" s="1"/>
      <c r="RTF19" s="1"/>
      <c r="RTG19" s="1"/>
      <c r="RTH19" s="1"/>
      <c r="RTI19" s="1"/>
      <c r="RTJ19" s="1"/>
      <c r="RTK19" s="1"/>
      <c r="RTL19" s="1"/>
      <c r="RTM19" s="1"/>
      <c r="RTN19" s="1"/>
      <c r="RTO19" s="1"/>
      <c r="RTP19" s="1"/>
      <c r="RTQ19" s="1"/>
      <c r="RTR19" s="1"/>
      <c r="RTS19" s="1"/>
      <c r="RTT19" s="1"/>
      <c r="RTU19" s="1"/>
      <c r="RTV19" s="1"/>
      <c r="RTW19" s="1"/>
      <c r="RTX19" s="1"/>
      <c r="RTY19" s="1"/>
      <c r="RTZ19" s="1"/>
      <c r="RUA19" s="1"/>
      <c r="RUB19" s="1"/>
      <c r="RUC19" s="1"/>
      <c r="RUD19" s="1"/>
      <c r="RUE19" s="1"/>
      <c r="RUF19" s="1"/>
      <c r="RUG19" s="1"/>
      <c r="RUH19" s="1"/>
      <c r="RUI19" s="1"/>
      <c r="RUJ19" s="1"/>
      <c r="RUK19" s="1"/>
      <c r="RUL19" s="1"/>
      <c r="RUM19" s="1"/>
      <c r="RUN19" s="1"/>
      <c r="RUO19" s="1"/>
      <c r="RUP19" s="1"/>
      <c r="RUQ19" s="1"/>
      <c r="RUR19" s="1"/>
      <c r="RUS19" s="1"/>
      <c r="RUT19" s="1"/>
      <c r="RUU19" s="1"/>
      <c r="RUV19" s="1"/>
      <c r="RUW19" s="1"/>
      <c r="RUX19" s="1"/>
      <c r="RUY19" s="1"/>
      <c r="RUZ19" s="1"/>
      <c r="RVA19" s="1"/>
      <c r="RVB19" s="1"/>
      <c r="RVC19" s="1"/>
      <c r="RVD19" s="1"/>
      <c r="RVE19" s="1"/>
      <c r="RVF19" s="1"/>
      <c r="RVG19" s="1"/>
      <c r="RVH19" s="1"/>
      <c r="RVI19" s="1"/>
      <c r="RVJ19" s="1"/>
      <c r="RVK19" s="1"/>
      <c r="RVL19" s="1"/>
      <c r="RVM19" s="1"/>
      <c r="RVN19" s="1"/>
      <c r="RVO19" s="1"/>
      <c r="RVP19" s="1"/>
      <c r="RVQ19" s="1"/>
      <c r="RVR19" s="1"/>
      <c r="RVS19" s="1"/>
      <c r="RVT19" s="1"/>
      <c r="RVU19" s="1"/>
      <c r="RVV19" s="1"/>
      <c r="RVW19" s="1"/>
      <c r="RVX19" s="1"/>
      <c r="RVY19" s="1"/>
      <c r="RVZ19" s="1"/>
      <c r="RWA19" s="1"/>
      <c r="RWB19" s="1"/>
      <c r="RWC19" s="1"/>
      <c r="RWD19" s="1"/>
      <c r="RWE19" s="1"/>
      <c r="RWF19" s="1"/>
      <c r="RWG19" s="1"/>
      <c r="RWH19" s="1"/>
      <c r="RWI19" s="1"/>
      <c r="RWJ19" s="1"/>
      <c r="RWK19" s="1"/>
      <c r="RWL19" s="1"/>
      <c r="RWM19" s="1"/>
      <c r="RWN19" s="1"/>
      <c r="RWO19" s="1"/>
      <c r="RWP19" s="1"/>
      <c r="RWQ19" s="1"/>
      <c r="RWR19" s="1"/>
      <c r="RWS19" s="1"/>
      <c r="RWT19" s="1"/>
      <c r="RWU19" s="1"/>
      <c r="RWV19" s="1"/>
      <c r="RWW19" s="1"/>
      <c r="RWX19" s="1"/>
      <c r="RWY19" s="1"/>
      <c r="RWZ19" s="1"/>
      <c r="RXA19" s="1"/>
      <c r="RXB19" s="1"/>
      <c r="RXC19" s="1"/>
      <c r="RXD19" s="1"/>
      <c r="RXE19" s="1"/>
      <c r="RXF19" s="1"/>
      <c r="RXG19" s="1"/>
      <c r="RXH19" s="1"/>
      <c r="RXI19" s="1"/>
      <c r="RXJ19" s="1"/>
      <c r="RXK19" s="1"/>
      <c r="RXL19" s="1"/>
      <c r="RXM19" s="1"/>
      <c r="RXN19" s="1"/>
      <c r="RXO19" s="1"/>
      <c r="RXP19" s="1"/>
      <c r="RXQ19" s="1"/>
      <c r="RXR19" s="1"/>
      <c r="RXS19" s="1"/>
      <c r="RXT19" s="1"/>
      <c r="RXU19" s="1"/>
      <c r="RXV19" s="1"/>
      <c r="RXW19" s="1"/>
      <c r="RXX19" s="1"/>
      <c r="RXY19" s="1"/>
      <c r="RXZ19" s="1"/>
      <c r="RYA19" s="1"/>
      <c r="RYB19" s="1"/>
      <c r="RYC19" s="1"/>
      <c r="RYD19" s="1"/>
      <c r="RYE19" s="1"/>
      <c r="RYF19" s="1"/>
      <c r="RYG19" s="1"/>
      <c r="RYH19" s="1"/>
      <c r="RYI19" s="1"/>
      <c r="RYJ19" s="1"/>
      <c r="RYK19" s="1"/>
      <c r="RYL19" s="1"/>
      <c r="RYM19" s="1"/>
      <c r="RYN19" s="1"/>
      <c r="RYO19" s="1"/>
      <c r="RYP19" s="1"/>
      <c r="RYQ19" s="1"/>
      <c r="RYR19" s="1"/>
      <c r="RYS19" s="1"/>
      <c r="RYT19" s="1"/>
      <c r="RYU19" s="1"/>
      <c r="RYV19" s="1"/>
      <c r="RYW19" s="1"/>
      <c r="RYX19" s="1"/>
      <c r="RYY19" s="1"/>
      <c r="RYZ19" s="1"/>
      <c r="RZA19" s="1"/>
      <c r="RZB19" s="1"/>
      <c r="RZC19" s="1"/>
      <c r="RZD19" s="1"/>
      <c r="RZE19" s="1"/>
      <c r="RZF19" s="1"/>
      <c r="RZG19" s="1"/>
      <c r="RZH19" s="1"/>
      <c r="RZI19" s="1"/>
      <c r="RZJ19" s="1"/>
      <c r="RZK19" s="1"/>
      <c r="RZL19" s="1"/>
      <c r="RZM19" s="1"/>
      <c r="RZN19" s="1"/>
      <c r="RZO19" s="1"/>
      <c r="RZP19" s="1"/>
      <c r="RZQ19" s="1"/>
      <c r="RZR19" s="1"/>
      <c r="RZS19" s="1"/>
      <c r="RZT19" s="1"/>
      <c r="RZU19" s="1"/>
      <c r="RZV19" s="1"/>
      <c r="RZW19" s="1"/>
      <c r="RZX19" s="1"/>
      <c r="RZY19" s="1"/>
      <c r="RZZ19" s="1"/>
      <c r="SAA19" s="1"/>
      <c r="SAB19" s="1"/>
      <c r="SAC19" s="1"/>
      <c r="SAD19" s="1"/>
      <c r="SAE19" s="1"/>
      <c r="SAF19" s="1"/>
      <c r="SAG19" s="1"/>
      <c r="SAH19" s="1"/>
      <c r="SAI19" s="1"/>
      <c r="SAJ19" s="1"/>
      <c r="SAK19" s="1"/>
      <c r="SAL19" s="1"/>
      <c r="SAM19" s="1"/>
      <c r="SAN19" s="1"/>
      <c r="SAO19" s="1"/>
      <c r="SAP19" s="1"/>
      <c r="SAQ19" s="1"/>
      <c r="SAR19" s="1"/>
      <c r="SAS19" s="1"/>
      <c r="SAT19" s="1"/>
      <c r="SAU19" s="1"/>
      <c r="SAV19" s="1"/>
      <c r="SAW19" s="1"/>
      <c r="SAX19" s="1"/>
      <c r="SAY19" s="1"/>
      <c r="SAZ19" s="1"/>
      <c r="SBA19" s="1"/>
      <c r="SBB19" s="1"/>
      <c r="SBC19" s="1"/>
      <c r="SBD19" s="1"/>
      <c r="SBE19" s="1"/>
      <c r="SBF19" s="1"/>
      <c r="SBG19" s="1"/>
      <c r="SBH19" s="1"/>
      <c r="SBI19" s="1"/>
      <c r="SBJ19" s="1"/>
      <c r="SBK19" s="1"/>
      <c r="SBL19" s="1"/>
      <c r="SBM19" s="1"/>
      <c r="SBN19" s="1"/>
      <c r="SBO19" s="1"/>
      <c r="SBP19" s="1"/>
      <c r="SBQ19" s="1"/>
      <c r="SBR19" s="1"/>
      <c r="SBS19" s="1"/>
      <c r="SBT19" s="1"/>
      <c r="SBU19" s="1"/>
      <c r="SBV19" s="1"/>
      <c r="SBW19" s="1"/>
      <c r="SBX19" s="1"/>
      <c r="SBY19" s="1"/>
      <c r="SBZ19" s="1"/>
      <c r="SCA19" s="1"/>
      <c r="SCB19" s="1"/>
      <c r="SCC19" s="1"/>
      <c r="SCD19" s="1"/>
      <c r="SCE19" s="1"/>
      <c r="SCF19" s="1"/>
      <c r="SCG19" s="1"/>
      <c r="SCH19" s="1"/>
      <c r="SCI19" s="1"/>
      <c r="SCJ19" s="1"/>
      <c r="SCK19" s="1"/>
      <c r="SCL19" s="1"/>
      <c r="SCM19" s="1"/>
      <c r="SCN19" s="1"/>
      <c r="SCO19" s="1"/>
      <c r="SCP19" s="1"/>
      <c r="SCQ19" s="1"/>
      <c r="SCR19" s="1"/>
      <c r="SCS19" s="1"/>
      <c r="SCT19" s="1"/>
      <c r="SCU19" s="1"/>
      <c r="SCV19" s="1"/>
      <c r="SCW19" s="1"/>
      <c r="SCX19" s="1"/>
      <c r="SCY19" s="1"/>
      <c r="SCZ19" s="1"/>
      <c r="SDA19" s="1"/>
      <c r="SDB19" s="1"/>
      <c r="SDC19" s="1"/>
      <c r="SDD19" s="1"/>
      <c r="SDE19" s="1"/>
      <c r="SDF19" s="1"/>
      <c r="SDG19" s="1"/>
      <c r="SDH19" s="1"/>
      <c r="SDI19" s="1"/>
      <c r="SDJ19" s="1"/>
      <c r="SDK19" s="1"/>
      <c r="SDL19" s="1"/>
      <c r="SDM19" s="1"/>
      <c r="SDN19" s="1"/>
      <c r="SDO19" s="1"/>
      <c r="SDP19" s="1"/>
      <c r="SDQ19" s="1"/>
      <c r="SDR19" s="1"/>
      <c r="SDS19" s="1"/>
      <c r="SDT19" s="1"/>
      <c r="SDU19" s="1"/>
      <c r="SDV19" s="1"/>
      <c r="SDW19" s="1"/>
      <c r="SDX19" s="1"/>
      <c r="SDY19" s="1"/>
      <c r="SDZ19" s="1"/>
      <c r="SEA19" s="1"/>
      <c r="SEB19" s="1"/>
      <c r="SEC19" s="1"/>
      <c r="SED19" s="1"/>
      <c r="SEE19" s="1"/>
      <c r="SEF19" s="1"/>
      <c r="SEG19" s="1"/>
      <c r="SEH19" s="1"/>
      <c r="SEI19" s="1"/>
      <c r="SEJ19" s="1"/>
      <c r="SEK19" s="1"/>
      <c r="SEL19" s="1"/>
      <c r="SEM19" s="1"/>
      <c r="SEN19" s="1"/>
      <c r="SEO19" s="1"/>
      <c r="SEP19" s="1"/>
      <c r="SEQ19" s="1"/>
      <c r="SER19" s="1"/>
      <c r="SES19" s="1"/>
      <c r="SET19" s="1"/>
      <c r="SEU19" s="1"/>
      <c r="SEV19" s="1"/>
      <c r="SEW19" s="1"/>
      <c r="SEX19" s="1"/>
      <c r="SEY19" s="1"/>
      <c r="SEZ19" s="1"/>
      <c r="SFA19" s="1"/>
      <c r="SFB19" s="1"/>
      <c r="SFC19" s="1"/>
      <c r="SFD19" s="1"/>
      <c r="SFE19" s="1"/>
      <c r="SFF19" s="1"/>
      <c r="SFG19" s="1"/>
      <c r="SFH19" s="1"/>
      <c r="SFI19" s="1"/>
      <c r="SFJ19" s="1"/>
      <c r="SFK19" s="1"/>
      <c r="SFL19" s="1"/>
      <c r="SFM19" s="1"/>
      <c r="SFN19" s="1"/>
      <c r="SFO19" s="1"/>
      <c r="SFP19" s="1"/>
      <c r="SFQ19" s="1"/>
      <c r="SFR19" s="1"/>
      <c r="SFS19" s="1"/>
      <c r="SFT19" s="1"/>
      <c r="SFU19" s="1"/>
      <c r="SFV19" s="1"/>
      <c r="SFW19" s="1"/>
      <c r="SFX19" s="1"/>
      <c r="SFY19" s="1"/>
      <c r="SFZ19" s="1"/>
      <c r="SGA19" s="1"/>
      <c r="SGB19" s="1"/>
      <c r="SGC19" s="1"/>
      <c r="SGD19" s="1"/>
      <c r="SGE19" s="1"/>
      <c r="SGF19" s="1"/>
      <c r="SGG19" s="1"/>
      <c r="SGH19" s="1"/>
      <c r="SGI19" s="1"/>
      <c r="SGJ19" s="1"/>
      <c r="SGK19" s="1"/>
      <c r="SGL19" s="1"/>
      <c r="SGM19" s="1"/>
      <c r="SGN19" s="1"/>
      <c r="SGO19" s="1"/>
      <c r="SGP19" s="1"/>
      <c r="SGQ19" s="1"/>
      <c r="SGR19" s="1"/>
      <c r="SGS19" s="1"/>
      <c r="SGT19" s="1"/>
      <c r="SGU19" s="1"/>
      <c r="SGV19" s="1"/>
      <c r="SGW19" s="1"/>
      <c r="SGX19" s="1"/>
      <c r="SGY19" s="1"/>
      <c r="SGZ19" s="1"/>
      <c r="SHA19" s="1"/>
      <c r="SHB19" s="1"/>
      <c r="SHC19" s="1"/>
      <c r="SHD19" s="1"/>
      <c r="SHE19" s="1"/>
      <c r="SHF19" s="1"/>
      <c r="SHG19" s="1"/>
      <c r="SHH19" s="1"/>
      <c r="SHI19" s="1"/>
      <c r="SHJ19" s="1"/>
      <c r="SHK19" s="1"/>
      <c r="SHL19" s="1"/>
      <c r="SHM19" s="1"/>
      <c r="SHN19" s="1"/>
      <c r="SHO19" s="1"/>
      <c r="SHP19" s="1"/>
      <c r="SHQ19" s="1"/>
      <c r="SHR19" s="1"/>
      <c r="SHS19" s="1"/>
      <c r="SHT19" s="1"/>
      <c r="SHU19" s="1"/>
      <c r="SHV19" s="1"/>
      <c r="SHW19" s="1"/>
      <c r="SHX19" s="1"/>
      <c r="SHY19" s="1"/>
      <c r="SHZ19" s="1"/>
      <c r="SIA19" s="1"/>
      <c r="SIB19" s="1"/>
      <c r="SIC19" s="1"/>
      <c r="SID19" s="1"/>
      <c r="SIE19" s="1"/>
      <c r="SIF19" s="1"/>
      <c r="SIG19" s="1"/>
      <c r="SIH19" s="1"/>
      <c r="SII19" s="1"/>
      <c r="SIJ19" s="1"/>
      <c r="SIK19" s="1"/>
      <c r="SIL19" s="1"/>
      <c r="SIM19" s="1"/>
      <c r="SIN19" s="1"/>
      <c r="SIO19" s="1"/>
      <c r="SIP19" s="1"/>
      <c r="SIQ19" s="1"/>
      <c r="SIR19" s="1"/>
      <c r="SIS19" s="1"/>
      <c r="SIT19" s="1"/>
      <c r="SIU19" s="1"/>
      <c r="SIV19" s="1"/>
      <c r="SIW19" s="1"/>
      <c r="SIX19" s="1"/>
      <c r="SIY19" s="1"/>
      <c r="SIZ19" s="1"/>
      <c r="SJA19" s="1"/>
      <c r="SJB19" s="1"/>
      <c r="SJC19" s="1"/>
      <c r="SJD19" s="1"/>
      <c r="SJE19" s="1"/>
      <c r="SJF19" s="1"/>
      <c r="SJG19" s="1"/>
      <c r="SJH19" s="1"/>
      <c r="SJI19" s="1"/>
      <c r="SJJ19" s="1"/>
      <c r="SJK19" s="1"/>
      <c r="SJL19" s="1"/>
      <c r="SJM19" s="1"/>
      <c r="SJN19" s="1"/>
      <c r="SJO19" s="1"/>
      <c r="SJP19" s="1"/>
      <c r="SJQ19" s="1"/>
      <c r="SJR19" s="1"/>
      <c r="SJS19" s="1"/>
      <c r="SJT19" s="1"/>
      <c r="SJU19" s="1"/>
      <c r="SJV19" s="1"/>
      <c r="SJW19" s="1"/>
      <c r="SJX19" s="1"/>
      <c r="SJY19" s="1"/>
      <c r="SJZ19" s="1"/>
      <c r="SKA19" s="1"/>
      <c r="SKB19" s="1"/>
      <c r="SKC19" s="1"/>
      <c r="SKD19" s="1"/>
      <c r="SKE19" s="1"/>
      <c r="SKF19" s="1"/>
      <c r="SKG19" s="1"/>
      <c r="SKH19" s="1"/>
      <c r="SKI19" s="1"/>
      <c r="SKJ19" s="1"/>
      <c r="SKK19" s="1"/>
      <c r="SKL19" s="1"/>
      <c r="SKM19" s="1"/>
      <c r="SKN19" s="1"/>
      <c r="SKO19" s="1"/>
      <c r="SKP19" s="1"/>
      <c r="SKQ19" s="1"/>
      <c r="SKR19" s="1"/>
      <c r="SKS19" s="1"/>
      <c r="SKT19" s="1"/>
      <c r="SKU19" s="1"/>
      <c r="SKV19" s="1"/>
      <c r="SKW19" s="1"/>
      <c r="SKX19" s="1"/>
      <c r="SKY19" s="1"/>
      <c r="SKZ19" s="1"/>
      <c r="SLA19" s="1"/>
      <c r="SLB19" s="1"/>
      <c r="SLC19" s="1"/>
      <c r="SLD19" s="1"/>
      <c r="SLE19" s="1"/>
      <c r="SLF19" s="1"/>
      <c r="SLG19" s="1"/>
      <c r="SLH19" s="1"/>
      <c r="SLI19" s="1"/>
      <c r="SLJ19" s="1"/>
      <c r="SLK19" s="1"/>
      <c r="SLL19" s="1"/>
      <c r="SLM19" s="1"/>
      <c r="SLN19" s="1"/>
      <c r="SLO19" s="1"/>
      <c r="SLP19" s="1"/>
      <c r="SLQ19" s="1"/>
      <c r="SLR19" s="1"/>
      <c r="SLS19" s="1"/>
      <c r="SLT19" s="1"/>
      <c r="SLU19" s="1"/>
      <c r="SLV19" s="1"/>
      <c r="SLW19" s="1"/>
      <c r="SLX19" s="1"/>
      <c r="SLY19" s="1"/>
      <c r="SLZ19" s="1"/>
      <c r="SMA19" s="1"/>
      <c r="SMB19" s="1"/>
      <c r="SMC19" s="1"/>
      <c r="SMD19" s="1"/>
      <c r="SME19" s="1"/>
      <c r="SMF19" s="1"/>
      <c r="SMG19" s="1"/>
      <c r="SMH19" s="1"/>
      <c r="SMI19" s="1"/>
      <c r="SMJ19" s="1"/>
      <c r="SMK19" s="1"/>
      <c r="SML19" s="1"/>
      <c r="SMM19" s="1"/>
      <c r="SMN19" s="1"/>
      <c r="SMO19" s="1"/>
      <c r="SMP19" s="1"/>
      <c r="SMQ19" s="1"/>
      <c r="SMR19" s="1"/>
      <c r="SMS19" s="1"/>
      <c r="SMT19" s="1"/>
      <c r="SMU19" s="1"/>
      <c r="SMV19" s="1"/>
      <c r="SMW19" s="1"/>
      <c r="SMX19" s="1"/>
      <c r="SMY19" s="1"/>
      <c r="SMZ19" s="1"/>
      <c r="SNA19" s="1"/>
      <c r="SNB19" s="1"/>
      <c r="SNC19" s="1"/>
      <c r="SND19" s="1"/>
      <c r="SNE19" s="1"/>
      <c r="SNF19" s="1"/>
      <c r="SNG19" s="1"/>
      <c r="SNH19" s="1"/>
      <c r="SNI19" s="1"/>
      <c r="SNJ19" s="1"/>
      <c r="SNK19" s="1"/>
      <c r="SNL19" s="1"/>
      <c r="SNM19" s="1"/>
      <c r="SNN19" s="1"/>
      <c r="SNO19" s="1"/>
      <c r="SNP19" s="1"/>
      <c r="SNQ19" s="1"/>
      <c r="SNR19" s="1"/>
      <c r="SNS19" s="1"/>
      <c r="SNT19" s="1"/>
      <c r="SNU19" s="1"/>
      <c r="SNV19" s="1"/>
      <c r="SNW19" s="1"/>
      <c r="SNX19" s="1"/>
      <c r="SNY19" s="1"/>
      <c r="SNZ19" s="1"/>
      <c r="SOA19" s="1"/>
      <c r="SOB19" s="1"/>
      <c r="SOC19" s="1"/>
      <c r="SOD19" s="1"/>
      <c r="SOE19" s="1"/>
      <c r="SOF19" s="1"/>
      <c r="SOG19" s="1"/>
      <c r="SOH19" s="1"/>
      <c r="SOI19" s="1"/>
      <c r="SOJ19" s="1"/>
      <c r="SOK19" s="1"/>
      <c r="SOL19" s="1"/>
      <c r="SOM19" s="1"/>
      <c r="SON19" s="1"/>
      <c r="SOO19" s="1"/>
      <c r="SOP19" s="1"/>
      <c r="SOQ19" s="1"/>
      <c r="SOR19" s="1"/>
      <c r="SOS19" s="1"/>
      <c r="SOT19" s="1"/>
      <c r="SOU19" s="1"/>
      <c r="SOV19" s="1"/>
      <c r="SOW19" s="1"/>
      <c r="SOX19" s="1"/>
      <c r="SOY19" s="1"/>
      <c r="SOZ19" s="1"/>
      <c r="SPA19" s="1"/>
      <c r="SPB19" s="1"/>
      <c r="SPC19" s="1"/>
      <c r="SPD19" s="1"/>
      <c r="SPE19" s="1"/>
      <c r="SPF19" s="1"/>
      <c r="SPG19" s="1"/>
      <c r="SPH19" s="1"/>
      <c r="SPI19" s="1"/>
      <c r="SPJ19" s="1"/>
      <c r="SPK19" s="1"/>
      <c r="SPL19" s="1"/>
      <c r="SPM19" s="1"/>
      <c r="SPN19" s="1"/>
      <c r="SPO19" s="1"/>
      <c r="SPP19" s="1"/>
      <c r="SPQ19" s="1"/>
      <c r="SPR19" s="1"/>
      <c r="SPS19" s="1"/>
      <c r="SPT19" s="1"/>
      <c r="SPU19" s="1"/>
      <c r="SPV19" s="1"/>
      <c r="SPW19" s="1"/>
      <c r="SPX19" s="1"/>
      <c r="SPY19" s="1"/>
      <c r="SPZ19" s="1"/>
      <c r="SQA19" s="1"/>
      <c r="SQB19" s="1"/>
      <c r="SQC19" s="1"/>
      <c r="SQD19" s="1"/>
      <c r="SQE19" s="1"/>
      <c r="SQF19" s="1"/>
      <c r="SQG19" s="1"/>
      <c r="SQH19" s="1"/>
      <c r="SQI19" s="1"/>
      <c r="SQJ19" s="1"/>
      <c r="SQK19" s="1"/>
      <c r="SQL19" s="1"/>
      <c r="SQM19" s="1"/>
      <c r="SQN19" s="1"/>
      <c r="SQO19" s="1"/>
      <c r="SQP19" s="1"/>
      <c r="SQQ19" s="1"/>
      <c r="SQR19" s="1"/>
      <c r="SQS19" s="1"/>
      <c r="SQT19" s="1"/>
      <c r="SQU19" s="1"/>
      <c r="SQV19" s="1"/>
      <c r="SQW19" s="1"/>
      <c r="SQX19" s="1"/>
      <c r="SQY19" s="1"/>
      <c r="SQZ19" s="1"/>
      <c r="SRA19" s="1"/>
      <c r="SRB19" s="1"/>
      <c r="SRC19" s="1"/>
      <c r="SRD19" s="1"/>
      <c r="SRE19" s="1"/>
      <c r="SRF19" s="1"/>
      <c r="SRG19" s="1"/>
      <c r="SRH19" s="1"/>
      <c r="SRI19" s="1"/>
      <c r="SRJ19" s="1"/>
      <c r="SRK19" s="1"/>
      <c r="SRL19" s="1"/>
      <c r="SRM19" s="1"/>
      <c r="SRN19" s="1"/>
      <c r="SRO19" s="1"/>
      <c r="SRP19" s="1"/>
      <c r="SRQ19" s="1"/>
      <c r="SRR19" s="1"/>
      <c r="SRS19" s="1"/>
      <c r="SRT19" s="1"/>
      <c r="SRU19" s="1"/>
      <c r="SRV19" s="1"/>
      <c r="SRW19" s="1"/>
      <c r="SRX19" s="1"/>
      <c r="SRY19" s="1"/>
      <c r="SRZ19" s="1"/>
      <c r="SSA19" s="1"/>
      <c r="SSB19" s="1"/>
      <c r="SSC19" s="1"/>
      <c r="SSD19" s="1"/>
      <c r="SSE19" s="1"/>
      <c r="SSF19" s="1"/>
      <c r="SSG19" s="1"/>
      <c r="SSH19" s="1"/>
      <c r="SSI19" s="1"/>
      <c r="SSJ19" s="1"/>
      <c r="SSK19" s="1"/>
      <c r="SSL19" s="1"/>
      <c r="SSM19" s="1"/>
      <c r="SSN19" s="1"/>
      <c r="SSO19" s="1"/>
      <c r="SSP19" s="1"/>
      <c r="SSQ19" s="1"/>
      <c r="SSR19" s="1"/>
      <c r="SSS19" s="1"/>
      <c r="SST19" s="1"/>
      <c r="SSU19" s="1"/>
      <c r="SSV19" s="1"/>
      <c r="SSW19" s="1"/>
      <c r="SSX19" s="1"/>
      <c r="SSY19" s="1"/>
      <c r="SSZ19" s="1"/>
      <c r="STA19" s="1"/>
      <c r="STB19" s="1"/>
      <c r="STC19" s="1"/>
      <c r="STD19" s="1"/>
      <c r="STE19" s="1"/>
      <c r="STF19" s="1"/>
      <c r="STG19" s="1"/>
      <c r="STH19" s="1"/>
      <c r="STI19" s="1"/>
      <c r="STJ19" s="1"/>
      <c r="STK19" s="1"/>
      <c r="STL19" s="1"/>
      <c r="STM19" s="1"/>
      <c r="STN19" s="1"/>
      <c r="STO19" s="1"/>
      <c r="STP19" s="1"/>
      <c r="STQ19" s="1"/>
      <c r="STR19" s="1"/>
      <c r="STS19" s="1"/>
      <c r="STT19" s="1"/>
      <c r="STU19" s="1"/>
      <c r="STV19" s="1"/>
      <c r="STW19" s="1"/>
      <c r="STX19" s="1"/>
      <c r="STY19" s="1"/>
      <c r="STZ19" s="1"/>
      <c r="SUA19" s="1"/>
      <c r="SUB19" s="1"/>
      <c r="SUC19" s="1"/>
      <c r="SUD19" s="1"/>
      <c r="SUE19" s="1"/>
      <c r="SUF19" s="1"/>
      <c r="SUG19" s="1"/>
      <c r="SUH19" s="1"/>
      <c r="SUI19" s="1"/>
      <c r="SUJ19" s="1"/>
      <c r="SUK19" s="1"/>
      <c r="SUL19" s="1"/>
      <c r="SUM19" s="1"/>
      <c r="SUN19" s="1"/>
      <c r="SUO19" s="1"/>
      <c r="SUP19" s="1"/>
      <c r="SUQ19" s="1"/>
      <c r="SUR19" s="1"/>
      <c r="SUS19" s="1"/>
      <c r="SUT19" s="1"/>
      <c r="SUU19" s="1"/>
      <c r="SUV19" s="1"/>
      <c r="SUW19" s="1"/>
      <c r="SUX19" s="1"/>
      <c r="SUY19" s="1"/>
      <c r="SUZ19" s="1"/>
      <c r="SVA19" s="1"/>
      <c r="SVB19" s="1"/>
      <c r="SVC19" s="1"/>
      <c r="SVD19" s="1"/>
      <c r="SVE19" s="1"/>
      <c r="SVF19" s="1"/>
      <c r="SVG19" s="1"/>
      <c r="SVH19" s="1"/>
      <c r="SVI19" s="1"/>
      <c r="SVJ19" s="1"/>
      <c r="SVK19" s="1"/>
      <c r="SVL19" s="1"/>
      <c r="SVM19" s="1"/>
      <c r="SVN19" s="1"/>
      <c r="SVO19" s="1"/>
      <c r="SVP19" s="1"/>
      <c r="SVQ19" s="1"/>
      <c r="SVR19" s="1"/>
      <c r="SVS19" s="1"/>
      <c r="SVT19" s="1"/>
      <c r="SVU19" s="1"/>
      <c r="SVV19" s="1"/>
      <c r="SVW19" s="1"/>
      <c r="SVX19" s="1"/>
      <c r="SVY19" s="1"/>
      <c r="SVZ19" s="1"/>
      <c r="SWA19" s="1"/>
      <c r="SWB19" s="1"/>
      <c r="SWC19" s="1"/>
      <c r="SWD19" s="1"/>
      <c r="SWE19" s="1"/>
      <c r="SWF19" s="1"/>
      <c r="SWG19" s="1"/>
      <c r="SWH19" s="1"/>
      <c r="SWI19" s="1"/>
      <c r="SWJ19" s="1"/>
      <c r="SWK19" s="1"/>
      <c r="SWL19" s="1"/>
      <c r="SWM19" s="1"/>
      <c r="SWN19" s="1"/>
      <c r="SWO19" s="1"/>
      <c r="SWP19" s="1"/>
      <c r="SWQ19" s="1"/>
      <c r="SWR19" s="1"/>
      <c r="SWS19" s="1"/>
      <c r="SWT19" s="1"/>
      <c r="SWU19" s="1"/>
      <c r="SWV19" s="1"/>
      <c r="SWW19" s="1"/>
      <c r="SWX19" s="1"/>
      <c r="SWY19" s="1"/>
      <c r="SWZ19" s="1"/>
      <c r="SXA19" s="1"/>
      <c r="SXB19" s="1"/>
      <c r="SXC19" s="1"/>
      <c r="SXD19" s="1"/>
      <c r="SXE19" s="1"/>
      <c r="SXF19" s="1"/>
      <c r="SXG19" s="1"/>
      <c r="SXH19" s="1"/>
      <c r="SXI19" s="1"/>
      <c r="SXJ19" s="1"/>
      <c r="SXK19" s="1"/>
      <c r="SXL19" s="1"/>
      <c r="SXM19" s="1"/>
      <c r="SXN19" s="1"/>
      <c r="SXO19" s="1"/>
      <c r="SXP19" s="1"/>
      <c r="SXQ19" s="1"/>
      <c r="SXR19" s="1"/>
      <c r="SXS19" s="1"/>
      <c r="SXT19" s="1"/>
      <c r="SXU19" s="1"/>
      <c r="SXV19" s="1"/>
      <c r="SXW19" s="1"/>
      <c r="SXX19" s="1"/>
      <c r="SXY19" s="1"/>
      <c r="SXZ19" s="1"/>
      <c r="SYA19" s="1"/>
      <c r="SYB19" s="1"/>
      <c r="SYC19" s="1"/>
      <c r="SYD19" s="1"/>
      <c r="SYE19" s="1"/>
      <c r="SYF19" s="1"/>
      <c r="SYG19" s="1"/>
      <c r="SYH19" s="1"/>
      <c r="SYI19" s="1"/>
      <c r="SYJ19" s="1"/>
      <c r="SYK19" s="1"/>
      <c r="SYL19" s="1"/>
      <c r="SYM19" s="1"/>
      <c r="SYN19" s="1"/>
      <c r="SYO19" s="1"/>
      <c r="SYP19" s="1"/>
      <c r="SYQ19" s="1"/>
      <c r="SYR19" s="1"/>
      <c r="SYS19" s="1"/>
      <c r="SYT19" s="1"/>
      <c r="SYU19" s="1"/>
      <c r="SYV19" s="1"/>
      <c r="SYW19" s="1"/>
      <c r="SYX19" s="1"/>
      <c r="SYY19" s="1"/>
      <c r="SYZ19" s="1"/>
      <c r="SZA19" s="1"/>
      <c r="SZB19" s="1"/>
      <c r="SZC19" s="1"/>
      <c r="SZD19" s="1"/>
      <c r="SZE19" s="1"/>
      <c r="SZF19" s="1"/>
      <c r="SZG19" s="1"/>
      <c r="SZH19" s="1"/>
      <c r="SZI19" s="1"/>
      <c r="SZJ19" s="1"/>
      <c r="SZK19" s="1"/>
      <c r="SZL19" s="1"/>
      <c r="SZM19" s="1"/>
      <c r="SZN19" s="1"/>
      <c r="SZO19" s="1"/>
      <c r="SZP19" s="1"/>
      <c r="SZQ19" s="1"/>
      <c r="SZR19" s="1"/>
      <c r="SZS19" s="1"/>
      <c r="SZT19" s="1"/>
      <c r="SZU19" s="1"/>
      <c r="SZV19" s="1"/>
      <c r="SZW19" s="1"/>
      <c r="SZX19" s="1"/>
      <c r="SZY19" s="1"/>
      <c r="SZZ19" s="1"/>
      <c r="TAA19" s="1"/>
      <c r="TAB19" s="1"/>
      <c r="TAC19" s="1"/>
      <c r="TAD19" s="1"/>
      <c r="TAE19" s="1"/>
      <c r="TAF19" s="1"/>
      <c r="TAG19" s="1"/>
      <c r="TAH19" s="1"/>
      <c r="TAI19" s="1"/>
      <c r="TAJ19" s="1"/>
      <c r="TAK19" s="1"/>
      <c r="TAL19" s="1"/>
      <c r="TAM19" s="1"/>
      <c r="TAN19" s="1"/>
      <c r="TAO19" s="1"/>
      <c r="TAP19" s="1"/>
      <c r="TAQ19" s="1"/>
      <c r="TAR19" s="1"/>
      <c r="TAS19" s="1"/>
      <c r="TAT19" s="1"/>
      <c r="TAU19" s="1"/>
      <c r="TAV19" s="1"/>
      <c r="TAW19" s="1"/>
      <c r="TAX19" s="1"/>
      <c r="TAY19" s="1"/>
      <c r="TAZ19" s="1"/>
      <c r="TBA19" s="1"/>
      <c r="TBB19" s="1"/>
      <c r="TBC19" s="1"/>
      <c r="TBD19" s="1"/>
      <c r="TBE19" s="1"/>
      <c r="TBF19" s="1"/>
      <c r="TBG19" s="1"/>
      <c r="TBH19" s="1"/>
      <c r="TBI19" s="1"/>
      <c r="TBJ19" s="1"/>
      <c r="TBK19" s="1"/>
      <c r="TBL19" s="1"/>
      <c r="TBM19" s="1"/>
      <c r="TBN19" s="1"/>
      <c r="TBO19" s="1"/>
      <c r="TBP19" s="1"/>
      <c r="TBQ19" s="1"/>
      <c r="TBR19" s="1"/>
      <c r="TBS19" s="1"/>
      <c r="TBT19" s="1"/>
      <c r="TBU19" s="1"/>
      <c r="TBV19" s="1"/>
      <c r="TBW19" s="1"/>
      <c r="TBX19" s="1"/>
      <c r="TBY19" s="1"/>
      <c r="TBZ19" s="1"/>
      <c r="TCA19" s="1"/>
      <c r="TCB19" s="1"/>
      <c r="TCC19" s="1"/>
      <c r="TCD19" s="1"/>
      <c r="TCE19" s="1"/>
      <c r="TCF19" s="1"/>
      <c r="TCG19" s="1"/>
      <c r="TCH19" s="1"/>
      <c r="TCI19" s="1"/>
      <c r="TCJ19" s="1"/>
      <c r="TCK19" s="1"/>
      <c r="TCL19" s="1"/>
      <c r="TCM19" s="1"/>
      <c r="TCN19" s="1"/>
      <c r="TCO19" s="1"/>
      <c r="TCP19" s="1"/>
      <c r="TCQ19" s="1"/>
      <c r="TCR19" s="1"/>
      <c r="TCS19" s="1"/>
      <c r="TCT19" s="1"/>
      <c r="TCU19" s="1"/>
      <c r="TCV19" s="1"/>
      <c r="TCW19" s="1"/>
      <c r="TCX19" s="1"/>
      <c r="TCY19" s="1"/>
      <c r="TCZ19" s="1"/>
      <c r="TDA19" s="1"/>
      <c r="TDB19" s="1"/>
      <c r="TDC19" s="1"/>
      <c r="TDD19" s="1"/>
      <c r="TDE19" s="1"/>
      <c r="TDF19" s="1"/>
      <c r="TDG19" s="1"/>
      <c r="TDH19" s="1"/>
      <c r="TDI19" s="1"/>
      <c r="TDJ19" s="1"/>
      <c r="TDK19" s="1"/>
      <c r="TDL19" s="1"/>
      <c r="TDM19" s="1"/>
      <c r="TDN19" s="1"/>
      <c r="TDO19" s="1"/>
      <c r="TDP19" s="1"/>
      <c r="TDQ19" s="1"/>
      <c r="TDR19" s="1"/>
      <c r="TDS19" s="1"/>
      <c r="TDT19" s="1"/>
      <c r="TDU19" s="1"/>
      <c r="TDV19" s="1"/>
      <c r="TDW19" s="1"/>
      <c r="TDX19" s="1"/>
      <c r="TDY19" s="1"/>
      <c r="TDZ19" s="1"/>
      <c r="TEA19" s="1"/>
      <c r="TEB19" s="1"/>
      <c r="TEC19" s="1"/>
      <c r="TED19" s="1"/>
      <c r="TEE19" s="1"/>
      <c r="TEF19" s="1"/>
      <c r="TEG19" s="1"/>
      <c r="TEH19" s="1"/>
      <c r="TEI19" s="1"/>
      <c r="TEJ19" s="1"/>
      <c r="TEK19" s="1"/>
      <c r="TEL19" s="1"/>
      <c r="TEM19" s="1"/>
      <c r="TEN19" s="1"/>
      <c r="TEO19" s="1"/>
      <c r="TEP19" s="1"/>
      <c r="TEQ19" s="1"/>
      <c r="TER19" s="1"/>
      <c r="TES19" s="1"/>
      <c r="TET19" s="1"/>
      <c r="TEU19" s="1"/>
      <c r="TEV19" s="1"/>
      <c r="TEW19" s="1"/>
      <c r="TEX19" s="1"/>
      <c r="TEY19" s="1"/>
      <c r="TEZ19" s="1"/>
      <c r="TFA19" s="1"/>
      <c r="TFB19" s="1"/>
      <c r="TFC19" s="1"/>
      <c r="TFD19" s="1"/>
      <c r="TFE19" s="1"/>
      <c r="TFF19" s="1"/>
      <c r="TFG19" s="1"/>
      <c r="TFH19" s="1"/>
      <c r="TFI19" s="1"/>
      <c r="TFJ19" s="1"/>
      <c r="TFK19" s="1"/>
      <c r="TFL19" s="1"/>
      <c r="TFM19" s="1"/>
      <c r="TFN19" s="1"/>
      <c r="TFO19" s="1"/>
      <c r="TFP19" s="1"/>
      <c r="TFQ19" s="1"/>
      <c r="TFR19" s="1"/>
      <c r="TFS19" s="1"/>
      <c r="TFT19" s="1"/>
      <c r="TFU19" s="1"/>
      <c r="TFV19" s="1"/>
      <c r="TFW19" s="1"/>
      <c r="TFX19" s="1"/>
      <c r="TFY19" s="1"/>
      <c r="TFZ19" s="1"/>
      <c r="TGA19" s="1"/>
      <c r="TGB19" s="1"/>
      <c r="TGC19" s="1"/>
      <c r="TGD19" s="1"/>
      <c r="TGE19" s="1"/>
      <c r="TGF19" s="1"/>
      <c r="TGG19" s="1"/>
      <c r="TGH19" s="1"/>
      <c r="TGI19" s="1"/>
      <c r="TGJ19" s="1"/>
      <c r="TGK19" s="1"/>
      <c r="TGL19" s="1"/>
      <c r="TGM19" s="1"/>
      <c r="TGN19" s="1"/>
      <c r="TGO19" s="1"/>
      <c r="TGP19" s="1"/>
      <c r="TGQ19" s="1"/>
      <c r="TGR19" s="1"/>
      <c r="TGS19" s="1"/>
      <c r="TGT19" s="1"/>
      <c r="TGU19" s="1"/>
      <c r="TGV19" s="1"/>
      <c r="TGW19" s="1"/>
      <c r="TGX19" s="1"/>
      <c r="TGY19" s="1"/>
      <c r="TGZ19" s="1"/>
      <c r="THA19" s="1"/>
      <c r="THB19" s="1"/>
      <c r="THC19" s="1"/>
      <c r="THD19" s="1"/>
      <c r="THE19" s="1"/>
      <c r="THF19" s="1"/>
      <c r="THG19" s="1"/>
      <c r="THH19" s="1"/>
      <c r="THI19" s="1"/>
      <c r="THJ19" s="1"/>
      <c r="THK19" s="1"/>
      <c r="THL19" s="1"/>
      <c r="THM19" s="1"/>
      <c r="THN19" s="1"/>
      <c r="THO19" s="1"/>
      <c r="THP19" s="1"/>
      <c r="THQ19" s="1"/>
      <c r="THR19" s="1"/>
      <c r="THS19" s="1"/>
      <c r="THT19" s="1"/>
      <c r="THU19" s="1"/>
      <c r="THV19" s="1"/>
      <c r="THW19" s="1"/>
      <c r="THX19" s="1"/>
      <c r="THY19" s="1"/>
      <c r="THZ19" s="1"/>
      <c r="TIA19" s="1"/>
      <c r="TIB19" s="1"/>
      <c r="TIC19" s="1"/>
      <c r="TID19" s="1"/>
      <c r="TIE19" s="1"/>
      <c r="TIF19" s="1"/>
      <c r="TIG19" s="1"/>
      <c r="TIH19" s="1"/>
      <c r="TII19" s="1"/>
      <c r="TIJ19" s="1"/>
      <c r="TIK19" s="1"/>
      <c r="TIL19" s="1"/>
      <c r="TIM19" s="1"/>
      <c r="TIN19" s="1"/>
      <c r="TIO19" s="1"/>
      <c r="TIP19" s="1"/>
      <c r="TIQ19" s="1"/>
      <c r="TIR19" s="1"/>
      <c r="TIS19" s="1"/>
      <c r="TIT19" s="1"/>
      <c r="TIU19" s="1"/>
      <c r="TIV19" s="1"/>
      <c r="TIW19" s="1"/>
      <c r="TIX19" s="1"/>
      <c r="TIY19" s="1"/>
      <c r="TIZ19" s="1"/>
      <c r="TJA19" s="1"/>
      <c r="TJB19" s="1"/>
      <c r="TJC19" s="1"/>
      <c r="TJD19" s="1"/>
      <c r="TJE19" s="1"/>
      <c r="TJF19" s="1"/>
      <c r="TJG19" s="1"/>
      <c r="TJH19" s="1"/>
      <c r="TJI19" s="1"/>
      <c r="TJJ19" s="1"/>
      <c r="TJK19" s="1"/>
      <c r="TJL19" s="1"/>
      <c r="TJM19" s="1"/>
      <c r="TJN19" s="1"/>
      <c r="TJO19" s="1"/>
      <c r="TJP19" s="1"/>
      <c r="TJQ19" s="1"/>
      <c r="TJR19" s="1"/>
      <c r="TJS19" s="1"/>
      <c r="TJT19" s="1"/>
      <c r="TJU19" s="1"/>
      <c r="TJV19" s="1"/>
      <c r="TJW19" s="1"/>
      <c r="TJX19" s="1"/>
      <c r="TJY19" s="1"/>
      <c r="TJZ19" s="1"/>
      <c r="TKA19" s="1"/>
      <c r="TKB19" s="1"/>
      <c r="TKC19" s="1"/>
      <c r="TKD19" s="1"/>
      <c r="TKE19" s="1"/>
      <c r="TKF19" s="1"/>
      <c r="TKG19" s="1"/>
      <c r="TKH19" s="1"/>
      <c r="TKI19" s="1"/>
      <c r="TKJ19" s="1"/>
      <c r="TKK19" s="1"/>
      <c r="TKL19" s="1"/>
      <c r="TKM19" s="1"/>
      <c r="TKN19" s="1"/>
      <c r="TKO19" s="1"/>
      <c r="TKP19" s="1"/>
      <c r="TKQ19" s="1"/>
      <c r="TKR19" s="1"/>
      <c r="TKS19" s="1"/>
      <c r="TKT19" s="1"/>
      <c r="TKU19" s="1"/>
      <c r="TKV19" s="1"/>
      <c r="TKW19" s="1"/>
      <c r="TKX19" s="1"/>
      <c r="TKY19" s="1"/>
      <c r="TKZ19" s="1"/>
      <c r="TLA19" s="1"/>
      <c r="TLB19" s="1"/>
      <c r="TLC19" s="1"/>
      <c r="TLD19" s="1"/>
      <c r="TLE19" s="1"/>
      <c r="TLF19" s="1"/>
      <c r="TLG19" s="1"/>
      <c r="TLH19" s="1"/>
      <c r="TLI19" s="1"/>
      <c r="TLJ19" s="1"/>
      <c r="TLK19" s="1"/>
      <c r="TLL19" s="1"/>
      <c r="TLM19" s="1"/>
      <c r="TLN19" s="1"/>
      <c r="TLO19" s="1"/>
      <c r="TLP19" s="1"/>
      <c r="TLQ19" s="1"/>
      <c r="TLR19" s="1"/>
      <c r="TLS19" s="1"/>
      <c r="TLT19" s="1"/>
      <c r="TLU19" s="1"/>
      <c r="TLV19" s="1"/>
      <c r="TLW19" s="1"/>
      <c r="TLX19" s="1"/>
      <c r="TLY19" s="1"/>
      <c r="TLZ19" s="1"/>
      <c r="TMA19" s="1"/>
      <c r="TMB19" s="1"/>
      <c r="TMC19" s="1"/>
      <c r="TMD19" s="1"/>
      <c r="TME19" s="1"/>
      <c r="TMF19" s="1"/>
      <c r="TMG19" s="1"/>
      <c r="TMH19" s="1"/>
      <c r="TMI19" s="1"/>
      <c r="TMJ19" s="1"/>
      <c r="TMK19" s="1"/>
      <c r="TML19" s="1"/>
      <c r="TMM19" s="1"/>
      <c r="TMN19" s="1"/>
      <c r="TMO19" s="1"/>
      <c r="TMP19" s="1"/>
      <c r="TMQ19" s="1"/>
      <c r="TMR19" s="1"/>
      <c r="TMS19" s="1"/>
      <c r="TMT19" s="1"/>
      <c r="TMU19" s="1"/>
      <c r="TMV19" s="1"/>
      <c r="TMW19" s="1"/>
      <c r="TMX19" s="1"/>
      <c r="TMY19" s="1"/>
      <c r="TMZ19" s="1"/>
      <c r="TNA19" s="1"/>
      <c r="TNB19" s="1"/>
      <c r="TNC19" s="1"/>
      <c r="TND19" s="1"/>
      <c r="TNE19" s="1"/>
      <c r="TNF19" s="1"/>
      <c r="TNG19" s="1"/>
      <c r="TNH19" s="1"/>
      <c r="TNI19" s="1"/>
      <c r="TNJ19" s="1"/>
      <c r="TNK19" s="1"/>
      <c r="TNL19" s="1"/>
      <c r="TNM19" s="1"/>
      <c r="TNN19" s="1"/>
      <c r="TNO19" s="1"/>
      <c r="TNP19" s="1"/>
      <c r="TNQ19" s="1"/>
      <c r="TNR19" s="1"/>
      <c r="TNS19" s="1"/>
      <c r="TNT19" s="1"/>
      <c r="TNU19" s="1"/>
      <c r="TNV19" s="1"/>
      <c r="TNW19" s="1"/>
      <c r="TNX19" s="1"/>
      <c r="TNY19" s="1"/>
      <c r="TNZ19" s="1"/>
      <c r="TOA19" s="1"/>
      <c r="TOB19" s="1"/>
      <c r="TOC19" s="1"/>
      <c r="TOD19" s="1"/>
      <c r="TOE19" s="1"/>
      <c r="TOF19" s="1"/>
      <c r="TOG19" s="1"/>
      <c r="TOH19" s="1"/>
      <c r="TOI19" s="1"/>
      <c r="TOJ19" s="1"/>
      <c r="TOK19" s="1"/>
      <c r="TOL19" s="1"/>
      <c r="TOM19" s="1"/>
      <c r="TON19" s="1"/>
      <c r="TOO19" s="1"/>
      <c r="TOP19" s="1"/>
      <c r="TOQ19" s="1"/>
      <c r="TOR19" s="1"/>
      <c r="TOS19" s="1"/>
      <c r="TOT19" s="1"/>
      <c r="TOU19" s="1"/>
      <c r="TOV19" s="1"/>
      <c r="TOW19" s="1"/>
      <c r="TOX19" s="1"/>
      <c r="TOY19" s="1"/>
      <c r="TOZ19" s="1"/>
      <c r="TPA19" s="1"/>
      <c r="TPB19" s="1"/>
      <c r="TPC19" s="1"/>
      <c r="TPD19" s="1"/>
      <c r="TPE19" s="1"/>
      <c r="TPF19" s="1"/>
      <c r="TPG19" s="1"/>
      <c r="TPH19" s="1"/>
      <c r="TPI19" s="1"/>
      <c r="TPJ19" s="1"/>
      <c r="TPK19" s="1"/>
      <c r="TPL19" s="1"/>
      <c r="TPM19" s="1"/>
      <c r="TPN19" s="1"/>
      <c r="TPO19" s="1"/>
      <c r="TPP19" s="1"/>
      <c r="TPQ19" s="1"/>
      <c r="TPR19" s="1"/>
      <c r="TPS19" s="1"/>
      <c r="TPT19" s="1"/>
      <c r="TPU19" s="1"/>
      <c r="TPV19" s="1"/>
      <c r="TPW19" s="1"/>
      <c r="TPX19" s="1"/>
      <c r="TPY19" s="1"/>
      <c r="TPZ19" s="1"/>
      <c r="TQA19" s="1"/>
      <c r="TQB19" s="1"/>
      <c r="TQC19" s="1"/>
      <c r="TQD19" s="1"/>
      <c r="TQE19" s="1"/>
      <c r="TQF19" s="1"/>
      <c r="TQG19" s="1"/>
      <c r="TQH19" s="1"/>
      <c r="TQI19" s="1"/>
      <c r="TQJ19" s="1"/>
      <c r="TQK19" s="1"/>
      <c r="TQL19" s="1"/>
      <c r="TQM19" s="1"/>
      <c r="TQN19" s="1"/>
      <c r="TQO19" s="1"/>
      <c r="TQP19" s="1"/>
      <c r="TQQ19" s="1"/>
      <c r="TQR19" s="1"/>
      <c r="TQS19" s="1"/>
      <c r="TQT19" s="1"/>
      <c r="TQU19" s="1"/>
      <c r="TQV19" s="1"/>
      <c r="TQW19" s="1"/>
      <c r="TQX19" s="1"/>
      <c r="TQY19" s="1"/>
      <c r="TQZ19" s="1"/>
      <c r="TRA19" s="1"/>
      <c r="TRB19" s="1"/>
      <c r="TRC19" s="1"/>
      <c r="TRD19" s="1"/>
      <c r="TRE19" s="1"/>
      <c r="TRF19" s="1"/>
      <c r="TRG19" s="1"/>
      <c r="TRH19" s="1"/>
      <c r="TRI19" s="1"/>
      <c r="TRJ19" s="1"/>
      <c r="TRK19" s="1"/>
      <c r="TRL19" s="1"/>
      <c r="TRM19" s="1"/>
      <c r="TRN19" s="1"/>
      <c r="TRO19" s="1"/>
      <c r="TRP19" s="1"/>
      <c r="TRQ19" s="1"/>
      <c r="TRR19" s="1"/>
      <c r="TRS19" s="1"/>
      <c r="TRT19" s="1"/>
      <c r="TRU19" s="1"/>
      <c r="TRV19" s="1"/>
      <c r="TRW19" s="1"/>
      <c r="TRX19" s="1"/>
      <c r="TRY19" s="1"/>
      <c r="TRZ19" s="1"/>
      <c r="TSA19" s="1"/>
      <c r="TSB19" s="1"/>
      <c r="TSC19" s="1"/>
      <c r="TSD19" s="1"/>
      <c r="TSE19" s="1"/>
      <c r="TSF19" s="1"/>
      <c r="TSG19" s="1"/>
      <c r="TSH19" s="1"/>
      <c r="TSI19" s="1"/>
      <c r="TSJ19" s="1"/>
      <c r="TSK19" s="1"/>
      <c r="TSL19" s="1"/>
      <c r="TSM19" s="1"/>
      <c r="TSN19" s="1"/>
      <c r="TSO19" s="1"/>
      <c r="TSP19" s="1"/>
      <c r="TSQ19" s="1"/>
      <c r="TSR19" s="1"/>
      <c r="TSS19" s="1"/>
      <c r="TST19" s="1"/>
      <c r="TSU19" s="1"/>
      <c r="TSV19" s="1"/>
      <c r="TSW19" s="1"/>
      <c r="TSX19" s="1"/>
      <c r="TSY19" s="1"/>
      <c r="TSZ19" s="1"/>
      <c r="TTA19" s="1"/>
      <c r="TTB19" s="1"/>
      <c r="TTC19" s="1"/>
      <c r="TTD19" s="1"/>
      <c r="TTE19" s="1"/>
      <c r="TTF19" s="1"/>
      <c r="TTG19" s="1"/>
      <c r="TTH19" s="1"/>
      <c r="TTI19" s="1"/>
      <c r="TTJ19" s="1"/>
      <c r="TTK19" s="1"/>
      <c r="TTL19" s="1"/>
      <c r="TTM19" s="1"/>
      <c r="TTN19" s="1"/>
      <c r="TTO19" s="1"/>
      <c r="TTP19" s="1"/>
      <c r="TTQ19" s="1"/>
      <c r="TTR19" s="1"/>
      <c r="TTS19" s="1"/>
      <c r="TTT19" s="1"/>
      <c r="TTU19" s="1"/>
      <c r="TTV19" s="1"/>
      <c r="TTW19" s="1"/>
      <c r="TTX19" s="1"/>
      <c r="TTY19" s="1"/>
      <c r="TTZ19" s="1"/>
      <c r="TUA19" s="1"/>
      <c r="TUB19" s="1"/>
      <c r="TUC19" s="1"/>
      <c r="TUD19" s="1"/>
      <c r="TUE19" s="1"/>
      <c r="TUF19" s="1"/>
      <c r="TUG19" s="1"/>
      <c r="TUH19" s="1"/>
      <c r="TUI19" s="1"/>
      <c r="TUJ19" s="1"/>
      <c r="TUK19" s="1"/>
      <c r="TUL19" s="1"/>
      <c r="TUM19" s="1"/>
      <c r="TUN19" s="1"/>
      <c r="TUO19" s="1"/>
      <c r="TUP19" s="1"/>
      <c r="TUQ19" s="1"/>
      <c r="TUR19" s="1"/>
      <c r="TUS19" s="1"/>
      <c r="TUT19" s="1"/>
      <c r="TUU19" s="1"/>
      <c r="TUV19" s="1"/>
      <c r="TUW19" s="1"/>
      <c r="TUX19" s="1"/>
      <c r="TUY19" s="1"/>
      <c r="TUZ19" s="1"/>
      <c r="TVA19" s="1"/>
      <c r="TVB19" s="1"/>
      <c r="TVC19" s="1"/>
      <c r="TVD19" s="1"/>
      <c r="TVE19" s="1"/>
      <c r="TVF19" s="1"/>
      <c r="TVG19" s="1"/>
      <c r="TVH19" s="1"/>
      <c r="TVI19" s="1"/>
      <c r="TVJ19" s="1"/>
      <c r="TVK19" s="1"/>
      <c r="TVL19" s="1"/>
      <c r="TVM19" s="1"/>
      <c r="TVN19" s="1"/>
      <c r="TVO19" s="1"/>
      <c r="TVP19" s="1"/>
      <c r="TVQ19" s="1"/>
      <c r="TVR19" s="1"/>
      <c r="TVS19" s="1"/>
      <c r="TVT19" s="1"/>
      <c r="TVU19" s="1"/>
      <c r="TVV19" s="1"/>
      <c r="TVW19" s="1"/>
      <c r="TVX19" s="1"/>
      <c r="TVY19" s="1"/>
      <c r="TVZ19" s="1"/>
      <c r="TWA19" s="1"/>
      <c r="TWB19" s="1"/>
      <c r="TWC19" s="1"/>
      <c r="TWD19" s="1"/>
      <c r="TWE19" s="1"/>
      <c r="TWF19" s="1"/>
      <c r="TWG19" s="1"/>
      <c r="TWH19" s="1"/>
      <c r="TWI19" s="1"/>
      <c r="TWJ19" s="1"/>
      <c r="TWK19" s="1"/>
      <c r="TWL19" s="1"/>
      <c r="TWM19" s="1"/>
      <c r="TWN19" s="1"/>
      <c r="TWO19" s="1"/>
      <c r="TWP19" s="1"/>
      <c r="TWQ19" s="1"/>
      <c r="TWR19" s="1"/>
      <c r="TWS19" s="1"/>
      <c r="TWT19" s="1"/>
      <c r="TWU19" s="1"/>
      <c r="TWV19" s="1"/>
      <c r="TWW19" s="1"/>
      <c r="TWX19" s="1"/>
      <c r="TWY19" s="1"/>
      <c r="TWZ19" s="1"/>
      <c r="TXA19" s="1"/>
      <c r="TXB19" s="1"/>
      <c r="TXC19" s="1"/>
      <c r="TXD19" s="1"/>
      <c r="TXE19" s="1"/>
      <c r="TXF19" s="1"/>
      <c r="TXG19" s="1"/>
      <c r="TXH19" s="1"/>
      <c r="TXI19" s="1"/>
      <c r="TXJ19" s="1"/>
      <c r="TXK19" s="1"/>
      <c r="TXL19" s="1"/>
      <c r="TXM19" s="1"/>
      <c r="TXN19" s="1"/>
      <c r="TXO19" s="1"/>
      <c r="TXP19" s="1"/>
      <c r="TXQ19" s="1"/>
      <c r="TXR19" s="1"/>
      <c r="TXS19" s="1"/>
      <c r="TXT19" s="1"/>
      <c r="TXU19" s="1"/>
      <c r="TXV19" s="1"/>
      <c r="TXW19" s="1"/>
      <c r="TXX19" s="1"/>
      <c r="TXY19" s="1"/>
      <c r="TXZ19" s="1"/>
      <c r="TYA19" s="1"/>
      <c r="TYB19" s="1"/>
      <c r="TYC19" s="1"/>
      <c r="TYD19" s="1"/>
      <c r="TYE19" s="1"/>
      <c r="TYF19" s="1"/>
      <c r="TYG19" s="1"/>
      <c r="TYH19" s="1"/>
      <c r="TYI19" s="1"/>
      <c r="TYJ19" s="1"/>
      <c r="TYK19" s="1"/>
      <c r="TYL19" s="1"/>
      <c r="TYM19" s="1"/>
      <c r="TYN19" s="1"/>
      <c r="TYO19" s="1"/>
      <c r="TYP19" s="1"/>
      <c r="TYQ19" s="1"/>
      <c r="TYR19" s="1"/>
      <c r="TYS19" s="1"/>
      <c r="TYT19" s="1"/>
      <c r="TYU19" s="1"/>
      <c r="TYV19" s="1"/>
      <c r="TYW19" s="1"/>
      <c r="TYX19" s="1"/>
      <c r="TYY19" s="1"/>
      <c r="TYZ19" s="1"/>
      <c r="TZA19" s="1"/>
      <c r="TZB19" s="1"/>
      <c r="TZC19" s="1"/>
      <c r="TZD19" s="1"/>
      <c r="TZE19" s="1"/>
      <c r="TZF19" s="1"/>
      <c r="TZG19" s="1"/>
      <c r="TZH19" s="1"/>
      <c r="TZI19" s="1"/>
      <c r="TZJ19" s="1"/>
      <c r="TZK19" s="1"/>
      <c r="TZL19" s="1"/>
      <c r="TZM19" s="1"/>
      <c r="TZN19" s="1"/>
      <c r="TZO19" s="1"/>
      <c r="TZP19" s="1"/>
      <c r="TZQ19" s="1"/>
      <c r="TZR19" s="1"/>
      <c r="TZS19" s="1"/>
      <c r="TZT19" s="1"/>
      <c r="TZU19" s="1"/>
      <c r="TZV19" s="1"/>
      <c r="TZW19" s="1"/>
      <c r="TZX19" s="1"/>
      <c r="TZY19" s="1"/>
      <c r="TZZ19" s="1"/>
      <c r="UAA19" s="1"/>
      <c r="UAB19" s="1"/>
      <c r="UAC19" s="1"/>
      <c r="UAD19" s="1"/>
      <c r="UAE19" s="1"/>
      <c r="UAF19" s="1"/>
      <c r="UAG19" s="1"/>
      <c r="UAH19" s="1"/>
      <c r="UAI19" s="1"/>
      <c r="UAJ19" s="1"/>
      <c r="UAK19" s="1"/>
      <c r="UAL19" s="1"/>
      <c r="UAM19" s="1"/>
      <c r="UAN19" s="1"/>
      <c r="UAO19" s="1"/>
      <c r="UAP19" s="1"/>
      <c r="UAQ19" s="1"/>
      <c r="UAR19" s="1"/>
      <c r="UAS19" s="1"/>
      <c r="UAT19" s="1"/>
      <c r="UAU19" s="1"/>
      <c r="UAV19" s="1"/>
      <c r="UAW19" s="1"/>
      <c r="UAX19" s="1"/>
      <c r="UAY19" s="1"/>
      <c r="UAZ19" s="1"/>
      <c r="UBA19" s="1"/>
      <c r="UBB19" s="1"/>
      <c r="UBC19" s="1"/>
      <c r="UBD19" s="1"/>
      <c r="UBE19" s="1"/>
      <c r="UBF19" s="1"/>
      <c r="UBG19" s="1"/>
      <c r="UBH19" s="1"/>
      <c r="UBI19" s="1"/>
      <c r="UBJ19" s="1"/>
      <c r="UBK19" s="1"/>
      <c r="UBL19" s="1"/>
      <c r="UBM19" s="1"/>
      <c r="UBN19" s="1"/>
      <c r="UBO19" s="1"/>
      <c r="UBP19" s="1"/>
      <c r="UBQ19" s="1"/>
      <c r="UBR19" s="1"/>
      <c r="UBS19" s="1"/>
      <c r="UBT19" s="1"/>
      <c r="UBU19" s="1"/>
      <c r="UBV19" s="1"/>
      <c r="UBW19" s="1"/>
      <c r="UBX19" s="1"/>
      <c r="UBY19" s="1"/>
      <c r="UBZ19" s="1"/>
      <c r="UCA19" s="1"/>
      <c r="UCB19" s="1"/>
      <c r="UCC19" s="1"/>
      <c r="UCD19" s="1"/>
      <c r="UCE19" s="1"/>
      <c r="UCF19" s="1"/>
      <c r="UCG19" s="1"/>
      <c r="UCH19" s="1"/>
      <c r="UCI19" s="1"/>
      <c r="UCJ19" s="1"/>
      <c r="UCK19" s="1"/>
      <c r="UCL19" s="1"/>
      <c r="UCM19" s="1"/>
      <c r="UCN19" s="1"/>
      <c r="UCO19" s="1"/>
      <c r="UCP19" s="1"/>
      <c r="UCQ19" s="1"/>
      <c r="UCR19" s="1"/>
      <c r="UCS19" s="1"/>
      <c r="UCT19" s="1"/>
      <c r="UCU19" s="1"/>
      <c r="UCV19" s="1"/>
      <c r="UCW19" s="1"/>
      <c r="UCX19" s="1"/>
      <c r="UCY19" s="1"/>
      <c r="UCZ19" s="1"/>
      <c r="UDA19" s="1"/>
      <c r="UDB19" s="1"/>
      <c r="UDC19" s="1"/>
      <c r="UDD19" s="1"/>
      <c r="UDE19" s="1"/>
      <c r="UDF19" s="1"/>
      <c r="UDG19" s="1"/>
      <c r="UDH19" s="1"/>
      <c r="UDI19" s="1"/>
      <c r="UDJ19" s="1"/>
      <c r="UDK19" s="1"/>
      <c r="UDL19" s="1"/>
      <c r="UDM19" s="1"/>
      <c r="UDN19" s="1"/>
      <c r="UDO19" s="1"/>
      <c r="UDP19" s="1"/>
      <c r="UDQ19" s="1"/>
      <c r="UDR19" s="1"/>
      <c r="UDS19" s="1"/>
      <c r="UDT19" s="1"/>
      <c r="UDU19" s="1"/>
      <c r="UDV19" s="1"/>
      <c r="UDW19" s="1"/>
      <c r="UDX19" s="1"/>
      <c r="UDY19" s="1"/>
      <c r="UDZ19" s="1"/>
      <c r="UEA19" s="1"/>
      <c r="UEB19" s="1"/>
      <c r="UEC19" s="1"/>
      <c r="UED19" s="1"/>
      <c r="UEE19" s="1"/>
      <c r="UEF19" s="1"/>
      <c r="UEG19" s="1"/>
      <c r="UEH19" s="1"/>
      <c r="UEI19" s="1"/>
      <c r="UEJ19" s="1"/>
      <c r="UEK19" s="1"/>
      <c r="UEL19" s="1"/>
      <c r="UEM19" s="1"/>
      <c r="UEN19" s="1"/>
      <c r="UEO19" s="1"/>
      <c r="UEP19" s="1"/>
      <c r="UEQ19" s="1"/>
      <c r="UER19" s="1"/>
      <c r="UES19" s="1"/>
      <c r="UET19" s="1"/>
      <c r="UEU19" s="1"/>
      <c r="UEV19" s="1"/>
      <c r="UEW19" s="1"/>
      <c r="UEX19" s="1"/>
      <c r="UEY19" s="1"/>
      <c r="UEZ19" s="1"/>
      <c r="UFA19" s="1"/>
      <c r="UFB19" s="1"/>
      <c r="UFC19" s="1"/>
      <c r="UFD19" s="1"/>
      <c r="UFE19" s="1"/>
      <c r="UFF19" s="1"/>
      <c r="UFG19" s="1"/>
      <c r="UFH19" s="1"/>
      <c r="UFI19" s="1"/>
      <c r="UFJ19" s="1"/>
      <c r="UFK19" s="1"/>
      <c r="UFL19" s="1"/>
      <c r="UFM19" s="1"/>
      <c r="UFN19" s="1"/>
      <c r="UFO19" s="1"/>
      <c r="UFP19" s="1"/>
      <c r="UFQ19" s="1"/>
      <c r="UFR19" s="1"/>
      <c r="UFS19" s="1"/>
      <c r="UFT19" s="1"/>
      <c r="UFU19" s="1"/>
      <c r="UFV19" s="1"/>
      <c r="UFW19" s="1"/>
      <c r="UFX19" s="1"/>
      <c r="UFY19" s="1"/>
      <c r="UFZ19" s="1"/>
      <c r="UGA19" s="1"/>
      <c r="UGB19" s="1"/>
      <c r="UGC19" s="1"/>
      <c r="UGD19" s="1"/>
      <c r="UGE19" s="1"/>
      <c r="UGF19" s="1"/>
      <c r="UGG19" s="1"/>
      <c r="UGH19" s="1"/>
      <c r="UGI19" s="1"/>
      <c r="UGJ19" s="1"/>
      <c r="UGK19" s="1"/>
      <c r="UGL19" s="1"/>
      <c r="UGM19" s="1"/>
      <c r="UGN19" s="1"/>
      <c r="UGO19" s="1"/>
      <c r="UGP19" s="1"/>
      <c r="UGQ19" s="1"/>
      <c r="UGR19" s="1"/>
      <c r="UGS19" s="1"/>
      <c r="UGT19" s="1"/>
      <c r="UGU19" s="1"/>
      <c r="UGV19" s="1"/>
      <c r="UGW19" s="1"/>
      <c r="UGX19" s="1"/>
      <c r="UGY19" s="1"/>
      <c r="UGZ19" s="1"/>
      <c r="UHA19" s="1"/>
      <c r="UHB19" s="1"/>
      <c r="UHC19" s="1"/>
      <c r="UHD19" s="1"/>
      <c r="UHE19" s="1"/>
      <c r="UHF19" s="1"/>
      <c r="UHG19" s="1"/>
      <c r="UHH19" s="1"/>
      <c r="UHI19" s="1"/>
      <c r="UHJ19" s="1"/>
      <c r="UHK19" s="1"/>
      <c r="UHL19" s="1"/>
      <c r="UHM19" s="1"/>
      <c r="UHN19" s="1"/>
      <c r="UHO19" s="1"/>
      <c r="UHP19" s="1"/>
      <c r="UHQ19" s="1"/>
      <c r="UHR19" s="1"/>
      <c r="UHS19" s="1"/>
      <c r="UHT19" s="1"/>
      <c r="UHU19" s="1"/>
      <c r="UHV19" s="1"/>
      <c r="UHW19" s="1"/>
      <c r="UHX19" s="1"/>
      <c r="UHY19" s="1"/>
      <c r="UHZ19" s="1"/>
      <c r="UIA19" s="1"/>
      <c r="UIB19" s="1"/>
      <c r="UIC19" s="1"/>
      <c r="UID19" s="1"/>
      <c r="UIE19" s="1"/>
      <c r="UIF19" s="1"/>
      <c r="UIG19" s="1"/>
      <c r="UIH19" s="1"/>
      <c r="UII19" s="1"/>
      <c r="UIJ19" s="1"/>
      <c r="UIK19" s="1"/>
      <c r="UIL19" s="1"/>
      <c r="UIM19" s="1"/>
      <c r="UIN19" s="1"/>
      <c r="UIO19" s="1"/>
      <c r="UIP19" s="1"/>
      <c r="UIQ19" s="1"/>
      <c r="UIR19" s="1"/>
      <c r="UIS19" s="1"/>
      <c r="UIT19" s="1"/>
      <c r="UIU19" s="1"/>
      <c r="UIV19" s="1"/>
      <c r="UIW19" s="1"/>
      <c r="UIX19" s="1"/>
      <c r="UIY19" s="1"/>
      <c r="UIZ19" s="1"/>
      <c r="UJA19" s="1"/>
      <c r="UJB19" s="1"/>
      <c r="UJC19" s="1"/>
      <c r="UJD19" s="1"/>
      <c r="UJE19" s="1"/>
      <c r="UJF19" s="1"/>
      <c r="UJG19" s="1"/>
      <c r="UJH19" s="1"/>
      <c r="UJI19" s="1"/>
      <c r="UJJ19" s="1"/>
      <c r="UJK19" s="1"/>
      <c r="UJL19" s="1"/>
      <c r="UJM19" s="1"/>
      <c r="UJN19" s="1"/>
      <c r="UJO19" s="1"/>
      <c r="UJP19" s="1"/>
      <c r="UJQ19" s="1"/>
      <c r="UJR19" s="1"/>
      <c r="UJS19" s="1"/>
      <c r="UJT19" s="1"/>
      <c r="UJU19" s="1"/>
      <c r="UJV19" s="1"/>
      <c r="UJW19" s="1"/>
      <c r="UJX19" s="1"/>
      <c r="UJY19" s="1"/>
      <c r="UJZ19" s="1"/>
      <c r="UKA19" s="1"/>
      <c r="UKB19" s="1"/>
      <c r="UKC19" s="1"/>
      <c r="UKD19" s="1"/>
      <c r="UKE19" s="1"/>
      <c r="UKF19" s="1"/>
      <c r="UKG19" s="1"/>
      <c r="UKH19" s="1"/>
      <c r="UKI19" s="1"/>
      <c r="UKJ19" s="1"/>
      <c r="UKK19" s="1"/>
      <c r="UKL19" s="1"/>
      <c r="UKM19" s="1"/>
      <c r="UKN19" s="1"/>
      <c r="UKO19" s="1"/>
      <c r="UKP19" s="1"/>
      <c r="UKQ19" s="1"/>
      <c r="UKR19" s="1"/>
      <c r="UKS19" s="1"/>
      <c r="UKT19" s="1"/>
      <c r="UKU19" s="1"/>
      <c r="UKV19" s="1"/>
      <c r="UKW19" s="1"/>
      <c r="UKX19" s="1"/>
      <c r="UKY19" s="1"/>
      <c r="UKZ19" s="1"/>
      <c r="ULA19" s="1"/>
      <c r="ULB19" s="1"/>
      <c r="ULC19" s="1"/>
      <c r="ULD19" s="1"/>
      <c r="ULE19" s="1"/>
      <c r="ULF19" s="1"/>
      <c r="ULG19" s="1"/>
      <c r="ULH19" s="1"/>
      <c r="ULI19" s="1"/>
      <c r="ULJ19" s="1"/>
      <c r="ULK19" s="1"/>
      <c r="ULL19" s="1"/>
      <c r="ULM19" s="1"/>
      <c r="ULN19" s="1"/>
      <c r="ULO19" s="1"/>
      <c r="ULP19" s="1"/>
      <c r="ULQ19" s="1"/>
      <c r="ULR19" s="1"/>
      <c r="ULS19" s="1"/>
      <c r="ULT19" s="1"/>
      <c r="ULU19" s="1"/>
      <c r="ULV19" s="1"/>
      <c r="ULW19" s="1"/>
      <c r="ULX19" s="1"/>
      <c r="ULY19" s="1"/>
      <c r="ULZ19" s="1"/>
      <c r="UMA19" s="1"/>
      <c r="UMB19" s="1"/>
      <c r="UMC19" s="1"/>
      <c r="UMD19" s="1"/>
      <c r="UME19" s="1"/>
      <c r="UMF19" s="1"/>
      <c r="UMG19" s="1"/>
      <c r="UMH19" s="1"/>
      <c r="UMI19" s="1"/>
      <c r="UMJ19" s="1"/>
      <c r="UMK19" s="1"/>
      <c r="UML19" s="1"/>
      <c r="UMM19" s="1"/>
      <c r="UMN19" s="1"/>
      <c r="UMO19" s="1"/>
      <c r="UMP19" s="1"/>
      <c r="UMQ19" s="1"/>
      <c r="UMR19" s="1"/>
      <c r="UMS19" s="1"/>
      <c r="UMT19" s="1"/>
      <c r="UMU19" s="1"/>
      <c r="UMV19" s="1"/>
      <c r="UMW19" s="1"/>
      <c r="UMX19" s="1"/>
      <c r="UMY19" s="1"/>
      <c r="UMZ19" s="1"/>
      <c r="UNA19" s="1"/>
      <c r="UNB19" s="1"/>
      <c r="UNC19" s="1"/>
      <c r="UND19" s="1"/>
      <c r="UNE19" s="1"/>
      <c r="UNF19" s="1"/>
      <c r="UNG19" s="1"/>
      <c r="UNH19" s="1"/>
      <c r="UNI19" s="1"/>
      <c r="UNJ19" s="1"/>
      <c r="UNK19" s="1"/>
      <c r="UNL19" s="1"/>
      <c r="UNM19" s="1"/>
      <c r="UNN19" s="1"/>
      <c r="UNO19" s="1"/>
      <c r="UNP19" s="1"/>
      <c r="UNQ19" s="1"/>
      <c r="UNR19" s="1"/>
      <c r="UNS19" s="1"/>
      <c r="UNT19" s="1"/>
      <c r="UNU19" s="1"/>
      <c r="UNV19" s="1"/>
      <c r="UNW19" s="1"/>
      <c r="UNX19" s="1"/>
      <c r="UNY19" s="1"/>
      <c r="UNZ19" s="1"/>
      <c r="UOA19" s="1"/>
      <c r="UOB19" s="1"/>
      <c r="UOC19" s="1"/>
      <c r="UOD19" s="1"/>
      <c r="UOE19" s="1"/>
      <c r="UOF19" s="1"/>
      <c r="UOG19" s="1"/>
      <c r="UOH19" s="1"/>
      <c r="UOI19" s="1"/>
      <c r="UOJ19" s="1"/>
      <c r="UOK19" s="1"/>
      <c r="UOL19" s="1"/>
      <c r="UOM19" s="1"/>
      <c r="UON19" s="1"/>
      <c r="UOO19" s="1"/>
      <c r="UOP19" s="1"/>
      <c r="UOQ19" s="1"/>
      <c r="UOR19" s="1"/>
      <c r="UOS19" s="1"/>
      <c r="UOT19" s="1"/>
      <c r="UOU19" s="1"/>
      <c r="UOV19" s="1"/>
      <c r="UOW19" s="1"/>
      <c r="UOX19" s="1"/>
      <c r="UOY19" s="1"/>
      <c r="UOZ19" s="1"/>
      <c r="UPA19" s="1"/>
      <c r="UPB19" s="1"/>
      <c r="UPC19" s="1"/>
      <c r="UPD19" s="1"/>
      <c r="UPE19" s="1"/>
      <c r="UPF19" s="1"/>
      <c r="UPG19" s="1"/>
      <c r="UPH19" s="1"/>
      <c r="UPI19" s="1"/>
      <c r="UPJ19" s="1"/>
      <c r="UPK19" s="1"/>
      <c r="UPL19" s="1"/>
      <c r="UPM19" s="1"/>
      <c r="UPN19" s="1"/>
      <c r="UPO19" s="1"/>
      <c r="UPP19" s="1"/>
      <c r="UPQ19" s="1"/>
      <c r="UPR19" s="1"/>
      <c r="UPS19" s="1"/>
      <c r="UPT19" s="1"/>
      <c r="UPU19" s="1"/>
      <c r="UPV19" s="1"/>
      <c r="UPW19" s="1"/>
      <c r="UPX19" s="1"/>
      <c r="UPY19" s="1"/>
      <c r="UPZ19" s="1"/>
      <c r="UQA19" s="1"/>
      <c r="UQB19" s="1"/>
      <c r="UQC19" s="1"/>
      <c r="UQD19" s="1"/>
      <c r="UQE19" s="1"/>
      <c r="UQF19" s="1"/>
      <c r="UQG19" s="1"/>
      <c r="UQH19" s="1"/>
      <c r="UQI19" s="1"/>
      <c r="UQJ19" s="1"/>
      <c r="UQK19" s="1"/>
      <c r="UQL19" s="1"/>
      <c r="UQM19" s="1"/>
      <c r="UQN19" s="1"/>
      <c r="UQO19" s="1"/>
      <c r="UQP19" s="1"/>
      <c r="UQQ19" s="1"/>
      <c r="UQR19" s="1"/>
      <c r="UQS19" s="1"/>
      <c r="UQT19" s="1"/>
      <c r="UQU19" s="1"/>
      <c r="UQV19" s="1"/>
      <c r="UQW19" s="1"/>
      <c r="UQX19" s="1"/>
      <c r="UQY19" s="1"/>
      <c r="UQZ19" s="1"/>
      <c r="URA19" s="1"/>
      <c r="URB19" s="1"/>
      <c r="URC19" s="1"/>
      <c r="URD19" s="1"/>
      <c r="URE19" s="1"/>
      <c r="URF19" s="1"/>
      <c r="URG19" s="1"/>
      <c r="URH19" s="1"/>
      <c r="URI19" s="1"/>
      <c r="URJ19" s="1"/>
      <c r="URK19" s="1"/>
      <c r="URL19" s="1"/>
      <c r="URM19" s="1"/>
      <c r="URN19" s="1"/>
      <c r="URO19" s="1"/>
      <c r="URP19" s="1"/>
      <c r="URQ19" s="1"/>
      <c r="URR19" s="1"/>
      <c r="URS19" s="1"/>
      <c r="URT19" s="1"/>
      <c r="URU19" s="1"/>
      <c r="URV19" s="1"/>
      <c r="URW19" s="1"/>
      <c r="URX19" s="1"/>
      <c r="URY19" s="1"/>
      <c r="URZ19" s="1"/>
      <c r="USA19" s="1"/>
      <c r="USB19" s="1"/>
      <c r="USC19" s="1"/>
      <c r="USD19" s="1"/>
      <c r="USE19" s="1"/>
      <c r="USF19" s="1"/>
      <c r="USG19" s="1"/>
      <c r="USH19" s="1"/>
      <c r="USI19" s="1"/>
      <c r="USJ19" s="1"/>
      <c r="USK19" s="1"/>
      <c r="USL19" s="1"/>
      <c r="USM19" s="1"/>
      <c r="USN19" s="1"/>
      <c r="USO19" s="1"/>
      <c r="USP19" s="1"/>
      <c r="USQ19" s="1"/>
      <c r="USR19" s="1"/>
      <c r="USS19" s="1"/>
      <c r="UST19" s="1"/>
      <c r="USU19" s="1"/>
      <c r="USV19" s="1"/>
      <c r="USW19" s="1"/>
      <c r="USX19" s="1"/>
      <c r="USY19" s="1"/>
      <c r="USZ19" s="1"/>
      <c r="UTA19" s="1"/>
      <c r="UTB19" s="1"/>
      <c r="UTC19" s="1"/>
      <c r="UTD19" s="1"/>
      <c r="UTE19" s="1"/>
      <c r="UTF19" s="1"/>
      <c r="UTG19" s="1"/>
      <c r="UTH19" s="1"/>
      <c r="UTI19" s="1"/>
      <c r="UTJ19" s="1"/>
      <c r="UTK19" s="1"/>
      <c r="UTL19" s="1"/>
      <c r="UTM19" s="1"/>
      <c r="UTN19" s="1"/>
      <c r="UTO19" s="1"/>
      <c r="UTP19" s="1"/>
      <c r="UTQ19" s="1"/>
      <c r="UTR19" s="1"/>
      <c r="UTS19" s="1"/>
      <c r="UTT19" s="1"/>
      <c r="UTU19" s="1"/>
      <c r="UTV19" s="1"/>
      <c r="UTW19" s="1"/>
      <c r="UTX19" s="1"/>
      <c r="UTY19" s="1"/>
      <c r="UTZ19" s="1"/>
      <c r="UUA19" s="1"/>
      <c r="UUB19" s="1"/>
      <c r="UUC19" s="1"/>
      <c r="UUD19" s="1"/>
      <c r="UUE19" s="1"/>
      <c r="UUF19" s="1"/>
      <c r="UUG19" s="1"/>
      <c r="UUH19" s="1"/>
      <c r="UUI19" s="1"/>
      <c r="UUJ19" s="1"/>
      <c r="UUK19" s="1"/>
      <c r="UUL19" s="1"/>
      <c r="UUM19" s="1"/>
      <c r="UUN19" s="1"/>
      <c r="UUO19" s="1"/>
      <c r="UUP19" s="1"/>
      <c r="UUQ19" s="1"/>
      <c r="UUR19" s="1"/>
      <c r="UUS19" s="1"/>
      <c r="UUT19" s="1"/>
      <c r="UUU19" s="1"/>
      <c r="UUV19" s="1"/>
      <c r="UUW19" s="1"/>
      <c r="UUX19" s="1"/>
      <c r="UUY19" s="1"/>
      <c r="UUZ19" s="1"/>
      <c r="UVA19" s="1"/>
      <c r="UVB19" s="1"/>
      <c r="UVC19" s="1"/>
      <c r="UVD19" s="1"/>
      <c r="UVE19" s="1"/>
      <c r="UVF19" s="1"/>
      <c r="UVG19" s="1"/>
      <c r="UVH19" s="1"/>
      <c r="UVI19" s="1"/>
      <c r="UVJ19" s="1"/>
      <c r="UVK19" s="1"/>
      <c r="UVL19" s="1"/>
      <c r="UVM19" s="1"/>
      <c r="UVN19" s="1"/>
      <c r="UVO19" s="1"/>
      <c r="UVP19" s="1"/>
      <c r="UVQ19" s="1"/>
      <c r="UVR19" s="1"/>
      <c r="UVS19" s="1"/>
      <c r="UVT19" s="1"/>
      <c r="UVU19" s="1"/>
      <c r="UVV19" s="1"/>
      <c r="UVW19" s="1"/>
      <c r="UVX19" s="1"/>
      <c r="UVY19" s="1"/>
      <c r="UVZ19" s="1"/>
      <c r="UWA19" s="1"/>
      <c r="UWB19" s="1"/>
      <c r="UWC19" s="1"/>
      <c r="UWD19" s="1"/>
      <c r="UWE19" s="1"/>
      <c r="UWF19" s="1"/>
      <c r="UWG19" s="1"/>
      <c r="UWH19" s="1"/>
      <c r="UWI19" s="1"/>
      <c r="UWJ19" s="1"/>
      <c r="UWK19" s="1"/>
      <c r="UWL19" s="1"/>
      <c r="UWM19" s="1"/>
      <c r="UWN19" s="1"/>
      <c r="UWO19" s="1"/>
      <c r="UWP19" s="1"/>
      <c r="UWQ19" s="1"/>
      <c r="UWR19" s="1"/>
      <c r="UWS19" s="1"/>
      <c r="UWT19" s="1"/>
      <c r="UWU19" s="1"/>
      <c r="UWV19" s="1"/>
      <c r="UWW19" s="1"/>
      <c r="UWX19" s="1"/>
      <c r="UWY19" s="1"/>
      <c r="UWZ19" s="1"/>
      <c r="UXA19" s="1"/>
      <c r="UXB19" s="1"/>
      <c r="UXC19" s="1"/>
      <c r="UXD19" s="1"/>
      <c r="UXE19" s="1"/>
      <c r="UXF19" s="1"/>
      <c r="UXG19" s="1"/>
      <c r="UXH19" s="1"/>
      <c r="UXI19" s="1"/>
      <c r="UXJ19" s="1"/>
      <c r="UXK19" s="1"/>
      <c r="UXL19" s="1"/>
      <c r="UXM19" s="1"/>
      <c r="UXN19" s="1"/>
      <c r="UXO19" s="1"/>
      <c r="UXP19" s="1"/>
      <c r="UXQ19" s="1"/>
      <c r="UXR19" s="1"/>
      <c r="UXS19" s="1"/>
      <c r="UXT19" s="1"/>
      <c r="UXU19" s="1"/>
      <c r="UXV19" s="1"/>
      <c r="UXW19" s="1"/>
      <c r="UXX19" s="1"/>
      <c r="UXY19" s="1"/>
      <c r="UXZ19" s="1"/>
      <c r="UYA19" s="1"/>
      <c r="UYB19" s="1"/>
      <c r="UYC19" s="1"/>
      <c r="UYD19" s="1"/>
      <c r="UYE19" s="1"/>
      <c r="UYF19" s="1"/>
      <c r="UYG19" s="1"/>
      <c r="UYH19" s="1"/>
      <c r="UYI19" s="1"/>
      <c r="UYJ19" s="1"/>
      <c r="UYK19" s="1"/>
      <c r="UYL19" s="1"/>
      <c r="UYM19" s="1"/>
      <c r="UYN19" s="1"/>
      <c r="UYO19" s="1"/>
      <c r="UYP19" s="1"/>
      <c r="UYQ19" s="1"/>
      <c r="UYR19" s="1"/>
      <c r="UYS19" s="1"/>
      <c r="UYT19" s="1"/>
      <c r="UYU19" s="1"/>
      <c r="UYV19" s="1"/>
      <c r="UYW19" s="1"/>
      <c r="UYX19" s="1"/>
      <c r="UYY19" s="1"/>
      <c r="UYZ19" s="1"/>
      <c r="UZA19" s="1"/>
      <c r="UZB19" s="1"/>
      <c r="UZC19" s="1"/>
      <c r="UZD19" s="1"/>
      <c r="UZE19" s="1"/>
      <c r="UZF19" s="1"/>
      <c r="UZG19" s="1"/>
      <c r="UZH19" s="1"/>
      <c r="UZI19" s="1"/>
      <c r="UZJ19" s="1"/>
      <c r="UZK19" s="1"/>
      <c r="UZL19" s="1"/>
      <c r="UZM19" s="1"/>
      <c r="UZN19" s="1"/>
      <c r="UZO19" s="1"/>
      <c r="UZP19" s="1"/>
      <c r="UZQ19" s="1"/>
      <c r="UZR19" s="1"/>
      <c r="UZS19" s="1"/>
      <c r="UZT19" s="1"/>
      <c r="UZU19" s="1"/>
      <c r="UZV19" s="1"/>
      <c r="UZW19" s="1"/>
      <c r="UZX19" s="1"/>
      <c r="UZY19" s="1"/>
      <c r="UZZ19" s="1"/>
      <c r="VAA19" s="1"/>
      <c r="VAB19" s="1"/>
      <c r="VAC19" s="1"/>
      <c r="VAD19" s="1"/>
      <c r="VAE19" s="1"/>
      <c r="VAF19" s="1"/>
      <c r="VAG19" s="1"/>
      <c r="VAH19" s="1"/>
      <c r="VAI19" s="1"/>
      <c r="VAJ19" s="1"/>
      <c r="VAK19" s="1"/>
      <c r="VAL19" s="1"/>
      <c r="VAM19" s="1"/>
      <c r="VAN19" s="1"/>
      <c r="VAO19" s="1"/>
      <c r="VAP19" s="1"/>
      <c r="VAQ19" s="1"/>
      <c r="VAR19" s="1"/>
      <c r="VAS19" s="1"/>
      <c r="VAT19" s="1"/>
      <c r="VAU19" s="1"/>
      <c r="VAV19" s="1"/>
      <c r="VAW19" s="1"/>
      <c r="VAX19" s="1"/>
      <c r="VAY19" s="1"/>
      <c r="VAZ19" s="1"/>
      <c r="VBA19" s="1"/>
      <c r="VBB19" s="1"/>
      <c r="VBC19" s="1"/>
      <c r="VBD19" s="1"/>
      <c r="VBE19" s="1"/>
      <c r="VBF19" s="1"/>
      <c r="VBG19" s="1"/>
      <c r="VBH19" s="1"/>
      <c r="VBI19" s="1"/>
      <c r="VBJ19" s="1"/>
      <c r="VBK19" s="1"/>
      <c r="VBL19" s="1"/>
      <c r="VBM19" s="1"/>
      <c r="VBN19" s="1"/>
      <c r="VBO19" s="1"/>
      <c r="VBP19" s="1"/>
      <c r="VBQ19" s="1"/>
      <c r="VBR19" s="1"/>
      <c r="VBS19" s="1"/>
      <c r="VBT19" s="1"/>
      <c r="VBU19" s="1"/>
      <c r="VBV19" s="1"/>
      <c r="VBW19" s="1"/>
      <c r="VBX19" s="1"/>
      <c r="VBY19" s="1"/>
      <c r="VBZ19" s="1"/>
      <c r="VCA19" s="1"/>
      <c r="VCB19" s="1"/>
      <c r="VCC19" s="1"/>
      <c r="VCD19" s="1"/>
      <c r="VCE19" s="1"/>
      <c r="VCF19" s="1"/>
      <c r="VCG19" s="1"/>
      <c r="VCH19" s="1"/>
      <c r="VCI19" s="1"/>
      <c r="VCJ19" s="1"/>
      <c r="VCK19" s="1"/>
      <c r="VCL19" s="1"/>
      <c r="VCM19" s="1"/>
      <c r="VCN19" s="1"/>
      <c r="VCO19" s="1"/>
      <c r="VCP19" s="1"/>
      <c r="VCQ19" s="1"/>
      <c r="VCR19" s="1"/>
      <c r="VCS19" s="1"/>
      <c r="VCT19" s="1"/>
      <c r="VCU19" s="1"/>
      <c r="VCV19" s="1"/>
      <c r="VCW19" s="1"/>
      <c r="VCX19" s="1"/>
      <c r="VCY19" s="1"/>
      <c r="VCZ19" s="1"/>
      <c r="VDA19" s="1"/>
      <c r="VDB19" s="1"/>
      <c r="VDC19" s="1"/>
      <c r="VDD19" s="1"/>
      <c r="VDE19" s="1"/>
      <c r="VDF19" s="1"/>
      <c r="VDG19" s="1"/>
      <c r="VDH19" s="1"/>
      <c r="VDI19" s="1"/>
      <c r="VDJ19" s="1"/>
      <c r="VDK19" s="1"/>
      <c r="VDL19" s="1"/>
      <c r="VDM19" s="1"/>
      <c r="VDN19" s="1"/>
      <c r="VDO19" s="1"/>
      <c r="VDP19" s="1"/>
      <c r="VDQ19" s="1"/>
      <c r="VDR19" s="1"/>
      <c r="VDS19" s="1"/>
      <c r="VDT19" s="1"/>
      <c r="VDU19" s="1"/>
      <c r="VDV19" s="1"/>
      <c r="VDW19" s="1"/>
      <c r="VDX19" s="1"/>
      <c r="VDY19" s="1"/>
      <c r="VDZ19" s="1"/>
      <c r="VEA19" s="1"/>
      <c r="VEB19" s="1"/>
      <c r="VEC19" s="1"/>
      <c r="VED19" s="1"/>
      <c r="VEE19" s="1"/>
      <c r="VEF19" s="1"/>
      <c r="VEG19" s="1"/>
      <c r="VEH19" s="1"/>
      <c r="VEI19" s="1"/>
      <c r="VEJ19" s="1"/>
      <c r="VEK19" s="1"/>
      <c r="VEL19" s="1"/>
      <c r="VEM19" s="1"/>
      <c r="VEN19" s="1"/>
      <c r="VEO19" s="1"/>
      <c r="VEP19" s="1"/>
      <c r="VEQ19" s="1"/>
      <c r="VER19" s="1"/>
      <c r="VES19" s="1"/>
      <c r="VET19" s="1"/>
      <c r="VEU19" s="1"/>
      <c r="VEV19" s="1"/>
      <c r="VEW19" s="1"/>
      <c r="VEX19" s="1"/>
      <c r="VEY19" s="1"/>
      <c r="VEZ19" s="1"/>
      <c r="VFA19" s="1"/>
      <c r="VFB19" s="1"/>
      <c r="VFC19" s="1"/>
      <c r="VFD19" s="1"/>
      <c r="VFE19" s="1"/>
      <c r="VFF19" s="1"/>
      <c r="VFG19" s="1"/>
      <c r="VFH19" s="1"/>
      <c r="VFI19" s="1"/>
      <c r="VFJ19" s="1"/>
      <c r="VFK19" s="1"/>
      <c r="VFL19" s="1"/>
      <c r="VFM19" s="1"/>
      <c r="VFN19" s="1"/>
      <c r="VFO19" s="1"/>
      <c r="VFP19" s="1"/>
      <c r="VFQ19" s="1"/>
      <c r="VFR19" s="1"/>
      <c r="VFS19" s="1"/>
      <c r="VFT19" s="1"/>
      <c r="VFU19" s="1"/>
      <c r="VFV19" s="1"/>
      <c r="VFW19" s="1"/>
      <c r="VFX19" s="1"/>
      <c r="VFY19" s="1"/>
      <c r="VFZ19" s="1"/>
      <c r="VGA19" s="1"/>
      <c r="VGB19" s="1"/>
      <c r="VGC19" s="1"/>
      <c r="VGD19" s="1"/>
      <c r="VGE19" s="1"/>
      <c r="VGF19" s="1"/>
      <c r="VGG19" s="1"/>
      <c r="VGH19" s="1"/>
      <c r="VGI19" s="1"/>
      <c r="VGJ19" s="1"/>
      <c r="VGK19" s="1"/>
      <c r="VGL19" s="1"/>
      <c r="VGM19" s="1"/>
      <c r="VGN19" s="1"/>
      <c r="VGO19" s="1"/>
      <c r="VGP19" s="1"/>
      <c r="VGQ19" s="1"/>
      <c r="VGR19" s="1"/>
      <c r="VGS19" s="1"/>
      <c r="VGT19" s="1"/>
      <c r="VGU19" s="1"/>
      <c r="VGV19" s="1"/>
      <c r="VGW19" s="1"/>
      <c r="VGX19" s="1"/>
      <c r="VGY19" s="1"/>
      <c r="VGZ19" s="1"/>
      <c r="VHA19" s="1"/>
      <c r="VHB19" s="1"/>
      <c r="VHC19" s="1"/>
      <c r="VHD19" s="1"/>
      <c r="VHE19" s="1"/>
      <c r="VHF19" s="1"/>
      <c r="VHG19" s="1"/>
      <c r="VHH19" s="1"/>
      <c r="VHI19" s="1"/>
      <c r="VHJ19" s="1"/>
      <c r="VHK19" s="1"/>
      <c r="VHL19" s="1"/>
      <c r="VHM19" s="1"/>
      <c r="VHN19" s="1"/>
      <c r="VHO19" s="1"/>
      <c r="VHP19" s="1"/>
      <c r="VHQ19" s="1"/>
      <c r="VHR19" s="1"/>
      <c r="VHS19" s="1"/>
      <c r="VHT19" s="1"/>
      <c r="VHU19" s="1"/>
      <c r="VHV19" s="1"/>
      <c r="VHW19" s="1"/>
      <c r="VHX19" s="1"/>
      <c r="VHY19" s="1"/>
      <c r="VHZ19" s="1"/>
      <c r="VIA19" s="1"/>
      <c r="VIB19" s="1"/>
      <c r="VIC19" s="1"/>
      <c r="VID19" s="1"/>
      <c r="VIE19" s="1"/>
      <c r="VIF19" s="1"/>
      <c r="VIG19" s="1"/>
      <c r="VIH19" s="1"/>
      <c r="VII19" s="1"/>
      <c r="VIJ19" s="1"/>
      <c r="VIK19" s="1"/>
      <c r="VIL19" s="1"/>
      <c r="VIM19" s="1"/>
      <c r="VIN19" s="1"/>
      <c r="VIO19" s="1"/>
      <c r="VIP19" s="1"/>
      <c r="VIQ19" s="1"/>
      <c r="VIR19" s="1"/>
      <c r="VIS19" s="1"/>
      <c r="VIT19" s="1"/>
      <c r="VIU19" s="1"/>
      <c r="VIV19" s="1"/>
      <c r="VIW19" s="1"/>
      <c r="VIX19" s="1"/>
      <c r="VIY19" s="1"/>
      <c r="VIZ19" s="1"/>
      <c r="VJA19" s="1"/>
      <c r="VJB19" s="1"/>
      <c r="VJC19" s="1"/>
      <c r="VJD19" s="1"/>
      <c r="VJE19" s="1"/>
      <c r="VJF19" s="1"/>
      <c r="VJG19" s="1"/>
      <c r="VJH19" s="1"/>
      <c r="VJI19" s="1"/>
      <c r="VJJ19" s="1"/>
      <c r="VJK19" s="1"/>
      <c r="VJL19" s="1"/>
      <c r="VJM19" s="1"/>
      <c r="VJN19" s="1"/>
      <c r="VJO19" s="1"/>
      <c r="VJP19" s="1"/>
      <c r="VJQ19" s="1"/>
      <c r="VJR19" s="1"/>
      <c r="VJS19" s="1"/>
      <c r="VJT19" s="1"/>
      <c r="VJU19" s="1"/>
      <c r="VJV19" s="1"/>
      <c r="VJW19" s="1"/>
      <c r="VJX19" s="1"/>
      <c r="VJY19" s="1"/>
      <c r="VJZ19" s="1"/>
      <c r="VKA19" s="1"/>
      <c r="VKB19" s="1"/>
      <c r="VKC19" s="1"/>
      <c r="VKD19" s="1"/>
      <c r="VKE19" s="1"/>
      <c r="VKF19" s="1"/>
      <c r="VKG19" s="1"/>
      <c r="VKH19" s="1"/>
      <c r="VKI19" s="1"/>
      <c r="VKJ19" s="1"/>
      <c r="VKK19" s="1"/>
      <c r="VKL19" s="1"/>
      <c r="VKM19" s="1"/>
      <c r="VKN19" s="1"/>
      <c r="VKO19" s="1"/>
      <c r="VKP19" s="1"/>
      <c r="VKQ19" s="1"/>
      <c r="VKR19" s="1"/>
      <c r="VKS19" s="1"/>
      <c r="VKT19" s="1"/>
      <c r="VKU19" s="1"/>
      <c r="VKV19" s="1"/>
      <c r="VKW19" s="1"/>
      <c r="VKX19" s="1"/>
      <c r="VKY19" s="1"/>
      <c r="VKZ19" s="1"/>
      <c r="VLA19" s="1"/>
      <c r="VLB19" s="1"/>
      <c r="VLC19" s="1"/>
      <c r="VLD19" s="1"/>
      <c r="VLE19" s="1"/>
      <c r="VLF19" s="1"/>
      <c r="VLG19" s="1"/>
      <c r="VLH19" s="1"/>
      <c r="VLI19" s="1"/>
      <c r="VLJ19" s="1"/>
      <c r="VLK19" s="1"/>
      <c r="VLL19" s="1"/>
      <c r="VLM19" s="1"/>
      <c r="VLN19" s="1"/>
      <c r="VLO19" s="1"/>
      <c r="VLP19" s="1"/>
      <c r="VLQ19" s="1"/>
      <c r="VLR19" s="1"/>
      <c r="VLS19" s="1"/>
      <c r="VLT19" s="1"/>
      <c r="VLU19" s="1"/>
      <c r="VLV19" s="1"/>
      <c r="VLW19" s="1"/>
      <c r="VLX19" s="1"/>
      <c r="VLY19" s="1"/>
      <c r="VLZ19" s="1"/>
      <c r="VMA19" s="1"/>
      <c r="VMB19" s="1"/>
      <c r="VMC19" s="1"/>
      <c r="VMD19" s="1"/>
      <c r="VME19" s="1"/>
      <c r="VMF19" s="1"/>
      <c r="VMG19" s="1"/>
      <c r="VMH19" s="1"/>
      <c r="VMI19" s="1"/>
      <c r="VMJ19" s="1"/>
      <c r="VMK19" s="1"/>
      <c r="VML19" s="1"/>
      <c r="VMM19" s="1"/>
      <c r="VMN19" s="1"/>
      <c r="VMO19" s="1"/>
      <c r="VMP19" s="1"/>
      <c r="VMQ19" s="1"/>
      <c r="VMR19" s="1"/>
      <c r="VMS19" s="1"/>
      <c r="VMT19" s="1"/>
      <c r="VMU19" s="1"/>
      <c r="VMV19" s="1"/>
      <c r="VMW19" s="1"/>
      <c r="VMX19" s="1"/>
      <c r="VMY19" s="1"/>
      <c r="VMZ19" s="1"/>
      <c r="VNA19" s="1"/>
      <c r="VNB19" s="1"/>
      <c r="VNC19" s="1"/>
      <c r="VND19" s="1"/>
      <c r="VNE19" s="1"/>
      <c r="VNF19" s="1"/>
      <c r="VNG19" s="1"/>
      <c r="VNH19" s="1"/>
      <c r="VNI19" s="1"/>
      <c r="VNJ19" s="1"/>
      <c r="VNK19" s="1"/>
      <c r="VNL19" s="1"/>
      <c r="VNM19" s="1"/>
      <c r="VNN19" s="1"/>
      <c r="VNO19" s="1"/>
      <c r="VNP19" s="1"/>
      <c r="VNQ19" s="1"/>
      <c r="VNR19" s="1"/>
      <c r="VNS19" s="1"/>
      <c r="VNT19" s="1"/>
      <c r="VNU19" s="1"/>
      <c r="VNV19" s="1"/>
      <c r="VNW19" s="1"/>
      <c r="VNX19" s="1"/>
      <c r="VNY19" s="1"/>
      <c r="VNZ19" s="1"/>
      <c r="VOA19" s="1"/>
      <c r="VOB19" s="1"/>
      <c r="VOC19" s="1"/>
      <c r="VOD19" s="1"/>
      <c r="VOE19" s="1"/>
      <c r="VOF19" s="1"/>
      <c r="VOG19" s="1"/>
      <c r="VOH19" s="1"/>
      <c r="VOI19" s="1"/>
      <c r="VOJ19" s="1"/>
      <c r="VOK19" s="1"/>
      <c r="VOL19" s="1"/>
      <c r="VOM19" s="1"/>
      <c r="VON19" s="1"/>
      <c r="VOO19" s="1"/>
      <c r="VOP19" s="1"/>
      <c r="VOQ19" s="1"/>
      <c r="VOR19" s="1"/>
      <c r="VOS19" s="1"/>
      <c r="VOT19" s="1"/>
      <c r="VOU19" s="1"/>
      <c r="VOV19" s="1"/>
      <c r="VOW19" s="1"/>
      <c r="VOX19" s="1"/>
      <c r="VOY19" s="1"/>
      <c r="VOZ19" s="1"/>
      <c r="VPA19" s="1"/>
      <c r="VPB19" s="1"/>
      <c r="VPC19" s="1"/>
      <c r="VPD19" s="1"/>
      <c r="VPE19" s="1"/>
      <c r="VPF19" s="1"/>
      <c r="VPG19" s="1"/>
      <c r="VPH19" s="1"/>
      <c r="VPI19" s="1"/>
      <c r="VPJ19" s="1"/>
      <c r="VPK19" s="1"/>
      <c r="VPL19" s="1"/>
      <c r="VPM19" s="1"/>
      <c r="VPN19" s="1"/>
      <c r="VPO19" s="1"/>
      <c r="VPP19" s="1"/>
      <c r="VPQ19" s="1"/>
      <c r="VPR19" s="1"/>
      <c r="VPS19" s="1"/>
      <c r="VPT19" s="1"/>
      <c r="VPU19" s="1"/>
      <c r="VPV19" s="1"/>
      <c r="VPW19" s="1"/>
      <c r="VPX19" s="1"/>
      <c r="VPY19" s="1"/>
      <c r="VPZ19" s="1"/>
      <c r="VQA19" s="1"/>
      <c r="VQB19" s="1"/>
      <c r="VQC19" s="1"/>
      <c r="VQD19" s="1"/>
      <c r="VQE19" s="1"/>
      <c r="VQF19" s="1"/>
      <c r="VQG19" s="1"/>
      <c r="VQH19" s="1"/>
      <c r="VQI19" s="1"/>
      <c r="VQJ19" s="1"/>
      <c r="VQK19" s="1"/>
      <c r="VQL19" s="1"/>
      <c r="VQM19" s="1"/>
      <c r="VQN19" s="1"/>
      <c r="VQO19" s="1"/>
      <c r="VQP19" s="1"/>
      <c r="VQQ19" s="1"/>
      <c r="VQR19" s="1"/>
      <c r="VQS19" s="1"/>
      <c r="VQT19" s="1"/>
      <c r="VQU19" s="1"/>
      <c r="VQV19" s="1"/>
      <c r="VQW19" s="1"/>
      <c r="VQX19" s="1"/>
      <c r="VQY19" s="1"/>
      <c r="VQZ19" s="1"/>
      <c r="VRA19" s="1"/>
      <c r="VRB19" s="1"/>
      <c r="VRC19" s="1"/>
      <c r="VRD19" s="1"/>
      <c r="VRE19" s="1"/>
      <c r="VRF19" s="1"/>
      <c r="VRG19" s="1"/>
      <c r="VRH19" s="1"/>
      <c r="VRI19" s="1"/>
      <c r="VRJ19" s="1"/>
      <c r="VRK19" s="1"/>
      <c r="VRL19" s="1"/>
      <c r="VRM19" s="1"/>
      <c r="VRN19" s="1"/>
      <c r="VRO19" s="1"/>
      <c r="VRP19" s="1"/>
      <c r="VRQ19" s="1"/>
      <c r="VRR19" s="1"/>
      <c r="VRS19" s="1"/>
      <c r="VRT19" s="1"/>
      <c r="VRU19" s="1"/>
      <c r="VRV19" s="1"/>
      <c r="VRW19" s="1"/>
      <c r="VRX19" s="1"/>
      <c r="VRY19" s="1"/>
      <c r="VRZ19" s="1"/>
      <c r="VSA19" s="1"/>
      <c r="VSB19" s="1"/>
      <c r="VSC19" s="1"/>
      <c r="VSD19" s="1"/>
      <c r="VSE19" s="1"/>
      <c r="VSF19" s="1"/>
      <c r="VSG19" s="1"/>
      <c r="VSH19" s="1"/>
      <c r="VSI19" s="1"/>
      <c r="VSJ19" s="1"/>
      <c r="VSK19" s="1"/>
      <c r="VSL19" s="1"/>
      <c r="VSM19" s="1"/>
      <c r="VSN19" s="1"/>
      <c r="VSO19" s="1"/>
      <c r="VSP19" s="1"/>
      <c r="VSQ19" s="1"/>
      <c r="VSR19" s="1"/>
      <c r="VSS19" s="1"/>
      <c r="VST19" s="1"/>
      <c r="VSU19" s="1"/>
      <c r="VSV19" s="1"/>
      <c r="VSW19" s="1"/>
      <c r="VSX19" s="1"/>
      <c r="VSY19" s="1"/>
      <c r="VSZ19" s="1"/>
      <c r="VTA19" s="1"/>
      <c r="VTB19" s="1"/>
      <c r="VTC19" s="1"/>
      <c r="VTD19" s="1"/>
      <c r="VTE19" s="1"/>
      <c r="VTF19" s="1"/>
      <c r="VTG19" s="1"/>
      <c r="VTH19" s="1"/>
      <c r="VTI19" s="1"/>
      <c r="VTJ19" s="1"/>
      <c r="VTK19" s="1"/>
      <c r="VTL19" s="1"/>
      <c r="VTM19" s="1"/>
      <c r="VTN19" s="1"/>
      <c r="VTO19" s="1"/>
      <c r="VTP19" s="1"/>
      <c r="VTQ19" s="1"/>
      <c r="VTR19" s="1"/>
      <c r="VTS19" s="1"/>
      <c r="VTT19" s="1"/>
      <c r="VTU19" s="1"/>
      <c r="VTV19" s="1"/>
      <c r="VTW19" s="1"/>
      <c r="VTX19" s="1"/>
      <c r="VTY19" s="1"/>
      <c r="VTZ19" s="1"/>
      <c r="VUA19" s="1"/>
      <c r="VUB19" s="1"/>
      <c r="VUC19" s="1"/>
      <c r="VUD19" s="1"/>
      <c r="VUE19" s="1"/>
      <c r="VUF19" s="1"/>
      <c r="VUG19" s="1"/>
      <c r="VUH19" s="1"/>
      <c r="VUI19" s="1"/>
      <c r="VUJ19" s="1"/>
      <c r="VUK19" s="1"/>
      <c r="VUL19" s="1"/>
      <c r="VUM19" s="1"/>
      <c r="VUN19" s="1"/>
      <c r="VUO19" s="1"/>
      <c r="VUP19" s="1"/>
      <c r="VUQ19" s="1"/>
      <c r="VUR19" s="1"/>
      <c r="VUS19" s="1"/>
      <c r="VUT19" s="1"/>
      <c r="VUU19" s="1"/>
      <c r="VUV19" s="1"/>
      <c r="VUW19" s="1"/>
      <c r="VUX19" s="1"/>
      <c r="VUY19" s="1"/>
      <c r="VUZ19" s="1"/>
      <c r="VVA19" s="1"/>
      <c r="VVB19" s="1"/>
      <c r="VVC19" s="1"/>
      <c r="VVD19" s="1"/>
      <c r="VVE19" s="1"/>
      <c r="VVF19" s="1"/>
      <c r="VVG19" s="1"/>
      <c r="VVH19" s="1"/>
      <c r="VVI19" s="1"/>
      <c r="VVJ19" s="1"/>
      <c r="VVK19" s="1"/>
      <c r="VVL19" s="1"/>
      <c r="VVM19" s="1"/>
      <c r="VVN19" s="1"/>
      <c r="VVO19" s="1"/>
      <c r="VVP19" s="1"/>
      <c r="VVQ19" s="1"/>
      <c r="VVR19" s="1"/>
      <c r="VVS19" s="1"/>
      <c r="VVT19" s="1"/>
      <c r="VVU19" s="1"/>
      <c r="VVV19" s="1"/>
      <c r="VVW19" s="1"/>
      <c r="VVX19" s="1"/>
      <c r="VVY19" s="1"/>
      <c r="VVZ19" s="1"/>
      <c r="VWA19" s="1"/>
      <c r="VWB19" s="1"/>
      <c r="VWC19" s="1"/>
      <c r="VWD19" s="1"/>
      <c r="VWE19" s="1"/>
      <c r="VWF19" s="1"/>
      <c r="VWG19" s="1"/>
      <c r="VWH19" s="1"/>
      <c r="VWI19" s="1"/>
      <c r="VWJ19" s="1"/>
      <c r="VWK19" s="1"/>
      <c r="VWL19" s="1"/>
      <c r="VWM19" s="1"/>
      <c r="VWN19" s="1"/>
      <c r="VWO19" s="1"/>
      <c r="VWP19" s="1"/>
      <c r="VWQ19" s="1"/>
      <c r="VWR19" s="1"/>
      <c r="VWS19" s="1"/>
      <c r="VWT19" s="1"/>
      <c r="VWU19" s="1"/>
      <c r="VWV19" s="1"/>
      <c r="VWW19" s="1"/>
      <c r="VWX19" s="1"/>
      <c r="VWY19" s="1"/>
      <c r="VWZ19" s="1"/>
      <c r="VXA19" s="1"/>
      <c r="VXB19" s="1"/>
      <c r="VXC19" s="1"/>
      <c r="VXD19" s="1"/>
      <c r="VXE19" s="1"/>
      <c r="VXF19" s="1"/>
      <c r="VXG19" s="1"/>
      <c r="VXH19" s="1"/>
      <c r="VXI19" s="1"/>
      <c r="VXJ19" s="1"/>
      <c r="VXK19" s="1"/>
      <c r="VXL19" s="1"/>
      <c r="VXM19" s="1"/>
      <c r="VXN19" s="1"/>
      <c r="VXO19" s="1"/>
      <c r="VXP19" s="1"/>
      <c r="VXQ19" s="1"/>
      <c r="VXR19" s="1"/>
      <c r="VXS19" s="1"/>
      <c r="VXT19" s="1"/>
      <c r="VXU19" s="1"/>
      <c r="VXV19" s="1"/>
      <c r="VXW19" s="1"/>
      <c r="VXX19" s="1"/>
      <c r="VXY19" s="1"/>
      <c r="VXZ19" s="1"/>
      <c r="VYA19" s="1"/>
      <c r="VYB19" s="1"/>
      <c r="VYC19" s="1"/>
      <c r="VYD19" s="1"/>
      <c r="VYE19" s="1"/>
      <c r="VYF19" s="1"/>
      <c r="VYG19" s="1"/>
      <c r="VYH19" s="1"/>
      <c r="VYI19" s="1"/>
      <c r="VYJ19" s="1"/>
      <c r="VYK19" s="1"/>
      <c r="VYL19" s="1"/>
      <c r="VYM19" s="1"/>
      <c r="VYN19" s="1"/>
      <c r="VYO19" s="1"/>
      <c r="VYP19" s="1"/>
      <c r="VYQ19" s="1"/>
      <c r="VYR19" s="1"/>
      <c r="VYS19" s="1"/>
      <c r="VYT19" s="1"/>
      <c r="VYU19" s="1"/>
      <c r="VYV19" s="1"/>
      <c r="VYW19" s="1"/>
      <c r="VYX19" s="1"/>
      <c r="VYY19" s="1"/>
      <c r="VYZ19" s="1"/>
      <c r="VZA19" s="1"/>
      <c r="VZB19" s="1"/>
      <c r="VZC19" s="1"/>
      <c r="VZD19" s="1"/>
      <c r="VZE19" s="1"/>
      <c r="VZF19" s="1"/>
      <c r="VZG19" s="1"/>
      <c r="VZH19" s="1"/>
      <c r="VZI19" s="1"/>
      <c r="VZJ19" s="1"/>
      <c r="VZK19" s="1"/>
      <c r="VZL19" s="1"/>
      <c r="VZM19" s="1"/>
      <c r="VZN19" s="1"/>
      <c r="VZO19" s="1"/>
      <c r="VZP19" s="1"/>
      <c r="VZQ19" s="1"/>
      <c r="VZR19" s="1"/>
      <c r="VZS19" s="1"/>
      <c r="VZT19" s="1"/>
      <c r="VZU19" s="1"/>
      <c r="VZV19" s="1"/>
      <c r="VZW19" s="1"/>
      <c r="VZX19" s="1"/>
      <c r="VZY19" s="1"/>
      <c r="VZZ19" s="1"/>
      <c r="WAA19" s="1"/>
      <c r="WAB19" s="1"/>
      <c r="WAC19" s="1"/>
      <c r="WAD19" s="1"/>
      <c r="WAE19" s="1"/>
      <c r="WAF19" s="1"/>
      <c r="WAG19" s="1"/>
      <c r="WAH19" s="1"/>
      <c r="WAI19" s="1"/>
      <c r="WAJ19" s="1"/>
      <c r="WAK19" s="1"/>
      <c r="WAL19" s="1"/>
      <c r="WAM19" s="1"/>
      <c r="WAN19" s="1"/>
      <c r="WAO19" s="1"/>
      <c r="WAP19" s="1"/>
      <c r="WAQ19" s="1"/>
      <c r="WAR19" s="1"/>
      <c r="WAS19" s="1"/>
      <c r="WAT19" s="1"/>
      <c r="WAU19" s="1"/>
      <c r="WAV19" s="1"/>
      <c r="WAW19" s="1"/>
      <c r="WAX19" s="1"/>
      <c r="WAY19" s="1"/>
      <c r="WAZ19" s="1"/>
      <c r="WBA19" s="1"/>
      <c r="WBB19" s="1"/>
      <c r="WBC19" s="1"/>
      <c r="WBD19" s="1"/>
      <c r="WBE19" s="1"/>
      <c r="WBF19" s="1"/>
      <c r="WBG19" s="1"/>
      <c r="WBH19" s="1"/>
      <c r="WBI19" s="1"/>
      <c r="WBJ19" s="1"/>
      <c r="WBK19" s="1"/>
      <c r="WBL19" s="1"/>
      <c r="WBM19" s="1"/>
      <c r="WBN19" s="1"/>
      <c r="WBO19" s="1"/>
      <c r="WBP19" s="1"/>
      <c r="WBQ19" s="1"/>
      <c r="WBR19" s="1"/>
      <c r="WBS19" s="1"/>
      <c r="WBT19" s="1"/>
      <c r="WBU19" s="1"/>
      <c r="WBV19" s="1"/>
      <c r="WBW19" s="1"/>
      <c r="WBX19" s="1"/>
      <c r="WBY19" s="1"/>
      <c r="WBZ19" s="1"/>
      <c r="WCA19" s="1"/>
      <c r="WCB19" s="1"/>
      <c r="WCC19" s="1"/>
      <c r="WCD19" s="1"/>
      <c r="WCE19" s="1"/>
      <c r="WCF19" s="1"/>
      <c r="WCG19" s="1"/>
      <c r="WCH19" s="1"/>
      <c r="WCI19" s="1"/>
      <c r="WCJ19" s="1"/>
      <c r="WCK19" s="1"/>
      <c r="WCL19" s="1"/>
      <c r="WCM19" s="1"/>
      <c r="WCN19" s="1"/>
      <c r="WCO19" s="1"/>
      <c r="WCP19" s="1"/>
      <c r="WCQ19" s="1"/>
      <c r="WCR19" s="1"/>
      <c r="WCS19" s="1"/>
      <c r="WCT19" s="1"/>
      <c r="WCU19" s="1"/>
      <c r="WCV19" s="1"/>
      <c r="WCW19" s="1"/>
      <c r="WCX19" s="1"/>
      <c r="WCY19" s="1"/>
      <c r="WCZ19" s="1"/>
      <c r="WDA19" s="1"/>
      <c r="WDB19" s="1"/>
      <c r="WDC19" s="1"/>
      <c r="WDD19" s="1"/>
      <c r="WDE19" s="1"/>
      <c r="WDF19" s="1"/>
      <c r="WDG19" s="1"/>
      <c r="WDH19" s="1"/>
      <c r="WDI19" s="1"/>
      <c r="WDJ19" s="1"/>
      <c r="WDK19" s="1"/>
      <c r="WDL19" s="1"/>
      <c r="WDM19" s="1"/>
      <c r="WDN19" s="1"/>
      <c r="WDO19" s="1"/>
      <c r="WDP19" s="1"/>
      <c r="WDQ19" s="1"/>
      <c r="WDR19" s="1"/>
      <c r="WDS19" s="1"/>
      <c r="WDT19" s="1"/>
      <c r="WDU19" s="1"/>
      <c r="WDV19" s="1"/>
      <c r="WDW19" s="1"/>
      <c r="WDX19" s="1"/>
      <c r="WDY19" s="1"/>
      <c r="WDZ19" s="1"/>
      <c r="WEA19" s="1"/>
      <c r="WEB19" s="1"/>
      <c r="WEC19" s="1"/>
      <c r="WED19" s="1"/>
      <c r="WEE19" s="1"/>
      <c r="WEF19" s="1"/>
      <c r="WEG19" s="1"/>
      <c r="WEH19" s="1"/>
      <c r="WEI19" s="1"/>
      <c r="WEJ19" s="1"/>
      <c r="WEK19" s="1"/>
      <c r="WEL19" s="1"/>
      <c r="WEM19" s="1"/>
      <c r="WEN19" s="1"/>
      <c r="WEO19" s="1"/>
      <c r="WEP19" s="1"/>
      <c r="WEQ19" s="1"/>
      <c r="WER19" s="1"/>
      <c r="WES19" s="1"/>
      <c r="WET19" s="1"/>
      <c r="WEU19" s="1"/>
      <c r="WEV19" s="1"/>
      <c r="WEW19" s="1"/>
      <c r="WEX19" s="1"/>
      <c r="WEY19" s="1"/>
      <c r="WEZ19" s="1"/>
      <c r="WFA19" s="1"/>
      <c r="WFB19" s="1"/>
      <c r="WFC19" s="1"/>
      <c r="WFD19" s="1"/>
      <c r="WFE19" s="1"/>
      <c r="WFF19" s="1"/>
      <c r="WFG19" s="1"/>
      <c r="WFH19" s="1"/>
      <c r="WFI19" s="1"/>
      <c r="WFJ19" s="1"/>
      <c r="WFK19" s="1"/>
      <c r="WFL19" s="1"/>
      <c r="WFM19" s="1"/>
      <c r="WFN19" s="1"/>
      <c r="WFO19" s="1"/>
      <c r="WFP19" s="1"/>
      <c r="WFQ19" s="1"/>
      <c r="WFR19" s="1"/>
      <c r="WFS19" s="1"/>
      <c r="WFT19" s="1"/>
      <c r="WFU19" s="1"/>
      <c r="WFV19" s="1"/>
      <c r="WFW19" s="1"/>
      <c r="WFX19" s="1"/>
      <c r="WFY19" s="1"/>
      <c r="WFZ19" s="1"/>
      <c r="WGA19" s="1"/>
      <c r="WGB19" s="1"/>
      <c r="WGC19" s="1"/>
      <c r="WGD19" s="1"/>
      <c r="WGE19" s="1"/>
      <c r="WGF19" s="1"/>
      <c r="WGG19" s="1"/>
      <c r="WGH19" s="1"/>
      <c r="WGI19" s="1"/>
      <c r="WGJ19" s="1"/>
      <c r="WGK19" s="1"/>
      <c r="WGL19" s="1"/>
      <c r="WGM19" s="1"/>
      <c r="WGN19" s="1"/>
      <c r="WGO19" s="1"/>
      <c r="WGP19" s="1"/>
      <c r="WGQ19" s="1"/>
      <c r="WGR19" s="1"/>
      <c r="WGS19" s="1"/>
      <c r="WGT19" s="1"/>
      <c r="WGU19" s="1"/>
      <c r="WGV19" s="1"/>
      <c r="WGW19" s="1"/>
      <c r="WGX19" s="1"/>
      <c r="WGY19" s="1"/>
      <c r="WGZ19" s="1"/>
      <c r="WHA19" s="1"/>
      <c r="WHB19" s="1"/>
      <c r="WHC19" s="1"/>
      <c r="WHD19" s="1"/>
      <c r="WHE19" s="1"/>
      <c r="WHF19" s="1"/>
      <c r="WHG19" s="1"/>
      <c r="WHH19" s="1"/>
      <c r="WHI19" s="1"/>
      <c r="WHJ19" s="1"/>
      <c r="WHK19" s="1"/>
      <c r="WHL19" s="1"/>
      <c r="WHM19" s="1"/>
      <c r="WHN19" s="1"/>
      <c r="WHO19" s="1"/>
      <c r="WHP19" s="1"/>
      <c r="WHQ19" s="1"/>
      <c r="WHR19" s="1"/>
      <c r="WHS19" s="1"/>
      <c r="WHT19" s="1"/>
      <c r="WHU19" s="1"/>
      <c r="WHV19" s="1"/>
      <c r="WHW19" s="1"/>
      <c r="WHX19" s="1"/>
      <c r="WHY19" s="1"/>
      <c r="WHZ19" s="1"/>
      <c r="WIA19" s="1"/>
      <c r="WIB19" s="1"/>
      <c r="WIC19" s="1"/>
      <c r="WID19" s="1"/>
      <c r="WIE19" s="1"/>
      <c r="WIF19" s="1"/>
      <c r="WIG19" s="1"/>
      <c r="WIH19" s="1"/>
      <c r="WII19" s="1"/>
      <c r="WIJ19" s="1"/>
      <c r="WIK19" s="1"/>
      <c r="WIL19" s="1"/>
      <c r="WIM19" s="1"/>
      <c r="WIN19" s="1"/>
      <c r="WIO19" s="1"/>
      <c r="WIP19" s="1"/>
      <c r="WIQ19" s="1"/>
      <c r="WIR19" s="1"/>
      <c r="WIS19" s="1"/>
      <c r="WIT19" s="1"/>
      <c r="WIU19" s="1"/>
      <c r="WIV19" s="1"/>
      <c r="WIW19" s="1"/>
      <c r="WIX19" s="1"/>
      <c r="WIY19" s="1"/>
      <c r="WIZ19" s="1"/>
      <c r="WJA19" s="1"/>
      <c r="WJB19" s="1"/>
      <c r="WJC19" s="1"/>
      <c r="WJD19" s="1"/>
      <c r="WJE19" s="1"/>
      <c r="WJF19" s="1"/>
      <c r="WJG19" s="1"/>
      <c r="WJH19" s="1"/>
      <c r="WJI19" s="1"/>
      <c r="WJJ19" s="1"/>
      <c r="WJK19" s="1"/>
      <c r="WJL19" s="1"/>
      <c r="WJM19" s="1"/>
      <c r="WJN19" s="1"/>
      <c r="WJO19" s="1"/>
      <c r="WJP19" s="1"/>
      <c r="WJQ19" s="1"/>
      <c r="WJR19" s="1"/>
      <c r="WJS19" s="1"/>
      <c r="WJT19" s="1"/>
      <c r="WJU19" s="1"/>
      <c r="WJV19" s="1"/>
      <c r="WJW19" s="1"/>
      <c r="WJX19" s="1"/>
      <c r="WJY19" s="1"/>
      <c r="WJZ19" s="1"/>
      <c r="WKA19" s="1"/>
      <c r="WKB19" s="1"/>
      <c r="WKC19" s="1"/>
      <c r="WKD19" s="1"/>
      <c r="WKE19" s="1"/>
      <c r="WKF19" s="1"/>
      <c r="WKG19" s="1"/>
      <c r="WKH19" s="1"/>
      <c r="WKI19" s="1"/>
      <c r="WKJ19" s="1"/>
      <c r="WKK19" s="1"/>
      <c r="WKL19" s="1"/>
      <c r="WKM19" s="1"/>
      <c r="WKN19" s="1"/>
      <c r="WKO19" s="1"/>
      <c r="WKP19" s="1"/>
      <c r="WKQ19" s="1"/>
      <c r="WKR19" s="1"/>
      <c r="WKS19" s="1"/>
      <c r="WKT19" s="1"/>
      <c r="WKU19" s="1"/>
      <c r="WKV19" s="1"/>
      <c r="WKW19" s="1"/>
      <c r="WKX19" s="1"/>
      <c r="WKY19" s="1"/>
      <c r="WKZ19" s="1"/>
      <c r="WLA19" s="1"/>
      <c r="WLB19" s="1"/>
      <c r="WLC19" s="1"/>
      <c r="WLD19" s="1"/>
      <c r="WLE19" s="1"/>
      <c r="WLF19" s="1"/>
      <c r="WLG19" s="1"/>
      <c r="WLH19" s="1"/>
      <c r="WLI19" s="1"/>
      <c r="WLJ19" s="1"/>
      <c r="WLK19" s="1"/>
      <c r="WLL19" s="1"/>
      <c r="WLM19" s="1"/>
      <c r="WLN19" s="1"/>
      <c r="WLO19" s="1"/>
      <c r="WLP19" s="1"/>
      <c r="WLQ19" s="1"/>
      <c r="WLR19" s="1"/>
      <c r="WLS19" s="1"/>
      <c r="WLT19" s="1"/>
      <c r="WLU19" s="1"/>
      <c r="WLV19" s="1"/>
      <c r="WLW19" s="1"/>
      <c r="WLX19" s="1"/>
      <c r="WLY19" s="1"/>
      <c r="WLZ19" s="1"/>
      <c r="WMA19" s="1"/>
      <c r="WMB19" s="1"/>
      <c r="WMC19" s="1"/>
      <c r="WMD19" s="1"/>
      <c r="WME19" s="1"/>
      <c r="WMF19" s="1"/>
      <c r="WMG19" s="1"/>
      <c r="WMH19" s="1"/>
      <c r="WMI19" s="1"/>
      <c r="WMJ19" s="1"/>
      <c r="WMK19" s="1"/>
      <c r="WML19" s="1"/>
      <c r="WMM19" s="1"/>
      <c r="WMN19" s="1"/>
      <c r="WMO19" s="1"/>
      <c r="WMP19" s="1"/>
      <c r="WMQ19" s="1"/>
      <c r="WMR19" s="1"/>
      <c r="WMS19" s="1"/>
      <c r="WMT19" s="1"/>
      <c r="WMU19" s="1"/>
      <c r="WMV19" s="1"/>
      <c r="WMW19" s="1"/>
      <c r="WMX19" s="1"/>
      <c r="WMY19" s="1"/>
      <c r="WMZ19" s="1"/>
      <c r="WNA19" s="1"/>
      <c r="WNB19" s="1"/>
      <c r="WNC19" s="1"/>
      <c r="WND19" s="1"/>
      <c r="WNE19" s="1"/>
      <c r="WNF19" s="1"/>
      <c r="WNG19" s="1"/>
      <c r="WNH19" s="1"/>
      <c r="WNI19" s="1"/>
      <c r="WNJ19" s="1"/>
      <c r="WNK19" s="1"/>
      <c r="WNL19" s="1"/>
      <c r="WNM19" s="1"/>
      <c r="WNN19" s="1"/>
      <c r="WNO19" s="1"/>
      <c r="WNP19" s="1"/>
      <c r="WNQ19" s="1"/>
      <c r="WNR19" s="1"/>
      <c r="WNS19" s="1"/>
      <c r="WNT19" s="1"/>
      <c r="WNU19" s="1"/>
      <c r="WNV19" s="1"/>
      <c r="WNW19" s="1"/>
      <c r="WNX19" s="1"/>
      <c r="WNY19" s="1"/>
      <c r="WNZ19" s="1"/>
      <c r="WOA19" s="1"/>
      <c r="WOB19" s="1"/>
      <c r="WOC19" s="1"/>
      <c r="WOD19" s="1"/>
      <c r="WOE19" s="1"/>
      <c r="WOF19" s="1"/>
      <c r="WOG19" s="1"/>
      <c r="WOH19" s="1"/>
      <c r="WOI19" s="1"/>
      <c r="WOJ19" s="1"/>
      <c r="WOK19" s="1"/>
      <c r="WOL19" s="1"/>
      <c r="WOM19" s="1"/>
      <c r="WON19" s="1"/>
      <c r="WOO19" s="1"/>
      <c r="WOP19" s="1"/>
      <c r="WOQ19" s="1"/>
      <c r="WOR19" s="1"/>
      <c r="WOS19" s="1"/>
      <c r="WOT19" s="1"/>
      <c r="WOU19" s="1"/>
      <c r="WOV19" s="1"/>
      <c r="WOW19" s="1"/>
      <c r="WOX19" s="1"/>
      <c r="WOY19" s="1"/>
      <c r="WOZ19" s="1"/>
      <c r="WPA19" s="1"/>
      <c r="WPB19" s="1"/>
      <c r="WPC19" s="1"/>
      <c r="WPD19" s="1"/>
      <c r="WPE19" s="1"/>
      <c r="WPF19" s="1"/>
      <c r="WPG19" s="1"/>
      <c r="WPH19" s="1"/>
      <c r="WPI19" s="1"/>
      <c r="WPJ19" s="1"/>
      <c r="WPK19" s="1"/>
      <c r="WPL19" s="1"/>
      <c r="WPM19" s="1"/>
      <c r="WPN19" s="1"/>
      <c r="WPO19" s="1"/>
      <c r="WPP19" s="1"/>
      <c r="WPQ19" s="1"/>
      <c r="WPR19" s="1"/>
      <c r="WPS19" s="1"/>
      <c r="WPT19" s="1"/>
      <c r="WPU19" s="1"/>
      <c r="WPV19" s="1"/>
      <c r="WPW19" s="1"/>
      <c r="WPX19" s="1"/>
      <c r="WPY19" s="1"/>
      <c r="WPZ19" s="1"/>
      <c r="WQA19" s="1"/>
      <c r="WQB19" s="1"/>
      <c r="WQC19" s="1"/>
      <c r="WQD19" s="1"/>
      <c r="WQE19" s="1"/>
      <c r="WQF19" s="1"/>
      <c r="WQG19" s="1"/>
      <c r="WQH19" s="1"/>
      <c r="WQI19" s="1"/>
      <c r="WQJ19" s="1"/>
      <c r="WQK19" s="1"/>
      <c r="WQL19" s="1"/>
      <c r="WQM19" s="1"/>
      <c r="WQN19" s="1"/>
      <c r="WQO19" s="1"/>
      <c r="WQP19" s="1"/>
      <c r="WQQ19" s="1"/>
      <c r="WQR19" s="1"/>
      <c r="WQS19" s="1"/>
      <c r="WQT19" s="1"/>
      <c r="WQU19" s="1"/>
      <c r="WQV19" s="1"/>
      <c r="WQW19" s="1"/>
      <c r="WQX19" s="1"/>
      <c r="WQY19" s="1"/>
      <c r="WQZ19" s="1"/>
      <c r="WRA19" s="1"/>
      <c r="WRB19" s="1"/>
      <c r="WRC19" s="1"/>
      <c r="WRD19" s="1"/>
      <c r="WRE19" s="1"/>
      <c r="WRF19" s="1"/>
      <c r="WRG19" s="1"/>
      <c r="WRH19" s="1"/>
      <c r="WRI19" s="1"/>
      <c r="WRJ19" s="1"/>
      <c r="WRK19" s="1"/>
      <c r="WRL19" s="1"/>
      <c r="WRM19" s="1"/>
      <c r="WRN19" s="1"/>
      <c r="WRO19" s="1"/>
      <c r="WRP19" s="1"/>
      <c r="WRQ19" s="1"/>
      <c r="WRR19" s="1"/>
      <c r="WRS19" s="1"/>
      <c r="WRT19" s="1"/>
      <c r="WRU19" s="1"/>
      <c r="WRV19" s="1"/>
      <c r="WRW19" s="1"/>
      <c r="WRX19" s="1"/>
      <c r="WRY19" s="1"/>
      <c r="WRZ19" s="1"/>
      <c r="WSA19" s="1"/>
      <c r="WSB19" s="1"/>
      <c r="WSC19" s="1"/>
      <c r="WSD19" s="1"/>
      <c r="WSE19" s="1"/>
      <c r="WSF19" s="1"/>
      <c r="WSG19" s="1"/>
      <c r="WSH19" s="1"/>
      <c r="WSI19" s="1"/>
      <c r="WSJ19" s="1"/>
      <c r="WSK19" s="1"/>
      <c r="WSL19" s="1"/>
      <c r="WSM19" s="1"/>
      <c r="WSN19" s="1"/>
      <c r="WSO19" s="1"/>
      <c r="WSP19" s="1"/>
      <c r="WSQ19" s="1"/>
      <c r="WSR19" s="1"/>
      <c r="WSS19" s="1"/>
      <c r="WST19" s="1"/>
      <c r="WSU19" s="1"/>
      <c r="WSV19" s="1"/>
      <c r="WSW19" s="1"/>
      <c r="WSX19" s="1"/>
      <c r="WSY19" s="1"/>
      <c r="WSZ19" s="1"/>
      <c r="WTA19" s="1"/>
      <c r="WTB19" s="1"/>
      <c r="WTC19" s="1"/>
      <c r="WTD19" s="1"/>
      <c r="WTE19" s="1"/>
      <c r="WTF19" s="1"/>
      <c r="WTG19" s="1"/>
      <c r="WTH19" s="1"/>
      <c r="WTI19" s="1"/>
      <c r="WTJ19" s="1"/>
      <c r="WTK19" s="1"/>
      <c r="WTL19" s="1"/>
      <c r="WTM19" s="1"/>
      <c r="WTN19" s="1"/>
      <c r="WTO19" s="1"/>
      <c r="WTP19" s="1"/>
      <c r="WTQ19" s="1"/>
      <c r="WTR19" s="1"/>
      <c r="WTS19" s="1"/>
      <c r="WTT19" s="1"/>
      <c r="WTU19" s="1"/>
      <c r="WTV19" s="1"/>
      <c r="WTW19" s="1"/>
      <c r="WTX19" s="1"/>
      <c r="WTY19" s="1"/>
      <c r="WTZ19" s="1"/>
      <c r="WUA19" s="1"/>
      <c r="WUB19" s="1"/>
      <c r="WUC19" s="1"/>
      <c r="WUD19" s="1"/>
      <c r="WUE19" s="1"/>
      <c r="WUF19" s="1"/>
      <c r="WUG19" s="1"/>
      <c r="WUH19" s="1"/>
      <c r="WUI19" s="1"/>
      <c r="WUJ19" s="1"/>
      <c r="WUK19" s="1"/>
      <c r="WUL19" s="1"/>
      <c r="WUM19" s="1"/>
      <c r="WUN19" s="1"/>
      <c r="WUO19" s="1"/>
      <c r="WUP19" s="1"/>
      <c r="WUQ19" s="1"/>
      <c r="WUR19" s="1"/>
      <c r="WUS19" s="1"/>
      <c r="WUT19" s="1"/>
      <c r="WUU19" s="1"/>
      <c r="WUV19" s="1"/>
      <c r="WUW19" s="1"/>
      <c r="WUX19" s="1"/>
      <c r="WUY19" s="1"/>
      <c r="WUZ19" s="1"/>
      <c r="WVA19" s="1"/>
      <c r="WVB19" s="1"/>
      <c r="WVC19" s="1"/>
      <c r="WVD19" s="1"/>
      <c r="WVE19" s="1"/>
      <c r="WVF19" s="1"/>
      <c r="WVG19" s="1"/>
      <c r="WVH19" s="1"/>
      <c r="WVI19" s="1"/>
      <c r="WVJ19" s="1"/>
      <c r="WVK19" s="1"/>
      <c r="WVL19" s="1"/>
      <c r="WVM19" s="1"/>
      <c r="WVN19" s="1"/>
      <c r="WVO19" s="1"/>
      <c r="WVP19" s="1"/>
      <c r="WVQ19" s="1"/>
      <c r="WVR19" s="1"/>
      <c r="WVS19" s="1"/>
      <c r="WVT19" s="1"/>
      <c r="WVU19" s="1"/>
      <c r="WVV19" s="1"/>
      <c r="WVW19" s="1"/>
      <c r="WVX19" s="1"/>
      <c r="WVY19" s="1"/>
      <c r="WVZ19" s="1"/>
      <c r="WWA19" s="1"/>
      <c r="WWB19" s="1"/>
      <c r="WWC19" s="1"/>
      <c r="WWD19" s="1"/>
      <c r="WWE19" s="1"/>
      <c r="WWF19" s="1"/>
      <c r="WWG19" s="1"/>
      <c r="WWH19" s="1"/>
      <c r="WWI19" s="1"/>
      <c r="WWJ19" s="1"/>
      <c r="WWK19" s="1"/>
      <c r="WWL19" s="1"/>
      <c r="WWM19" s="1"/>
      <c r="WWN19" s="1"/>
      <c r="WWO19" s="1"/>
      <c r="WWP19" s="1"/>
      <c r="WWQ19" s="1"/>
      <c r="WWR19" s="1"/>
      <c r="WWS19" s="1"/>
      <c r="WWT19" s="1"/>
      <c r="WWU19" s="1"/>
      <c r="WWV19" s="1"/>
      <c r="WWW19" s="1"/>
      <c r="WWX19" s="1"/>
      <c r="WWY19" s="1"/>
      <c r="WWZ19" s="1"/>
      <c r="WXA19" s="1"/>
      <c r="WXB19" s="1"/>
      <c r="WXC19" s="1"/>
      <c r="WXD19" s="1"/>
      <c r="WXE19" s="1"/>
      <c r="WXF19" s="1"/>
      <c r="WXG19" s="1"/>
      <c r="WXH19" s="1"/>
      <c r="WXI19" s="1"/>
      <c r="WXJ19" s="1"/>
      <c r="WXK19" s="1"/>
      <c r="WXL19" s="1"/>
      <c r="WXM19" s="1"/>
      <c r="WXN19" s="1"/>
      <c r="WXO19" s="1"/>
      <c r="WXP19" s="1"/>
      <c r="WXQ19" s="1"/>
      <c r="WXR19" s="1"/>
      <c r="WXS19" s="1"/>
      <c r="WXT19" s="1"/>
      <c r="WXU19" s="1"/>
      <c r="WXV19" s="1"/>
      <c r="WXW19" s="1"/>
      <c r="WXX19" s="1"/>
      <c r="WXY19" s="1"/>
      <c r="WXZ19" s="1"/>
      <c r="WYA19" s="1"/>
      <c r="WYB19" s="1"/>
      <c r="WYC19" s="1"/>
      <c r="WYD19" s="1"/>
      <c r="WYE19" s="1"/>
      <c r="WYF19" s="1"/>
      <c r="WYG19" s="1"/>
      <c r="WYH19" s="1"/>
      <c r="WYI19" s="1"/>
      <c r="WYJ19" s="1"/>
      <c r="WYK19" s="1"/>
      <c r="WYL19" s="1"/>
      <c r="WYM19" s="1"/>
      <c r="WYN19" s="1"/>
      <c r="WYO19" s="1"/>
      <c r="WYP19" s="1"/>
      <c r="WYQ19" s="1"/>
      <c r="WYR19" s="1"/>
      <c r="WYS19" s="1"/>
      <c r="WYT19" s="1"/>
      <c r="WYU19" s="1"/>
      <c r="WYV19" s="1"/>
      <c r="WYW19" s="1"/>
      <c r="WYX19" s="1"/>
      <c r="WYY19" s="1"/>
      <c r="WYZ19" s="1"/>
      <c r="WZA19" s="1"/>
      <c r="WZB19" s="1"/>
      <c r="WZC19" s="1"/>
      <c r="WZD19" s="1"/>
      <c r="WZE19" s="1"/>
      <c r="WZF19" s="1"/>
      <c r="WZG19" s="1"/>
      <c r="WZH19" s="1"/>
      <c r="WZI19" s="1"/>
      <c r="WZJ19" s="1"/>
      <c r="WZK19" s="1"/>
      <c r="WZL19" s="1"/>
      <c r="WZM19" s="1"/>
      <c r="WZN19" s="1"/>
      <c r="WZO19" s="1"/>
      <c r="WZP19" s="1"/>
      <c r="WZQ19" s="1"/>
      <c r="WZR19" s="1"/>
      <c r="WZS19" s="1"/>
      <c r="WZT19" s="1"/>
      <c r="WZU19" s="1"/>
      <c r="WZV19" s="1"/>
      <c r="WZW19" s="1"/>
      <c r="WZX19" s="1"/>
      <c r="WZY19" s="1"/>
      <c r="WZZ19" s="1"/>
      <c r="XAA19" s="1"/>
      <c r="XAB19" s="1"/>
      <c r="XAC19" s="1"/>
      <c r="XAD19" s="1"/>
      <c r="XAE19" s="1"/>
      <c r="XAF19" s="1"/>
      <c r="XAG19" s="1"/>
      <c r="XAH19" s="1"/>
      <c r="XAI19" s="1"/>
      <c r="XAJ19" s="1"/>
      <c r="XAK19" s="1"/>
      <c r="XAL19" s="1"/>
      <c r="XAM19" s="1"/>
      <c r="XAN19" s="1"/>
      <c r="XAO19" s="1"/>
      <c r="XAP19" s="1"/>
      <c r="XAQ19" s="1"/>
      <c r="XAR19" s="1"/>
      <c r="XAS19" s="1"/>
      <c r="XAT19" s="1"/>
      <c r="XAU19" s="1"/>
      <c r="XAV19" s="1"/>
      <c r="XAW19" s="1"/>
      <c r="XAX19" s="1"/>
      <c r="XAY19" s="1"/>
      <c r="XAZ19" s="1"/>
      <c r="XBA19" s="1"/>
      <c r="XBB19" s="1"/>
      <c r="XBC19" s="1"/>
      <c r="XBD19" s="1"/>
      <c r="XBE19" s="1"/>
      <c r="XBF19" s="1"/>
      <c r="XBG19" s="1"/>
      <c r="XBH19" s="1"/>
      <c r="XBI19" s="1"/>
      <c r="XBJ19" s="1"/>
      <c r="XBK19" s="1"/>
      <c r="XBL19" s="1"/>
      <c r="XBM19" s="1"/>
      <c r="XBN19" s="1"/>
      <c r="XBO19" s="1"/>
      <c r="XBP19" s="1"/>
      <c r="XBQ19" s="1"/>
      <c r="XBR19" s="1"/>
      <c r="XBS19" s="1"/>
      <c r="XBT19" s="1"/>
      <c r="XBU19" s="1"/>
      <c r="XBV19" s="1"/>
      <c r="XBW19" s="1"/>
      <c r="XBX19" s="1"/>
      <c r="XBY19" s="1"/>
      <c r="XBZ19" s="1"/>
      <c r="XCA19" s="1"/>
      <c r="XCB19" s="1"/>
      <c r="XCC19" s="1"/>
      <c r="XCD19" s="1"/>
      <c r="XCE19" s="1"/>
      <c r="XCF19" s="1"/>
      <c r="XCG19" s="1"/>
      <c r="XCH19" s="1"/>
      <c r="XCI19" s="1"/>
      <c r="XCJ19" s="1"/>
      <c r="XCK19" s="1"/>
      <c r="XCL19" s="1"/>
      <c r="XCM19" s="1"/>
      <c r="XCN19" s="1"/>
      <c r="XCO19" s="1"/>
      <c r="XCP19" s="1"/>
      <c r="XCQ19" s="1"/>
      <c r="XCR19" s="1"/>
      <c r="XCS19" s="1"/>
      <c r="XCT19" s="1"/>
      <c r="XCU19" s="1"/>
      <c r="XCV19" s="1"/>
      <c r="XCW19" s="1"/>
      <c r="XCX19" s="1"/>
      <c r="XCY19" s="1"/>
      <c r="XCZ19" s="1"/>
      <c r="XDA19" s="1"/>
      <c r="XDB19" s="1"/>
      <c r="XDC19" s="1"/>
      <c r="XDD19" s="1"/>
      <c r="XDE19" s="1"/>
      <c r="XDF19" s="1"/>
      <c r="XDG19" s="1"/>
      <c r="XDH19" s="1"/>
      <c r="XDI19" s="1"/>
      <c r="XDJ19" s="1"/>
      <c r="XDK19" s="1"/>
      <c r="XDL19" s="1"/>
      <c r="XDM19" s="1"/>
      <c r="XDN19" s="1"/>
      <c r="XDO19" s="1"/>
      <c r="XDP19" s="1"/>
      <c r="XDQ19" s="1"/>
    </row>
    <row r="20" spans="1:16345" s="1" customFormat="1" ht="12.75" customHeight="1">
      <c r="A20" s="2227" t="s">
        <v>85</v>
      </c>
      <c r="B20" s="368"/>
      <c r="C20" s="18"/>
      <c r="D20" s="18"/>
      <c r="E20" s="18"/>
      <c r="F20" s="60"/>
      <c r="G20" s="18"/>
      <c r="H20" s="18"/>
      <c r="I20" s="18"/>
      <c r="J20" s="18"/>
      <c r="K20" s="60"/>
      <c r="L20" s="18"/>
      <c r="M20" s="18"/>
      <c r="N20" s="18"/>
      <c r="O20" s="18"/>
      <c r="P20" s="60"/>
      <c r="Q20" s="18"/>
      <c r="R20" s="18"/>
      <c r="S20" s="18"/>
      <c r="T20" s="18"/>
      <c r="U20" s="60"/>
      <c r="V20" s="18"/>
      <c r="W20" s="18"/>
      <c r="X20" s="18"/>
      <c r="Y20" s="18"/>
      <c r="Z20" s="2122"/>
      <c r="AA20" s="18"/>
      <c r="AB20" s="18"/>
      <c r="AC20" s="18"/>
      <c r="AD20" s="18"/>
      <c r="AE20" s="450"/>
      <c r="AF20" s="18"/>
      <c r="AG20" s="18"/>
      <c r="AH20" s="18"/>
      <c r="AI20" s="18"/>
      <c r="AJ20" s="450"/>
      <c r="AK20" s="18"/>
      <c r="AL20" s="18"/>
      <c r="AM20" s="18"/>
      <c r="AN20" s="18"/>
      <c r="AO20" s="450"/>
      <c r="AP20" s="18"/>
      <c r="AQ20" s="18"/>
      <c r="AR20" s="451"/>
      <c r="AS20" s="451"/>
      <c r="AT20" s="464"/>
      <c r="AU20" s="18"/>
      <c r="AV20" s="18"/>
      <c r="AW20" s="451">
        <f t="shared" ref="AW20:BB20" si="140">+AW19/AR19-1</f>
        <v>1.6519823788546257</v>
      </c>
      <c r="AX20" s="451">
        <f t="shared" si="140"/>
        <v>0.46841620823254915</v>
      </c>
      <c r="AY20" s="450">
        <f t="shared" si="140"/>
        <v>2.240803320735306</v>
      </c>
      <c r="AZ20" s="601">
        <f t="shared" si="140"/>
        <v>0.53953894195444518</v>
      </c>
      <c r="BA20" s="18">
        <f t="shared" si="140"/>
        <v>0.60342971538650425</v>
      </c>
      <c r="BB20" s="18">
        <f t="shared" si="140"/>
        <v>0.50392998946600764</v>
      </c>
      <c r="BC20" s="451">
        <f t="shared" ref="BC20" si="141">+BC19/AX19-1</f>
        <v>0.48250728862973769</v>
      </c>
      <c r="BD20" s="1938">
        <f t="shared" ref="BD20:BE20" si="142">+BD19/AY19-1</f>
        <v>0.52751690872375501</v>
      </c>
      <c r="BE20" s="601">
        <f t="shared" si="142"/>
        <v>0.33407904548844147</v>
      </c>
      <c r="BF20" s="18">
        <f>+BF19/BA19-1</f>
        <v>0.1819787985865724</v>
      </c>
      <c r="BG20" s="18">
        <f t="shared" ref="BG20" si="143">+BG19/BB19-1</f>
        <v>0.1449353448275863</v>
      </c>
      <c r="BH20" s="451">
        <f t="shared" ref="BH20" si="144">+BH19/BC19-1</f>
        <v>0.16076696165191739</v>
      </c>
      <c r="BI20" s="1938">
        <f t="shared" ref="BI20:BJ20" si="145">+BI19/BD19-1</f>
        <v>0.19526627218934922</v>
      </c>
      <c r="BJ20" s="601">
        <f t="shared" si="145"/>
        <v>0.15707098937954167</v>
      </c>
      <c r="BK20" s="18">
        <f>+BK19/BF19-1</f>
        <v>0.14798206278026904</v>
      </c>
      <c r="BL20" s="18">
        <f t="shared" ref="BL20" si="146">+BL19/BG19-1</f>
        <v>0.13929411764705879</v>
      </c>
      <c r="BM20" s="451">
        <f t="shared" ref="BM20" si="147">+BM19/BH19-1</f>
        <v>0.21346886912325291</v>
      </c>
      <c r="BN20" s="1938">
        <f t="shared" ref="BN20" si="148">+BN19/BI19-1</f>
        <v>0.16638493117604436</v>
      </c>
      <c r="BO20" s="368">
        <f t="shared" ref="BO20" si="149">+BO19/BJ19-1</f>
        <v>0.14876811594202888</v>
      </c>
      <c r="BP20" s="18">
        <f t="shared" ref="BP20" si="150">+BP19/BK19-1</f>
        <v>0.14562695312500007</v>
      </c>
      <c r="BQ20" s="18">
        <f t="shared" ref="BQ20:BR20" si="151">+BQ19/BL19-1</f>
        <v>0.15022649628252771</v>
      </c>
      <c r="BR20" s="2162">
        <f t="shared" si="151"/>
        <v>0.20524465999999975</v>
      </c>
      <c r="BS20" s="1936">
        <f>+BS19/BN19-1</f>
        <v>0.16513445118012382</v>
      </c>
      <c r="BT20" s="20"/>
      <c r="BU20" s="20"/>
      <c r="BV20" s="20"/>
      <c r="BW20" s="20"/>
      <c r="BX20" s="465">
        <v>0.13</v>
      </c>
      <c r="BY20" s="20"/>
      <c r="BZ20" s="20"/>
      <c r="CA20" s="20"/>
      <c r="CB20" s="20"/>
      <c r="CC20" s="465">
        <v>0.13</v>
      </c>
      <c r="CD20" s="191"/>
      <c r="CE20" s="263"/>
      <c r="CF20" s="173"/>
      <c r="CG20" s="173"/>
      <c r="CH20" s="173"/>
      <c r="CI20" s="239"/>
      <c r="CJ20" s="177"/>
      <c r="CK20" s="2070"/>
      <c r="CL20" s="18">
        <f t="shared" si="128"/>
        <v>0.21346886912325291</v>
      </c>
      <c r="CM20" s="18">
        <f>BH20</f>
        <v>0.16076696165191739</v>
      </c>
      <c r="CN20" s="18">
        <v>0.13820838627700138</v>
      </c>
      <c r="CO20" s="2107">
        <f>IFERROR(($CL20-CM20)*10000,"")</f>
        <v>527.01907471335517</v>
      </c>
      <c r="CP20" s="2107">
        <f>IFERROR(($CL20-CN20)*10000,"")</f>
        <v>752.60482846251534</v>
      </c>
      <c r="CQ20" s="44"/>
      <c r="CR20" s="44" t="s">
        <v>197</v>
      </c>
      <c r="CS20" s="258"/>
      <c r="CT20" s="258"/>
      <c r="CU20" s="258"/>
      <c r="CV20" s="258"/>
      <c r="CW20" s="258"/>
      <c r="CX20" s="258"/>
      <c r="CY20" s="139"/>
      <c r="CZ20"/>
      <c r="DA20"/>
      <c r="DB20"/>
      <c r="DC20"/>
      <c r="DD20"/>
      <c r="DE20"/>
      <c r="DF20" s="3"/>
      <c r="DG20" s="3"/>
      <c r="DH20" s="3"/>
      <c r="DI20" s="3"/>
      <c r="DJ20" s="3"/>
    </row>
    <row r="21" spans="1:16345" s="1" customFormat="1" ht="12.75" customHeight="1">
      <c r="A21" s="2227" t="s">
        <v>248</v>
      </c>
      <c r="B21" s="368"/>
      <c r="C21" s="18"/>
      <c r="D21" s="18"/>
      <c r="E21" s="18"/>
      <c r="F21" s="60"/>
      <c r="G21" s="18"/>
      <c r="H21" s="18"/>
      <c r="I21" s="18"/>
      <c r="J21" s="18"/>
      <c r="K21" s="60"/>
      <c r="L21" s="18"/>
      <c r="M21" s="18"/>
      <c r="N21" s="18"/>
      <c r="O21" s="18"/>
      <c r="P21" s="60"/>
      <c r="Q21" s="18"/>
      <c r="R21" s="18"/>
      <c r="S21" s="18"/>
      <c r="T21" s="18"/>
      <c r="U21" s="60"/>
      <c r="V21" s="18"/>
      <c r="W21" s="18"/>
      <c r="X21" s="18"/>
      <c r="Y21" s="18"/>
      <c r="Z21" s="2120"/>
      <c r="AA21" s="18"/>
      <c r="AB21" s="18"/>
      <c r="AC21" s="18"/>
      <c r="AD21" s="18"/>
      <c r="AE21" s="18"/>
      <c r="AF21" s="18"/>
      <c r="AG21" s="18"/>
      <c r="AH21" s="18"/>
      <c r="AI21" s="18"/>
      <c r="AJ21" s="625"/>
      <c r="AK21" s="18"/>
      <c r="AL21" s="18"/>
      <c r="AM21" s="18"/>
      <c r="AN21" s="18"/>
      <c r="AO21" s="625"/>
      <c r="AP21" s="18"/>
      <c r="AQ21" s="18"/>
      <c r="AR21" s="451"/>
      <c r="AS21" s="451"/>
      <c r="AT21" s="624"/>
      <c r="AU21" s="18"/>
      <c r="AV21" s="18"/>
      <c r="AW21" s="451"/>
      <c r="AX21" s="451"/>
      <c r="AY21" s="623"/>
      <c r="AZ21" s="601"/>
      <c r="BA21" s="18">
        <f>+BA19/AZ19-1</f>
        <v>0.26621923937360203</v>
      </c>
      <c r="BB21" s="18">
        <f>+BB19/BA19-1</f>
        <v>9.3050647820965837E-2</v>
      </c>
      <c r="BC21" s="451">
        <f>+BC19/BB19-1</f>
        <v>9.5905172413793149E-2</v>
      </c>
      <c r="BD21" s="1940"/>
      <c r="BE21" s="601">
        <f>+BE19/BC19-1</f>
        <v>-0.12045231071779749</v>
      </c>
      <c r="BF21" s="18">
        <f>+BF19/BE19-1</f>
        <v>0.1218557853549469</v>
      </c>
      <c r="BG21" s="18">
        <f>+BG19/BF19-1</f>
        <v>5.879422022919778E-2</v>
      </c>
      <c r="BH21" s="451">
        <f>+BH19/BG19-1</f>
        <v>0.11105882352941165</v>
      </c>
      <c r="BI21" s="1940"/>
      <c r="BJ21" s="601">
        <f>+BJ19/BH19-1</f>
        <v>-0.12325285895806859</v>
      </c>
      <c r="BK21" s="18">
        <f>+BK19/BJ19-1</f>
        <v>0.11304347826086958</v>
      </c>
      <c r="BL21" s="18">
        <f>+BL19/BK19-1</f>
        <v>5.078125E-2</v>
      </c>
      <c r="BM21" s="451">
        <f>+BM19/BL19-1</f>
        <v>0.18339529120198272</v>
      </c>
      <c r="BN21" s="1940"/>
      <c r="BO21" s="2338">
        <v>-0.17</v>
      </c>
      <c r="BP21" s="20">
        <v>0.11</v>
      </c>
      <c r="BQ21" s="20">
        <v>5.5E-2</v>
      </c>
      <c r="BR21" s="2160">
        <v>0.24</v>
      </c>
      <c r="BS21" s="2379"/>
      <c r="BT21" s="20"/>
      <c r="BU21" s="20"/>
      <c r="BV21" s="20"/>
      <c r="BW21" s="20"/>
      <c r="BX21" s="628"/>
      <c r="BY21" s="20"/>
      <c r="BZ21" s="20"/>
      <c r="CA21" s="20"/>
      <c r="CB21" s="20"/>
      <c r="CC21" s="628"/>
      <c r="CD21" s="673"/>
      <c r="CE21" s="263"/>
      <c r="CF21" s="173"/>
      <c r="CG21" s="173"/>
      <c r="CH21" s="173"/>
      <c r="CI21" s="239"/>
      <c r="CJ21" s="177"/>
      <c r="CK21" s="2070"/>
      <c r="CL21" s="18">
        <f t="shared" si="128"/>
        <v>0.18339529120198272</v>
      </c>
      <c r="CM21" s="18">
        <f>BH21</f>
        <v>0.11105882352941165</v>
      </c>
      <c r="CN21" s="20">
        <v>0.11</v>
      </c>
      <c r="CO21" s="2107">
        <f>IFERROR(($CL21-CM21)*10000,"")</f>
        <v>723.36467672571075</v>
      </c>
      <c r="CP21" s="2107">
        <f>IFERROR(($CL21-CN21)*10000,"")</f>
        <v>733.95291201982718</v>
      </c>
      <c r="CQ21" s="374"/>
      <c r="CR21" s="16" t="s">
        <v>616</v>
      </c>
      <c r="CS21" s="258"/>
      <c r="CT21" s="258"/>
      <c r="CU21" s="258"/>
      <c r="CV21" s="258"/>
      <c r="CW21" s="258"/>
      <c r="CX21" s="258"/>
      <c r="CY21" s="139"/>
      <c r="CZ21"/>
      <c r="DA21"/>
      <c r="DB21"/>
      <c r="DC21"/>
      <c r="DD21"/>
      <c r="DE21"/>
      <c r="DF21" s="3"/>
      <c r="DG21" s="3"/>
      <c r="DH21" s="3"/>
      <c r="DI21" s="3"/>
      <c r="DJ21" s="3"/>
    </row>
    <row r="22" spans="1:16345" s="657" customFormat="1" ht="12.75" customHeight="1" collapsed="1">
      <c r="A22" s="2228" t="s">
        <v>215</v>
      </c>
      <c r="B22" s="656"/>
      <c r="F22" s="658"/>
      <c r="K22" s="658"/>
      <c r="P22" s="658"/>
      <c r="U22" s="658"/>
      <c r="Z22" s="658"/>
      <c r="AE22" s="658"/>
      <c r="AF22" s="659"/>
      <c r="AG22" s="659"/>
      <c r="AH22" s="659"/>
      <c r="AI22" s="659"/>
      <c r="AJ22" s="658"/>
      <c r="AK22" s="659"/>
      <c r="AL22" s="659"/>
      <c r="AM22" s="659"/>
      <c r="AN22" s="659"/>
      <c r="AO22" s="658"/>
      <c r="AP22" s="659"/>
      <c r="AQ22" s="659"/>
      <c r="AR22" s="659"/>
      <c r="AS22" s="659"/>
      <c r="AT22" s="658"/>
      <c r="AU22" s="659"/>
      <c r="AV22" s="659"/>
      <c r="AW22" s="659"/>
      <c r="AX22" s="659"/>
      <c r="AY22" s="660"/>
      <c r="AZ22" s="660"/>
      <c r="BA22" s="659">
        <f>+BA25+BA26</f>
        <v>171.6</v>
      </c>
      <c r="BB22" s="659">
        <f>+BB25+BB26</f>
        <v>606.20000000000005</v>
      </c>
      <c r="BC22" s="659">
        <v>590.29999999999995</v>
      </c>
      <c r="BD22" s="1937">
        <f>SUM(AZ22:BC22)</f>
        <v>1368.1</v>
      </c>
      <c r="BE22" s="659">
        <f>+BE25+BE26</f>
        <v>595.4</v>
      </c>
      <c r="BF22" s="659">
        <f>+BF25+BF26</f>
        <v>647.70000000000005</v>
      </c>
      <c r="BG22" s="659">
        <f>+BG25+BG26</f>
        <v>593.1</v>
      </c>
      <c r="BH22" s="659">
        <f>+BH25+BH26</f>
        <v>572.70000000000005</v>
      </c>
      <c r="BI22" s="1937">
        <f>SUM(BE22:BH22)</f>
        <v>2408.8999999999996</v>
      </c>
      <c r="BJ22" s="659">
        <f>+BJ25+BJ26</f>
        <v>599.1</v>
      </c>
      <c r="BK22" s="659">
        <f>+BK25+BK26</f>
        <v>614.70000000000005</v>
      </c>
      <c r="BL22" s="659">
        <f>+BL25+BL26</f>
        <v>629.79999999999995</v>
      </c>
      <c r="BM22" s="659">
        <f>+BM25+BM26</f>
        <v>666.8</v>
      </c>
      <c r="BN22" s="1937">
        <f>SUM(BJ22:BM22)</f>
        <v>2510.4</v>
      </c>
      <c r="BO22" s="2340">
        <v>650</v>
      </c>
      <c r="BP22" s="663">
        <v>675</v>
      </c>
      <c r="BQ22" s="663">
        <v>640</v>
      </c>
      <c r="BR22" s="2176">
        <v>620</v>
      </c>
      <c r="BS22" s="1937">
        <f>+SUM(BO22:BR22)</f>
        <v>2585</v>
      </c>
      <c r="BT22" s="659"/>
      <c r="BU22" s="659"/>
      <c r="BV22" s="659"/>
      <c r="BW22" s="659"/>
      <c r="BX22" s="665">
        <f>+BS22*(1+BX23)</f>
        <v>2636.7000000000003</v>
      </c>
      <c r="BY22" s="659"/>
      <c r="BZ22" s="659"/>
      <c r="CA22" s="659"/>
      <c r="CB22" s="659"/>
      <c r="CC22" s="666">
        <f>+BX22*(1+CC23)</f>
        <v>2689.4340000000002</v>
      </c>
      <c r="CD22" s="262"/>
      <c r="CE22" s="263" t="s">
        <v>607</v>
      </c>
      <c r="CF22" s="2224">
        <f>+BI22/$BI$45</f>
        <v>0.16477420413970476</v>
      </c>
      <c r="CG22" s="173"/>
      <c r="CH22" s="173"/>
      <c r="CI22" s="239"/>
      <c r="CJ22" s="177"/>
      <c r="CK22" s="2070"/>
      <c r="CL22" s="659">
        <f t="shared" si="128"/>
        <v>666.8</v>
      </c>
      <c r="CM22" s="659"/>
      <c r="CN22" s="663">
        <v>605</v>
      </c>
      <c r="CO22" s="2086" t="str">
        <f>IFERROR(($CL22/CM22)-1,"")</f>
        <v/>
      </c>
      <c r="CP22" s="2086">
        <f>IFERROR(($CL22/CN22)-1,"")</f>
        <v>0.1021487603305784</v>
      </c>
      <c r="CQ22" s="374" t="s">
        <v>651</v>
      </c>
      <c r="CR22" s="40"/>
      <c r="CS22" s="258"/>
      <c r="CT22" s="258"/>
      <c r="CU22" s="258"/>
      <c r="CV22" s="258"/>
      <c r="CW22" s="258"/>
      <c r="CX22" s="258"/>
      <c r="CY22" s="139"/>
      <c r="CZ22"/>
      <c r="DA22"/>
      <c r="DB22"/>
      <c r="DC22"/>
      <c r="DD22"/>
      <c r="DE22"/>
    </row>
    <row r="23" spans="1:16345" s="1" customFormat="1" ht="12.75" customHeight="1">
      <c r="A23" s="2227" t="s">
        <v>85</v>
      </c>
      <c r="B23" s="368"/>
      <c r="C23" s="18"/>
      <c r="D23" s="18"/>
      <c r="E23" s="18"/>
      <c r="F23" s="60"/>
      <c r="G23" s="18"/>
      <c r="H23" s="18"/>
      <c r="I23" s="18"/>
      <c r="J23" s="18"/>
      <c r="K23" s="60"/>
      <c r="L23" s="18"/>
      <c r="M23" s="18"/>
      <c r="N23" s="18"/>
      <c r="O23" s="18"/>
      <c r="P23" s="60"/>
      <c r="Q23" s="18"/>
      <c r="R23" s="18"/>
      <c r="S23" s="18"/>
      <c r="T23" s="18"/>
      <c r="U23" s="60"/>
      <c r="V23" s="18"/>
      <c r="W23" s="18"/>
      <c r="X23" s="18"/>
      <c r="Y23" s="18"/>
      <c r="Z23" s="625"/>
      <c r="AA23" s="18"/>
      <c r="AB23" s="18"/>
      <c r="AC23" s="18"/>
      <c r="AD23" s="18"/>
      <c r="AE23" s="625"/>
      <c r="AF23" s="18"/>
      <c r="AG23" s="18"/>
      <c r="AH23" s="18"/>
      <c r="AI23" s="18"/>
      <c r="AJ23" s="625"/>
      <c r="AK23" s="18"/>
      <c r="AL23" s="18"/>
      <c r="AM23" s="18"/>
      <c r="AN23" s="18"/>
      <c r="AO23" s="625"/>
      <c r="AP23" s="18"/>
      <c r="AQ23" s="18"/>
      <c r="AR23" s="451"/>
      <c r="AS23" s="451"/>
      <c r="AT23" s="624"/>
      <c r="AU23" s="18"/>
      <c r="AV23" s="18"/>
      <c r="AW23" s="451"/>
      <c r="AX23" s="451"/>
      <c r="AY23" s="623"/>
      <c r="AZ23" s="601"/>
      <c r="BA23" s="18"/>
      <c r="BB23" s="18"/>
      <c r="BC23" s="451"/>
      <c r="BD23" s="1940"/>
      <c r="BE23" s="601"/>
      <c r="BF23" s="18"/>
      <c r="BG23" s="18">
        <f t="shared" ref="BG23:BL23" si="152">+BG22/BB22-1</f>
        <v>-2.1610029693170607E-2</v>
      </c>
      <c r="BH23" s="18">
        <f t="shared" si="152"/>
        <v>-2.9815348128070296E-2</v>
      </c>
      <c r="BI23" s="1940"/>
      <c r="BJ23" s="601">
        <f t="shared" si="152"/>
        <v>6.2143097077596021E-3</v>
      </c>
      <c r="BK23" s="18">
        <f t="shared" si="152"/>
        <v>-5.0949513663733237E-2</v>
      </c>
      <c r="BL23" s="18">
        <f t="shared" si="152"/>
        <v>6.18782667341089E-2</v>
      </c>
      <c r="BM23" s="18">
        <f t="shared" ref="BM23" si="153">+BM22/BH22-1</f>
        <v>0.16430941155928047</v>
      </c>
      <c r="BN23" s="1936">
        <f>+BN22/BI22-1</f>
        <v>4.2135414504545832E-2</v>
      </c>
      <c r="BO23" s="368">
        <f t="shared" ref="BO23" si="154">+BO22/BJ22-1</f>
        <v>8.4960774495075997E-2</v>
      </c>
      <c r="BP23" s="18">
        <f t="shared" ref="BP23" si="155">+BP22/BK22-1</f>
        <v>9.8096632503660297E-2</v>
      </c>
      <c r="BQ23" s="18">
        <f t="shared" ref="BQ23:BR23" si="156">+BQ22/BL22-1</f>
        <v>1.6195617656398875E-2</v>
      </c>
      <c r="BR23" s="2162">
        <f t="shared" si="156"/>
        <v>-7.0185962807438496E-2</v>
      </c>
      <c r="BS23" s="1936">
        <f>+BS22/BN22-1</f>
        <v>2.971637985978326E-2</v>
      </c>
      <c r="BT23" s="20"/>
      <c r="BU23" s="20"/>
      <c r="BV23" s="20"/>
      <c r="BW23" s="20"/>
      <c r="BX23" s="628">
        <v>0.02</v>
      </c>
      <c r="BY23" s="20"/>
      <c r="BZ23" s="20"/>
      <c r="CA23" s="20"/>
      <c r="CB23" s="20"/>
      <c r="CC23" s="629">
        <f>+BX23</f>
        <v>0.02</v>
      </c>
      <c r="CD23" s="191"/>
      <c r="CE23" s="263"/>
      <c r="CF23" s="173"/>
      <c r="CG23" s="173"/>
      <c r="CH23" s="173"/>
      <c r="CI23" s="239"/>
      <c r="CJ23" s="177"/>
      <c r="CK23" s="2070"/>
      <c r="CL23" s="18"/>
      <c r="CM23" s="18"/>
      <c r="CN23" s="18">
        <v>5.6399511087829479E-2</v>
      </c>
      <c r="CO23" s="18"/>
      <c r="CP23" s="18"/>
      <c r="CQ23" s="44"/>
      <c r="CR23" s="44" t="s">
        <v>620</v>
      </c>
      <c r="CS23" s="40"/>
      <c r="CT23" s="258"/>
      <c r="CU23" s="258"/>
      <c r="CV23" s="258"/>
      <c r="CW23" s="258"/>
      <c r="CX23" s="258"/>
      <c r="CY23" s="139"/>
      <c r="CZ23"/>
      <c r="DA23"/>
      <c r="DB23"/>
      <c r="DC23"/>
      <c r="DD23"/>
      <c r="DE23"/>
      <c r="DF23" s="3"/>
      <c r="DG23" s="3"/>
      <c r="DH23" s="3"/>
      <c r="DI23" s="3"/>
      <c r="DJ23" s="3"/>
    </row>
    <row r="24" spans="1:16345" s="1" customFormat="1" ht="12.75" customHeight="1">
      <c r="A24" s="2227" t="s">
        <v>248</v>
      </c>
      <c r="B24" s="368"/>
      <c r="C24" s="18"/>
      <c r="D24" s="18"/>
      <c r="E24" s="18"/>
      <c r="F24" s="60"/>
      <c r="G24" s="18"/>
      <c r="H24" s="18"/>
      <c r="I24" s="18"/>
      <c r="J24" s="18"/>
      <c r="K24" s="60"/>
      <c r="L24" s="18"/>
      <c r="M24" s="18"/>
      <c r="N24" s="18"/>
      <c r="O24" s="18"/>
      <c r="P24" s="60"/>
      <c r="Q24" s="18"/>
      <c r="R24" s="18"/>
      <c r="S24" s="18"/>
      <c r="T24" s="18"/>
      <c r="U24" s="60"/>
      <c r="V24" s="18"/>
      <c r="W24" s="18"/>
      <c r="X24" s="18"/>
      <c r="Y24" s="18"/>
      <c r="Z24" s="2120"/>
      <c r="AA24" s="18"/>
      <c r="AB24" s="18"/>
      <c r="AC24" s="18"/>
      <c r="AD24" s="18"/>
      <c r="AE24" s="18"/>
      <c r="AF24" s="18"/>
      <c r="AG24" s="18"/>
      <c r="AH24" s="18"/>
      <c r="AI24" s="18"/>
      <c r="AJ24" s="625"/>
      <c r="AK24" s="18"/>
      <c r="AL24" s="18"/>
      <c r="AM24" s="18"/>
      <c r="AN24" s="18"/>
      <c r="AO24" s="625"/>
      <c r="AP24" s="18"/>
      <c r="AQ24" s="18"/>
      <c r="AR24" s="451"/>
      <c r="AS24" s="451"/>
      <c r="AT24" s="624"/>
      <c r="AU24" s="18"/>
      <c r="AV24" s="18"/>
      <c r="AW24" s="451"/>
      <c r="AX24" s="451"/>
      <c r="AY24" s="623"/>
      <c r="AZ24" s="601"/>
      <c r="BA24" s="18"/>
      <c r="BB24" s="18"/>
      <c r="BC24" s="451">
        <f>+BC22/BB22-1</f>
        <v>-2.6228967337512565E-2</v>
      </c>
      <c r="BD24" s="1940"/>
      <c r="BE24" s="601">
        <f>+BE22/BC22-1</f>
        <v>8.6396747416568331E-3</v>
      </c>
      <c r="BF24" s="18">
        <f>+BF22/BE22-1</f>
        <v>8.7840107490762653E-2</v>
      </c>
      <c r="BG24" s="18">
        <f>+BG22/BF22-1</f>
        <v>-8.4298286243631337E-2</v>
      </c>
      <c r="BH24" s="451">
        <f>+BH22/BG22-1</f>
        <v>-3.4395548811330223E-2</v>
      </c>
      <c r="BI24" s="1940"/>
      <c r="BJ24" s="601">
        <f>+BJ22/BH22-1</f>
        <v>4.6097433211105265E-2</v>
      </c>
      <c r="BK24" s="18">
        <f>+BK22/BJ22-1</f>
        <v>2.6039058587881803E-2</v>
      </c>
      <c r="BL24" s="18">
        <f>+BL22/BK22-1</f>
        <v>2.4564828371563152E-2</v>
      </c>
      <c r="BM24" s="451">
        <f>+BM22/BL22-1</f>
        <v>5.8748809145760639E-2</v>
      </c>
      <c r="BN24" s="1940"/>
      <c r="BO24" s="368">
        <f>+BO22/BM22-1</f>
        <v>-2.5194961007798389E-2</v>
      </c>
      <c r="BP24" s="18">
        <f>+BP22/BO22-1</f>
        <v>3.8461538461538547E-2</v>
      </c>
      <c r="BQ24" s="18">
        <f>+BQ22/BP22-1</f>
        <v>-5.1851851851851816E-2</v>
      </c>
      <c r="BR24" s="2162">
        <f>+BR22/BQ22-1</f>
        <v>-3.125E-2</v>
      </c>
      <c r="BS24" s="2379"/>
      <c r="BT24" s="20"/>
      <c r="BU24" s="20"/>
      <c r="BV24" s="20"/>
      <c r="BW24" s="20"/>
      <c r="BX24" s="628"/>
      <c r="BY24" s="20"/>
      <c r="BZ24" s="20"/>
      <c r="CA24" s="20"/>
      <c r="CB24" s="20"/>
      <c r="CC24" s="628"/>
      <c r="CD24" s="673"/>
      <c r="CE24" s="263"/>
      <c r="CF24" s="173"/>
      <c r="CG24" s="173"/>
      <c r="CH24" s="173"/>
      <c r="CI24" s="239"/>
      <c r="CJ24" s="177"/>
      <c r="CK24" s="2070"/>
      <c r="CL24" s="18">
        <f>BM24</f>
        <v>5.8748809145760639E-2</v>
      </c>
      <c r="CM24" s="18">
        <f>BH24</f>
        <v>-3.4395548811330223E-2</v>
      </c>
      <c r="CN24" s="20">
        <v>-3.9377580184185357E-2</v>
      </c>
      <c r="CO24" s="2107">
        <f>IFERROR(($CL24-CM24)*10000,"")</f>
        <v>931.44357957090858</v>
      </c>
      <c r="CP24" s="2107">
        <f>IFERROR(($CL24-CN24)*10000,"")</f>
        <v>981.26389329945994</v>
      </c>
      <c r="CQ24" s="374"/>
      <c r="CR24" s="44"/>
      <c r="CS24" s="40" t="s">
        <v>619</v>
      </c>
      <c r="CT24" s="258"/>
      <c r="CU24" s="258"/>
      <c r="CV24" s="258"/>
      <c r="CW24" s="258"/>
      <c r="CX24" s="258"/>
      <c r="CY24" s="139"/>
      <c r="CZ24"/>
      <c r="DA24"/>
      <c r="DB24"/>
      <c r="DC24"/>
      <c r="DD24"/>
      <c r="DE24"/>
      <c r="DF24" s="3"/>
      <c r="DG24" s="3"/>
      <c r="DH24" s="3"/>
      <c r="DI24" s="3"/>
      <c r="DJ24" s="3"/>
    </row>
    <row r="25" spans="1:16345" s="262" customFormat="1" ht="12.75" customHeight="1" collapsed="1">
      <c r="A25" s="2231" t="s">
        <v>78</v>
      </c>
      <c r="B25" s="543"/>
      <c r="F25" s="268"/>
      <c r="K25" s="268"/>
      <c r="P25" s="268"/>
      <c r="U25" s="268"/>
      <c r="Z25" s="268"/>
      <c r="AE25" s="268"/>
      <c r="AF25" s="269"/>
      <c r="AG25" s="269"/>
      <c r="AH25" s="269"/>
      <c r="AI25" s="269"/>
      <c r="AJ25" s="268"/>
      <c r="AK25" s="269"/>
      <c r="AL25" s="269"/>
      <c r="AM25" s="269"/>
      <c r="AN25" s="269"/>
      <c r="AO25" s="268"/>
      <c r="AP25" s="269"/>
      <c r="AQ25" s="269"/>
      <c r="AR25" s="269"/>
      <c r="AS25" s="269"/>
      <c r="AT25" s="268"/>
      <c r="AU25" s="269"/>
      <c r="AV25" s="269"/>
      <c r="AW25" s="269"/>
      <c r="AX25" s="269"/>
      <c r="AY25" s="580"/>
      <c r="AZ25" s="580"/>
      <c r="BA25" s="269">
        <v>117.6</v>
      </c>
      <c r="BB25" s="269">
        <v>412.5</v>
      </c>
      <c r="BC25" s="1980">
        <v>398.8</v>
      </c>
      <c r="BD25" s="1941">
        <f>SUM(AZ25:BC25)</f>
        <v>928.90000000000009</v>
      </c>
      <c r="BE25" s="580">
        <v>392.9</v>
      </c>
      <c r="BF25" s="269">
        <v>427.5</v>
      </c>
      <c r="BG25" s="269">
        <v>392.8</v>
      </c>
      <c r="BH25" s="269">
        <v>372.6</v>
      </c>
      <c r="BI25" s="1941">
        <f>SUM(BE25:BH25)</f>
        <v>1585.8000000000002</v>
      </c>
      <c r="BJ25" s="580">
        <v>387</v>
      </c>
      <c r="BK25" s="269">
        <v>402</v>
      </c>
      <c r="BL25" s="269">
        <v>409.3</v>
      </c>
      <c r="BM25" s="269">
        <v>433.5</v>
      </c>
      <c r="BN25" s="1941">
        <f>SUM(BJ25:BM25)</f>
        <v>1631.8</v>
      </c>
      <c r="BO25" s="580"/>
      <c r="BP25" s="269"/>
      <c r="BQ25" s="269"/>
      <c r="BR25" s="2177"/>
      <c r="BS25" s="1941"/>
      <c r="BT25" s="269"/>
      <c r="BU25" s="269"/>
      <c r="BV25" s="269"/>
      <c r="BW25" s="269"/>
      <c r="BX25" s="491"/>
      <c r="BY25" s="269"/>
      <c r="BZ25" s="269"/>
      <c r="CA25" s="269"/>
      <c r="CB25" s="269"/>
      <c r="CC25" s="491"/>
      <c r="CE25" s="263"/>
      <c r="CF25" s="173"/>
      <c r="CG25" s="173"/>
      <c r="CH25" s="173"/>
      <c r="CI25" s="239"/>
      <c r="CJ25" s="177"/>
      <c r="CK25" s="2070"/>
      <c r="CL25" s="269">
        <f>BM25</f>
        <v>433.5</v>
      </c>
      <c r="CM25" s="269"/>
      <c r="CN25" s="269"/>
      <c r="CO25" s="2087" t="str">
        <f t="shared" ref="CO25:CP26" si="157">IFERROR(($CL25/CM25)-1,"")</f>
        <v/>
      </c>
      <c r="CP25" s="2087" t="str">
        <f t="shared" si="157"/>
        <v/>
      </c>
      <c r="CQ25" s="16"/>
      <c r="CR25" s="374"/>
      <c r="CS25" s="40" t="s">
        <v>618</v>
      </c>
      <c r="CT25" s="258"/>
      <c r="CU25" s="258"/>
      <c r="CV25" s="258"/>
      <c r="CW25" s="258"/>
      <c r="CX25" s="258"/>
      <c r="CY25" s="263"/>
      <c r="CZ25"/>
      <c r="DA25"/>
      <c r="DB25"/>
      <c r="DC25"/>
      <c r="DD25"/>
      <c r="DE25"/>
      <c r="DF25" s="266"/>
      <c r="DG25" s="266"/>
      <c r="DH25" s="266"/>
      <c r="DI25" s="266"/>
      <c r="DJ25" s="266"/>
    </row>
    <row r="26" spans="1:16345" s="262" customFormat="1" ht="12.75" customHeight="1" collapsed="1">
      <c r="A26" s="2231" t="s">
        <v>216</v>
      </c>
      <c r="B26" s="543"/>
      <c r="F26" s="268"/>
      <c r="K26" s="268"/>
      <c r="P26" s="268"/>
      <c r="U26" s="268"/>
      <c r="Z26" s="268"/>
      <c r="AE26" s="268"/>
      <c r="AF26" s="269"/>
      <c r="AG26" s="269"/>
      <c r="AH26" s="269"/>
      <c r="AI26" s="269"/>
      <c r="AJ26" s="268"/>
      <c r="AK26" s="269"/>
      <c r="AL26" s="269"/>
      <c r="AM26" s="269"/>
      <c r="AN26" s="269"/>
      <c r="AO26" s="268"/>
      <c r="AP26" s="269"/>
      <c r="AQ26" s="269"/>
      <c r="AR26" s="269"/>
      <c r="AS26" s="269"/>
      <c r="AT26" s="268"/>
      <c r="AU26" s="269"/>
      <c r="AV26" s="269"/>
      <c r="AW26" s="269"/>
      <c r="AX26" s="269"/>
      <c r="AY26" s="580"/>
      <c r="AZ26" s="580"/>
      <c r="BA26" s="269">
        <v>54</v>
      </c>
      <c r="BB26" s="269">
        <v>193.7</v>
      </c>
      <c r="BC26" s="1980">
        <v>191.5</v>
      </c>
      <c r="BD26" s="1941">
        <f>SUM(AZ26:BC26)</f>
        <v>439.2</v>
      </c>
      <c r="BE26" s="580">
        <v>202.5</v>
      </c>
      <c r="BF26" s="269">
        <v>220.2</v>
      </c>
      <c r="BG26" s="269">
        <v>200.3</v>
      </c>
      <c r="BH26" s="269">
        <v>200.1</v>
      </c>
      <c r="BI26" s="1941">
        <f>SUM(BE26:BH26)</f>
        <v>823.1</v>
      </c>
      <c r="BJ26" s="580">
        <v>212.1</v>
      </c>
      <c r="BK26" s="269">
        <v>212.7</v>
      </c>
      <c r="BL26" s="269">
        <v>220.5</v>
      </c>
      <c r="BM26" s="269">
        <v>233.3</v>
      </c>
      <c r="BN26" s="1941">
        <f>SUM(BJ26:BM26)</f>
        <v>878.59999999999991</v>
      </c>
      <c r="BO26" s="580"/>
      <c r="BP26" s="269"/>
      <c r="BQ26" s="269"/>
      <c r="BR26" s="2177"/>
      <c r="BS26" s="1941"/>
      <c r="BT26" s="269"/>
      <c r="BU26" s="269"/>
      <c r="BV26" s="269"/>
      <c r="BW26" s="269"/>
      <c r="BX26" s="491"/>
      <c r="BY26" s="269"/>
      <c r="BZ26" s="269"/>
      <c r="CA26" s="269"/>
      <c r="CB26" s="269"/>
      <c r="CC26" s="491"/>
      <c r="CE26" s="263"/>
      <c r="CF26" s="173"/>
      <c r="CG26" s="173"/>
      <c r="CH26" s="173"/>
      <c r="CI26" s="239"/>
      <c r="CJ26" s="177"/>
      <c r="CK26" s="2070"/>
      <c r="CL26" s="269">
        <f>BM26</f>
        <v>233.3</v>
      </c>
      <c r="CM26" s="269"/>
      <c r="CN26" s="269"/>
      <c r="CO26" s="2087" t="str">
        <f t="shared" si="157"/>
        <v/>
      </c>
      <c r="CP26" s="2087" t="str">
        <f t="shared" si="157"/>
        <v/>
      </c>
      <c r="CQ26" s="16"/>
      <c r="CR26" s="40"/>
      <c r="CS26" s="258"/>
      <c r="CT26" s="258"/>
      <c r="CU26" s="258"/>
      <c r="CV26" s="258"/>
      <c r="CW26" s="258"/>
      <c r="CX26" s="258"/>
      <c r="CY26" s="263"/>
      <c r="CZ26"/>
      <c r="DA26"/>
      <c r="DB26"/>
      <c r="DC26"/>
      <c r="DD26"/>
      <c r="DE26"/>
      <c r="DF26" s="266"/>
      <c r="DG26" s="266"/>
      <c r="DH26" s="266"/>
      <c r="DI26" s="266"/>
      <c r="DJ26" s="266"/>
    </row>
    <row r="27" spans="1:16345" s="262" customFormat="1" ht="12.75" customHeight="1">
      <c r="A27" s="2228" t="s">
        <v>552</v>
      </c>
      <c r="B27" s="656"/>
      <c r="C27" s="657"/>
      <c r="D27" s="657"/>
      <c r="E27" s="657"/>
      <c r="F27" s="658"/>
      <c r="G27" s="657"/>
      <c r="H27" s="657"/>
      <c r="I27" s="657"/>
      <c r="J27" s="657"/>
      <c r="K27" s="658"/>
      <c r="L27" s="657"/>
      <c r="M27" s="657"/>
      <c r="N27" s="657"/>
      <c r="O27" s="657"/>
      <c r="P27" s="658"/>
      <c r="Q27" s="657"/>
      <c r="R27" s="657"/>
      <c r="S27" s="657"/>
      <c r="T27" s="657"/>
      <c r="U27" s="658"/>
      <c r="V27" s="657"/>
      <c r="W27" s="657"/>
      <c r="X27" s="657"/>
      <c r="Y27" s="657"/>
      <c r="Z27" s="658"/>
      <c r="AA27" s="657"/>
      <c r="AB27" s="657"/>
      <c r="AC27" s="657"/>
      <c r="AD27" s="657"/>
      <c r="AE27" s="658"/>
      <c r="AF27" s="659"/>
      <c r="AG27" s="659"/>
      <c r="AH27" s="659"/>
      <c r="AI27" s="659"/>
      <c r="AJ27" s="669"/>
      <c r="AK27" s="659"/>
      <c r="AL27" s="659"/>
      <c r="AM27" s="659"/>
      <c r="AN27" s="659"/>
      <c r="AO27" s="658"/>
      <c r="AP27" s="659"/>
      <c r="AQ27" s="659"/>
      <c r="AR27" s="659"/>
      <c r="AS27" s="659"/>
      <c r="AT27" s="658"/>
      <c r="AU27" s="659"/>
      <c r="AV27" s="659"/>
      <c r="AW27" s="659"/>
      <c r="AX27" s="659"/>
      <c r="AY27" s="660"/>
      <c r="AZ27" s="660"/>
      <c r="BA27" s="659"/>
      <c r="BB27" s="659"/>
      <c r="BC27" s="659">
        <v>86</v>
      </c>
      <c r="BD27" s="1937">
        <f>SUM(AZ27:BC27)</f>
        <v>86</v>
      </c>
      <c r="BE27" s="660">
        <v>128.80000000000001</v>
      </c>
      <c r="BF27" s="659">
        <v>133.4</v>
      </c>
      <c r="BG27" s="659">
        <v>131.80000000000001</v>
      </c>
      <c r="BH27" s="659">
        <v>37.9</v>
      </c>
      <c r="BI27" s="1937">
        <f>SUM(BE27:BH27)</f>
        <v>431.90000000000003</v>
      </c>
      <c r="BJ27" s="660"/>
      <c r="BK27" s="659"/>
      <c r="BL27" s="659"/>
      <c r="BM27" s="659"/>
      <c r="BN27" s="1937"/>
      <c r="BO27" s="2340"/>
      <c r="BP27" s="663"/>
      <c r="BQ27" s="663"/>
      <c r="BR27" s="2176"/>
      <c r="BS27" s="1937"/>
      <c r="BT27" s="659"/>
      <c r="BU27" s="659"/>
      <c r="BV27" s="659"/>
      <c r="BW27" s="659"/>
      <c r="BX27" s="668"/>
      <c r="BY27" s="659"/>
      <c r="BZ27" s="659"/>
      <c r="CA27" s="659"/>
      <c r="CB27" s="659"/>
      <c r="CC27" s="668"/>
      <c r="CE27" s="263"/>
      <c r="CF27" s="2224"/>
      <c r="CG27" s="264"/>
      <c r="CH27" s="264"/>
      <c r="CI27" s="265"/>
      <c r="CK27" s="2072"/>
      <c r="CL27" s="659">
        <f>BM27</f>
        <v>0</v>
      </c>
      <c r="CM27" s="659"/>
      <c r="CN27" s="663"/>
      <c r="CO27" s="2086" t="str">
        <f t="shared" ref="CO27:CP31" si="158">IFERROR(($CL27/CM27)-1,"")</f>
        <v/>
      </c>
      <c r="CP27" s="2086" t="str">
        <f t="shared" si="158"/>
        <v/>
      </c>
      <c r="CQ27" s="16"/>
      <c r="CR27" s="40"/>
      <c r="CS27" s="258"/>
      <c r="CT27" s="258"/>
      <c r="CU27" s="258"/>
      <c r="CV27" s="258"/>
      <c r="CW27" s="258"/>
      <c r="CX27" s="258"/>
      <c r="CY27" s="263"/>
      <c r="CZ27"/>
      <c r="DA27"/>
      <c r="DB27"/>
      <c r="DC27"/>
      <c r="DD27"/>
      <c r="DE27"/>
      <c r="DF27" s="266"/>
      <c r="DG27" s="266"/>
      <c r="DH27" s="266"/>
      <c r="DI27" s="266"/>
      <c r="DJ27" s="266"/>
    </row>
    <row r="28" spans="1:16345" s="262" customFormat="1" ht="12.75" customHeight="1">
      <c r="A28" s="2227" t="s">
        <v>85</v>
      </c>
      <c r="B28" s="543"/>
      <c r="F28" s="268"/>
      <c r="K28" s="268"/>
      <c r="P28" s="268"/>
      <c r="U28" s="268"/>
      <c r="Z28" s="268"/>
      <c r="AE28" s="268"/>
      <c r="AF28" s="269"/>
      <c r="AG28" s="269"/>
      <c r="AH28" s="269"/>
      <c r="AI28" s="269"/>
      <c r="AJ28" s="626"/>
      <c r="AK28" s="269"/>
      <c r="AL28" s="269"/>
      <c r="AM28" s="269"/>
      <c r="AN28" s="269"/>
      <c r="AO28" s="268"/>
      <c r="AP28" s="269"/>
      <c r="AQ28" s="269"/>
      <c r="AR28" s="269"/>
      <c r="AS28" s="269"/>
      <c r="AT28" s="268"/>
      <c r="AU28" s="269"/>
      <c r="AV28" s="269"/>
      <c r="AW28" s="269"/>
      <c r="AX28" s="269"/>
      <c r="AY28" s="580"/>
      <c r="AZ28" s="580"/>
      <c r="BA28" s="269"/>
      <c r="BB28" s="269"/>
      <c r="BC28" s="269"/>
      <c r="BD28" s="1941"/>
      <c r="BE28" s="580"/>
      <c r="BF28" s="269"/>
      <c r="BG28" s="269"/>
      <c r="BH28" s="269"/>
      <c r="BI28" s="1941"/>
      <c r="BJ28" s="580"/>
      <c r="BK28" s="269"/>
      <c r="BL28" s="269"/>
      <c r="BM28" s="269"/>
      <c r="BN28" s="1941"/>
      <c r="BO28" s="580"/>
      <c r="BP28" s="269"/>
      <c r="BQ28" s="269"/>
      <c r="BR28" s="2177"/>
      <c r="BS28" s="1936"/>
      <c r="BT28" s="2319"/>
      <c r="BU28" s="651"/>
      <c r="BV28" s="651"/>
      <c r="BW28" s="651"/>
      <c r="BX28" s="651"/>
      <c r="BY28" s="651"/>
      <c r="BZ28" s="651"/>
      <c r="CA28" s="651"/>
      <c r="CB28" s="651"/>
      <c r="CC28" s="651"/>
      <c r="CE28" s="263"/>
      <c r="CF28" s="264"/>
      <c r="CG28" s="264"/>
      <c r="CH28" s="264"/>
      <c r="CI28" s="265"/>
      <c r="CK28" s="2072"/>
      <c r="CL28" s="269"/>
      <c r="CM28" s="269"/>
      <c r="CN28" s="269"/>
      <c r="CO28" s="2087" t="str">
        <f t="shared" si="158"/>
        <v/>
      </c>
      <c r="CP28" s="2087" t="str">
        <f t="shared" si="158"/>
        <v/>
      </c>
      <c r="CQ28" s="16"/>
      <c r="CR28" s="40"/>
      <c r="CS28" s="258"/>
      <c r="CT28" s="258"/>
      <c r="CU28" s="258"/>
      <c r="CV28" s="258"/>
      <c r="CW28" s="258"/>
      <c r="CX28" s="258"/>
      <c r="CY28" s="263"/>
      <c r="CZ28"/>
      <c r="DA28"/>
      <c r="DB28"/>
      <c r="DC28"/>
      <c r="DD28"/>
      <c r="DE28"/>
      <c r="DF28" s="266"/>
      <c r="DG28" s="266"/>
      <c r="DH28" s="266"/>
      <c r="DI28" s="266"/>
      <c r="DJ28" s="266"/>
    </row>
    <row r="29" spans="1:16345" s="262" customFormat="1" ht="12.75" customHeight="1">
      <c r="A29" s="2228" t="s">
        <v>653</v>
      </c>
      <c r="B29" s="656"/>
      <c r="C29" s="657"/>
      <c r="D29" s="657"/>
      <c r="E29" s="657"/>
      <c r="F29" s="658"/>
      <c r="G29" s="657"/>
      <c r="H29" s="657"/>
      <c r="I29" s="657"/>
      <c r="J29" s="657"/>
      <c r="K29" s="658"/>
      <c r="L29" s="657"/>
      <c r="M29" s="657"/>
      <c r="N29" s="657"/>
      <c r="O29" s="657"/>
      <c r="P29" s="658"/>
      <c r="Q29" s="657"/>
      <c r="R29" s="657"/>
      <c r="S29" s="657"/>
      <c r="T29" s="657"/>
      <c r="U29" s="658"/>
      <c r="V29" s="657"/>
      <c r="W29" s="657"/>
      <c r="X29" s="657"/>
      <c r="Y29" s="657"/>
      <c r="Z29" s="658"/>
      <c r="AA29" s="657"/>
      <c r="AB29" s="657"/>
      <c r="AC29" s="657"/>
      <c r="AD29" s="657"/>
      <c r="AE29" s="658"/>
      <c r="AF29" s="659"/>
      <c r="AG29" s="659"/>
      <c r="AH29" s="659"/>
      <c r="AI29" s="659"/>
      <c r="AJ29" s="669"/>
      <c r="AK29" s="659"/>
      <c r="AL29" s="659"/>
      <c r="AM29" s="659"/>
      <c r="AN29" s="659"/>
      <c r="AO29" s="658"/>
      <c r="AP29" s="659"/>
      <c r="AQ29" s="659"/>
      <c r="AR29" s="659"/>
      <c r="AS29" s="659"/>
      <c r="AT29" s="658"/>
      <c r="AU29" s="659"/>
      <c r="AV29" s="659"/>
      <c r="AW29" s="659"/>
      <c r="AX29" s="659"/>
      <c r="AY29" s="660"/>
      <c r="AZ29" s="660"/>
      <c r="BA29" s="659"/>
      <c r="BB29" s="659"/>
      <c r="BC29" s="659"/>
      <c r="BD29" s="1937"/>
      <c r="BE29" s="660"/>
      <c r="BF29" s="659"/>
      <c r="BG29" s="659"/>
      <c r="BH29" s="659"/>
      <c r="BI29" s="1937"/>
      <c r="BJ29" s="660"/>
      <c r="BK29" s="659"/>
      <c r="BL29" s="659"/>
      <c r="BM29" s="659"/>
      <c r="BN29" s="1937">
        <v>500</v>
      </c>
      <c r="BO29" s="2340">
        <f>(500/4)*1.02</f>
        <v>127.5</v>
      </c>
      <c r="BP29" s="663">
        <f t="shared" ref="BP29:BR29" si="159">(500/4)*1.02</f>
        <v>127.5</v>
      </c>
      <c r="BQ29" s="663">
        <f t="shared" si="159"/>
        <v>127.5</v>
      </c>
      <c r="BR29" s="2176">
        <f t="shared" si="159"/>
        <v>127.5</v>
      </c>
      <c r="BS29" s="1937">
        <f>SUM(BO29:BR29)</f>
        <v>510</v>
      </c>
      <c r="BT29" s="1937"/>
      <c r="BU29" s="1937"/>
      <c r="BV29" s="1937"/>
      <c r="BW29" s="1937"/>
      <c r="BX29" s="1937">
        <f>+BS29*(1+BX30)</f>
        <v>520.20000000000005</v>
      </c>
      <c r="BY29" s="1937"/>
      <c r="BZ29" s="1937"/>
      <c r="CA29" s="1937"/>
      <c r="CB29" s="1937"/>
      <c r="CC29" s="1937">
        <f>+BX29*(1+CC30)</f>
        <v>530.60400000000004</v>
      </c>
      <c r="CE29" s="263"/>
      <c r="CF29" s="2224"/>
      <c r="CG29" s="264"/>
      <c r="CH29" s="264"/>
      <c r="CI29" s="265"/>
      <c r="CK29" s="2072"/>
      <c r="CL29" s="659">
        <f>BM29</f>
        <v>0</v>
      </c>
      <c r="CM29" s="659"/>
      <c r="CN29" s="663"/>
      <c r="CO29" s="2086" t="str">
        <f t="shared" ref="CO29:CO30" si="160">IFERROR(($CL29/CM29)-1,"")</f>
        <v/>
      </c>
      <c r="CP29" s="2086" t="str">
        <f t="shared" ref="CP29:CP30" si="161">IFERROR(($CL29/CN29)-1,"")</f>
        <v/>
      </c>
      <c r="CQ29" s="16"/>
      <c r="CR29" s="40"/>
      <c r="CS29" s="258"/>
      <c r="CT29" s="258"/>
      <c r="CU29" s="258"/>
      <c r="CV29" s="258"/>
      <c r="CW29" s="258"/>
      <c r="CX29" s="258"/>
      <c r="CY29" s="263"/>
      <c r="CZ29"/>
      <c r="DA29"/>
      <c r="DB29"/>
      <c r="DC29"/>
      <c r="DD29"/>
      <c r="DE29"/>
      <c r="DF29" s="266"/>
      <c r="DG29" s="266"/>
      <c r="DH29" s="266"/>
      <c r="DI29" s="266"/>
      <c r="DJ29" s="266"/>
    </row>
    <row r="30" spans="1:16345" s="262" customFormat="1" ht="12.75" customHeight="1">
      <c r="A30" s="2227" t="s">
        <v>85</v>
      </c>
      <c r="B30" s="543"/>
      <c r="F30" s="268"/>
      <c r="K30" s="268"/>
      <c r="P30" s="268"/>
      <c r="U30" s="268"/>
      <c r="Z30" s="268"/>
      <c r="AE30" s="268"/>
      <c r="AF30" s="269"/>
      <c r="AG30" s="269"/>
      <c r="AH30" s="269"/>
      <c r="AI30" s="269"/>
      <c r="AJ30" s="626"/>
      <c r="AK30" s="269"/>
      <c r="AL30" s="269"/>
      <c r="AM30" s="269"/>
      <c r="AN30" s="269"/>
      <c r="AO30" s="268"/>
      <c r="AP30" s="269"/>
      <c r="AQ30" s="269"/>
      <c r="AR30" s="269"/>
      <c r="AS30" s="269"/>
      <c r="AT30" s="268"/>
      <c r="AU30" s="269"/>
      <c r="AV30" s="269"/>
      <c r="AW30" s="269"/>
      <c r="AX30" s="269"/>
      <c r="AY30" s="580"/>
      <c r="AZ30" s="580"/>
      <c r="BA30" s="269"/>
      <c r="BB30" s="269"/>
      <c r="BC30" s="269"/>
      <c r="BD30" s="1941"/>
      <c r="BE30" s="580"/>
      <c r="BF30" s="269"/>
      <c r="BG30" s="269"/>
      <c r="BH30" s="269"/>
      <c r="BI30" s="1941"/>
      <c r="BJ30" s="580"/>
      <c r="BK30" s="269"/>
      <c r="BL30" s="269"/>
      <c r="BM30" s="269"/>
      <c r="BN30" s="1941"/>
      <c r="BO30" s="580"/>
      <c r="BP30" s="269"/>
      <c r="BQ30" s="269"/>
      <c r="BR30" s="2177"/>
      <c r="BS30" s="1936">
        <f>+BS29/BN29-1</f>
        <v>2.0000000000000018E-2</v>
      </c>
      <c r="BT30" s="2319"/>
      <c r="BU30" s="651"/>
      <c r="BV30" s="651"/>
      <c r="BW30" s="651"/>
      <c r="BX30" s="474">
        <v>0.02</v>
      </c>
      <c r="BY30" s="20"/>
      <c r="BZ30" s="20"/>
      <c r="CA30" s="20"/>
      <c r="CB30" s="20"/>
      <c r="CC30" s="474">
        <f>+BX30</f>
        <v>0.02</v>
      </c>
      <c r="CE30" s="263"/>
      <c r="CF30" s="264"/>
      <c r="CG30" s="264"/>
      <c r="CH30" s="264"/>
      <c r="CI30" s="265"/>
      <c r="CK30" s="2072"/>
      <c r="CL30" s="269"/>
      <c r="CM30" s="269"/>
      <c r="CN30" s="269"/>
      <c r="CO30" s="2087" t="str">
        <f t="shared" si="160"/>
        <v/>
      </c>
      <c r="CP30" s="2087" t="str">
        <f t="shared" si="161"/>
        <v/>
      </c>
      <c r="CQ30" s="16"/>
      <c r="CR30" s="40"/>
      <c r="CS30" s="258"/>
      <c r="CT30" s="258"/>
      <c r="CU30" s="258"/>
      <c r="CV30" s="258"/>
      <c r="CW30" s="258"/>
      <c r="CX30" s="258"/>
      <c r="CY30" s="263"/>
      <c r="CZ30"/>
      <c r="DA30"/>
      <c r="DB30"/>
      <c r="DC30"/>
      <c r="DD30"/>
      <c r="DE30"/>
      <c r="DF30" s="266"/>
      <c r="DG30" s="266"/>
      <c r="DH30" s="266"/>
      <c r="DI30" s="266"/>
      <c r="DJ30" s="266"/>
    </row>
    <row r="31" spans="1:16345" s="262" customFormat="1" ht="12.75" customHeight="1" collapsed="1">
      <c r="A31" s="2228" t="s">
        <v>2</v>
      </c>
      <c r="B31" s="656"/>
      <c r="C31" s="659"/>
      <c r="D31" s="659"/>
      <c r="E31" s="659"/>
      <c r="F31" s="658"/>
      <c r="G31" s="657"/>
      <c r="H31" s="657"/>
      <c r="I31" s="659"/>
      <c r="J31" s="659"/>
      <c r="K31" s="658"/>
      <c r="L31" s="659"/>
      <c r="M31" s="659"/>
      <c r="N31" s="659"/>
      <c r="O31" s="659"/>
      <c r="P31" s="658"/>
      <c r="Q31" s="659">
        <v>-0.10599999999999826</v>
      </c>
      <c r="R31" s="659">
        <v>-0.47100000000000009</v>
      </c>
      <c r="S31" s="659">
        <v>-0.42399999999999949</v>
      </c>
      <c r="T31" s="659">
        <v>-0.32300000000000084</v>
      </c>
      <c r="U31" s="658">
        <f>SUM(Q31:T31)</f>
        <v>-1.3239999999999987</v>
      </c>
      <c r="V31" s="659">
        <v>-0.2350000000000001</v>
      </c>
      <c r="W31" s="659">
        <v>-0.23400000000000087</v>
      </c>
      <c r="X31" s="659">
        <v>-0.51500000000000234</v>
      </c>
      <c r="Y31" s="659">
        <v>-1.1090000000000013</v>
      </c>
      <c r="Z31" s="658">
        <f>SUM(V31:Y31)</f>
        <v>-2.0930000000000044</v>
      </c>
      <c r="AA31" s="659">
        <v>-0.63100000000000112</v>
      </c>
      <c r="AB31" s="659">
        <v>-0.96599999999999664</v>
      </c>
      <c r="AC31" s="659">
        <v>-1.2409999999999979</v>
      </c>
      <c r="AD31" s="659">
        <v>-1.0349999999999966</v>
      </c>
      <c r="AE31" s="658">
        <f>SUM(AA31:AD31)</f>
        <v>-3.8729999999999922</v>
      </c>
      <c r="AF31" s="659">
        <v>-0.95599999999999863</v>
      </c>
      <c r="AG31" s="659">
        <v>-1.3749999999999973</v>
      </c>
      <c r="AH31" s="659">
        <v>-1.1939999999999973</v>
      </c>
      <c r="AI31" s="659">
        <v>-1.2909999999999968</v>
      </c>
      <c r="AJ31" s="669">
        <f>SUM(AF31:AI31)</f>
        <v>-4.8159999999999901</v>
      </c>
      <c r="AK31" s="659">
        <v>-1.2450000000000001</v>
      </c>
      <c r="AL31" s="659">
        <v>-1.5360000000000031</v>
      </c>
      <c r="AM31" s="659">
        <v>-2.2399999999999913</v>
      </c>
      <c r="AN31" s="659">
        <v>-3.2080000000000126</v>
      </c>
      <c r="AO31" s="658">
        <f>SUM(AK31:AN31)</f>
        <v>-8.2290000000000063</v>
      </c>
      <c r="AP31" s="659">
        <v>-4.3390000000000128</v>
      </c>
      <c r="AQ31" s="659">
        <v>-4.0519999999999783</v>
      </c>
      <c r="AR31" s="659">
        <v>-2.8640000000000043</v>
      </c>
      <c r="AS31" s="659">
        <v>-2.8039999999999736</v>
      </c>
      <c r="AT31" s="658">
        <f>SUM(AP31:AS31)</f>
        <v>-14.058999999999969</v>
      </c>
      <c r="AU31" s="659">
        <v>-2.6019999999999754</v>
      </c>
      <c r="AV31" s="659">
        <v>-2.7899999999999636</v>
      </c>
      <c r="AW31" s="659">
        <v>-2.5159999999999556</v>
      </c>
      <c r="AX31" s="659">
        <v>-3.5999999999999091</v>
      </c>
      <c r="AY31" s="660">
        <f>SUM(AU31:AX31)</f>
        <v>-11.507999999999804</v>
      </c>
      <c r="AZ31" s="660">
        <v>-3.2</v>
      </c>
      <c r="BA31" s="659">
        <v>-3.5</v>
      </c>
      <c r="BB31" s="659">
        <v>-2.4</v>
      </c>
      <c r="BC31" s="659">
        <v>-3.6</v>
      </c>
      <c r="BD31" s="1937">
        <f>SUM(AZ31:BC31)</f>
        <v>-12.7</v>
      </c>
      <c r="BE31" s="660">
        <v>-31.6</v>
      </c>
      <c r="BF31" s="659">
        <v>-38.700000000000003</v>
      </c>
      <c r="BG31" s="659">
        <v>-40.700000000000003</v>
      </c>
      <c r="BH31" s="659">
        <v>-31.6</v>
      </c>
      <c r="BI31" s="1937">
        <f>SUM(BE31:BH31)</f>
        <v>-142.60000000000002</v>
      </c>
      <c r="BJ31" s="660">
        <v>-27.7</v>
      </c>
      <c r="BK31" s="659">
        <v>-30.8</v>
      </c>
      <c r="BL31" s="659">
        <v>-35</v>
      </c>
      <c r="BM31" s="659">
        <v>-21.1</v>
      </c>
      <c r="BN31" s="1937">
        <f>SUM(BJ31:BM31)</f>
        <v>-114.6</v>
      </c>
      <c r="BO31" s="660">
        <f>-(BO9+BO17+BO19+BO22+BO33)*BO32</f>
        <v>-25.807804208529859</v>
      </c>
      <c r="BP31" s="659">
        <f>-(BP9+BP17+BP19+BP22+BP33)*BP32</f>
        <v>-27.247862516952786</v>
      </c>
      <c r="BQ31" s="659">
        <f>-(BQ9+BQ17+BQ19+BQ22+BQ33)*BQ32</f>
        <v>-27.212657767580566</v>
      </c>
      <c r="BR31" s="2178">
        <f>-(BR9+BR17+BR19+BR22+BR33)*BR32</f>
        <v>-28.007933963421817</v>
      </c>
      <c r="BS31" s="1937">
        <f>SUM(BO31:BR31)</f>
        <v>-108.27625845648502</v>
      </c>
      <c r="BT31" s="659"/>
      <c r="BU31" s="659"/>
      <c r="BV31" s="659"/>
      <c r="BW31" s="659"/>
      <c r="BX31" s="659">
        <f>-(BX9+BX17+BX19+BX22+BX33+BX27)*BX32</f>
        <v>-116.30670454950072</v>
      </c>
      <c r="BY31" s="659"/>
      <c r="BZ31" s="659"/>
      <c r="CA31" s="659"/>
      <c r="CB31" s="659"/>
      <c r="CC31" s="667">
        <f>-(CC9+CC17+CC19+CC22+CC33+CC27)*CC32</f>
        <v>-125.08223460959593</v>
      </c>
      <c r="CE31" s="263"/>
      <c r="CF31" s="264"/>
      <c r="CG31" s="264"/>
      <c r="CH31" s="264"/>
      <c r="CI31" s="265"/>
      <c r="CK31" s="2072"/>
      <c r="CL31" s="659">
        <f>BM31</f>
        <v>-21.1</v>
      </c>
      <c r="CM31" s="659">
        <f>BH31</f>
        <v>-31.6</v>
      </c>
      <c r="CN31" s="659">
        <v>-35.592799257040824</v>
      </c>
      <c r="CO31" s="2086">
        <f t="shared" si="158"/>
        <v>-0.33227848101265822</v>
      </c>
      <c r="CP31" s="2086">
        <f t="shared" si="158"/>
        <v>-0.40718346293524288</v>
      </c>
      <c r="CQ31" s="40"/>
      <c r="CR31" s="452"/>
      <c r="CS31" s="258"/>
      <c r="CT31" s="258"/>
      <c r="CU31" s="258"/>
      <c r="CV31" s="258"/>
      <c r="CW31" s="258"/>
      <c r="CX31" s="258"/>
      <c r="CY31" s="263"/>
      <c r="CZ31"/>
      <c r="DA31"/>
      <c r="DB31"/>
      <c r="DC31"/>
      <c r="DD31"/>
      <c r="DE31"/>
      <c r="DF31" s="266"/>
      <c r="DG31" s="266"/>
      <c r="DH31" s="266"/>
      <c r="DI31" s="266"/>
      <c r="DJ31" s="266"/>
    </row>
    <row r="32" spans="1:16345" s="262" customFormat="1" ht="12.75" customHeight="1">
      <c r="A32" s="2227" t="s">
        <v>171</v>
      </c>
      <c r="B32" s="368"/>
      <c r="C32" s="18"/>
      <c r="D32" s="18"/>
      <c r="E32" s="18"/>
      <c r="F32" s="60" t="str">
        <f>IF(ISERROR((F31-#REF!)/#REF!),"",(F31-#REF!)/#REF!)</f>
        <v/>
      </c>
      <c r="G32" s="18" t="str">
        <f>IF(ISERROR((G31-B31)/B31),"",(G31-B31)/B31)</f>
        <v/>
      </c>
      <c r="H32" s="18" t="str">
        <f>IF(ISERROR((H31-C31)/C31),"",(H31-C31)/C31)</f>
        <v/>
      </c>
      <c r="I32" s="18"/>
      <c r="J32" s="18" t="str">
        <f>IF(ISERROR((J31-E31)/E31),"",(J31-E31)/E31)</f>
        <v/>
      </c>
      <c r="K32" s="60"/>
      <c r="L32" s="18" t="str">
        <f t="shared" ref="L32:T32" si="162">IF(ISERROR((L31-G31)/G31),"",(L31-G31)/G31)</f>
        <v/>
      </c>
      <c r="M32" s="18" t="str">
        <f t="shared" si="162"/>
        <v/>
      </c>
      <c r="N32" s="18" t="str">
        <f t="shared" si="162"/>
        <v/>
      </c>
      <c r="O32" s="18" t="str">
        <f t="shared" si="162"/>
        <v/>
      </c>
      <c r="P32" s="60" t="str">
        <f t="shared" si="162"/>
        <v/>
      </c>
      <c r="Q32" s="18" t="str">
        <f t="shared" si="162"/>
        <v/>
      </c>
      <c r="R32" s="18" t="str">
        <f t="shared" si="162"/>
        <v/>
      </c>
      <c r="S32" s="18" t="str">
        <f t="shared" si="162"/>
        <v/>
      </c>
      <c r="T32" s="18" t="str">
        <f t="shared" si="162"/>
        <v/>
      </c>
      <c r="U32" s="60"/>
      <c r="V32" s="18">
        <f t="shared" ref="V32:AY32" si="163">(-V31/(V12+V17+V14+V19))</f>
        <v>1.157236420938593E-2</v>
      </c>
      <c r="W32" s="18">
        <f t="shared" si="163"/>
        <v>1.0410641989589398E-2</v>
      </c>
      <c r="X32" s="18">
        <f t="shared" si="163"/>
        <v>1.926962508418777E-2</v>
      </c>
      <c r="Y32" s="18">
        <f t="shared" si="163"/>
        <v>3.3894678932730259E-2</v>
      </c>
      <c r="Z32" s="60">
        <f t="shared" si="163"/>
        <v>2.0473642508485893E-2</v>
      </c>
      <c r="AA32" s="18">
        <f t="shared" si="163"/>
        <v>1.9551947448331459E-2</v>
      </c>
      <c r="AB32" s="18">
        <f t="shared" si="163"/>
        <v>2.3386432963734001E-2</v>
      </c>
      <c r="AC32" s="18">
        <f t="shared" si="163"/>
        <v>2.7161898925343039E-2</v>
      </c>
      <c r="AD32" s="18">
        <f t="shared" si="163"/>
        <v>2.4300338091660326E-2</v>
      </c>
      <c r="AE32" s="60">
        <f t="shared" si="163"/>
        <v>2.3928086000247081E-2</v>
      </c>
      <c r="AF32" s="18">
        <f t="shared" si="163"/>
        <v>2.2513187641296124E-2</v>
      </c>
      <c r="AG32" s="18">
        <f t="shared" si="163"/>
        <v>3.0240383558028491E-2</v>
      </c>
      <c r="AH32" s="18">
        <f t="shared" si="163"/>
        <v>2.4576497951958445E-2</v>
      </c>
      <c r="AI32" s="18">
        <f t="shared" si="163"/>
        <v>2.8451163610719258E-2</v>
      </c>
      <c r="AJ32" s="60">
        <f t="shared" si="163"/>
        <v>2.6477250236403963E-2</v>
      </c>
      <c r="AK32" s="18">
        <f t="shared" si="163"/>
        <v>2.7180438816723069E-2</v>
      </c>
      <c r="AL32" s="18">
        <f t="shared" si="163"/>
        <v>2.7391397389257492E-2</v>
      </c>
      <c r="AM32" s="18">
        <f t="shared" si="163"/>
        <v>3.0589392035833173E-2</v>
      </c>
      <c r="AN32" s="18">
        <f t="shared" si="163"/>
        <v>2.8716957148356138E-2</v>
      </c>
      <c r="AO32" s="411">
        <f t="shared" si="163"/>
        <v>2.8690467889268548E-2</v>
      </c>
      <c r="AP32" s="18">
        <f t="shared" si="163"/>
        <v>3.6666159644408496E-2</v>
      </c>
      <c r="AQ32" s="18">
        <f t="shared" si="163"/>
        <v>2.870847296713247E-2</v>
      </c>
      <c r="AR32" s="18">
        <f t="shared" si="163"/>
        <v>1.4549444743606697E-2</v>
      </c>
      <c r="AS32" s="18">
        <f t="shared" si="163"/>
        <v>1.0783163804872322E-2</v>
      </c>
      <c r="AT32" s="411">
        <f t="shared" si="163"/>
        <v>1.9625552444155283E-2</v>
      </c>
      <c r="AU32" s="18">
        <f t="shared" si="163"/>
        <v>9.1296643918526883E-3</v>
      </c>
      <c r="AV32" s="18">
        <f t="shared" si="163"/>
        <v>4.7790421018192282E-3</v>
      </c>
      <c r="AW32" s="18">
        <f t="shared" si="163"/>
        <v>4.0919484895895293E-3</v>
      </c>
      <c r="AX32" s="18">
        <f t="shared" si="163"/>
        <v>5.3908355795146889E-3</v>
      </c>
      <c r="AY32" s="439">
        <f t="shared" si="163"/>
        <v>5.3489009839783053E-3</v>
      </c>
      <c r="AZ32" s="2128">
        <f>(-AZ31/(AZ12+AZ17+AZ14+AZ19+AZ22+AZ33+AZ27))</f>
        <v>5.6229133719908628E-3</v>
      </c>
      <c r="BA32" s="18">
        <f>(-BA31/(BA12+BA17+BA14+BA19+BA22+BA33+BA27))</f>
        <v>4.0476465826298144E-3</v>
      </c>
      <c r="BB32" s="18">
        <f>(-BB31/(BB12+BB17+BB14+BB19+BB22+BB33+BB27))</f>
        <v>1.7152658662092624E-3</v>
      </c>
      <c r="BC32" s="18">
        <f>(-BC31/(BC12+BC17+BC14+BC19+BC22+BC33+BC27))</f>
        <v>1.7081040045549437E-3</v>
      </c>
      <c r="BD32" s="625">
        <f>(-BD31/(BD12+BD17+BD14+BD19+BD22+BD33+BD27))</f>
        <v>2.5705379913370848E-3</v>
      </c>
      <c r="BE32" s="18">
        <f>(-BE31/(BE9+BE17+BE19+BE22+BE33))</f>
        <v>1.4362330697209347E-2</v>
      </c>
      <c r="BF32" s="18">
        <f>(-BF31/(BF9+BF17+BF19+BF22+BF33))</f>
        <v>1.665089062903365E-2</v>
      </c>
      <c r="BG32" s="18">
        <f>(-BG31/(BG9+BG17+BG19+BG22+BG33))</f>
        <v>1.7558239861949959E-2</v>
      </c>
      <c r="BH32" s="18">
        <f>(-BH31/(BH9+BH17+BH19+BH22+BH33))</f>
        <v>1.3587891296869624E-2</v>
      </c>
      <c r="BI32" s="625">
        <f>(-BI31/(BI12+BI17+BI14+BI19+BI22+BI33+BI27))</f>
        <v>1.9152508226445507E-2</v>
      </c>
      <c r="BJ32" s="18">
        <f>(-BJ31/(BJ9+BJ17+BJ19+BJ22+BJ33))</f>
        <v>1.2017874962037397E-2</v>
      </c>
      <c r="BK32" s="18">
        <f>(-BK31/(BK9+BK17+BK19+BK22+BK33))</f>
        <v>1.264367816091954E-2</v>
      </c>
      <c r="BL32" s="18">
        <f>(-BL31/(BL9+BL17+BL19+BL22+BL33))</f>
        <v>1.3973171510699456E-2</v>
      </c>
      <c r="BM32" s="18">
        <f>(-BM31/(BM9+BM17+BM19+BM22+BM33))</f>
        <v>7.8456161225552191E-3</v>
      </c>
      <c r="BN32" s="625">
        <f>(-BN31/(BN12+BN17+BN14+BN19+BN22+BN33+BN27))</f>
        <v>1.5447033926862473E-2</v>
      </c>
      <c r="BO32" s="2341">
        <v>0.01</v>
      </c>
      <c r="BP32" s="410">
        <v>0.01</v>
      </c>
      <c r="BQ32" s="410">
        <v>0.01</v>
      </c>
      <c r="BR32" s="2179">
        <v>0.01</v>
      </c>
      <c r="BS32" s="1936">
        <f>(-BS31/(BS9+BS17+BS19+BS22+BS33))</f>
        <v>0.01</v>
      </c>
      <c r="BT32" s="345"/>
      <c r="BU32" s="345"/>
      <c r="BV32" s="345"/>
      <c r="BW32" s="345"/>
      <c r="BX32" s="350">
        <f>+BS32</f>
        <v>0.01</v>
      </c>
      <c r="BY32" s="345"/>
      <c r="BZ32" s="345"/>
      <c r="CA32" s="345"/>
      <c r="CB32" s="345"/>
      <c r="CC32" s="350">
        <f>+BX32</f>
        <v>0.01</v>
      </c>
      <c r="CE32" s="263"/>
      <c r="CF32" s="264"/>
      <c r="CG32" s="264"/>
      <c r="CH32" s="264"/>
      <c r="CI32" s="265"/>
      <c r="CK32" s="2072"/>
      <c r="CL32" s="18">
        <f>BM32</f>
        <v>7.8456161225552191E-3</v>
      </c>
      <c r="CM32" s="18">
        <f>BH32</f>
        <v>1.3587891296869624E-2</v>
      </c>
      <c r="CN32" s="410">
        <v>1.3973171510699456E-2</v>
      </c>
      <c r="CO32" s="2107">
        <f>IFERROR(($CL32-CM32)*10000,"")</f>
        <v>-57.422751743144048</v>
      </c>
      <c r="CP32" s="2107">
        <f>IFERROR(($CL32-CN32)*10000,"")</f>
        <v>-61.27555388144237</v>
      </c>
      <c r="CQ32" s="454"/>
      <c r="CR32" s="453"/>
      <c r="CS32" s="258"/>
      <c r="CT32" s="258"/>
      <c r="CU32" s="258"/>
      <c r="CV32" s="258"/>
      <c r="CW32" s="258"/>
      <c r="CX32" s="258"/>
      <c r="CY32" s="263"/>
      <c r="CZ32"/>
      <c r="DA32"/>
      <c r="DB32"/>
      <c r="DC32"/>
      <c r="DD32"/>
      <c r="DE32"/>
      <c r="DF32" s="266"/>
      <c r="DG32" s="266"/>
      <c r="DH32" s="266"/>
      <c r="DI32" s="266"/>
      <c r="DJ32" s="266"/>
    </row>
    <row r="33" spans="1:114" s="657" customFormat="1" ht="12.75" customHeight="1">
      <c r="A33" s="655" t="s">
        <v>551</v>
      </c>
      <c r="B33" s="656"/>
      <c r="F33" s="658"/>
      <c r="K33" s="658"/>
      <c r="P33" s="658"/>
      <c r="U33" s="658"/>
      <c r="Z33" s="658"/>
      <c r="AE33" s="658"/>
      <c r="AF33" s="659"/>
      <c r="AG33" s="659"/>
      <c r="AH33" s="659"/>
      <c r="AI33" s="659"/>
      <c r="AJ33" s="669"/>
      <c r="AK33" s="659"/>
      <c r="AL33" s="659"/>
      <c r="AM33" s="659"/>
      <c r="AN33" s="659"/>
      <c r="AO33" s="658"/>
      <c r="AP33" s="659"/>
      <c r="AQ33" s="659"/>
      <c r="AR33" s="659"/>
      <c r="AS33" s="659"/>
      <c r="AT33" s="658"/>
      <c r="AU33" s="659"/>
      <c r="AV33" s="659"/>
      <c r="AW33" s="659"/>
      <c r="AX33" s="659"/>
      <c r="AY33" s="660"/>
      <c r="AZ33" s="660"/>
      <c r="BA33" s="659"/>
      <c r="BB33" s="659"/>
      <c r="BC33" s="659">
        <v>559.20000000000005</v>
      </c>
      <c r="BD33" s="1937">
        <f>SUM(AZ33:BC33)</f>
        <v>559.20000000000005</v>
      </c>
      <c r="BE33" s="660">
        <v>830.5</v>
      </c>
      <c r="BF33" s="659">
        <v>877.5</v>
      </c>
      <c r="BG33" s="659">
        <v>883.5</v>
      </c>
      <c r="BH33" s="659">
        <v>853.8</v>
      </c>
      <c r="BI33" s="1937">
        <f>SUM(BE33:BH33)</f>
        <v>3445.3</v>
      </c>
      <c r="BJ33" s="660">
        <v>879.2</v>
      </c>
      <c r="BK33" s="659">
        <v>946.1</v>
      </c>
      <c r="BL33" s="659">
        <v>928.5</v>
      </c>
      <c r="BM33" s="659">
        <v>887.4</v>
      </c>
      <c r="BN33" s="1937">
        <f>SUM(BJ33:BM33)</f>
        <v>3641.2000000000003</v>
      </c>
      <c r="BO33" s="660">
        <f>CNW!EQ33</f>
        <v>916.90142085298601</v>
      </c>
      <c r="BP33" s="659">
        <f>CNW!ER33</f>
        <v>992.2119816952785</v>
      </c>
      <c r="BQ33" s="659">
        <f>CNW!ES33</f>
        <v>969.82290600805663</v>
      </c>
      <c r="BR33" s="2178">
        <f>CNW!ET33</f>
        <v>959.03196345218169</v>
      </c>
      <c r="BS33" s="2178">
        <f>+SUM(BO33:BR33)</f>
        <v>3837.9682720085025</v>
      </c>
      <c r="BT33" s="659"/>
      <c r="BU33" s="659"/>
      <c r="BV33" s="659"/>
      <c r="BW33" s="659"/>
      <c r="BX33" s="2178">
        <f>CNW!EZ33</f>
        <v>4066.467570205873</v>
      </c>
      <c r="BY33" s="659"/>
      <c r="BZ33" s="659"/>
      <c r="CA33" s="659"/>
      <c r="CB33" s="659"/>
      <c r="CC33" s="2178">
        <f>CNW!FE33</f>
        <v>4302.8544805762704</v>
      </c>
      <c r="CD33" s="262"/>
      <c r="CE33" s="263"/>
      <c r="CF33" s="2224">
        <f>+BI33/$BI$45</f>
        <v>0.23566630641476397</v>
      </c>
      <c r="CG33" s="173"/>
      <c r="CH33" s="173"/>
      <c r="CI33" s="239"/>
      <c r="CJ33" s="177"/>
      <c r="CK33" s="2070"/>
      <c r="CL33" s="659">
        <f>BM33</f>
        <v>887.4</v>
      </c>
      <c r="CM33" s="659"/>
      <c r="CN33" s="659">
        <v>923.72310225816739</v>
      </c>
      <c r="CO33" s="2086" t="str">
        <f>IFERROR(($CL33/CM33)-1,"")</f>
        <v/>
      </c>
      <c r="CP33" s="2086">
        <f>IFERROR(($CL33/CN33)-1,"")</f>
        <v>-3.9322500616657319E-2</v>
      </c>
      <c r="CQ33" s="16"/>
      <c r="CR33" s="40"/>
      <c r="CS33" s="258"/>
      <c r="CT33" s="258"/>
      <c r="CU33" s="258"/>
      <c r="CV33" s="258"/>
      <c r="CW33" s="258"/>
      <c r="CX33" s="258"/>
      <c r="CY33" s="263"/>
      <c r="CZ33"/>
      <c r="DA33"/>
      <c r="DB33"/>
      <c r="DC33"/>
      <c r="DD33"/>
      <c r="DE33"/>
    </row>
    <row r="34" spans="1:114" s="657" customFormat="1" ht="12.75" customHeight="1">
      <c r="A34" s="76" t="s">
        <v>85</v>
      </c>
      <c r="B34" s="368"/>
      <c r="C34" s="18"/>
      <c r="D34" s="18"/>
      <c r="E34" s="18"/>
      <c r="F34" s="60"/>
      <c r="G34" s="18"/>
      <c r="H34" s="18"/>
      <c r="I34" s="18"/>
      <c r="J34" s="18"/>
      <c r="K34" s="60"/>
      <c r="L34" s="18"/>
      <c r="M34" s="18"/>
      <c r="N34" s="18"/>
      <c r="O34" s="18"/>
      <c r="P34" s="60"/>
      <c r="Q34" s="18"/>
      <c r="R34" s="18"/>
      <c r="S34" s="18"/>
      <c r="T34" s="18"/>
      <c r="U34" s="60"/>
      <c r="V34" s="18"/>
      <c r="W34" s="18"/>
      <c r="X34" s="18"/>
      <c r="Y34" s="18"/>
      <c r="Z34" s="625"/>
      <c r="AA34" s="18"/>
      <c r="AB34" s="18"/>
      <c r="AC34" s="18"/>
      <c r="AD34" s="18"/>
      <c r="AE34" s="625"/>
      <c r="AF34" s="18"/>
      <c r="AG34" s="18"/>
      <c r="AH34" s="18"/>
      <c r="AI34" s="18"/>
      <c r="AJ34" s="625"/>
      <c r="AK34" s="18"/>
      <c r="AL34" s="18"/>
      <c r="AM34" s="18"/>
      <c r="AN34" s="18"/>
      <c r="AO34" s="625"/>
      <c r="AP34" s="18"/>
      <c r="AQ34" s="18"/>
      <c r="AR34" s="451"/>
      <c r="AS34" s="451"/>
      <c r="AT34" s="624"/>
      <c r="AU34" s="18"/>
      <c r="AV34" s="18"/>
      <c r="AW34" s="451"/>
      <c r="AX34" s="451"/>
      <c r="AY34" s="623"/>
      <c r="AZ34" s="601"/>
      <c r="BA34" s="18"/>
      <c r="BB34" s="18"/>
      <c r="BC34" s="451"/>
      <c r="BD34" s="1938"/>
      <c r="BE34" s="18"/>
      <c r="BF34" s="18"/>
      <c r="BG34" s="18"/>
      <c r="BH34" s="451"/>
      <c r="BI34" s="1938"/>
      <c r="BJ34" s="18">
        <f t="shared" ref="BJ34:BM34" si="164">+BJ33/BE33-1</f>
        <v>5.8639373871161915E-2</v>
      </c>
      <c r="BK34" s="191">
        <f t="shared" si="164"/>
        <v>7.8176638176638225E-2</v>
      </c>
      <c r="BL34" s="191">
        <f t="shared" si="164"/>
        <v>5.0933786078098509E-2</v>
      </c>
      <c r="BM34" s="451">
        <f t="shared" si="164"/>
        <v>3.9353478566408917E-2</v>
      </c>
      <c r="BN34" s="1936">
        <f>+BN33/BI33-1</f>
        <v>5.6860070240617677E-2</v>
      </c>
      <c r="BO34" s="439">
        <f t="shared" ref="BO34" si="165">+BO33/BJ33-1</f>
        <v>4.2881506884651976E-2</v>
      </c>
      <c r="BP34" s="191">
        <f t="shared" ref="BP34" si="166">+BP33/BK33-1</f>
        <v>4.8739014581205442E-2</v>
      </c>
      <c r="BQ34" s="191">
        <f t="shared" ref="BQ34:BR34" si="167">+BQ33/BL33-1</f>
        <v>4.450501454825706E-2</v>
      </c>
      <c r="BR34" s="2184">
        <f t="shared" si="167"/>
        <v>8.0721166838158442E-2</v>
      </c>
      <c r="BS34" s="2154">
        <f>+BS33/BN33-1</f>
        <v>5.4039402397149994E-2</v>
      </c>
      <c r="BT34" s="659"/>
      <c r="BU34" s="659"/>
      <c r="BV34" s="659"/>
      <c r="BW34" s="659"/>
      <c r="BX34" s="1938">
        <f>+BX33/BS33-1</f>
        <v>5.9536526099990716E-2</v>
      </c>
      <c r="BY34" s="659"/>
      <c r="BZ34" s="659"/>
      <c r="CA34" s="659"/>
      <c r="CB34" s="659"/>
      <c r="CC34" s="1938">
        <f>+CC33/BX33-1</f>
        <v>5.8130774754568959E-2</v>
      </c>
      <c r="CD34" s="262"/>
      <c r="CE34" s="263"/>
      <c r="CF34" s="173"/>
      <c r="CG34" s="173"/>
      <c r="CH34" s="173"/>
      <c r="CI34" s="1989"/>
      <c r="CJ34" s="177"/>
      <c r="CK34" s="2070"/>
      <c r="CL34" s="659"/>
      <c r="CM34" s="659"/>
      <c r="CN34" s="18">
        <v>8.189634839326243E-2</v>
      </c>
      <c r="CO34" s="2086"/>
      <c r="CP34" s="2086"/>
      <c r="CQ34" s="16"/>
      <c r="CR34" s="40"/>
      <c r="CS34" s="258"/>
      <c r="CT34" s="258"/>
      <c r="CU34" s="258"/>
      <c r="CV34" s="258"/>
      <c r="CW34" s="258"/>
      <c r="CX34" s="258"/>
      <c r="CY34" s="263"/>
      <c r="CZ34"/>
      <c r="DA34"/>
      <c r="DB34"/>
      <c r="DC34"/>
      <c r="DD34"/>
      <c r="DE34"/>
    </row>
    <row r="35" spans="1:114" s="657" customFormat="1" ht="12.75" customHeight="1">
      <c r="A35" s="76" t="s">
        <v>248</v>
      </c>
      <c r="B35" s="368"/>
      <c r="C35" s="18"/>
      <c r="D35" s="18"/>
      <c r="E35" s="18"/>
      <c r="F35" s="1936"/>
      <c r="G35" s="18"/>
      <c r="H35" s="18"/>
      <c r="I35" s="18"/>
      <c r="J35" s="18"/>
      <c r="K35" s="1936"/>
      <c r="L35" s="18"/>
      <c r="M35" s="18"/>
      <c r="N35" s="18"/>
      <c r="O35" s="18"/>
      <c r="P35" s="1936"/>
      <c r="Q35" s="18"/>
      <c r="R35" s="18"/>
      <c r="S35" s="18"/>
      <c r="T35" s="18"/>
      <c r="U35" s="1936"/>
      <c r="V35" s="18"/>
      <c r="W35" s="18"/>
      <c r="X35" s="18"/>
      <c r="Y35" s="18"/>
      <c r="Z35" s="18"/>
      <c r="AA35" s="18"/>
      <c r="AB35" s="18"/>
      <c r="AC35" s="18"/>
      <c r="AD35" s="18"/>
      <c r="AE35" s="18"/>
      <c r="AF35" s="18"/>
      <c r="AG35" s="18"/>
      <c r="AH35" s="18"/>
      <c r="AI35" s="18"/>
      <c r="AJ35" s="2128"/>
      <c r="AK35" s="18"/>
      <c r="AL35" s="18"/>
      <c r="AM35" s="18"/>
      <c r="AN35" s="18"/>
      <c r="AO35" s="18"/>
      <c r="AP35" s="18"/>
      <c r="AQ35" s="18"/>
      <c r="AR35" s="451"/>
      <c r="AS35" s="451"/>
      <c r="AT35" s="451"/>
      <c r="AU35" s="18"/>
      <c r="AV35" s="18"/>
      <c r="AW35" s="451"/>
      <c r="AX35" s="451"/>
      <c r="AY35" s="1964"/>
      <c r="AZ35" s="601"/>
      <c r="BA35" s="18"/>
      <c r="BB35" s="18"/>
      <c r="BC35" s="451"/>
      <c r="BD35" s="1938"/>
      <c r="BE35" s="18"/>
      <c r="BF35" s="388">
        <f>+BF33/BE33-1</f>
        <v>5.6592414208308295E-2</v>
      </c>
      <c r="BG35" s="388">
        <f>+BG33/BF33-1</f>
        <v>6.8376068376068133E-3</v>
      </c>
      <c r="BH35" s="388">
        <f>+BH33/BG33-1</f>
        <v>-3.3616298811545042E-2</v>
      </c>
      <c r="BI35" s="1938"/>
      <c r="BJ35" s="388">
        <f>+BJ33/BH33-1</f>
        <v>2.974935582103555E-2</v>
      </c>
      <c r="BK35" s="388">
        <f>+BK33/BJ33-1</f>
        <v>7.6091901728844391E-2</v>
      </c>
      <c r="BL35" s="388">
        <f>+BL33/BK33-1</f>
        <v>-1.8602684705633643E-2</v>
      </c>
      <c r="BM35" s="388">
        <f>+BM33/BL33-1</f>
        <v>-4.426494345718901E-2</v>
      </c>
      <c r="BN35" s="1938"/>
      <c r="BO35" s="388">
        <f>+BO33/BM33-1</f>
        <v>3.3244783471924721E-2</v>
      </c>
      <c r="BP35" s="388">
        <f>+BP33/BO33-1</f>
        <v>8.213594082145903E-2</v>
      </c>
      <c r="BQ35" s="388">
        <f>+BQ33/BP33-1</f>
        <v>-2.2564810847142014E-2</v>
      </c>
      <c r="BR35" s="388">
        <f>+BR33/BQ33-1</f>
        <v>-1.1126714464078979E-2</v>
      </c>
      <c r="BS35" s="581"/>
      <c r="BT35" s="659"/>
      <c r="BU35" s="659"/>
      <c r="BV35" s="659"/>
      <c r="BW35" s="659"/>
      <c r="BX35" s="1938"/>
      <c r="BY35" s="659"/>
      <c r="BZ35" s="659"/>
      <c r="CA35" s="659"/>
      <c r="CB35" s="659"/>
      <c r="CC35" s="1938"/>
      <c r="CD35" s="262"/>
      <c r="CE35" s="263"/>
      <c r="CF35" s="955">
        <f>+CNW!FH38</f>
        <v>9.8435918485184626E-3</v>
      </c>
      <c r="CG35" s="955">
        <f>+CNW!FI38</f>
        <v>8.3519967779160958E-2</v>
      </c>
      <c r="CH35" s="955">
        <f>+CNW!FJ38</f>
        <v>-6.5984531849635347E-3</v>
      </c>
      <c r="CI35" s="955">
        <f>+CNW!FK38</f>
        <v>-5.236804849694067E-2</v>
      </c>
      <c r="CJ35" s="177"/>
      <c r="CK35" s="2070"/>
      <c r="CL35" s="659"/>
      <c r="CM35" s="659"/>
      <c r="CN35" s="388">
        <v>-5.1447471640631015E-3</v>
      </c>
      <c r="CO35" s="2086"/>
      <c r="CP35" s="2086"/>
      <c r="CQ35" s="16"/>
      <c r="CR35" s="40"/>
      <c r="CS35" s="258"/>
      <c r="CT35" s="258"/>
      <c r="CU35" s="258"/>
      <c r="CV35" s="258"/>
      <c r="CW35" s="258"/>
      <c r="CX35" s="258"/>
      <c r="CY35" s="263"/>
      <c r="CZ35"/>
      <c r="DA35"/>
      <c r="DB35"/>
      <c r="DC35"/>
      <c r="DD35"/>
      <c r="DE35"/>
    </row>
    <row r="36" spans="1:114" s="262" customFormat="1" ht="12.75" hidden="1" customHeight="1" outlineLevel="1">
      <c r="A36" s="646" t="s">
        <v>490</v>
      </c>
      <c r="B36" s="543"/>
      <c r="F36" s="268"/>
      <c r="K36" s="268"/>
      <c r="P36" s="268"/>
      <c r="U36" s="268"/>
      <c r="Z36" s="268"/>
      <c r="AE36" s="268"/>
      <c r="AF36" s="269"/>
      <c r="AG36" s="269"/>
      <c r="AH36" s="269"/>
      <c r="AI36" s="269"/>
      <c r="AJ36" s="626"/>
      <c r="AK36" s="269"/>
      <c r="AL36" s="269"/>
      <c r="AM36" s="269"/>
      <c r="AN36" s="269"/>
      <c r="AO36" s="268"/>
      <c r="AP36" s="269"/>
      <c r="AQ36" s="269"/>
      <c r="AR36" s="269"/>
      <c r="AS36" s="269"/>
      <c r="AT36" s="268"/>
      <c r="AU36" s="269"/>
      <c r="AV36" s="269"/>
      <c r="AW36" s="269"/>
      <c r="AX36" s="269"/>
      <c r="AY36" s="580"/>
      <c r="AZ36" s="580"/>
      <c r="BA36" s="269"/>
      <c r="BB36" s="269"/>
      <c r="BC36" s="648"/>
      <c r="BD36" s="1941"/>
      <c r="BE36" s="1793">
        <f>+CNW!EG49</f>
        <v>2279.8530095000001</v>
      </c>
      <c r="BF36" s="1793">
        <f>+CNW!EH49</f>
        <v>2349.6302719999999</v>
      </c>
      <c r="BG36" s="1793">
        <f>+CNW!EI49</f>
        <v>2318.3861119999997</v>
      </c>
      <c r="BH36" s="1793">
        <f>+CNW!EJ49</f>
        <v>2211.2730640000004</v>
      </c>
      <c r="BI36" s="2157">
        <f>+CNW!EK49</f>
        <v>9159.1424575000001</v>
      </c>
      <c r="BJ36" s="1793">
        <f>+CNW!EL49</f>
        <v>2407.2823039999998</v>
      </c>
      <c r="BK36" s="1793">
        <f>+CNW!EM49</f>
        <v>2497.827491</v>
      </c>
      <c r="BL36" s="1793">
        <f>+CNW!EN49</f>
        <v>2390.5955625000001</v>
      </c>
      <c r="BM36" s="1793">
        <f>+CNW!EO49</f>
        <v>2274.7944944999999</v>
      </c>
      <c r="BN36" s="2157">
        <f>+CNW!EP49</f>
        <v>9570.4998520000008</v>
      </c>
      <c r="BO36" s="2342">
        <f>+CNW!EQ48</f>
        <v>4.3453949799999947E-2</v>
      </c>
      <c r="BP36" s="1793">
        <f>+CNW!ER48</f>
        <v>4.3340709001689737E-2</v>
      </c>
      <c r="BQ36" s="1793">
        <f>+CNW!ES48</f>
        <v>2.0068149851097283E-2</v>
      </c>
      <c r="BR36" s="2320">
        <f>+CNW!ET48</f>
        <v>2.5937432778857517E-3</v>
      </c>
      <c r="BS36" s="2380">
        <f>+CNW!EU49</f>
        <v>9716.5864406219498</v>
      </c>
      <c r="BT36" s="649"/>
      <c r="BU36" s="649"/>
      <c r="BV36" s="649"/>
      <c r="BW36" s="649"/>
      <c r="BX36" s="2157">
        <f>+CNW!EZ49</f>
        <v>10108.164874179014</v>
      </c>
      <c r="BY36" s="649"/>
      <c r="BZ36" s="649"/>
      <c r="CA36" s="649"/>
      <c r="CB36" s="649"/>
      <c r="CC36" s="2157">
        <f>+CNW!FE49</f>
        <v>10568.086375954161</v>
      </c>
      <c r="CE36" s="263"/>
      <c r="CF36" s="173"/>
      <c r="CG36" s="173"/>
      <c r="CH36" s="173"/>
      <c r="CI36" s="239"/>
      <c r="CJ36" s="177"/>
      <c r="CK36" s="2070"/>
      <c r="CL36" s="269"/>
      <c r="CM36" s="269"/>
      <c r="CN36" s="1793">
        <v>2300.5532139590005</v>
      </c>
      <c r="CO36" s="2087" t="str">
        <f>IFERROR(($CL36/CM36)-1,"")</f>
        <v/>
      </c>
      <c r="CP36" s="2087"/>
      <c r="CQ36" s="16"/>
      <c r="CR36" s="40"/>
      <c r="CS36" s="258"/>
      <c r="CT36" s="258"/>
      <c r="CU36" s="258"/>
      <c r="CV36" s="258"/>
      <c r="CW36" s="258"/>
      <c r="CX36" s="258"/>
      <c r="CY36" s="263"/>
      <c r="CZ36"/>
      <c r="DA36"/>
      <c r="DB36"/>
      <c r="DC36"/>
      <c r="DD36"/>
      <c r="DE36"/>
      <c r="DF36" s="266"/>
      <c r="DG36" s="266"/>
      <c r="DH36" s="266"/>
      <c r="DI36" s="266"/>
      <c r="DJ36" s="266"/>
    </row>
    <row r="37" spans="1:114" s="262" customFormat="1" ht="12.75" hidden="1" customHeight="1" outlineLevel="1">
      <c r="A37" s="646" t="s">
        <v>246</v>
      </c>
      <c r="B37" s="543"/>
      <c r="F37" s="268"/>
      <c r="K37" s="268"/>
      <c r="P37" s="268"/>
      <c r="U37" s="268"/>
      <c r="Z37" s="268"/>
      <c r="AE37" s="268"/>
      <c r="AF37" s="269"/>
      <c r="AG37" s="269"/>
      <c r="AH37" s="269"/>
      <c r="AI37" s="269"/>
      <c r="AJ37" s="626"/>
      <c r="AK37" s="269"/>
      <c r="AL37" s="269"/>
      <c r="AM37" s="269"/>
      <c r="AN37" s="269"/>
      <c r="AO37" s="268"/>
      <c r="AP37" s="269"/>
      <c r="AQ37" s="269"/>
      <c r="AR37" s="269"/>
      <c r="AS37" s="269"/>
      <c r="AT37" s="268"/>
      <c r="AU37" s="269"/>
      <c r="AV37" s="269"/>
      <c r="AW37" s="269"/>
      <c r="AX37" s="269"/>
      <c r="AY37" s="580"/>
      <c r="AZ37" s="580"/>
      <c r="BA37" s="269"/>
      <c r="BB37" s="269"/>
      <c r="BC37" s="647"/>
      <c r="BD37" s="1941"/>
      <c r="BE37" s="1794">
        <f>+CNW!EG47</f>
        <v>18.696619722338461</v>
      </c>
      <c r="BF37" s="1794">
        <f>+CNW!EH47</f>
        <v>19.149999999999999</v>
      </c>
      <c r="BG37" s="1794">
        <f>+CNW!EI47</f>
        <v>19.52</v>
      </c>
      <c r="BH37" s="1794">
        <f>+CNW!EJ47</f>
        <v>19.52896181703127</v>
      </c>
      <c r="BI37" s="2158">
        <f>+CNW!EK47</f>
        <v>19.214586345661619</v>
      </c>
      <c r="BJ37" s="1794">
        <f>+CNW!EL47</f>
        <v>18.916416607513991</v>
      </c>
      <c r="BK37" s="1794">
        <f>+CNW!EM47</f>
        <v>19.352486721023077</v>
      </c>
      <c r="BL37" s="1794">
        <f>+CNW!EN47</f>
        <v>20.115991702517956</v>
      </c>
      <c r="BM37" s="1794">
        <f>+CNW!EO47</f>
        <v>20.463315805745033</v>
      </c>
      <c r="BN37" s="2158">
        <f>+CNW!EP47</f>
        <v>19.697546612405915</v>
      </c>
      <c r="BO37" s="2343">
        <f>+CNW!EQ46</f>
        <v>-3.270743556418565E-2</v>
      </c>
      <c r="BP37" s="1794">
        <f>+CNW!ER46</f>
        <v>2.251608086460366E-2</v>
      </c>
      <c r="BQ37" s="1794">
        <f>+CNW!ES46</f>
        <v>1.6266720975463667E-2</v>
      </c>
      <c r="BR37" s="2321">
        <f>+CNW!ET46</f>
        <v>-1.6033605090925995E-4</v>
      </c>
      <c r="BS37" s="2381">
        <f>+CNW!EU47</f>
        <v>20.24099870899067</v>
      </c>
      <c r="BT37" s="650">
        <f t="shared" ref="BT37:CB37" si="168">+BO37*1.02</f>
        <v>-3.3361584275469362E-2</v>
      </c>
      <c r="BU37" s="650">
        <f t="shared" si="168"/>
        <v>2.2966402481895735E-2</v>
      </c>
      <c r="BV37" s="650">
        <f t="shared" si="168"/>
        <v>1.6592055394972941E-2</v>
      </c>
      <c r="BW37" s="650">
        <f t="shared" si="168"/>
        <v>-1.6354277192744514E-4</v>
      </c>
      <c r="BX37" s="2158">
        <f>+CNW!EZ47</f>
        <v>20.587157125016265</v>
      </c>
      <c r="BY37" s="650">
        <f t="shared" si="168"/>
        <v>-3.4028815960978752E-2</v>
      </c>
      <c r="BZ37" s="650">
        <f t="shared" si="168"/>
        <v>2.3425730531533649E-2</v>
      </c>
      <c r="CA37" s="650">
        <f t="shared" si="168"/>
        <v>1.6923896502872401E-2</v>
      </c>
      <c r="CB37" s="650">
        <f t="shared" si="168"/>
        <v>-1.6681362736599404E-4</v>
      </c>
      <c r="CC37" s="2158">
        <f>+CNW!FE47</f>
        <v>20.809606981373467</v>
      </c>
      <c r="CE37" s="263"/>
      <c r="CF37" s="264"/>
      <c r="CG37" s="264"/>
      <c r="CH37" s="264"/>
      <c r="CI37" s="265"/>
      <c r="CK37" s="2072"/>
      <c r="CL37" s="269"/>
      <c r="CM37" s="269"/>
      <c r="CN37" s="1794">
        <v>20.219551901978896</v>
      </c>
      <c r="CO37" s="2087" t="str">
        <f>IFERROR(($CL37/CM37)-1,"")</f>
        <v/>
      </c>
      <c r="CP37" s="2087"/>
      <c r="CQ37" s="16"/>
      <c r="CR37" s="40"/>
      <c r="CS37" s="258"/>
      <c r="CT37" s="258"/>
      <c r="CU37" s="258"/>
      <c r="CV37" s="258"/>
      <c r="CW37" s="258"/>
      <c r="CX37" s="258"/>
      <c r="CY37" s="263"/>
      <c r="CZ37"/>
      <c r="DA37"/>
      <c r="DB37"/>
      <c r="DC37"/>
      <c r="DD37"/>
      <c r="DE37"/>
      <c r="DF37" s="266"/>
      <c r="DG37" s="266"/>
      <c r="DH37" s="266"/>
      <c r="DI37" s="266"/>
      <c r="DJ37" s="266"/>
    </row>
    <row r="38" spans="1:114" s="262" customFormat="1" ht="12.75" customHeight="1" collapsed="1">
      <c r="A38" s="257" t="s">
        <v>217</v>
      </c>
      <c r="B38" s="542"/>
      <c r="C38" s="258"/>
      <c r="D38" s="258"/>
      <c r="E38" s="258"/>
      <c r="F38" s="259"/>
      <c r="G38" s="258"/>
      <c r="H38" s="258"/>
      <c r="I38" s="258"/>
      <c r="J38" s="258"/>
      <c r="K38" s="259"/>
      <c r="L38" s="258"/>
      <c r="M38" s="258"/>
      <c r="N38" s="258"/>
      <c r="O38" s="258"/>
      <c r="P38" s="259"/>
      <c r="Q38" s="258"/>
      <c r="R38" s="258"/>
      <c r="S38" s="258"/>
      <c r="T38" s="258"/>
      <c r="U38" s="259"/>
      <c r="V38" s="258"/>
      <c r="W38" s="258"/>
      <c r="X38" s="258"/>
      <c r="Y38" s="258"/>
      <c r="Z38" s="259"/>
      <c r="AA38" s="258"/>
      <c r="AB38" s="258"/>
      <c r="AC38" s="258"/>
      <c r="AD38" s="258"/>
      <c r="AE38" s="259"/>
      <c r="AF38" s="260"/>
      <c r="AG38" s="260"/>
      <c r="AH38" s="260"/>
      <c r="AI38" s="260"/>
      <c r="AJ38" s="259"/>
      <c r="AK38" s="260"/>
      <c r="AL38" s="260"/>
      <c r="AM38" s="260"/>
      <c r="AN38" s="260"/>
      <c r="AO38" s="259"/>
      <c r="AP38" s="260"/>
      <c r="AQ38" s="260"/>
      <c r="AR38" s="260"/>
      <c r="AS38" s="260"/>
      <c r="AT38" s="259"/>
      <c r="AU38" s="260"/>
      <c r="AV38" s="260"/>
      <c r="AW38" s="260">
        <v>50.12</v>
      </c>
      <c r="AX38" s="260">
        <v>166.5</v>
      </c>
      <c r="AY38" s="544">
        <f>SUM(AU38:AX38)</f>
        <v>216.62</v>
      </c>
      <c r="AZ38" s="602">
        <v>140.80000000000001</v>
      </c>
      <c r="BA38" s="260">
        <f>+BA40+BA42</f>
        <v>359.6</v>
      </c>
      <c r="BB38" s="260">
        <f>+BB40+BB42</f>
        <v>993.30000000000007</v>
      </c>
      <c r="BC38" s="260">
        <f>+BC40+BC42</f>
        <v>1274.6999999999998</v>
      </c>
      <c r="BD38" s="1935">
        <f>SUM(AZ38:BC38)</f>
        <v>2768.3999999999996</v>
      </c>
      <c r="BE38" s="260">
        <f>+BE40+BE42</f>
        <v>1260.6999999999998</v>
      </c>
      <c r="BF38" s="260">
        <f>+BF40+BF42</f>
        <v>1332</v>
      </c>
      <c r="BG38" s="260">
        <f>+BG40+BG42</f>
        <v>1347</v>
      </c>
      <c r="BH38" s="260">
        <f>+BH40+BH42</f>
        <v>1384.2</v>
      </c>
      <c r="BI38" s="1935">
        <f>SUM(BE38:BH38)</f>
        <v>5323.9</v>
      </c>
      <c r="BJ38" s="260">
        <f>+BJ40+BJ42</f>
        <v>1300.0999999999999</v>
      </c>
      <c r="BK38" s="260">
        <f>+BK40+BK42</f>
        <v>1395.2</v>
      </c>
      <c r="BL38" s="260">
        <f>+BL40+BL42</f>
        <v>1458.8</v>
      </c>
      <c r="BM38" s="260">
        <f>+BM40+BM42</f>
        <v>1568.6</v>
      </c>
      <c r="BN38" s="1935">
        <f>SUM(BJ38:BM38)</f>
        <v>5722.7000000000007</v>
      </c>
      <c r="BO38" s="2344">
        <f t="shared" ref="BO38:BP38" si="169">+BO40+BO42</f>
        <v>1276.9259999999999</v>
      </c>
      <c r="BP38" s="627">
        <f t="shared" si="169"/>
        <v>1380.4169999999999</v>
      </c>
      <c r="BQ38" s="627">
        <f t="shared" ref="BQ38:BR38" si="170">+BQ40+BQ42</f>
        <v>1424.6680000000001</v>
      </c>
      <c r="BR38" s="2180">
        <f t="shared" si="170"/>
        <v>1498.703</v>
      </c>
      <c r="BS38" s="1935">
        <f>SUM(BO38:BR38)</f>
        <v>5580.7139999999999</v>
      </c>
      <c r="BT38" s="2123"/>
      <c r="BU38" s="2123"/>
      <c r="BV38" s="2123"/>
      <c r="BW38" s="2123"/>
      <c r="BX38" s="2124">
        <f>+BS38*(1+BX39)</f>
        <v>5915.5568400000002</v>
      </c>
      <c r="BY38" s="2123"/>
      <c r="BZ38" s="2123"/>
      <c r="CA38" s="2123"/>
      <c r="CB38" s="2123"/>
      <c r="CC38" s="2125">
        <f>+BX38*(1+CC39)</f>
        <v>6270.4902504000001</v>
      </c>
      <c r="CE38" s="263"/>
      <c r="CF38" s="2224">
        <f>+BI38/$BI$45</f>
        <v>0.36416679207080999</v>
      </c>
      <c r="CG38" s="264"/>
      <c r="CH38" s="264"/>
      <c r="CI38" s="265"/>
      <c r="CK38" s="2072"/>
      <c r="CL38" s="260">
        <f t="shared" ref="CL38:CL46" si="171">BM38</f>
        <v>1568.6</v>
      </c>
      <c r="CM38" s="260">
        <f t="shared" ref="CM38:CM46" si="172">BH38</f>
        <v>1384.2</v>
      </c>
      <c r="CN38" s="627">
        <v>1460</v>
      </c>
      <c r="CO38" s="2085">
        <f>IFERROR(($CL38/CM38)-1,"")</f>
        <v>0.133217743100708</v>
      </c>
      <c r="CP38" s="2085">
        <f>IFERROR(($CL38/CN38)-1,"")</f>
        <v>7.4383561643835527E-2</v>
      </c>
      <c r="CQ38" s="454"/>
      <c r="CR38" s="40"/>
      <c r="CS38" s="375"/>
      <c r="CT38" s="258"/>
      <c r="CU38" s="258"/>
      <c r="CV38" s="258"/>
      <c r="CW38" s="258"/>
      <c r="CX38" s="258"/>
      <c r="CY38" s="263"/>
      <c r="CZ38"/>
      <c r="DA38"/>
      <c r="DB38"/>
      <c r="DC38"/>
      <c r="DD38"/>
      <c r="DE38"/>
      <c r="DF38" s="266"/>
      <c r="DG38" s="266"/>
      <c r="DH38" s="266"/>
      <c r="DI38" s="266"/>
      <c r="DJ38" s="266"/>
    </row>
    <row r="39" spans="1:114" s="1" customFormat="1" ht="12.75" customHeight="1">
      <c r="A39" s="76" t="s">
        <v>85</v>
      </c>
      <c r="B39" s="368"/>
      <c r="C39" s="18"/>
      <c r="D39" s="18"/>
      <c r="E39" s="18"/>
      <c r="F39" s="60"/>
      <c r="G39" s="18"/>
      <c r="H39" s="18"/>
      <c r="I39" s="18"/>
      <c r="J39" s="18"/>
      <c r="K39" s="60"/>
      <c r="L39" s="18"/>
      <c r="M39" s="18"/>
      <c r="N39" s="18"/>
      <c r="O39" s="18"/>
      <c r="P39" s="60"/>
      <c r="Q39" s="18"/>
      <c r="R39" s="18"/>
      <c r="S39" s="18"/>
      <c r="T39" s="18"/>
      <c r="U39" s="60"/>
      <c r="V39" s="18"/>
      <c r="W39" s="18"/>
      <c r="X39" s="18"/>
      <c r="Y39" s="18"/>
      <c r="Z39" s="60"/>
      <c r="AA39" s="18"/>
      <c r="AB39" s="18"/>
      <c r="AC39" s="18"/>
      <c r="AD39" s="18"/>
      <c r="AE39" s="60"/>
      <c r="AF39" s="18"/>
      <c r="AG39" s="18"/>
      <c r="AH39" s="18"/>
      <c r="AI39" s="18"/>
      <c r="AJ39" s="60"/>
      <c r="AK39" s="18"/>
      <c r="AL39" s="18"/>
      <c r="AM39" s="18"/>
      <c r="AN39" s="18"/>
      <c r="AO39" s="60"/>
      <c r="AP39" s="18"/>
      <c r="AQ39" s="18"/>
      <c r="AR39" s="18"/>
      <c r="AS39" s="18"/>
      <c r="AT39" s="60"/>
      <c r="AU39" s="18"/>
      <c r="AV39" s="18"/>
      <c r="AW39" s="18"/>
      <c r="AX39" s="18"/>
      <c r="AY39" s="368"/>
      <c r="AZ39" s="368"/>
      <c r="BA39" s="18"/>
      <c r="BB39" s="18"/>
      <c r="BC39" s="18">
        <f t="shared" ref="BC39:BG39" si="173">+BC38/AX38-1</f>
        <v>6.6558558558558545</v>
      </c>
      <c r="BD39" s="1936"/>
      <c r="BE39" s="368">
        <f t="shared" si="173"/>
        <v>7.9538352272727249</v>
      </c>
      <c r="BF39" s="18">
        <f t="shared" si="173"/>
        <v>2.7041156840934368</v>
      </c>
      <c r="BG39" s="18">
        <f t="shared" si="173"/>
        <v>0.35608577469042579</v>
      </c>
      <c r="BH39" s="18">
        <f t="shared" ref="BH39" si="174">+BH38/BC38-1</f>
        <v>8.5902565309484702E-2</v>
      </c>
      <c r="BI39" s="1936"/>
      <c r="BJ39" s="368">
        <f t="shared" ref="BJ39:BL39" si="175">+BJ38/BE38-1</f>
        <v>3.1252478781629289E-2</v>
      </c>
      <c r="BK39" s="18">
        <f t="shared" si="175"/>
        <v>4.7447447447447555E-2</v>
      </c>
      <c r="BL39" s="18">
        <f t="shared" si="175"/>
        <v>8.2999257609502664E-2</v>
      </c>
      <c r="BM39" s="18">
        <f t="shared" ref="BM39:BN43" si="176">+BM38/BH38-1</f>
        <v>0.133217743100708</v>
      </c>
      <c r="BN39" s="1936">
        <f t="shared" si="176"/>
        <v>7.4907492627585226E-2</v>
      </c>
      <c r="BO39" s="601">
        <f t="shared" ref="BO39" si="177">+BO38/BJ38-1</f>
        <v>-1.7824782709022324E-2</v>
      </c>
      <c r="BP39" s="477">
        <f t="shared" ref="BP39" si="178">+BP38/BK38-1</f>
        <v>-1.0595613532110137E-2</v>
      </c>
      <c r="BQ39" s="477">
        <f t="shared" ref="BQ39:BS43" si="179">+BQ38/BL38-1</f>
        <v>-2.3397312859884778E-2</v>
      </c>
      <c r="BR39" s="2181">
        <f t="shared" si="179"/>
        <v>-4.4560117302052782E-2</v>
      </c>
      <c r="BS39" s="1936">
        <f t="shared" si="179"/>
        <v>-2.4811015779265144E-2</v>
      </c>
      <c r="BT39" s="20"/>
      <c r="BU39" s="20"/>
      <c r="BV39" s="20"/>
      <c r="BW39" s="20"/>
      <c r="BX39" s="474">
        <v>0.06</v>
      </c>
      <c r="BY39" s="20"/>
      <c r="BZ39" s="20"/>
      <c r="CA39" s="20"/>
      <c r="CB39" s="20"/>
      <c r="CC39" s="474">
        <f>+BX39</f>
        <v>0.06</v>
      </c>
      <c r="CD39" s="191"/>
      <c r="CE39" s="111"/>
      <c r="CF39" s="173"/>
      <c r="CG39" s="173"/>
      <c r="CH39" s="173"/>
      <c r="CI39" s="239"/>
      <c r="CJ39" s="177"/>
      <c r="CK39" s="2070"/>
      <c r="CL39" s="18">
        <f t="shared" si="171"/>
        <v>0.133217743100708</v>
      </c>
      <c r="CM39" s="18">
        <f t="shared" si="172"/>
        <v>8.5902565309484702E-2</v>
      </c>
      <c r="CN39" s="477">
        <v>5.4760872706256292E-2</v>
      </c>
      <c r="CO39" s="2107">
        <f>IFERROR(($CL39-CM39)*10000,"")</f>
        <v>473.15177791223294</v>
      </c>
      <c r="CP39" s="2107">
        <f>IFERROR(($CL39-CN39)*10000,"")</f>
        <v>784.5687039445171</v>
      </c>
      <c r="CQ39" s="40"/>
      <c r="CR39" s="40"/>
      <c r="CS39" s="40"/>
      <c r="CT39" s="40"/>
      <c r="CU39" s="40"/>
      <c r="CV39" s="40"/>
      <c r="CW39" s="40"/>
      <c r="CX39" s="40"/>
      <c r="CY39" s="139"/>
      <c r="CZ39"/>
      <c r="DA39"/>
      <c r="DB39"/>
      <c r="DC39"/>
      <c r="DD39"/>
      <c r="DE39"/>
      <c r="DF39" s="3"/>
      <c r="DG39" s="3"/>
      <c r="DH39" s="3"/>
      <c r="DI39" s="3"/>
      <c r="DJ39" s="3"/>
    </row>
    <row r="40" spans="1:114" s="262" customFormat="1" ht="12.75" customHeight="1" collapsed="1">
      <c r="A40" s="655" t="s">
        <v>247</v>
      </c>
      <c r="B40" s="656"/>
      <c r="C40" s="657"/>
      <c r="D40" s="657"/>
      <c r="E40" s="657"/>
      <c r="F40" s="658"/>
      <c r="G40" s="657"/>
      <c r="H40" s="657"/>
      <c r="I40" s="657"/>
      <c r="J40" s="657"/>
      <c r="K40" s="658"/>
      <c r="L40" s="657"/>
      <c r="M40" s="657"/>
      <c r="N40" s="657"/>
      <c r="O40" s="657"/>
      <c r="P40" s="658"/>
      <c r="Q40" s="657"/>
      <c r="R40" s="657"/>
      <c r="S40" s="657"/>
      <c r="T40" s="657"/>
      <c r="U40" s="658"/>
      <c r="V40" s="657"/>
      <c r="W40" s="657"/>
      <c r="X40" s="657"/>
      <c r="Y40" s="657"/>
      <c r="Z40" s="658"/>
      <c r="AA40" s="657"/>
      <c r="AB40" s="657"/>
      <c r="AC40" s="657"/>
      <c r="AD40" s="657"/>
      <c r="AE40" s="658"/>
      <c r="AF40" s="659"/>
      <c r="AG40" s="659"/>
      <c r="AH40" s="659"/>
      <c r="AI40" s="659"/>
      <c r="AJ40" s="658"/>
      <c r="AK40" s="659"/>
      <c r="AL40" s="659"/>
      <c r="AM40" s="659"/>
      <c r="AN40" s="659"/>
      <c r="AO40" s="658"/>
      <c r="AP40" s="659"/>
      <c r="AQ40" s="659"/>
      <c r="AR40" s="659"/>
      <c r="AS40" s="659"/>
      <c r="AT40" s="658"/>
      <c r="AU40" s="659"/>
      <c r="AV40" s="659"/>
      <c r="AW40" s="659">
        <f>+AW38</f>
        <v>50.12</v>
      </c>
      <c r="AX40" s="659">
        <f t="shared" ref="AX40:AZ40" si="180">+AX38</f>
        <v>166.5</v>
      </c>
      <c r="AY40" s="660">
        <f t="shared" si="180"/>
        <v>216.62</v>
      </c>
      <c r="AZ40" s="660">
        <f t="shared" si="180"/>
        <v>140.80000000000001</v>
      </c>
      <c r="BA40" s="659">
        <v>182.2</v>
      </c>
      <c r="BB40" s="659">
        <v>292.10000000000002</v>
      </c>
      <c r="BC40" s="659">
        <v>554.79999999999995</v>
      </c>
      <c r="BD40" s="1937">
        <f>+SUM(AZ40:BC40)</f>
        <v>1169.9000000000001</v>
      </c>
      <c r="BE40" s="660">
        <v>618.79999999999995</v>
      </c>
      <c r="BF40" s="659">
        <v>633.29999999999995</v>
      </c>
      <c r="BG40" s="659">
        <v>649.4</v>
      </c>
      <c r="BH40" s="659">
        <v>673.6</v>
      </c>
      <c r="BI40" s="1937">
        <f>+SUM(BE40:BH40)</f>
        <v>2575.1</v>
      </c>
      <c r="BJ40" s="660">
        <v>626.79999999999995</v>
      </c>
      <c r="BK40" s="659">
        <v>658.1</v>
      </c>
      <c r="BL40" s="659">
        <v>657.4</v>
      </c>
      <c r="BM40" s="659">
        <v>707.9</v>
      </c>
      <c r="BN40" s="1937">
        <f>+SUM(BJ40:BM40)</f>
        <v>2650.2000000000003</v>
      </c>
      <c r="BO40" s="2340">
        <f>+(BJ40-125)*1.07</f>
        <v>536.92599999999993</v>
      </c>
      <c r="BP40" s="663">
        <f t="shared" ref="BP40:BR40" si="181">+(BK40-125)*1.07</f>
        <v>570.41700000000003</v>
      </c>
      <c r="BQ40" s="663">
        <f t="shared" si="181"/>
        <v>569.66800000000001</v>
      </c>
      <c r="BR40" s="2176">
        <f t="shared" si="181"/>
        <v>623.70299999999997</v>
      </c>
      <c r="BS40" s="1937">
        <f>+SUM(BO40:BR40)</f>
        <v>2300.7139999999999</v>
      </c>
      <c r="BT40" s="659"/>
      <c r="BU40" s="659"/>
      <c r="BV40" s="659"/>
      <c r="BW40" s="659"/>
      <c r="BX40" s="665"/>
      <c r="BY40" s="659"/>
      <c r="BZ40" s="659"/>
      <c r="CA40" s="659"/>
      <c r="CB40" s="659"/>
      <c r="CC40" s="666"/>
      <c r="CE40" s="263"/>
      <c r="CF40" s="2224">
        <f>+BS40/(BN40-500)-1</f>
        <v>6.999999999999984E-2</v>
      </c>
      <c r="CG40" s="2427"/>
      <c r="CH40" s="2427"/>
      <c r="CI40" s="2427"/>
      <c r="CK40" s="2072"/>
      <c r="CL40" s="659">
        <f t="shared" si="171"/>
        <v>707.9</v>
      </c>
      <c r="CM40" s="659">
        <f t="shared" si="172"/>
        <v>673.6</v>
      </c>
      <c r="CN40" s="663">
        <v>680</v>
      </c>
      <c r="CO40" s="2086">
        <f>IFERROR(($CL40/CM40)-1,"")</f>
        <v>5.0920427553444059E-2</v>
      </c>
      <c r="CP40" s="2086">
        <f>IFERROR(($CL40/CN40)-1,"")</f>
        <v>4.102941176470587E-2</v>
      </c>
      <c r="CQ40" s="16" t="s">
        <v>630</v>
      </c>
      <c r="CR40" s="40"/>
      <c r="CS40" s="258"/>
      <c r="CT40" s="258"/>
      <c r="CU40" s="258"/>
      <c r="CV40" s="258"/>
      <c r="CW40" s="258"/>
      <c r="CX40" s="258"/>
      <c r="CY40" s="263"/>
      <c r="CZ40"/>
      <c r="DA40"/>
      <c r="DB40"/>
      <c r="DC40"/>
      <c r="DD40"/>
      <c r="DE40"/>
      <c r="DF40" s="266"/>
      <c r="DG40" s="266"/>
      <c r="DH40" s="266"/>
      <c r="DI40" s="266"/>
      <c r="DJ40" s="266"/>
    </row>
    <row r="41" spans="1:114" s="1" customFormat="1" ht="12.75" customHeight="1">
      <c r="A41" s="76" t="s">
        <v>85</v>
      </c>
      <c r="B41" s="368"/>
      <c r="C41" s="18"/>
      <c r="D41" s="18"/>
      <c r="E41" s="18"/>
      <c r="F41" s="60"/>
      <c r="G41" s="18"/>
      <c r="H41" s="18"/>
      <c r="I41" s="18"/>
      <c r="J41" s="18"/>
      <c r="K41" s="60"/>
      <c r="L41" s="18"/>
      <c r="M41" s="18"/>
      <c r="N41" s="18"/>
      <c r="O41" s="18"/>
      <c r="P41" s="60"/>
      <c r="Q41" s="18"/>
      <c r="R41" s="18"/>
      <c r="S41" s="18"/>
      <c r="T41" s="18"/>
      <c r="U41" s="60"/>
      <c r="V41" s="18"/>
      <c r="W41" s="18"/>
      <c r="X41" s="18"/>
      <c r="Y41" s="18"/>
      <c r="Z41" s="60"/>
      <c r="AA41" s="18"/>
      <c r="AB41" s="18"/>
      <c r="AC41" s="18"/>
      <c r="AD41" s="18"/>
      <c r="AE41" s="60"/>
      <c r="AF41" s="18"/>
      <c r="AG41" s="18"/>
      <c r="AH41" s="18"/>
      <c r="AI41" s="18"/>
      <c r="AJ41" s="60"/>
      <c r="AK41" s="18"/>
      <c r="AL41" s="18"/>
      <c r="AM41" s="18"/>
      <c r="AN41" s="18"/>
      <c r="AO41" s="60"/>
      <c r="AP41" s="18"/>
      <c r="AQ41" s="18"/>
      <c r="AR41" s="18"/>
      <c r="AS41" s="18"/>
      <c r="AT41" s="60"/>
      <c r="AU41" s="18"/>
      <c r="AV41" s="18"/>
      <c r="AW41" s="18"/>
      <c r="AX41" s="18"/>
      <c r="AY41" s="368"/>
      <c r="AZ41" s="368"/>
      <c r="BA41" s="18"/>
      <c r="BB41" s="18"/>
      <c r="BC41" s="18">
        <f t="shared" ref="BC41" si="182">+BC40/AX40-1</f>
        <v>2.332132132132132</v>
      </c>
      <c r="BD41" s="1936"/>
      <c r="BE41" s="18">
        <f t="shared" ref="BE41" si="183">+BE40/AZ40-1</f>
        <v>3.3948863636363633</v>
      </c>
      <c r="BF41" s="18">
        <f t="shared" ref="BF41:BL43" si="184">+BF40/BA40-1</f>
        <v>2.4758507135016465</v>
      </c>
      <c r="BG41" s="18">
        <f t="shared" si="184"/>
        <v>1.2232112290311536</v>
      </c>
      <c r="BH41" s="18">
        <f t="shared" ref="BH41" si="185">+BH40/BC40-1</f>
        <v>0.21413121845710181</v>
      </c>
      <c r="BI41" s="1936"/>
      <c r="BJ41" s="18">
        <f t="shared" ref="BJ41" si="186">+BJ40/BE40-1</f>
        <v>1.2928248222365823E-2</v>
      </c>
      <c r="BK41" s="18">
        <f t="shared" si="184"/>
        <v>3.9159955787146705E-2</v>
      </c>
      <c r="BL41" s="18">
        <f t="shared" si="184"/>
        <v>1.2319063751154991E-2</v>
      </c>
      <c r="BM41" s="18">
        <f t="shared" ref="BM41" si="187">+BM40/BH40-1</f>
        <v>5.0920427553444059E-2</v>
      </c>
      <c r="BN41" s="1936">
        <f t="shared" si="176"/>
        <v>2.9163915964428799E-2</v>
      </c>
      <c r="BO41" s="601">
        <f t="shared" ref="BO41" si="188">+BO40/BJ40-1</f>
        <v>-0.14338544990427571</v>
      </c>
      <c r="BP41" s="477">
        <f t="shared" ref="BP41" si="189">+BP40/BK40-1</f>
        <v>-0.13323659018386258</v>
      </c>
      <c r="BQ41" s="2411">
        <f t="shared" ref="BQ41:BR41" si="190">+BQ40/BL40-1</f>
        <v>-0.13345299665348342</v>
      </c>
      <c r="BR41" s="2399">
        <f t="shared" si="190"/>
        <v>-0.11893911569430715</v>
      </c>
      <c r="BS41" s="1936">
        <f t="shared" si="179"/>
        <v>-0.13187155686363305</v>
      </c>
      <c r="BT41" s="20"/>
      <c r="BU41" s="20"/>
      <c r="BV41" s="20"/>
      <c r="BW41" s="20"/>
      <c r="BX41" s="474"/>
      <c r="BY41" s="20"/>
      <c r="BZ41" s="20"/>
      <c r="CA41" s="20"/>
      <c r="CB41" s="20"/>
      <c r="CC41" s="474"/>
      <c r="CD41" s="191"/>
      <c r="CE41" s="111"/>
      <c r="CF41" s="173"/>
      <c r="CG41" s="173"/>
      <c r="CH41" s="173"/>
      <c r="CI41" s="239"/>
      <c r="CJ41" s="177"/>
      <c r="CK41" s="2070"/>
      <c r="CL41" s="18">
        <f t="shared" si="171"/>
        <v>5.0920427553444059E-2</v>
      </c>
      <c r="CM41" s="18">
        <f t="shared" si="172"/>
        <v>0.21413121845710181</v>
      </c>
      <c r="CN41" s="477">
        <v>9.5011876484560887E-3</v>
      </c>
      <c r="CO41" s="2107">
        <f>IFERROR(($CL41-CM41)*10000,"")</f>
        <v>-1632.1079090365774</v>
      </c>
      <c r="CP41" s="2107">
        <f>IFERROR(($CL41-CN41)*10000,"")</f>
        <v>414.19239904987973</v>
      </c>
      <c r="CQ41" s="40"/>
      <c r="CR41" s="40" t="s">
        <v>610</v>
      </c>
      <c r="CS41" s="453"/>
      <c r="CT41" s="40"/>
      <c r="CU41" s="40"/>
      <c r="CV41" s="40"/>
      <c r="CW41" s="40"/>
      <c r="CX41" s="40"/>
      <c r="CY41" s="139"/>
      <c r="CZ41"/>
      <c r="DA41"/>
      <c r="DB41"/>
      <c r="DC41"/>
      <c r="DD41"/>
      <c r="DE41"/>
      <c r="DF41" s="3"/>
      <c r="DG41" s="3"/>
      <c r="DH41" s="3"/>
      <c r="DI41" s="3"/>
      <c r="DJ41" s="3"/>
    </row>
    <row r="42" spans="1:114" s="1" customFormat="1" ht="12.75" customHeight="1">
      <c r="A42" s="655" t="s">
        <v>215</v>
      </c>
      <c r="B42" s="670"/>
      <c r="C42" s="671"/>
      <c r="D42" s="671"/>
      <c r="E42" s="671"/>
      <c r="F42" s="672"/>
      <c r="G42" s="671"/>
      <c r="H42" s="671"/>
      <c r="I42" s="671"/>
      <c r="J42" s="671"/>
      <c r="K42" s="672"/>
      <c r="L42" s="671"/>
      <c r="M42" s="671"/>
      <c r="N42" s="671"/>
      <c r="O42" s="671"/>
      <c r="P42" s="672"/>
      <c r="Q42" s="671"/>
      <c r="R42" s="671"/>
      <c r="S42" s="671"/>
      <c r="T42" s="671"/>
      <c r="U42" s="672"/>
      <c r="V42" s="671"/>
      <c r="W42" s="671"/>
      <c r="X42" s="671"/>
      <c r="Y42" s="671"/>
      <c r="Z42" s="672"/>
      <c r="AA42" s="671"/>
      <c r="AB42" s="671"/>
      <c r="AC42" s="671"/>
      <c r="AD42" s="671"/>
      <c r="AE42" s="672"/>
      <c r="AF42" s="671"/>
      <c r="AG42" s="671"/>
      <c r="AH42" s="671"/>
      <c r="AI42" s="671"/>
      <c r="AJ42" s="672"/>
      <c r="AK42" s="671"/>
      <c r="AL42" s="671"/>
      <c r="AM42" s="671"/>
      <c r="AN42" s="671"/>
      <c r="AO42" s="672"/>
      <c r="AP42" s="671"/>
      <c r="AQ42" s="671"/>
      <c r="AR42" s="671"/>
      <c r="AS42" s="671"/>
      <c r="AT42" s="672"/>
      <c r="AU42" s="671"/>
      <c r="AV42" s="671"/>
      <c r="AW42" s="671"/>
      <c r="AX42" s="671"/>
      <c r="AY42" s="670"/>
      <c r="AZ42" s="670"/>
      <c r="BA42" s="659">
        <v>177.4</v>
      </c>
      <c r="BB42" s="659">
        <v>701.2</v>
      </c>
      <c r="BC42" s="659">
        <v>719.9</v>
      </c>
      <c r="BD42" s="1937">
        <f>+SUM(AZ42:BC42)</f>
        <v>1598.5</v>
      </c>
      <c r="BE42" s="659">
        <v>641.9</v>
      </c>
      <c r="BF42" s="659">
        <v>698.7</v>
      </c>
      <c r="BG42" s="659">
        <v>697.6</v>
      </c>
      <c r="BH42" s="659">
        <v>710.6</v>
      </c>
      <c r="BI42" s="1937">
        <f>+SUM(BE42:BH42)</f>
        <v>2748.7999999999997</v>
      </c>
      <c r="BJ42" s="659">
        <v>673.3</v>
      </c>
      <c r="BK42" s="659">
        <v>737.1</v>
      </c>
      <c r="BL42" s="659">
        <v>801.4</v>
      </c>
      <c r="BM42" s="659">
        <v>860.7</v>
      </c>
      <c r="BN42" s="1937">
        <f>+SUM(BJ42:BM42)</f>
        <v>3072.5</v>
      </c>
      <c r="BO42" s="2340">
        <v>740</v>
      </c>
      <c r="BP42" s="663">
        <v>810</v>
      </c>
      <c r="BQ42" s="663">
        <v>855</v>
      </c>
      <c r="BR42" s="2176">
        <v>875</v>
      </c>
      <c r="BS42" s="1937">
        <f>+SUM(BO42:BR42)</f>
        <v>3280</v>
      </c>
      <c r="BT42" s="659"/>
      <c r="BU42" s="659"/>
      <c r="BV42" s="659"/>
      <c r="BW42" s="659"/>
      <c r="BX42" s="665"/>
      <c r="BY42" s="659"/>
      <c r="BZ42" s="659"/>
      <c r="CA42" s="659"/>
      <c r="CB42" s="659"/>
      <c r="CC42" s="666"/>
      <c r="CD42" s="191"/>
      <c r="CE42" s="111"/>
      <c r="CF42" s="173"/>
      <c r="CG42" s="173"/>
      <c r="CH42" s="173"/>
      <c r="CI42" s="239"/>
      <c r="CJ42" s="177"/>
      <c r="CK42" s="2070"/>
      <c r="CL42" s="659">
        <f t="shared" si="171"/>
        <v>860.7</v>
      </c>
      <c r="CM42" s="659">
        <f t="shared" si="172"/>
        <v>710.6</v>
      </c>
      <c r="CN42" s="663">
        <v>780</v>
      </c>
      <c r="CO42" s="2086">
        <f t="shared" ref="CO42:CP45" si="191">IFERROR(($CL42/CM42)-1,"")</f>
        <v>0.21122994652406413</v>
      </c>
      <c r="CP42" s="2086">
        <f t="shared" si="191"/>
        <v>0.10346153846153849</v>
      </c>
      <c r="CQ42" s="40"/>
      <c r="CR42" s="40"/>
      <c r="CS42" s="40"/>
      <c r="CT42" s="40"/>
      <c r="CU42" s="40"/>
      <c r="CV42" s="40"/>
      <c r="CW42" s="40"/>
      <c r="CX42" s="40"/>
      <c r="CY42" s="139"/>
      <c r="CZ42"/>
      <c r="DA42"/>
      <c r="DB42"/>
      <c r="DC42"/>
      <c r="DD42"/>
      <c r="DE42"/>
      <c r="DF42" s="3"/>
      <c r="DG42" s="3"/>
      <c r="DH42" s="3"/>
      <c r="DI42" s="3"/>
      <c r="DJ42" s="3"/>
    </row>
    <row r="43" spans="1:114" s="1" customFormat="1" ht="12.75" customHeight="1">
      <c r="A43" s="76" t="s">
        <v>85</v>
      </c>
      <c r="B43" s="368"/>
      <c r="C43" s="18"/>
      <c r="D43" s="18"/>
      <c r="E43" s="18"/>
      <c r="F43" s="60"/>
      <c r="G43" s="18"/>
      <c r="H43" s="18"/>
      <c r="I43" s="18"/>
      <c r="J43" s="18"/>
      <c r="K43" s="60"/>
      <c r="L43" s="18"/>
      <c r="M43" s="18"/>
      <c r="N43" s="18"/>
      <c r="O43" s="18"/>
      <c r="P43" s="60"/>
      <c r="Q43" s="18"/>
      <c r="R43" s="18"/>
      <c r="S43" s="18"/>
      <c r="T43" s="18"/>
      <c r="U43" s="60"/>
      <c r="V43" s="18"/>
      <c r="W43" s="18"/>
      <c r="X43" s="18"/>
      <c r="Y43" s="18"/>
      <c r="Z43" s="60"/>
      <c r="AA43" s="18"/>
      <c r="AB43" s="18"/>
      <c r="AC43" s="18"/>
      <c r="AD43" s="18"/>
      <c r="AE43" s="60"/>
      <c r="AF43" s="18"/>
      <c r="AG43" s="18"/>
      <c r="AH43" s="18"/>
      <c r="AI43" s="18"/>
      <c r="AJ43" s="60"/>
      <c r="AK43" s="18"/>
      <c r="AL43" s="18"/>
      <c r="AM43" s="18"/>
      <c r="AN43" s="18"/>
      <c r="AO43" s="60"/>
      <c r="AP43" s="18"/>
      <c r="AQ43" s="18"/>
      <c r="AR43" s="18"/>
      <c r="AS43" s="18"/>
      <c r="AT43" s="60"/>
      <c r="AU43" s="18"/>
      <c r="AV43" s="18"/>
      <c r="AW43" s="18"/>
      <c r="AX43" s="18"/>
      <c r="AY43" s="368"/>
      <c r="AZ43" s="368"/>
      <c r="BA43" s="269"/>
      <c r="BB43" s="269"/>
      <c r="BC43" s="18"/>
      <c r="BD43" s="1936"/>
      <c r="BE43" s="18"/>
      <c r="BF43" s="18">
        <f t="shared" si="184"/>
        <v>2.9385569334836528</v>
      </c>
      <c r="BG43" s="18">
        <f t="shared" si="184"/>
        <v>-5.1340559041642697E-3</v>
      </c>
      <c r="BH43" s="18">
        <f t="shared" si="184"/>
        <v>-1.2918460897346828E-2</v>
      </c>
      <c r="BI43" s="1936"/>
      <c r="BJ43" s="18">
        <f t="shared" si="184"/>
        <v>4.8917276834397949E-2</v>
      </c>
      <c r="BK43" s="18">
        <f t="shared" si="184"/>
        <v>5.4959209961356725E-2</v>
      </c>
      <c r="BL43" s="191">
        <f t="shared" si="184"/>
        <v>0.14879587155963292</v>
      </c>
      <c r="BM43" s="18">
        <f t="shared" ref="BM43" si="192">+BM42/BH42-1</f>
        <v>0.21122994652406413</v>
      </c>
      <c r="BN43" s="1936">
        <f t="shared" si="176"/>
        <v>0.11776047729918515</v>
      </c>
      <c r="BO43" s="601">
        <f t="shared" ref="BO43" si="193">+BO42/BJ42-1</f>
        <v>9.9064310114362231E-2</v>
      </c>
      <c r="BP43" s="477">
        <f t="shared" ref="BP43" si="194">+BP42/BK42-1</f>
        <v>9.8901098901098772E-2</v>
      </c>
      <c r="BQ43" s="477">
        <f t="shared" ref="BQ43:BR43" si="195">+BQ42/BL42-1</f>
        <v>6.6882954829049268E-2</v>
      </c>
      <c r="BR43" s="2181">
        <f t="shared" si="195"/>
        <v>1.6614383641222252E-2</v>
      </c>
      <c r="BS43" s="1936">
        <f t="shared" si="179"/>
        <v>6.7534580960130208E-2</v>
      </c>
      <c r="BT43" s="20"/>
      <c r="BU43" s="20"/>
      <c r="BV43" s="20"/>
      <c r="BW43" s="20"/>
      <c r="BX43" s="628"/>
      <c r="BY43" s="20"/>
      <c r="BZ43" s="20"/>
      <c r="CA43" s="20"/>
      <c r="CB43" s="20"/>
      <c r="CC43" s="629"/>
      <c r="CD43" s="191"/>
      <c r="CE43" s="111"/>
      <c r="CF43" s="173"/>
      <c r="CG43" s="173"/>
      <c r="CH43" s="173"/>
      <c r="CI43" s="239"/>
      <c r="CJ43" s="177"/>
      <c r="CK43" s="2070" t="s">
        <v>629</v>
      </c>
      <c r="CL43" s="269">
        <f t="shared" si="171"/>
        <v>0.21122994652406413</v>
      </c>
      <c r="CM43" s="269">
        <f t="shared" si="172"/>
        <v>-1.2918460897346828E-2</v>
      </c>
      <c r="CN43" s="477">
        <v>9.766394596115946E-2</v>
      </c>
      <c r="CO43" s="2087">
        <f t="shared" si="191"/>
        <v>-17.351014892760652</v>
      </c>
      <c r="CP43" s="2087">
        <f t="shared" si="191"/>
        <v>1.1628242074927977</v>
      </c>
      <c r="CQ43" s="16" t="s">
        <v>631</v>
      </c>
      <c r="CR43" s="40"/>
      <c r="CS43" s="40"/>
      <c r="CT43" s="40"/>
      <c r="CU43" s="40"/>
      <c r="CV43" s="40"/>
      <c r="CW43" s="40"/>
      <c r="CX43" s="40"/>
      <c r="CY43" s="139"/>
      <c r="CZ43"/>
      <c r="DA43"/>
      <c r="DB43"/>
      <c r="DC43"/>
      <c r="DD43"/>
      <c r="DE43"/>
      <c r="DF43" s="3"/>
      <c r="DG43" s="3"/>
      <c r="DH43" s="3"/>
      <c r="DI43" s="3"/>
      <c r="DJ43" s="3"/>
    </row>
    <row r="44" spans="1:114" s="262" customFormat="1" ht="12.75" customHeight="1" collapsed="1">
      <c r="A44" s="257" t="s">
        <v>229</v>
      </c>
      <c r="B44" s="542"/>
      <c r="C44" s="258"/>
      <c r="D44" s="258"/>
      <c r="E44" s="258"/>
      <c r="F44" s="259"/>
      <c r="G44" s="258"/>
      <c r="H44" s="258"/>
      <c r="I44" s="258"/>
      <c r="J44" s="258"/>
      <c r="K44" s="259"/>
      <c r="L44" s="258"/>
      <c r="M44" s="258"/>
      <c r="N44" s="258"/>
      <c r="O44" s="258"/>
      <c r="P44" s="259"/>
      <c r="Q44" s="258"/>
      <c r="R44" s="258"/>
      <c r="S44" s="258"/>
      <c r="T44" s="258"/>
      <c r="U44" s="259"/>
      <c r="V44" s="258"/>
      <c r="W44" s="258"/>
      <c r="X44" s="258"/>
      <c r="Y44" s="258"/>
      <c r="Z44" s="259"/>
      <c r="AA44" s="258"/>
      <c r="AB44" s="258"/>
      <c r="AC44" s="258"/>
      <c r="AD44" s="258"/>
      <c r="AE44" s="259"/>
      <c r="AF44" s="260"/>
      <c r="AG44" s="260"/>
      <c r="AH44" s="260"/>
      <c r="AI44" s="260"/>
      <c r="AJ44" s="259"/>
      <c r="AK44" s="260"/>
      <c r="AL44" s="260"/>
      <c r="AM44" s="260"/>
      <c r="AN44" s="260"/>
      <c r="AO44" s="259"/>
      <c r="AP44" s="260"/>
      <c r="AQ44" s="260"/>
      <c r="AR44" s="260"/>
      <c r="AS44" s="260"/>
      <c r="AT44" s="259"/>
      <c r="AU44" s="260"/>
      <c r="AV44" s="260"/>
      <c r="AW44" s="260"/>
      <c r="AX44" s="260"/>
      <c r="AY44" s="544"/>
      <c r="AZ44" s="602"/>
      <c r="BA44" s="260">
        <f>+BA45-BA38-BA5</f>
        <v>-4.8999999999998636</v>
      </c>
      <c r="BB44" s="260">
        <f>+BB45-BB38-BB5</f>
        <v>-28.000000000000455</v>
      </c>
      <c r="BC44" s="260">
        <f>+BC45-BC38-BC5</f>
        <v>-36.399999999999636</v>
      </c>
      <c r="BD44" s="1935">
        <f>SUM(AZ44:BC44)</f>
        <v>-69.299999999999955</v>
      </c>
      <c r="BE44" s="602">
        <f>+BE45-BE38-BE5</f>
        <v>-12.399999999999636</v>
      </c>
      <c r="BF44" s="260">
        <f>+BF45-BF38-BF5</f>
        <v>-67.599999999999909</v>
      </c>
      <c r="BG44" s="260">
        <f>+BG45-BG38-BG5</f>
        <v>-42.299999999999727</v>
      </c>
      <c r="BH44" s="260">
        <f>+BH45-BH38-BH5</f>
        <v>-39.500000000000455</v>
      </c>
      <c r="BI44" s="1935">
        <f>SUM(BE44:BH44)</f>
        <v>-161.79999999999973</v>
      </c>
      <c r="BJ44" s="602">
        <f>+BJ45-BJ38-BJ5</f>
        <v>-37.799999999999727</v>
      </c>
      <c r="BK44" s="260">
        <f>+BK45-BK38-BK5</f>
        <v>-40.099999999999454</v>
      </c>
      <c r="BL44" s="260">
        <f>+BL45-BL38-BL5</f>
        <v>-41.5</v>
      </c>
      <c r="BM44" s="260">
        <f>+BM45-BM38-BM5</f>
        <v>-43</v>
      </c>
      <c r="BN44" s="1935">
        <f>SUM(BJ44:BM44)</f>
        <v>-162.39999999999918</v>
      </c>
      <c r="BO44" s="2345">
        <v>-40</v>
      </c>
      <c r="BP44" s="2140">
        <f t="shared" ref="BP44" si="196">+BO44</f>
        <v>-40</v>
      </c>
      <c r="BQ44" s="2140">
        <f t="shared" ref="BQ44:BR44" si="197">+BP44</f>
        <v>-40</v>
      </c>
      <c r="BR44" s="2367">
        <f t="shared" si="197"/>
        <v>-40</v>
      </c>
      <c r="BS44" s="2153">
        <f>SUM(BO44:BR44)</f>
        <v>-160</v>
      </c>
      <c r="BT44" s="500"/>
      <c r="BU44" s="500"/>
      <c r="BV44" s="500"/>
      <c r="BW44" s="500"/>
      <c r="BX44" s="2141">
        <f>+BS44</f>
        <v>-160</v>
      </c>
      <c r="BY44" s="500"/>
      <c r="BZ44" s="500"/>
      <c r="CA44" s="500"/>
      <c r="CB44" s="500"/>
      <c r="CC44" s="2141">
        <f>+BX44</f>
        <v>-160</v>
      </c>
      <c r="CE44" s="263"/>
      <c r="CF44" s="264"/>
      <c r="CG44" s="264"/>
      <c r="CH44" s="264"/>
      <c r="CI44" s="265"/>
      <c r="CK44" s="2072"/>
      <c r="CL44" s="260">
        <f t="shared" si="171"/>
        <v>-43</v>
      </c>
      <c r="CM44" s="260">
        <f t="shared" si="172"/>
        <v>-39.500000000000455</v>
      </c>
      <c r="CN44" s="2140">
        <v>-41.5</v>
      </c>
      <c r="CO44" s="2085">
        <f t="shared" si="191"/>
        <v>8.8607594936696232E-2</v>
      </c>
      <c r="CP44" s="2085">
        <f t="shared" si="191"/>
        <v>3.6144578313253017E-2</v>
      </c>
      <c r="CQ44" s="452" t="s">
        <v>533</v>
      </c>
      <c r="CR44" s="40"/>
      <c r="CS44" s="375"/>
      <c r="CT44" s="258"/>
      <c r="CU44" s="258"/>
      <c r="CV44" s="258"/>
      <c r="CW44" s="258"/>
      <c r="CX44" s="258"/>
      <c r="CY44" s="263"/>
      <c r="CZ44"/>
      <c r="DA44"/>
      <c r="DB44"/>
      <c r="DC44"/>
      <c r="DD44"/>
      <c r="DE44"/>
      <c r="DF44" s="266"/>
      <c r="DG44" s="266"/>
      <c r="DH44" s="266"/>
      <c r="DI44" s="266"/>
      <c r="DJ44" s="266"/>
    </row>
    <row r="45" spans="1:114" s="262" customFormat="1" ht="12.75" customHeight="1">
      <c r="A45" s="257" t="s">
        <v>156</v>
      </c>
      <c r="B45" s="544"/>
      <c r="C45" s="260"/>
      <c r="D45" s="260"/>
      <c r="E45" s="260"/>
      <c r="F45" s="261">
        <f t="shared" ref="F45:AZ45" si="198">+F5+F38</f>
        <v>0</v>
      </c>
      <c r="G45" s="260">
        <f t="shared" si="198"/>
        <v>9.5549999999999997</v>
      </c>
      <c r="H45" s="260">
        <f t="shared" si="198"/>
        <v>11.120000000000001</v>
      </c>
      <c r="I45" s="260">
        <f t="shared" si="198"/>
        <v>10.850999999999999</v>
      </c>
      <c r="J45" s="260">
        <f t="shared" si="198"/>
        <v>10.664999999999996</v>
      </c>
      <c r="K45" s="261">
        <f t="shared" si="198"/>
        <v>42.190999999999995</v>
      </c>
      <c r="L45" s="260">
        <f t="shared" si="198"/>
        <v>11.493</v>
      </c>
      <c r="M45" s="260">
        <f t="shared" si="198"/>
        <v>13.841999999999999</v>
      </c>
      <c r="N45" s="260">
        <f t="shared" si="198"/>
        <v>13.359</v>
      </c>
      <c r="O45" s="260">
        <f t="shared" si="198"/>
        <v>12.811</v>
      </c>
      <c r="P45" s="261">
        <f t="shared" si="198"/>
        <v>51.505000000000003</v>
      </c>
      <c r="Q45" s="260">
        <f t="shared" si="198"/>
        <v>23.716000000000001</v>
      </c>
      <c r="R45" s="260">
        <f t="shared" si="198"/>
        <v>29.675000000000001</v>
      </c>
      <c r="S45" s="260">
        <f t="shared" si="198"/>
        <v>31.116999999999997</v>
      </c>
      <c r="T45" s="260">
        <f t="shared" si="198"/>
        <v>24.954000000000001</v>
      </c>
      <c r="U45" s="261">
        <f t="shared" si="198"/>
        <v>109.462</v>
      </c>
      <c r="V45" s="260">
        <f t="shared" si="198"/>
        <v>20.072000000000003</v>
      </c>
      <c r="W45" s="260">
        <f t="shared" si="198"/>
        <v>22.242999999999995</v>
      </c>
      <c r="X45" s="260">
        <f t="shared" si="198"/>
        <v>26.210999999999999</v>
      </c>
      <c r="Y45" s="260">
        <f t="shared" si="198"/>
        <v>31.61</v>
      </c>
      <c r="Z45" s="261">
        <f t="shared" si="198"/>
        <v>100.136</v>
      </c>
      <c r="AA45" s="260">
        <f t="shared" si="198"/>
        <v>31.641999999999996</v>
      </c>
      <c r="AB45" s="260">
        <f t="shared" si="198"/>
        <v>40.340000000000003</v>
      </c>
      <c r="AC45" s="260">
        <f t="shared" si="198"/>
        <v>44.447999999999993</v>
      </c>
      <c r="AD45" s="260">
        <f t="shared" si="198"/>
        <v>41.557000000000002</v>
      </c>
      <c r="AE45" s="261">
        <f t="shared" si="198"/>
        <v>157.98699999999999</v>
      </c>
      <c r="AF45" s="260">
        <f t="shared" si="198"/>
        <v>41.508000000000003</v>
      </c>
      <c r="AG45" s="260">
        <f t="shared" si="198"/>
        <v>44.093999999999994</v>
      </c>
      <c r="AH45" s="260">
        <f t="shared" si="198"/>
        <v>47.38900000000001</v>
      </c>
      <c r="AI45" s="260">
        <f t="shared" si="198"/>
        <v>44.084999999999994</v>
      </c>
      <c r="AJ45" s="261">
        <f t="shared" si="198"/>
        <v>177.07600000000002</v>
      </c>
      <c r="AK45" s="260">
        <f t="shared" si="198"/>
        <v>44.56</v>
      </c>
      <c r="AL45" s="260">
        <f t="shared" si="198"/>
        <v>54.54</v>
      </c>
      <c r="AM45" s="260">
        <f t="shared" si="198"/>
        <v>70.988</v>
      </c>
      <c r="AN45" s="260">
        <f t="shared" si="198"/>
        <v>108.50299999999999</v>
      </c>
      <c r="AO45" s="261">
        <f t="shared" si="198"/>
        <v>278.59100000000007</v>
      </c>
      <c r="AP45" s="260">
        <f t="shared" si="198"/>
        <v>113.999</v>
      </c>
      <c r="AQ45" s="260">
        <f t="shared" si="198"/>
        <v>137.09100000000001</v>
      </c>
      <c r="AR45" s="260">
        <f t="shared" si="198"/>
        <v>193.98200000000003</v>
      </c>
      <c r="AS45" s="260">
        <f t="shared" si="198"/>
        <v>257.23099999999999</v>
      </c>
      <c r="AT45" s="261">
        <f t="shared" si="198"/>
        <v>702.30300000000011</v>
      </c>
      <c r="AU45" s="260">
        <f t="shared" si="198"/>
        <v>282.40300000000002</v>
      </c>
      <c r="AV45" s="260">
        <f t="shared" si="198"/>
        <v>581.00900000000001</v>
      </c>
      <c r="AW45" s="260">
        <f t="shared" si="198"/>
        <v>662.47</v>
      </c>
      <c r="AX45" s="260">
        <f t="shared" si="198"/>
        <v>830.7</v>
      </c>
      <c r="AY45" s="542">
        <f t="shared" si="198"/>
        <v>2356.5819999999999</v>
      </c>
      <c r="AZ45" s="544">
        <f t="shared" si="198"/>
        <v>703</v>
      </c>
      <c r="BA45" s="260">
        <v>1215.9000000000001</v>
      </c>
      <c r="BB45" s="260">
        <v>2362.1</v>
      </c>
      <c r="BC45" s="260">
        <v>3342.3</v>
      </c>
      <c r="BD45" s="1942">
        <f>+BD5+BD38+BD44</f>
        <v>7623.2999999999993</v>
      </c>
      <c r="BE45" s="544">
        <v>3545.7</v>
      </c>
      <c r="BF45" s="260">
        <v>3683.3</v>
      </c>
      <c r="BG45" s="260">
        <v>3713.8</v>
      </c>
      <c r="BH45" s="260">
        <v>3676.6</v>
      </c>
      <c r="BI45" s="1942">
        <f>+BI5+BI38+BI44</f>
        <v>14619.4</v>
      </c>
      <c r="BJ45" s="544">
        <v>3539.5</v>
      </c>
      <c r="BK45" s="260">
        <v>3760.3</v>
      </c>
      <c r="BL45" s="260">
        <v>3887.1</v>
      </c>
      <c r="BM45" s="260">
        <v>4193.8999999999996</v>
      </c>
      <c r="BN45" s="1942">
        <f>+BN5+BN38+BN44</f>
        <v>15380.800000000001</v>
      </c>
      <c r="BO45" s="544">
        <f>+BO5+BO38+BO44</f>
        <v>3919.3986166444561</v>
      </c>
      <c r="BP45" s="260">
        <f>+BP5+BP38+BP44</f>
        <v>4165.4553891783253</v>
      </c>
      <c r="BQ45" s="260">
        <f>+BQ5+BQ38+BQ44</f>
        <v>4206.2211189904756</v>
      </c>
      <c r="BR45" s="2174">
        <f>+BR5+BR38+BR44</f>
        <v>4358.9884623787602</v>
      </c>
      <c r="BS45" s="1935">
        <f>SUM(BO45:BR45)</f>
        <v>16650.063587192017</v>
      </c>
      <c r="BT45" s="500">
        <f>+BT5+BT38</f>
        <v>0</v>
      </c>
      <c r="BU45" s="500">
        <f>+BU5+BU38</f>
        <v>0</v>
      </c>
      <c r="BV45" s="500">
        <f>+BV5+BV38</f>
        <v>0</v>
      </c>
      <c r="BW45" s="500">
        <f>+BW5+BW38</f>
        <v>0</v>
      </c>
      <c r="BX45" s="630">
        <f>+BX5+BX38+BX44</f>
        <v>17790.120590400573</v>
      </c>
      <c r="BY45" s="500">
        <f>+BY5+BY38</f>
        <v>0</v>
      </c>
      <c r="BZ45" s="500">
        <f>+BZ5+BZ38</f>
        <v>0</v>
      </c>
      <c r="CA45" s="500">
        <f>+CA5+CA38</f>
        <v>0</v>
      </c>
      <c r="CB45" s="500">
        <f>+CB5+CB38</f>
        <v>0</v>
      </c>
      <c r="CC45" s="630">
        <f>+CC5+CC38+CC44</f>
        <v>19024.235476749996</v>
      </c>
      <c r="CE45" s="263"/>
      <c r="CG45" s="2295">
        <f>+(BN45+0.25*3200)/BN45-1</f>
        <v>5.2012899199001428E-2</v>
      </c>
      <c r="CH45" s="264"/>
      <c r="CI45" s="265"/>
      <c r="CK45" s="2072"/>
      <c r="CL45" s="260">
        <f t="shared" si="171"/>
        <v>4193.8999999999996</v>
      </c>
      <c r="CM45" s="260">
        <f t="shared" si="172"/>
        <v>3676.6</v>
      </c>
      <c r="CN45" s="260">
        <v>3930.1313030011265</v>
      </c>
      <c r="CO45" s="2085">
        <f t="shared" si="191"/>
        <v>0.14070064733721366</v>
      </c>
      <c r="CP45" s="2085">
        <f t="shared" si="191"/>
        <v>6.7114474469963437E-2</v>
      </c>
      <c r="CQ45" s="374" t="s">
        <v>648</v>
      </c>
      <c r="CR45" s="40"/>
      <c r="CS45" s="258"/>
      <c r="CT45" s="258"/>
      <c r="CU45" s="258"/>
      <c r="CV45" s="258"/>
      <c r="CW45" s="258"/>
      <c r="CX45" s="258"/>
      <c r="CY45" s="263"/>
      <c r="CZ45"/>
      <c r="DA45"/>
      <c r="DB45"/>
      <c r="DC45"/>
      <c r="DD45"/>
      <c r="DE45"/>
      <c r="DF45" s="266"/>
      <c r="DG45" s="266"/>
      <c r="DH45" s="266"/>
      <c r="DI45" s="266"/>
      <c r="DJ45" s="266"/>
    </row>
    <row r="46" spans="1:114" s="1" customFormat="1" ht="12.75" customHeight="1">
      <c r="A46" s="58" t="s">
        <v>85</v>
      </c>
      <c r="B46" s="368"/>
      <c r="C46" s="18"/>
      <c r="D46" s="18"/>
      <c r="E46" s="18"/>
      <c r="F46" s="60" t="str">
        <f>IF(ISERROR((F45-#REF!)/#REF!),"",(F45-#REF!)/#REF!)</f>
        <v/>
      </c>
      <c r="G46" s="18" t="str">
        <f t="shared" ref="G46:U46" si="199">IF(ISERROR((G45-B45)/B45),"",(G45-B45)/B45)</f>
        <v/>
      </c>
      <c r="H46" s="18" t="str">
        <f t="shared" si="199"/>
        <v/>
      </c>
      <c r="I46" s="18" t="str">
        <f t="shared" si="199"/>
        <v/>
      </c>
      <c r="J46" s="18" t="str">
        <f t="shared" si="199"/>
        <v/>
      </c>
      <c r="K46" s="60" t="str">
        <f t="shared" si="199"/>
        <v/>
      </c>
      <c r="L46" s="18">
        <f t="shared" si="199"/>
        <v>0.20282574568288861</v>
      </c>
      <c r="M46" s="18">
        <f t="shared" si="199"/>
        <v>0.24478417266187028</v>
      </c>
      <c r="N46" s="18">
        <f t="shared" si="199"/>
        <v>0.23113077135747867</v>
      </c>
      <c r="O46" s="18">
        <f t="shared" si="199"/>
        <v>0.20121894045944727</v>
      </c>
      <c r="P46" s="60">
        <f t="shared" si="199"/>
        <v>0.22075798156004856</v>
      </c>
      <c r="Q46" s="18">
        <f t="shared" si="199"/>
        <v>1.0635169233446446</v>
      </c>
      <c r="R46" s="18">
        <f t="shared" si="199"/>
        <v>1.1438375957231617</v>
      </c>
      <c r="S46" s="18">
        <f t="shared" si="199"/>
        <v>1.3292911146043862</v>
      </c>
      <c r="T46" s="18">
        <f t="shared" si="199"/>
        <v>0.94785731012411212</v>
      </c>
      <c r="U46" s="60">
        <f t="shared" si="199"/>
        <v>1.1252693913212308</v>
      </c>
      <c r="V46" s="18">
        <f t="shared" ref="V46:AS46" si="200">(V45-Q45)/Q45</f>
        <v>-0.15365154326193278</v>
      </c>
      <c r="W46" s="18">
        <f t="shared" si="200"/>
        <v>-0.25044650379107009</v>
      </c>
      <c r="X46" s="18">
        <f t="shared" si="200"/>
        <v>-0.15766301378667608</v>
      </c>
      <c r="Y46" s="18">
        <f t="shared" si="200"/>
        <v>0.26673078464374445</v>
      </c>
      <c r="Z46" s="60">
        <f t="shared" si="200"/>
        <v>-8.519851638011372E-2</v>
      </c>
      <c r="AA46" s="18">
        <f t="shared" si="200"/>
        <v>0.57642487046632085</v>
      </c>
      <c r="AB46" s="18">
        <f t="shared" si="200"/>
        <v>0.81360427999820228</v>
      </c>
      <c r="AC46" s="18">
        <f t="shared" si="200"/>
        <v>0.69577658235092121</v>
      </c>
      <c r="AD46" s="18">
        <f t="shared" si="200"/>
        <v>0.31467889908256891</v>
      </c>
      <c r="AE46" s="60">
        <f t="shared" si="200"/>
        <v>0.57772429495885602</v>
      </c>
      <c r="AF46" s="18">
        <f t="shared" si="200"/>
        <v>0.3118007711269834</v>
      </c>
      <c r="AG46" s="18">
        <f t="shared" si="200"/>
        <v>9.3058998512642294E-2</v>
      </c>
      <c r="AH46" s="18">
        <f t="shared" si="200"/>
        <v>6.6167206623470504E-2</v>
      </c>
      <c r="AI46" s="18">
        <f t="shared" si="200"/>
        <v>6.0832110113819365E-2</v>
      </c>
      <c r="AJ46" s="60">
        <f t="shared" si="200"/>
        <v>0.12082639710862304</v>
      </c>
      <c r="AK46" s="18">
        <f t="shared" si="200"/>
        <v>7.3527994603449928E-2</v>
      </c>
      <c r="AL46" s="18">
        <f t="shared" si="200"/>
        <v>0.23690297999727869</v>
      </c>
      <c r="AM46" s="18">
        <f t="shared" si="200"/>
        <v>0.49798476439680062</v>
      </c>
      <c r="AN46" s="18">
        <f t="shared" si="200"/>
        <v>1.4612226380855167</v>
      </c>
      <c r="AO46" s="60">
        <f t="shared" si="200"/>
        <v>0.57328491721068942</v>
      </c>
      <c r="AP46" s="18">
        <f>(AP45-AK45)/AK45</f>
        <v>1.5583258527827646</v>
      </c>
      <c r="AQ46" s="18">
        <f t="shared" si="200"/>
        <v>1.513586358635864</v>
      </c>
      <c r="AR46" s="18">
        <f t="shared" si="200"/>
        <v>1.7326026934129717</v>
      </c>
      <c r="AS46" s="18">
        <f t="shared" si="200"/>
        <v>1.3707270766706914</v>
      </c>
      <c r="AT46" s="60">
        <f t="shared" ref="AT46:BB46" si="201">(AT45-AO45)/AO45</f>
        <v>1.5209105821796107</v>
      </c>
      <c r="AU46" s="18">
        <f t="shared" si="201"/>
        <v>1.4772410284300743</v>
      </c>
      <c r="AV46" s="18">
        <f t="shared" si="201"/>
        <v>3.2381264999161141</v>
      </c>
      <c r="AW46" s="18">
        <f t="shared" si="201"/>
        <v>2.4151106803724054</v>
      </c>
      <c r="AX46" s="18">
        <f t="shared" si="201"/>
        <v>2.229393035831607</v>
      </c>
      <c r="AY46" s="368">
        <f t="shared" si="201"/>
        <v>2.3555060992192822</v>
      </c>
      <c r="AZ46" s="368">
        <f t="shared" si="201"/>
        <v>1.4893503255985239</v>
      </c>
      <c r="BA46" s="18">
        <f t="shared" si="201"/>
        <v>1.0927386666987948</v>
      </c>
      <c r="BB46" s="18">
        <f t="shared" si="201"/>
        <v>2.5655954231889742</v>
      </c>
      <c r="BC46" s="18">
        <f t="shared" ref="BC46" si="202">(BC45-AX45)/AX45</f>
        <v>3.023474178403756</v>
      </c>
      <c r="BD46" s="1936">
        <f t="shared" ref="BD46:BG46" si="203">(BD45-AY45)/AY45</f>
        <v>2.2348969821546625</v>
      </c>
      <c r="BE46" s="368">
        <f t="shared" si="203"/>
        <v>4.0436699857752485</v>
      </c>
      <c r="BF46" s="18">
        <f t="shared" si="203"/>
        <v>2.0292787235792416</v>
      </c>
      <c r="BG46" s="18">
        <f t="shared" si="203"/>
        <v>0.57224503619660483</v>
      </c>
      <c r="BH46" s="18">
        <f t="shared" ref="BH46" si="204">(BH45-BC45)/BC45</f>
        <v>0.10002094366155034</v>
      </c>
      <c r="BI46" s="1936">
        <f t="shared" ref="BI46:BL46" si="205">(BI45-BD45)/BD45</f>
        <v>0.91772591922133473</v>
      </c>
      <c r="BJ46" s="368">
        <f t="shared" si="205"/>
        <v>-1.7485968920099891E-3</v>
      </c>
      <c r="BK46" s="18">
        <f t="shared" si="205"/>
        <v>2.0905166562593325E-2</v>
      </c>
      <c r="BL46" s="18">
        <f t="shared" si="205"/>
        <v>4.6663794496203274E-2</v>
      </c>
      <c r="BM46" s="18">
        <f t="shared" ref="BM46" si="206">(BM45-BH45)/BH45</f>
        <v>0.14070064733721366</v>
      </c>
      <c r="BN46" s="1936">
        <f t="shared" ref="BN46" si="207">(BN45-BI45)/BI45</f>
        <v>5.2081480772124815E-2</v>
      </c>
      <c r="BO46" s="368">
        <f t="shared" ref="BO46" si="208">(BO45-BJ45)/BJ45</f>
        <v>0.10733115316978559</v>
      </c>
      <c r="BP46" s="18">
        <f t="shared" ref="BP46" si="209">(BP45-BK45)/BK45</f>
        <v>0.10774549615145736</v>
      </c>
      <c r="BQ46" s="18">
        <f t="shared" ref="BQ46:BS46" si="210">(BQ45-BL45)/BL45</f>
        <v>8.2097481153167062E-2</v>
      </c>
      <c r="BR46" s="2162">
        <f t="shared" si="210"/>
        <v>3.9363948205431841E-2</v>
      </c>
      <c r="BS46" s="1936">
        <f t="shared" si="210"/>
        <v>8.2522598771976458E-2</v>
      </c>
      <c r="BT46" s="18"/>
      <c r="BU46" s="18"/>
      <c r="BV46" s="18"/>
      <c r="BW46" s="18"/>
      <c r="BX46" s="60">
        <f>(BX45-BS45)/BS45</f>
        <v>6.8471630587978033E-2</v>
      </c>
      <c r="BY46" s="18"/>
      <c r="BZ46" s="18"/>
      <c r="CA46" s="18"/>
      <c r="CB46" s="18"/>
      <c r="CC46" s="60">
        <f>(CC45-BX45)/BX45</f>
        <v>6.9370799375881892E-2</v>
      </c>
      <c r="CD46" s="191"/>
      <c r="CE46" s="111"/>
      <c r="CF46" s="173"/>
      <c r="CG46" s="173"/>
      <c r="CH46" s="173"/>
      <c r="CI46" s="239"/>
      <c r="CJ46" s="177"/>
      <c r="CK46" s="2070"/>
      <c r="CL46" s="18">
        <f t="shared" si="171"/>
        <v>0.14070064733721366</v>
      </c>
      <c r="CM46" s="18">
        <f t="shared" si="172"/>
        <v>0.10002094366155034</v>
      </c>
      <c r="CN46" s="18">
        <v>6.8958087091640821E-2</v>
      </c>
      <c r="CO46" s="2107">
        <f>IFERROR(($CL46-CM46)*10000,"")</f>
        <v>406.79703675663313</v>
      </c>
      <c r="CP46" s="2107">
        <f>IFERROR(($CL46-CN46)*10000,"")</f>
        <v>717.42560245572838</v>
      </c>
      <c r="CQ46" s="374"/>
      <c r="CR46" s="44"/>
      <c r="CS46" s="40"/>
      <c r="CT46" s="40"/>
      <c r="CU46" s="40"/>
      <c r="CV46" s="40"/>
      <c r="CW46" s="40"/>
      <c r="CX46" s="40"/>
      <c r="CY46" s="139"/>
      <c r="CZ46"/>
      <c r="DA46"/>
      <c r="DB46"/>
      <c r="DC46"/>
      <c r="DD46"/>
      <c r="DE46"/>
      <c r="DF46" s="3"/>
      <c r="DG46" s="3"/>
      <c r="DH46" s="3"/>
      <c r="DI46" s="3"/>
      <c r="DJ46" s="3"/>
    </row>
    <row r="47" spans="1:114" s="176" customFormat="1" ht="12.75" customHeight="1">
      <c r="A47" s="54" t="s">
        <v>147</v>
      </c>
      <c r="B47" s="545"/>
      <c r="C47" s="221"/>
      <c r="D47" s="221"/>
      <c r="E47" s="221"/>
      <c r="F47" s="222"/>
      <c r="G47" s="221"/>
      <c r="H47" s="221"/>
      <c r="I47" s="221"/>
      <c r="J47" s="221"/>
      <c r="K47" s="222"/>
      <c r="L47" s="221"/>
      <c r="M47" s="221"/>
      <c r="N47" s="221"/>
      <c r="O47" s="221"/>
      <c r="P47" s="222"/>
      <c r="Q47" s="221"/>
      <c r="R47" s="221"/>
      <c r="S47" s="221"/>
      <c r="T47" s="221"/>
      <c r="U47" s="222"/>
      <c r="V47" s="221"/>
      <c r="W47" s="221"/>
      <c r="X47" s="221"/>
      <c r="Y47" s="221"/>
      <c r="Z47" s="222"/>
      <c r="AA47" s="221"/>
      <c r="AB47" s="221"/>
      <c r="AC47" s="221"/>
      <c r="AD47" s="221"/>
      <c r="AE47" s="222"/>
      <c r="AF47" s="221"/>
      <c r="AG47" s="221"/>
      <c r="AH47" s="221"/>
      <c r="AI47" s="221"/>
      <c r="AJ47" s="222"/>
      <c r="AK47" s="221"/>
      <c r="AL47" s="408"/>
      <c r="AM47" s="221"/>
      <c r="AN47" s="221"/>
      <c r="AO47" s="222"/>
      <c r="AP47" s="221"/>
      <c r="AQ47" s="408"/>
      <c r="AR47" s="221"/>
      <c r="AS47" s="221"/>
      <c r="AT47" s="222"/>
      <c r="AU47" s="221"/>
      <c r="AV47" s="408"/>
      <c r="AW47" s="221"/>
      <c r="AX47" s="490"/>
      <c r="AY47" s="545"/>
      <c r="AZ47" s="545"/>
      <c r="BA47" s="408"/>
      <c r="BB47" s="493"/>
      <c r="BC47" s="490"/>
      <c r="BD47" s="1943"/>
      <c r="BE47" s="545">
        <f>75.4+2.7+3.3</f>
        <v>81.400000000000006</v>
      </c>
      <c r="BF47" s="493">
        <f>153.2+7.5+2.5</f>
        <v>163.19999999999999</v>
      </c>
      <c r="BG47" s="493">
        <f>125.4+8.1+5</f>
        <v>138.5</v>
      </c>
      <c r="BH47" s="490"/>
      <c r="BI47" s="1943"/>
      <c r="BJ47" s="545"/>
      <c r="BK47" s="493"/>
      <c r="BL47" s="493"/>
      <c r="BM47" s="490"/>
      <c r="BN47" s="1943"/>
      <c r="BO47" s="2346"/>
      <c r="BP47" s="408"/>
      <c r="BQ47" s="408"/>
      <c r="BR47" s="2182"/>
      <c r="BS47" s="1943"/>
      <c r="BT47" s="221"/>
      <c r="BU47" s="221"/>
      <c r="BV47" s="221"/>
      <c r="BW47" s="221"/>
      <c r="BX47" s="222"/>
      <c r="BY47" s="221"/>
      <c r="BZ47" s="221"/>
      <c r="CA47" s="221"/>
      <c r="CB47" s="221"/>
      <c r="CC47" s="222"/>
      <c r="CD47" s="223"/>
      <c r="CE47" s="224"/>
      <c r="CF47" s="173"/>
      <c r="CG47" s="173"/>
      <c r="CH47" s="173"/>
      <c r="CI47" s="239"/>
      <c r="CJ47" s="177"/>
      <c r="CK47" s="2070"/>
      <c r="CL47" s="408"/>
      <c r="CM47" s="408"/>
      <c r="CN47" s="408"/>
      <c r="CO47" s="408"/>
      <c r="CP47" s="408"/>
      <c r="CQ47" s="452"/>
      <c r="CR47" s="452"/>
      <c r="CS47" s="44"/>
      <c r="CT47" s="16"/>
      <c r="CU47" s="16"/>
      <c r="CV47" s="16"/>
      <c r="CW47" s="16"/>
      <c r="CX47" s="16"/>
      <c r="CY47" s="141"/>
      <c r="CZ47"/>
      <c r="DA47"/>
      <c r="DB47"/>
      <c r="DC47"/>
      <c r="DD47"/>
      <c r="DE47"/>
      <c r="DF47" s="8"/>
      <c r="DG47" s="8"/>
      <c r="DH47" s="8"/>
      <c r="DI47" s="8"/>
      <c r="DJ47" s="8"/>
    </row>
    <row r="48" spans="1:114" s="176" customFormat="1" ht="12.75" hidden="1" customHeight="1" outlineLevel="1">
      <c r="A48" s="501" t="s">
        <v>236</v>
      </c>
      <c r="B48" s="546"/>
      <c r="C48" s="374" t="str">
        <f t="shared" ref="C48:P48" si="211">IF(ISERROR(C51/C17),"",C51/C17)</f>
        <v/>
      </c>
      <c r="D48" s="374" t="str">
        <f t="shared" si="211"/>
        <v/>
      </c>
      <c r="E48" s="374" t="str">
        <f t="shared" si="211"/>
        <v/>
      </c>
      <c r="F48" s="376" t="str">
        <f t="shared" si="211"/>
        <v/>
      </c>
      <c r="G48" s="374" t="str">
        <f t="shared" si="211"/>
        <v/>
      </c>
      <c r="H48" s="374" t="str">
        <f t="shared" si="211"/>
        <v/>
      </c>
      <c r="I48" s="374" t="str">
        <f t="shared" si="211"/>
        <v/>
      </c>
      <c r="J48" s="374" t="str">
        <f t="shared" si="211"/>
        <v/>
      </c>
      <c r="K48" s="376" t="str">
        <f t="shared" si="211"/>
        <v/>
      </c>
      <c r="L48" s="374" t="str">
        <f t="shared" si="211"/>
        <v/>
      </c>
      <c r="M48" s="374" t="str">
        <f t="shared" si="211"/>
        <v/>
      </c>
      <c r="N48" s="374" t="str">
        <f t="shared" si="211"/>
        <v/>
      </c>
      <c r="O48" s="374" t="str">
        <f t="shared" si="211"/>
        <v/>
      </c>
      <c r="P48" s="376" t="str">
        <f t="shared" si="211"/>
        <v/>
      </c>
      <c r="Q48" s="374">
        <f t="shared" ref="Q48:BJ48" si="212">Q51/Q17</f>
        <v>9.4260338076592509E-2</v>
      </c>
      <c r="R48" s="374">
        <f t="shared" si="212"/>
        <v>8.6944521115098095E-2</v>
      </c>
      <c r="S48" s="374">
        <f t="shared" si="212"/>
        <v>8.4652395230458033E-2</v>
      </c>
      <c r="T48" s="374">
        <f t="shared" si="212"/>
        <v>9.271467207572695E-2</v>
      </c>
      <c r="U48" s="376">
        <f t="shared" si="212"/>
        <v>8.9134856070087642E-2</v>
      </c>
      <c r="V48" s="374">
        <f t="shared" si="212"/>
        <v>9.2021993982778161E-2</v>
      </c>
      <c r="W48" s="374">
        <f t="shared" si="212"/>
        <v>9.6602658788773998E-2</v>
      </c>
      <c r="X48" s="374">
        <f t="shared" si="212"/>
        <v>0.10273896031302408</v>
      </c>
      <c r="Y48" s="374">
        <f t="shared" si="212"/>
        <v>0.11237221283103926</v>
      </c>
      <c r="Z48" s="376">
        <f t="shared" si="212"/>
        <v>0.10162285603226276</v>
      </c>
      <c r="AA48" s="374">
        <f t="shared" si="212"/>
        <v>0.10898129540887309</v>
      </c>
      <c r="AB48" s="374">
        <f t="shared" si="212"/>
        <v>0.10252581809132769</v>
      </c>
      <c r="AC48" s="374">
        <f t="shared" si="212"/>
        <v>0.10152803185193141</v>
      </c>
      <c r="AD48" s="374">
        <f t="shared" si="212"/>
        <v>9.804811620517466E-2</v>
      </c>
      <c r="AE48" s="376">
        <f t="shared" si="212"/>
        <v>0.10231210327803497</v>
      </c>
      <c r="AF48" s="374">
        <f t="shared" si="212"/>
        <v>0.10966389224220095</v>
      </c>
      <c r="AG48" s="374">
        <f t="shared" si="212"/>
        <v>0.10628418776237117</v>
      </c>
      <c r="AH48" s="374">
        <f t="shared" si="212"/>
        <v>0.10958742168104972</v>
      </c>
      <c r="AI48" s="374">
        <f t="shared" si="212"/>
        <v>9.1657224640706011E-2</v>
      </c>
      <c r="AJ48" s="376">
        <f t="shared" si="212"/>
        <v>0.10419352858107692</v>
      </c>
      <c r="AK48" s="374">
        <f t="shared" si="212"/>
        <v>0.10254253736171319</v>
      </c>
      <c r="AL48" s="374">
        <f t="shared" si="212"/>
        <v>0.10984940490648526</v>
      </c>
      <c r="AM48" s="374">
        <f t="shared" si="212"/>
        <v>0.11147711511789174</v>
      </c>
      <c r="AN48" s="374">
        <f t="shared" si="212"/>
        <v>0.13459351134701841</v>
      </c>
      <c r="AO48" s="376">
        <f t="shared" si="212"/>
        <v>0.11534597884535837</v>
      </c>
      <c r="AP48" s="374">
        <f t="shared" si="212"/>
        <v>0.14698453767017808</v>
      </c>
      <c r="AQ48" s="374">
        <f t="shared" si="212"/>
        <v>0.13253697383390228</v>
      </c>
      <c r="AR48" s="374">
        <f t="shared" si="212"/>
        <v>0.13842856396047884</v>
      </c>
      <c r="AS48" s="374">
        <f t="shared" si="212"/>
        <v>0.14315903549173656</v>
      </c>
      <c r="AT48" s="376">
        <f t="shared" si="212"/>
        <v>0.13996309206479393</v>
      </c>
      <c r="AU48" s="374">
        <f t="shared" si="212"/>
        <v>0.13908540961755361</v>
      </c>
      <c r="AV48" s="374">
        <f t="shared" si="212"/>
        <v>0.10332607331389124</v>
      </c>
      <c r="AW48" s="374">
        <f t="shared" si="212"/>
        <v>0.10544029738283012</v>
      </c>
      <c r="AX48" s="374">
        <f t="shared" si="212"/>
        <v>0.10048622366288497</v>
      </c>
      <c r="AY48" s="546">
        <f t="shared" si="212"/>
        <v>0.10665026524179287</v>
      </c>
      <c r="AZ48" s="546">
        <f t="shared" si="212"/>
        <v>0.11086474501108647</v>
      </c>
      <c r="BA48" s="374">
        <f t="shared" si="212"/>
        <v>0.14827586206896551</v>
      </c>
      <c r="BB48" s="374">
        <f t="shared" si="212"/>
        <v>0.17775467775467776</v>
      </c>
      <c r="BC48" s="374">
        <f t="shared" si="212"/>
        <v>0.16495901639344265</v>
      </c>
      <c r="BD48" s="1944">
        <f t="shared" si="212"/>
        <v>0.15762883125631527</v>
      </c>
      <c r="BE48" s="374">
        <f t="shared" si="212"/>
        <v>0.17412333736396615</v>
      </c>
      <c r="BF48" s="374">
        <f t="shared" si="212"/>
        <v>0.18181818181818182</v>
      </c>
      <c r="BG48" s="374">
        <f t="shared" si="212"/>
        <v>0.17159763313609466</v>
      </c>
      <c r="BH48" s="374">
        <f t="shared" si="212"/>
        <v>0.13679245283018868</v>
      </c>
      <c r="BI48" s="1944">
        <f t="shared" si="212"/>
        <v>0.16576086956521741</v>
      </c>
      <c r="BJ48" s="374">
        <f t="shared" si="212"/>
        <v>0.17178770949720673</v>
      </c>
      <c r="BK48" s="374">
        <f t="shared" ref="BK48:BN48" si="213">BK51/BK17</f>
        <v>0.17241379310344829</v>
      </c>
      <c r="BL48" s="374">
        <f t="shared" si="213"/>
        <v>0.17018469656992086</v>
      </c>
      <c r="BM48" s="374">
        <f t="shared" si="213"/>
        <v>0.16339066339066338</v>
      </c>
      <c r="BN48" s="1944">
        <f t="shared" si="213"/>
        <v>0.16926651178227684</v>
      </c>
      <c r="BO48" s="2347"/>
      <c r="BP48" s="377"/>
      <c r="BQ48" s="377"/>
      <c r="BR48" s="2164"/>
      <c r="BS48" s="1944"/>
      <c r="BT48" s="377"/>
      <c r="BU48" s="377"/>
      <c r="BV48" s="377"/>
      <c r="BW48" s="377"/>
      <c r="BX48" s="378"/>
      <c r="BY48" s="377"/>
      <c r="BZ48" s="377"/>
      <c r="CA48" s="377"/>
      <c r="CB48" s="377"/>
      <c r="CC48" s="378"/>
      <c r="CD48" s="193"/>
      <c r="CE48" s="113"/>
      <c r="CF48" s="173"/>
      <c r="CG48" s="173"/>
      <c r="CH48" s="173"/>
      <c r="CI48" s="239"/>
      <c r="CJ48" s="177"/>
      <c r="CK48" s="2070"/>
      <c r="CL48" s="374">
        <f t="shared" ref="CL48:CL72" si="214">BM48</f>
        <v>0.16339066339066338</v>
      </c>
      <c r="CM48" s="374">
        <f t="shared" ref="CM48:CM72" si="215">BH48</f>
        <v>0.13679245283018868</v>
      </c>
      <c r="CN48" s="377"/>
      <c r="CO48" s="2109">
        <f>IFERROR(($CL48-CM48)*10000,"")</f>
        <v>265.98210560474706</v>
      </c>
      <c r="CP48" s="2109"/>
      <c r="CQ48" s="452" t="s">
        <v>532</v>
      </c>
      <c r="CR48" s="16"/>
      <c r="CS48" s="16"/>
      <c r="CT48" s="16"/>
      <c r="CU48" s="16"/>
      <c r="CV48" s="16"/>
      <c r="CW48" s="16"/>
      <c r="CX48" s="16"/>
      <c r="CY48" s="141"/>
      <c r="CZ48"/>
      <c r="DA48"/>
      <c r="DB48"/>
      <c r="DC48"/>
      <c r="DD48"/>
      <c r="DE48"/>
      <c r="DF48" s="8"/>
      <c r="DG48" s="8"/>
      <c r="DH48" s="8"/>
      <c r="DI48" s="8"/>
      <c r="DJ48" s="8"/>
    </row>
    <row r="49" spans="1:114" s="179" customFormat="1" ht="12.75" hidden="1" customHeight="1" outlineLevel="1">
      <c r="A49" s="502" t="s">
        <v>86</v>
      </c>
      <c r="B49" s="547"/>
      <c r="C49" s="91" t="str">
        <f>IF(ISERROR((C48-#REF!)*100),"",(C48-#REF!)*100)</f>
        <v/>
      </c>
      <c r="D49" s="91" t="str">
        <f>IF(ISERROR((D48-#REF!)*100),"",(D48-#REF!)*100)</f>
        <v/>
      </c>
      <c r="E49" s="91" t="str">
        <f>IF(ISERROR((E48-#REF!)*100),"",(E48-#REF!)*100)</f>
        <v/>
      </c>
      <c r="F49" s="92" t="str">
        <f>IF(ISERROR(F52/#REF!),"",F52/#REF!)</f>
        <v/>
      </c>
      <c r="G49" s="91" t="str">
        <f>IF(ISERROR((G48-B48)*100),"",(G48-B48)*100)</f>
        <v/>
      </c>
      <c r="H49" s="91" t="str">
        <f>IF(ISERROR((H48-C48)*100),"",(H48-C48)*100)</f>
        <v/>
      </c>
      <c r="I49" s="91" t="str">
        <f>IF(ISERROR((I48-D48)*100),"",(I48-D48)*100)</f>
        <v/>
      </c>
      <c r="J49" s="91" t="str">
        <f>IF(ISERROR((J48-E48)*100),"",(J48-E48)*100)</f>
        <v/>
      </c>
      <c r="K49" s="92" t="str">
        <f>IF(ISERROR(K52/#REF!),"",K52/#REF!)</f>
        <v/>
      </c>
      <c r="L49" s="91" t="str">
        <f>IF(ISERROR((L48-G48)*100),"",(L48-G48)*100)</f>
        <v/>
      </c>
      <c r="M49" s="91" t="str">
        <f>IF(ISERROR((M48-H48)*100),"",(M48-H48)*100)</f>
        <v/>
      </c>
      <c r="N49" s="91" t="str">
        <f>IF(ISERROR((N48-I48)*100),"",(N48-I48)*100)</f>
        <v/>
      </c>
      <c r="O49" s="91" t="str">
        <f>IF(ISERROR((O48-J48)*100),"",(O48-J48)*100)</f>
        <v/>
      </c>
      <c r="P49" s="92" t="str">
        <f>IF(ISERROR((P48-K48)*100),"",(P48-K48)*100)</f>
        <v/>
      </c>
      <c r="Q49" s="91" t="str">
        <f>IF(ISERROR(Q52/#REF!),"",Q52/#REF!)</f>
        <v/>
      </c>
      <c r="R49" s="91" t="str">
        <f>IF(ISERROR(R52/#REF!),"",R52/#REF!)</f>
        <v/>
      </c>
      <c r="S49" s="91" t="str">
        <f>IF(ISERROR(S52/#REF!),"",S52/#REF!)</f>
        <v/>
      </c>
      <c r="T49" s="91" t="str">
        <f>IF(ISERROR(T52/#REF!),"",T52/#REF!)</f>
        <v/>
      </c>
      <c r="U49" s="92" t="str">
        <f>IF(ISERROR(U52/#REF!),"",U52/#REF!)</f>
        <v/>
      </c>
      <c r="V49" s="91">
        <f t="shared" ref="V49:AO49" si="216">(V48-Q48)*100</f>
        <v>-0.22383440938143484</v>
      </c>
      <c r="W49" s="91">
        <f t="shared" si="216"/>
        <v>0.96581376736759039</v>
      </c>
      <c r="X49" s="91">
        <f t="shared" si="216"/>
        <v>1.8086565082566051</v>
      </c>
      <c r="Y49" s="91">
        <f t="shared" si="216"/>
        <v>1.9657540755312315</v>
      </c>
      <c r="Z49" s="92">
        <f t="shared" si="216"/>
        <v>1.2487999962175116</v>
      </c>
      <c r="AA49" s="91">
        <f t="shared" si="216"/>
        <v>1.6959301426094933</v>
      </c>
      <c r="AB49" s="91">
        <f t="shared" si="216"/>
        <v>0.59231593025536877</v>
      </c>
      <c r="AC49" s="91">
        <f t="shared" si="216"/>
        <v>-0.12109284610926779</v>
      </c>
      <c r="AD49" s="91">
        <f t="shared" si="216"/>
        <v>-1.4324096625864604</v>
      </c>
      <c r="AE49" s="92">
        <f t="shared" si="216"/>
        <v>6.8924724577221208E-2</v>
      </c>
      <c r="AF49" s="91">
        <f t="shared" si="216"/>
        <v>6.825968333278587E-2</v>
      </c>
      <c r="AG49" s="91">
        <f t="shared" si="216"/>
        <v>0.37583696710434822</v>
      </c>
      <c r="AH49" s="91">
        <f t="shared" si="216"/>
        <v>0.80593898291183153</v>
      </c>
      <c r="AI49" s="91">
        <f t="shared" si="216"/>
        <v>-0.63908915644686481</v>
      </c>
      <c r="AJ49" s="92">
        <f t="shared" si="216"/>
        <v>0.18814253030419448</v>
      </c>
      <c r="AK49" s="91">
        <f>(AK48-AF48)*100</f>
        <v>-0.71213548804877624</v>
      </c>
      <c r="AL49" s="91">
        <f>(AL48-AG48)*100</f>
        <v>0.35652171441140912</v>
      </c>
      <c r="AM49" s="91">
        <f t="shared" si="216"/>
        <v>0.18896934368420187</v>
      </c>
      <c r="AN49" s="91">
        <f t="shared" si="216"/>
        <v>4.2936286706312403</v>
      </c>
      <c r="AO49" s="92">
        <f t="shared" si="216"/>
        <v>1.1152450264281453</v>
      </c>
      <c r="AP49" s="91">
        <f t="shared" ref="AP49:BB49" si="217">(AP48-AK48)*100</f>
        <v>4.4442000308464884</v>
      </c>
      <c r="AQ49" s="91">
        <f t="shared" si="217"/>
        <v>2.2687568927417026</v>
      </c>
      <c r="AR49" s="91">
        <f t="shared" si="217"/>
        <v>2.6951448842587098</v>
      </c>
      <c r="AS49" s="91">
        <f t="shared" si="217"/>
        <v>0.85655241447181452</v>
      </c>
      <c r="AT49" s="92">
        <f t="shared" si="217"/>
        <v>2.4617113219435565</v>
      </c>
      <c r="AU49" s="91">
        <f t="shared" si="217"/>
        <v>-0.78991280526244656</v>
      </c>
      <c r="AV49" s="91">
        <f t="shared" si="217"/>
        <v>-2.9210900520011047</v>
      </c>
      <c r="AW49" s="91">
        <f t="shared" si="217"/>
        <v>-3.2988266577648724</v>
      </c>
      <c r="AX49" s="91">
        <f t="shared" si="217"/>
        <v>-4.2672811828851591</v>
      </c>
      <c r="AY49" s="547">
        <f t="shared" si="217"/>
        <v>-3.331282682300106</v>
      </c>
      <c r="AZ49" s="547">
        <f t="shared" si="217"/>
        <v>-2.8220664606467145</v>
      </c>
      <c r="BA49" s="91">
        <f t="shared" si="217"/>
        <v>4.4949788755074271</v>
      </c>
      <c r="BB49" s="91">
        <f t="shared" si="217"/>
        <v>7.2314380371847644</v>
      </c>
      <c r="BC49" s="91">
        <f t="shared" ref="BC49:BG49" si="218">(BC48-AX48)*100</f>
        <v>6.4472792730557682</v>
      </c>
      <c r="BD49" s="1945">
        <f t="shared" ref="BD49" si="219">(BD48-AY48)*100</f>
        <v>5.0978566014522402</v>
      </c>
      <c r="BE49" s="91">
        <f t="shared" si="218"/>
        <v>6.325859235287969</v>
      </c>
      <c r="BF49" s="91">
        <f t="shared" si="218"/>
        <v>3.3542319749216314</v>
      </c>
      <c r="BG49" s="91">
        <f t="shared" si="218"/>
        <v>-0.61570446185831018</v>
      </c>
      <c r="BH49" s="91">
        <f t="shared" ref="BH49" si="220">(BH48-BC48)*100</f>
        <v>-2.8166563563253977</v>
      </c>
      <c r="BI49" s="1945">
        <f t="shared" ref="BI49:BL49" si="221">(BI48-BD48)*100</f>
        <v>0.81320383089021342</v>
      </c>
      <c r="BJ49" s="91">
        <f t="shared" si="221"/>
        <v>-0.2335627866759421</v>
      </c>
      <c r="BK49" s="91">
        <f t="shared" si="221"/>
        <v>-0.94043887147335359</v>
      </c>
      <c r="BL49" s="91">
        <f t="shared" si="221"/>
        <v>-0.14129365661738058</v>
      </c>
      <c r="BM49" s="91">
        <f t="shared" ref="BM49" si="222">(BM48-BH48)*100</f>
        <v>2.6598210560474707</v>
      </c>
      <c r="BN49" s="1945">
        <f t="shared" ref="BN49" si="223">(BN48-BI48)*100</f>
        <v>0.35056422170594292</v>
      </c>
      <c r="BO49" s="547"/>
      <c r="BP49" s="91"/>
      <c r="BQ49" s="91"/>
      <c r="BR49" s="2165"/>
      <c r="BS49" s="1945"/>
      <c r="BT49" s="90"/>
      <c r="BU49" s="90"/>
      <c r="BV49" s="90"/>
      <c r="BW49" s="90"/>
      <c r="BX49" s="92"/>
      <c r="BY49" s="90"/>
      <c r="BZ49" s="90"/>
      <c r="CA49" s="90"/>
      <c r="CB49" s="90"/>
      <c r="CC49" s="92"/>
      <c r="CD49" s="197"/>
      <c r="CE49" s="117"/>
      <c r="CF49" s="173"/>
      <c r="CG49" s="173"/>
      <c r="CH49" s="173"/>
      <c r="CI49" s="239"/>
      <c r="CJ49" s="177"/>
      <c r="CK49" s="2070"/>
      <c r="CL49" s="91">
        <f t="shared" si="214"/>
        <v>2.6598210560474707</v>
      </c>
      <c r="CM49" s="91">
        <f t="shared" si="215"/>
        <v>-2.8166563563253977</v>
      </c>
      <c r="CN49" s="91"/>
      <c r="CO49" s="91"/>
      <c r="CP49" s="91"/>
      <c r="CQ49" s="44"/>
      <c r="CR49" s="93"/>
      <c r="CS49" s="93"/>
      <c r="CT49" s="93"/>
      <c r="CU49" s="93"/>
      <c r="CV49" s="93"/>
      <c r="CW49" s="93"/>
      <c r="CX49" s="93"/>
      <c r="CY49" s="119"/>
      <c r="CZ49"/>
      <c r="DA49"/>
      <c r="DB49"/>
      <c r="DC49"/>
      <c r="DD49"/>
      <c r="DE49"/>
      <c r="DF49" s="90"/>
      <c r="DG49" s="90"/>
      <c r="DH49" s="90"/>
      <c r="DI49" s="90"/>
      <c r="DJ49" s="90"/>
    </row>
    <row r="50" spans="1:114" s="1" customFormat="1" ht="12.75" hidden="1" customHeight="1" outlineLevel="1">
      <c r="A50" s="76" t="s">
        <v>88</v>
      </c>
      <c r="B50" s="190"/>
      <c r="C50" s="6" t="str">
        <f>IF(ISERROR((C48-#REF!)*100),"",(C48-#REF!)*100)</f>
        <v/>
      </c>
      <c r="D50" s="6" t="str">
        <f>IF(ISERROR((D48-B48)*100),"",(D48-B48)*100)</f>
        <v/>
      </c>
      <c r="E50" s="6" t="str">
        <f>IF(ISERROR((E48-C48)*100),"",(E48-C48)*100)</f>
        <v/>
      </c>
      <c r="F50" s="61"/>
      <c r="G50" s="6" t="str">
        <f>IF(ISERROR((G48-E48)*100),"",(G48-E48)*100)</f>
        <v/>
      </c>
      <c r="H50" s="6" t="str">
        <f>IF(ISERROR((H48-F48)*100),"",(H48-F48)*100)</f>
        <v/>
      </c>
      <c r="I50" s="6" t="str">
        <f>IF(ISERROR((I48-G48)*100),"",(I48-G48)*100)</f>
        <v/>
      </c>
      <c r="J50" s="6" t="str">
        <f>IF(ISERROR((J48-H48)*100),"",(J48-H48)*100)</f>
        <v/>
      </c>
      <c r="K50" s="61"/>
      <c r="L50" s="6" t="str">
        <f>IF(ISERROR((L48-J48)*100),"",(L48-J48)*100)</f>
        <v/>
      </c>
      <c r="M50" s="6" t="str">
        <f>IF(ISERROR((M48-L48)*100),"",(M48-L48)*100)</f>
        <v/>
      </c>
      <c r="N50" s="6" t="str">
        <f>IF(ISERROR((N48-M48)*100),"",(N48-M48)*100)</f>
        <v/>
      </c>
      <c r="O50" s="6" t="str">
        <f>IF(ISERROR((O48-N48)*100),"",(O48-N48)*100)</f>
        <v/>
      </c>
      <c r="P50" s="61"/>
      <c r="Q50" s="6" t="str">
        <f>IF(ISERROR((Q48-O48)*100),"",(Q48-O48)*100)</f>
        <v/>
      </c>
      <c r="R50" s="6">
        <f>(R48-Q48)*100</f>
        <v>-0.73158169614944146</v>
      </c>
      <c r="S50" s="6">
        <f>(S48-R48)*100</f>
        <v>-0.22921258846400616</v>
      </c>
      <c r="T50" s="6">
        <f>(T48-S48)*100</f>
        <v>0.80622768452689175</v>
      </c>
      <c r="U50" s="61"/>
      <c r="V50" s="6">
        <f>(V48-T48)*100</f>
        <v>-6.9267809294878968E-2</v>
      </c>
      <c r="W50" s="6">
        <f>(W48-V48)*100</f>
        <v>0.45806648059958377</v>
      </c>
      <c r="X50" s="6">
        <f>(X48-W48)*100</f>
        <v>0.61363015242500851</v>
      </c>
      <c r="Y50" s="6">
        <f>(Y48-X48)*100</f>
        <v>0.96332525180151807</v>
      </c>
      <c r="Z50" s="61"/>
      <c r="AA50" s="6">
        <f>(AA48-Y48)*100</f>
        <v>-0.33909174221661703</v>
      </c>
      <c r="AB50" s="6">
        <f>(AB48-AA48)*100</f>
        <v>-0.64554773175454083</v>
      </c>
      <c r="AC50" s="6">
        <f>(AC48-AB48)*100</f>
        <v>-9.9778623939628108E-2</v>
      </c>
      <c r="AD50" s="6">
        <f>(AD48-AC48)*100</f>
        <v>-0.34799156467567455</v>
      </c>
      <c r="AE50" s="61"/>
      <c r="AF50" s="6">
        <f>(AF48-AD48)*100</f>
        <v>1.1615776037026293</v>
      </c>
      <c r="AG50" s="6">
        <f>(AG48-AF48)*100</f>
        <v>-0.33797044798297843</v>
      </c>
      <c r="AH50" s="6">
        <f>(AH48-AG48)*100</f>
        <v>0.33032339186785525</v>
      </c>
      <c r="AI50" s="6">
        <f>(AI48-AH48)*100</f>
        <v>-1.7930197040343709</v>
      </c>
      <c r="AJ50" s="61"/>
      <c r="AK50" s="6">
        <f>(AK48-AI48)*100</f>
        <v>1.0885312721007179</v>
      </c>
      <c r="AL50" s="6">
        <f>(AL48-AK48)*100</f>
        <v>0.73068675447720688</v>
      </c>
      <c r="AM50" s="6">
        <f>(AM48-AL48)*100</f>
        <v>0.16277102114064801</v>
      </c>
      <c r="AN50" s="6">
        <f>(AN48-AM48)*100</f>
        <v>2.3116396229126672</v>
      </c>
      <c r="AO50" s="61"/>
      <c r="AP50" s="6">
        <f>(AP48-AN48)*100</f>
        <v>1.2391026323159666</v>
      </c>
      <c r="AQ50" s="6">
        <f>(AQ48-AP48)*100</f>
        <v>-1.4447563836275794</v>
      </c>
      <c r="AR50" s="6">
        <f>(AR48-AQ48)*100</f>
        <v>0.58915901265765569</v>
      </c>
      <c r="AS50" s="6">
        <f>(AS48-AR48)*100</f>
        <v>0.47304715312577184</v>
      </c>
      <c r="AT50" s="61"/>
      <c r="AU50" s="6">
        <f>(AU48-AS48)*100</f>
        <v>-0.40736258741829456</v>
      </c>
      <c r="AV50" s="6">
        <f>(AV48-AU48)*100</f>
        <v>-3.5759336303662375</v>
      </c>
      <c r="AW50" s="6">
        <f>(AW48-AV48)*100</f>
        <v>0.21142240689388803</v>
      </c>
      <c r="AX50" s="6">
        <f>(AX48-AW48)*100</f>
        <v>-0.49540737199451484</v>
      </c>
      <c r="AY50" s="190"/>
      <c r="AZ50" s="190">
        <f>(AZ48-AX48)*100</f>
        <v>1.0378521348201497</v>
      </c>
      <c r="BA50" s="6">
        <f>(BA48-AZ48)*100</f>
        <v>3.7411117057879042</v>
      </c>
      <c r="BB50" s="6">
        <f>(BB48-BA48)*100</f>
        <v>2.9478815685712254</v>
      </c>
      <c r="BC50" s="6">
        <f>(BC48-BB48)*100</f>
        <v>-1.2795661361235111</v>
      </c>
      <c r="BD50" s="1946"/>
      <c r="BE50" s="6">
        <f>(BE48-BD48)*100</f>
        <v>1.6494506107650881</v>
      </c>
      <c r="BF50" s="6">
        <f>(BF48-BE48)*100</f>
        <v>0.76948444542156713</v>
      </c>
      <c r="BG50" s="6">
        <f>(BG48-BF48)*100</f>
        <v>-1.022054868208716</v>
      </c>
      <c r="BH50" s="6">
        <f>(BH48-BG48)*100</f>
        <v>-3.4805180305905985</v>
      </c>
      <c r="BI50" s="1946"/>
      <c r="BJ50" s="6">
        <f>(BJ48-BI48)*100</f>
        <v>0.60268399319893251</v>
      </c>
      <c r="BK50" s="6">
        <f>(BK48-BJ48)*100</f>
        <v>6.2608360624155646E-2</v>
      </c>
      <c r="BL50" s="6">
        <f>(BL48-BK48)*100</f>
        <v>-0.22290965335274304</v>
      </c>
      <c r="BM50" s="6">
        <f>(BM48-BL48)*100</f>
        <v>-0.67940331792574749</v>
      </c>
      <c r="BN50" s="1946"/>
      <c r="BO50" s="190"/>
      <c r="BP50" s="6"/>
      <c r="BQ50" s="6"/>
      <c r="BR50" s="2166"/>
      <c r="BS50" s="1946"/>
      <c r="BT50" s="6"/>
      <c r="BU50" s="6"/>
      <c r="BV50" s="6"/>
      <c r="BW50" s="6"/>
      <c r="BX50" s="61"/>
      <c r="BY50" s="6"/>
      <c r="BZ50" s="6"/>
      <c r="CA50" s="6"/>
      <c r="CB50" s="6"/>
      <c r="CC50" s="61"/>
      <c r="CD50" s="194"/>
      <c r="CE50" s="114"/>
      <c r="CF50" s="173"/>
      <c r="CG50" s="173"/>
      <c r="CH50" s="173"/>
      <c r="CI50" s="239"/>
      <c r="CJ50" s="177"/>
      <c r="CK50" s="2070"/>
      <c r="CL50" s="6">
        <f t="shared" si="214"/>
        <v>-0.67940331792574749</v>
      </c>
      <c r="CM50" s="6">
        <f t="shared" si="215"/>
        <v>-3.4805180305905985</v>
      </c>
      <c r="CN50" s="6"/>
      <c r="CO50" s="6"/>
      <c r="CP50" s="6"/>
      <c r="CQ50" s="44"/>
      <c r="CR50" s="40"/>
      <c r="CS50" s="40"/>
      <c r="CT50" s="40"/>
      <c r="CU50" s="40"/>
      <c r="CV50" s="40"/>
      <c r="CW50" s="40"/>
      <c r="CX50" s="40"/>
      <c r="CY50" s="139"/>
      <c r="CZ50"/>
      <c r="DA50"/>
      <c r="DB50"/>
      <c r="DC50"/>
      <c r="DD50"/>
      <c r="DE50"/>
      <c r="DF50" s="3"/>
      <c r="DG50" s="3"/>
      <c r="DH50" s="3"/>
      <c r="DI50" s="3"/>
      <c r="DJ50" s="3"/>
    </row>
    <row r="51" spans="1:114" s="262" customFormat="1" ht="12.75" hidden="1" customHeight="1" outlineLevel="1" collapsed="1">
      <c r="A51" s="503" t="s">
        <v>238</v>
      </c>
      <c r="B51" s="543"/>
      <c r="F51" s="265"/>
      <c r="K51" s="265"/>
      <c r="P51" s="265"/>
      <c r="Q51" s="262">
        <v>0.9870000000000001</v>
      </c>
      <c r="R51" s="262">
        <v>1.2600000000000016</v>
      </c>
      <c r="S51" s="262">
        <v>1.2139999999999986</v>
      </c>
      <c r="T51" s="262">
        <v>1.0970000000000013</v>
      </c>
      <c r="U51" s="265">
        <f>SUM(Q51:T51)</f>
        <v>4.5580000000000016</v>
      </c>
      <c r="V51" s="262">
        <v>0.88699999999999868</v>
      </c>
      <c r="W51" s="262">
        <v>0.98099999999999987</v>
      </c>
      <c r="X51" s="262">
        <v>0.91900000000000048</v>
      </c>
      <c r="Y51" s="262">
        <v>1.3960000000000008</v>
      </c>
      <c r="Z51" s="265">
        <f>SUM(V51:Y51)</f>
        <v>4.1829999999999998</v>
      </c>
      <c r="AA51" s="262">
        <v>1.4100000000000001</v>
      </c>
      <c r="AB51" s="262">
        <v>1.6480000000000015</v>
      </c>
      <c r="AC51" s="262">
        <v>1.8869999999999969</v>
      </c>
      <c r="AD51" s="262">
        <v>1.727999999999998</v>
      </c>
      <c r="AE51" s="265">
        <f>SUM(AA51:AD51)</f>
        <v>6.6729999999999965</v>
      </c>
      <c r="AF51" s="262">
        <v>1.7260000000000009</v>
      </c>
      <c r="AG51" s="262">
        <v>1.6709999999999994</v>
      </c>
      <c r="AH51" s="262">
        <v>1.8539999999999992</v>
      </c>
      <c r="AI51" s="262">
        <v>1.536999999999999</v>
      </c>
      <c r="AJ51" s="265">
        <f>SUM(AF51:AI51)</f>
        <v>6.7879999999999985</v>
      </c>
      <c r="AK51" s="262">
        <v>1.5850000000000009</v>
      </c>
      <c r="AL51" s="262">
        <v>1.8089999999999993</v>
      </c>
      <c r="AM51" s="262">
        <v>1.9289999999999985</v>
      </c>
      <c r="AN51" s="262">
        <v>2.4850000000000012</v>
      </c>
      <c r="AO51" s="265">
        <f>SUM(AK51:AN51)</f>
        <v>7.8079999999999998</v>
      </c>
      <c r="AP51" s="262">
        <v>2.386000000000001</v>
      </c>
      <c r="AQ51" s="262">
        <v>2.5630000000000024</v>
      </c>
      <c r="AR51" s="262">
        <v>2.6479999999999997</v>
      </c>
      <c r="AS51" s="262">
        <v>2.6419999999999977</v>
      </c>
      <c r="AT51" s="265">
        <f>SUM(AP51:AS51)</f>
        <v>10.239000000000001</v>
      </c>
      <c r="AU51" s="262">
        <v>2.713000000000001</v>
      </c>
      <c r="AV51" s="262">
        <v>5.597999999999999</v>
      </c>
      <c r="AW51" s="262">
        <v>6.296999999999997</v>
      </c>
      <c r="AX51" s="262">
        <v>6.2000000000000028</v>
      </c>
      <c r="AY51" s="543">
        <f>SUM(AU51:AX51)</f>
        <v>20.808</v>
      </c>
      <c r="AZ51" s="603">
        <v>5</v>
      </c>
      <c r="BA51" s="262">
        <v>8.6</v>
      </c>
      <c r="BB51" s="262">
        <v>17.100000000000001</v>
      </c>
      <c r="BC51" s="262">
        <v>16.100000000000001</v>
      </c>
      <c r="BD51" s="1947">
        <f>SUM(AZ51:BC51)</f>
        <v>46.800000000000004</v>
      </c>
      <c r="BE51" s="262">
        <v>14.4</v>
      </c>
      <c r="BF51" s="262">
        <v>14.4</v>
      </c>
      <c r="BG51" s="262">
        <v>14.5</v>
      </c>
      <c r="BH51" s="262">
        <v>11.6</v>
      </c>
      <c r="BI51" s="1947">
        <f>SUM(BE51:BH51)</f>
        <v>54.9</v>
      </c>
      <c r="BJ51" s="262">
        <v>12.3</v>
      </c>
      <c r="BK51" s="262">
        <v>12.5</v>
      </c>
      <c r="BL51" s="262">
        <v>12.9</v>
      </c>
      <c r="BM51" s="262">
        <v>13.3</v>
      </c>
      <c r="BN51" s="1947">
        <f>SUM(BJ51:BM51)</f>
        <v>51</v>
      </c>
      <c r="BO51" s="543"/>
      <c r="BR51" s="2167"/>
      <c r="BS51" s="1947"/>
      <c r="BT51" s="269"/>
      <c r="BU51" s="269"/>
      <c r="BV51" s="269"/>
      <c r="BW51" s="269"/>
      <c r="BX51" s="265"/>
      <c r="BY51" s="269"/>
      <c r="BZ51" s="269"/>
      <c r="CA51" s="269"/>
      <c r="CB51" s="269"/>
      <c r="CC51" s="265"/>
      <c r="CE51" s="263"/>
      <c r="CF51" s="173"/>
      <c r="CG51" s="173"/>
      <c r="CH51" s="173"/>
      <c r="CI51" s="239"/>
      <c r="CJ51" s="177"/>
      <c r="CK51" s="2070"/>
      <c r="CL51" s="262">
        <f t="shared" si="214"/>
        <v>13.3</v>
      </c>
      <c r="CM51" s="262">
        <f t="shared" si="215"/>
        <v>11.6</v>
      </c>
      <c r="CO51" s="2088">
        <f>IFERROR(($CL51/CM51)-1,"")</f>
        <v>0.14655172413793105</v>
      </c>
      <c r="CP51" s="2088"/>
      <c r="CQ51" s="452"/>
      <c r="CR51" s="258"/>
      <c r="CS51" s="258"/>
      <c r="CT51" s="258"/>
      <c r="CU51" s="258"/>
      <c r="CV51" s="258"/>
      <c r="CW51" s="258"/>
      <c r="CX51" s="258"/>
      <c r="CY51" s="263"/>
      <c r="CZ51"/>
      <c r="DA51"/>
      <c r="DB51"/>
      <c r="DC51"/>
      <c r="DD51"/>
      <c r="DE51"/>
      <c r="DF51" s="266"/>
      <c r="DG51" s="266"/>
      <c r="DH51" s="266"/>
      <c r="DI51" s="266"/>
      <c r="DJ51" s="266"/>
    </row>
    <row r="52" spans="1:114" s="1" customFormat="1" ht="12.75" hidden="1" customHeight="1" outlineLevel="1">
      <c r="A52" s="504" t="s">
        <v>85</v>
      </c>
      <c r="B52" s="368" t="str">
        <f>IF(ISERROR((B51-#REF!)/#REF!),"",(B51-#REF!)/#REF!)</f>
        <v/>
      </c>
      <c r="C52" s="18" t="str">
        <f>IF(ISERROR((C51-#REF!)/#REF!),"",(C51-#REF!)/#REF!)</f>
        <v/>
      </c>
      <c r="D52" s="18" t="str">
        <f>IF(ISERROR((D51-#REF!)/#REF!),"",(D51-#REF!)/#REF!)</f>
        <v/>
      </c>
      <c r="E52" s="18" t="str">
        <f>IF(ISERROR((E51-#REF!)/#REF!),"",(E51-#REF!)/#REF!)</f>
        <v/>
      </c>
      <c r="F52" s="60"/>
      <c r="G52" s="18" t="str">
        <f t="shared" ref="G52:U52" si="224">IF(ISERROR((G51-B51)/B51),"",(G51-B51)/B51)</f>
        <v/>
      </c>
      <c r="H52" s="18" t="str">
        <f t="shared" si="224"/>
        <v/>
      </c>
      <c r="I52" s="18" t="str">
        <f t="shared" si="224"/>
        <v/>
      </c>
      <c r="J52" s="18" t="str">
        <f t="shared" si="224"/>
        <v/>
      </c>
      <c r="K52" s="60" t="str">
        <f t="shared" si="224"/>
        <v/>
      </c>
      <c r="L52" s="18" t="str">
        <f t="shared" si="224"/>
        <v/>
      </c>
      <c r="M52" s="18" t="str">
        <f t="shared" si="224"/>
        <v/>
      </c>
      <c r="N52" s="18" t="str">
        <f t="shared" si="224"/>
        <v/>
      </c>
      <c r="O52" s="18" t="str">
        <f t="shared" si="224"/>
        <v/>
      </c>
      <c r="P52" s="60" t="str">
        <f t="shared" si="224"/>
        <v/>
      </c>
      <c r="Q52" s="18" t="str">
        <f t="shared" si="224"/>
        <v/>
      </c>
      <c r="R52" s="18" t="str">
        <f t="shared" si="224"/>
        <v/>
      </c>
      <c r="S52" s="18" t="str">
        <f t="shared" si="224"/>
        <v/>
      </c>
      <c r="T52" s="18" t="str">
        <f t="shared" si="224"/>
        <v/>
      </c>
      <c r="U52" s="60" t="str">
        <f t="shared" si="224"/>
        <v/>
      </c>
      <c r="V52" s="18">
        <f t="shared" ref="V52:AS52" si="225">(V51-Q51)/Q51</f>
        <v>-0.10131712259371976</v>
      </c>
      <c r="W52" s="18">
        <f t="shared" si="225"/>
        <v>-0.2214285714285725</v>
      </c>
      <c r="X52" s="18">
        <f t="shared" si="225"/>
        <v>-0.24299835255354077</v>
      </c>
      <c r="Y52" s="18">
        <f t="shared" si="225"/>
        <v>0.2725615314494067</v>
      </c>
      <c r="Z52" s="60">
        <f t="shared" si="225"/>
        <v>-8.2272926722246967E-2</v>
      </c>
      <c r="AA52" s="18">
        <f t="shared" si="225"/>
        <v>0.58962795941375679</v>
      </c>
      <c r="AB52" s="18">
        <f t="shared" si="225"/>
        <v>0.67991845056065414</v>
      </c>
      <c r="AC52" s="18">
        <f t="shared" si="225"/>
        <v>1.0533188248095713</v>
      </c>
      <c r="AD52" s="18">
        <f t="shared" si="225"/>
        <v>0.23782234957019843</v>
      </c>
      <c r="AE52" s="60">
        <f t="shared" si="225"/>
        <v>0.59526655510399162</v>
      </c>
      <c r="AF52" s="18">
        <f t="shared" si="225"/>
        <v>0.22411347517730545</v>
      </c>
      <c r="AG52" s="18">
        <f t="shared" si="225"/>
        <v>1.3956310679610371E-2</v>
      </c>
      <c r="AH52" s="18">
        <f t="shared" si="225"/>
        <v>-1.7488076311604532E-2</v>
      </c>
      <c r="AI52" s="18">
        <f t="shared" si="225"/>
        <v>-0.11053240740740693</v>
      </c>
      <c r="AJ52" s="60">
        <f t="shared" si="225"/>
        <v>1.7233628053349624E-2</v>
      </c>
      <c r="AK52" s="18">
        <f t="shared" si="225"/>
        <v>-8.1691772885283856E-2</v>
      </c>
      <c r="AL52" s="18">
        <f t="shared" si="225"/>
        <v>8.2585278276481114E-2</v>
      </c>
      <c r="AM52" s="18">
        <f t="shared" si="225"/>
        <v>4.0453074433656595E-2</v>
      </c>
      <c r="AN52" s="18">
        <f t="shared" si="225"/>
        <v>0.61678594664931863</v>
      </c>
      <c r="AO52" s="60">
        <f t="shared" si="225"/>
        <v>0.15026517383618174</v>
      </c>
      <c r="AP52" s="18">
        <f>(AP51-AK51)/AK51</f>
        <v>0.50536277602523638</v>
      </c>
      <c r="AQ52" s="18">
        <f t="shared" si="225"/>
        <v>0.41680486456606047</v>
      </c>
      <c r="AR52" s="18">
        <f t="shared" si="225"/>
        <v>0.37273198548470804</v>
      </c>
      <c r="AS52" s="18">
        <f t="shared" si="225"/>
        <v>6.3179074446678626E-2</v>
      </c>
      <c r="AT52" s="60">
        <f t="shared" ref="AT52:BB52" si="226">(AT51-AO51)/AO51</f>
        <v>0.31134733606557391</v>
      </c>
      <c r="AU52" s="18">
        <f t="shared" si="226"/>
        <v>0.13704945515507116</v>
      </c>
      <c r="AV52" s="18">
        <f t="shared" si="226"/>
        <v>1.1841591884510314</v>
      </c>
      <c r="AW52" s="18">
        <f t="shared" si="226"/>
        <v>1.378021148036253</v>
      </c>
      <c r="AX52" s="18">
        <f t="shared" si="226"/>
        <v>1.3467070401211234</v>
      </c>
      <c r="AY52" s="368">
        <f t="shared" si="226"/>
        <v>1.0322297099326105</v>
      </c>
      <c r="AZ52" s="368">
        <f t="shared" si="226"/>
        <v>0.84297825285661565</v>
      </c>
      <c r="BA52" s="18">
        <f t="shared" si="226"/>
        <v>0.53626295105394806</v>
      </c>
      <c r="BB52" s="18">
        <f t="shared" si="226"/>
        <v>1.7155788470700348</v>
      </c>
      <c r="BC52" s="18">
        <f t="shared" ref="BC52:BG52" si="227">(BC51-AX51)/AX51</f>
        <v>1.5967741935483861</v>
      </c>
      <c r="BD52" s="1936">
        <f t="shared" ref="BD52" si="228">(BD51-AY51)/AY51</f>
        <v>1.2491349480968861</v>
      </c>
      <c r="BE52" s="18">
        <f t="shared" si="227"/>
        <v>1.8800000000000001</v>
      </c>
      <c r="BF52" s="18">
        <f t="shared" si="227"/>
        <v>0.67441860465116288</v>
      </c>
      <c r="BG52" s="18">
        <f t="shared" si="227"/>
        <v>-0.15204678362573107</v>
      </c>
      <c r="BH52" s="18">
        <f t="shared" ref="BH52" si="229">(BH51-BC51)/BC51</f>
        <v>-0.2795031055900622</v>
      </c>
      <c r="BI52" s="1936">
        <f t="shared" ref="BI52:BL52" si="230">(BI51-BD51)/BD51</f>
        <v>0.17307692307692293</v>
      </c>
      <c r="BJ52" s="18">
        <f t="shared" si="230"/>
        <v>-0.14583333333333331</v>
      </c>
      <c r="BK52" s="18">
        <f t="shared" si="230"/>
        <v>-0.13194444444444448</v>
      </c>
      <c r="BL52" s="18">
        <f t="shared" si="230"/>
        <v>-0.11034482758620687</v>
      </c>
      <c r="BM52" s="18">
        <f t="shared" ref="BM52" si="231">(BM51-BH51)/BH51</f>
        <v>0.14655172413793113</v>
      </c>
      <c r="BN52" s="1936">
        <f t="shared" ref="BN52" si="232">(BN51-BI51)/BI51</f>
        <v>-7.10382513661202E-2</v>
      </c>
      <c r="BO52" s="368"/>
      <c r="BP52" s="18"/>
      <c r="BQ52" s="18"/>
      <c r="BR52" s="2162"/>
      <c r="BS52" s="1936"/>
      <c r="BT52" s="18"/>
      <c r="BU52" s="18"/>
      <c r="BV52" s="18"/>
      <c r="BW52" s="18"/>
      <c r="BX52" s="60"/>
      <c r="BY52" s="18"/>
      <c r="BZ52" s="18"/>
      <c r="CA52" s="18"/>
      <c r="CB52" s="18"/>
      <c r="CC52" s="60"/>
      <c r="CD52" s="191"/>
      <c r="CE52" s="111"/>
      <c r="CF52" s="173"/>
      <c r="CG52" s="173"/>
      <c r="CH52" s="173"/>
      <c r="CI52" s="239"/>
      <c r="CJ52" s="177"/>
      <c r="CK52" s="2070"/>
      <c r="CL52" s="18">
        <f t="shared" si="214"/>
        <v>0.14655172413793113</v>
      </c>
      <c r="CM52" s="18">
        <f t="shared" si="215"/>
        <v>-0.2795031055900622</v>
      </c>
      <c r="CN52" s="18"/>
      <c r="CO52" s="2107">
        <f>IFERROR(($CL52-CM52)*10000,"")</f>
        <v>4260.5482972799336</v>
      </c>
      <c r="CP52" s="2107"/>
      <c r="CQ52" s="374"/>
      <c r="CR52" s="40"/>
      <c r="CS52" s="40"/>
      <c r="CT52" s="40"/>
      <c r="CU52" s="40"/>
      <c r="CV52" s="40"/>
      <c r="CW52" s="40"/>
      <c r="CX52" s="40"/>
      <c r="CY52" s="139"/>
      <c r="CZ52"/>
      <c r="DA52"/>
      <c r="DB52"/>
      <c r="DC52"/>
      <c r="DD52"/>
      <c r="DE52"/>
      <c r="DF52" s="3"/>
      <c r="DG52" s="3"/>
      <c r="DH52" s="3"/>
      <c r="DI52" s="3"/>
      <c r="DJ52" s="3"/>
    </row>
    <row r="53" spans="1:114" s="176" customFormat="1" ht="12.75" hidden="1" customHeight="1" outlineLevel="1">
      <c r="A53" s="501" t="s">
        <v>562</v>
      </c>
      <c r="B53" s="546" t="str">
        <f>IF(ISERROR(B56/#REF!),"",B56/#REF!)</f>
        <v/>
      </c>
      <c r="C53" s="374" t="str">
        <f>IF(ISERROR(C56/#REF!),"",C56/#REF!)</f>
        <v/>
      </c>
      <c r="D53" s="374" t="str">
        <f>IF(ISERROR(D56/#REF!),"",D56/#REF!)</f>
        <v/>
      </c>
      <c r="E53" s="374" t="str">
        <f>IF(ISERROR(E56/#REF!),"",E56/#REF!)</f>
        <v/>
      </c>
      <c r="F53" s="376">
        <f t="shared" ref="F53:AK53" si="233">+F56/F9</f>
        <v>0.2257578799437864</v>
      </c>
      <c r="G53" s="374">
        <f t="shared" si="233"/>
        <v>0.25389848246991109</v>
      </c>
      <c r="H53" s="374">
        <f t="shared" si="233"/>
        <v>0.25746402877697849</v>
      </c>
      <c r="I53" s="374">
        <f t="shared" si="233"/>
        <v>0.26227997419592669</v>
      </c>
      <c r="J53" s="374">
        <f t="shared" si="233"/>
        <v>0.24941397093295739</v>
      </c>
      <c r="K53" s="376">
        <f t="shared" si="233"/>
        <v>0.25586025455665884</v>
      </c>
      <c r="L53" s="374">
        <f t="shared" si="233"/>
        <v>0.26276864178195436</v>
      </c>
      <c r="M53" s="374">
        <f t="shared" si="233"/>
        <v>0.2538650484034099</v>
      </c>
      <c r="N53" s="374">
        <f t="shared" si="233"/>
        <v>0.22823564638071708</v>
      </c>
      <c r="O53" s="374">
        <f t="shared" si="233"/>
        <v>0.23401764108968851</v>
      </c>
      <c r="P53" s="376">
        <f t="shared" si="233"/>
        <v>0.24426754684011259</v>
      </c>
      <c r="Q53" s="374">
        <f t="shared" si="233"/>
        <v>0.23316605497715526</v>
      </c>
      <c r="R53" s="374">
        <f t="shared" si="233"/>
        <v>0.21457774370767854</v>
      </c>
      <c r="S53" s="374">
        <f t="shared" si="233"/>
        <v>0.19459302325581393</v>
      </c>
      <c r="T53" s="374">
        <f t="shared" si="233"/>
        <v>0.17939754555596882</v>
      </c>
      <c r="U53" s="376">
        <f t="shared" si="233"/>
        <v>0.20504610226320205</v>
      </c>
      <c r="V53" s="374">
        <f t="shared" si="233"/>
        <v>0.18860142482189723</v>
      </c>
      <c r="W53" s="374">
        <f t="shared" si="233"/>
        <v>0.18641454309365363</v>
      </c>
      <c r="X53" s="374">
        <f t="shared" si="233"/>
        <v>0.18412912659580458</v>
      </c>
      <c r="Y53" s="374">
        <f t="shared" si="233"/>
        <v>0.15692747339377219</v>
      </c>
      <c r="Z53" s="376">
        <f t="shared" si="233"/>
        <v>0.17633091522426186</v>
      </c>
      <c r="AA53" s="374">
        <f t="shared" si="233"/>
        <v>0.18981122317041632</v>
      </c>
      <c r="AB53" s="374">
        <f t="shared" si="233"/>
        <v>0.19170101458465433</v>
      </c>
      <c r="AC53" s="374">
        <f t="shared" si="233"/>
        <v>0.19595616721396153</v>
      </c>
      <c r="AD53" s="374">
        <f t="shared" si="233"/>
        <v>0.14418455623197693</v>
      </c>
      <c r="AE53" s="376">
        <f t="shared" si="233"/>
        <v>0.18023965727767544</v>
      </c>
      <c r="AF53" s="374">
        <f t="shared" si="233"/>
        <v>0.17036482694106644</v>
      </c>
      <c r="AG53" s="374">
        <f t="shared" si="233"/>
        <v>0.15083874004101247</v>
      </c>
      <c r="AH53" s="374">
        <f t="shared" si="233"/>
        <v>0.15815569240486338</v>
      </c>
      <c r="AI53" s="374">
        <f t="shared" si="233"/>
        <v>0.14839025413360371</v>
      </c>
      <c r="AJ53" s="376">
        <f t="shared" si="233"/>
        <v>0.15669327759884877</v>
      </c>
      <c r="AK53" s="374">
        <f t="shared" si="233"/>
        <v>0.17095030974034539</v>
      </c>
      <c r="AL53" s="374">
        <f t="shared" ref="AL53:BJ53" si="234">+AL56/AL9</f>
        <v>0.16804685922035956</v>
      </c>
      <c r="AM53" s="374">
        <f t="shared" si="234"/>
        <v>0.14296187683284456</v>
      </c>
      <c r="AN53" s="374">
        <f t="shared" si="234"/>
        <v>0.1413220658888126</v>
      </c>
      <c r="AO53" s="376">
        <f t="shared" si="234"/>
        <v>0.15067449162133545</v>
      </c>
      <c r="AP53" s="374">
        <f t="shared" si="234"/>
        <v>0.13587973164879294</v>
      </c>
      <c r="AQ53" s="374">
        <f t="shared" si="234"/>
        <v>0.13773654611879638</v>
      </c>
      <c r="AR53" s="374">
        <f t="shared" si="234"/>
        <v>0.14469210714884678</v>
      </c>
      <c r="AS53" s="374">
        <f t="shared" si="234"/>
        <v>0.15071618538468795</v>
      </c>
      <c r="AT53" s="376">
        <f t="shared" si="234"/>
        <v>0.14299397104352213</v>
      </c>
      <c r="AU53" s="374">
        <f t="shared" si="234"/>
        <v>0.17539168698674282</v>
      </c>
      <c r="AV53" s="374">
        <f t="shared" si="234"/>
        <v>0.20109127897234755</v>
      </c>
      <c r="AW53" s="374">
        <f t="shared" si="234"/>
        <v>0.19362571948069993</v>
      </c>
      <c r="AX53" s="374">
        <f t="shared" si="234"/>
        <v>0.19321817018554063</v>
      </c>
      <c r="AY53" s="546">
        <f t="shared" si="234"/>
        <v>0.19343897500121443</v>
      </c>
      <c r="AZ53" s="546">
        <f t="shared" si="234"/>
        <v>0.20067322630761264</v>
      </c>
      <c r="BA53" s="374">
        <f t="shared" si="234"/>
        <v>0.20137545669460563</v>
      </c>
      <c r="BB53" s="374">
        <f t="shared" si="234"/>
        <v>0.20559467918622848</v>
      </c>
      <c r="BC53" s="374">
        <f t="shared" si="234"/>
        <v>0.20311679215548939</v>
      </c>
      <c r="BD53" s="1944">
        <f t="shared" si="234"/>
        <v>0.20247741935483868</v>
      </c>
      <c r="BE53" s="546">
        <f t="shared" si="234"/>
        <v>0.17866198556660812</v>
      </c>
      <c r="BF53" s="374">
        <f t="shared" si="234"/>
        <v>0.16971681756886917</v>
      </c>
      <c r="BG53" s="374">
        <f t="shared" si="234"/>
        <v>0.16293166789125643</v>
      </c>
      <c r="BH53" s="374">
        <f t="shared" si="234"/>
        <v>0.1608439986163957</v>
      </c>
      <c r="BI53" s="1944">
        <f t="shared" si="234"/>
        <v>0.16774972150018561</v>
      </c>
      <c r="BJ53" s="546">
        <f t="shared" si="234"/>
        <v>0.15675182481751826</v>
      </c>
      <c r="BK53" s="374">
        <f t="shared" ref="BK53:BN53" si="235">+BK56/BK9</f>
        <v>0.14642669928359253</v>
      </c>
      <c r="BL53" s="374">
        <f t="shared" si="235"/>
        <v>0.15017499204581611</v>
      </c>
      <c r="BM53" s="374">
        <f t="shared" si="235"/>
        <v>0.16994656588035972</v>
      </c>
      <c r="BN53" s="1944">
        <f t="shared" si="235"/>
        <v>0.15678403942452906</v>
      </c>
      <c r="BO53" s="2347"/>
      <c r="BP53" s="377"/>
      <c r="BQ53" s="377"/>
      <c r="BR53" s="2164"/>
      <c r="BS53" s="1944"/>
      <c r="BT53" s="377"/>
      <c r="BU53" s="377"/>
      <c r="BV53" s="377"/>
      <c r="BW53" s="377"/>
      <c r="BX53" s="378"/>
      <c r="BY53" s="377"/>
      <c r="BZ53" s="377"/>
      <c r="CA53" s="377"/>
      <c r="CB53" s="377"/>
      <c r="CC53" s="378"/>
      <c r="CD53" s="193"/>
      <c r="CE53" s="113"/>
      <c r="CF53" s="173"/>
      <c r="CG53" s="173"/>
      <c r="CH53" s="173"/>
      <c r="CI53" s="239"/>
      <c r="CJ53" s="177"/>
      <c r="CK53" s="2070"/>
      <c r="CL53" s="374">
        <f t="shared" si="214"/>
        <v>0.16994656588035972</v>
      </c>
      <c r="CM53" s="374">
        <f t="shared" si="215"/>
        <v>0.1608439986163957</v>
      </c>
      <c r="CN53" s="377"/>
      <c r="CO53" s="2109">
        <f>IFERROR(($CL53-CM53)*10000,"")</f>
        <v>91.025672639640234</v>
      </c>
      <c r="CP53" s="2109"/>
      <c r="CQ53" s="40" t="s">
        <v>539</v>
      </c>
      <c r="CR53" s="16"/>
      <c r="CS53" s="16"/>
      <c r="CT53" s="16"/>
      <c r="CU53" s="16"/>
      <c r="CV53" s="16"/>
      <c r="CW53" s="16"/>
      <c r="CX53" s="16"/>
      <c r="CY53" s="141"/>
      <c r="CZ53"/>
      <c r="DA53"/>
      <c r="DB53"/>
      <c r="DC53"/>
      <c r="DD53"/>
      <c r="DE53"/>
      <c r="DF53" s="8"/>
      <c r="DG53" s="8"/>
      <c r="DH53" s="8"/>
      <c r="DI53" s="8"/>
      <c r="DJ53" s="8"/>
    </row>
    <row r="54" spans="1:114" s="179" customFormat="1" ht="12.75" hidden="1" customHeight="1" outlineLevel="1">
      <c r="A54" s="502" t="s">
        <v>86</v>
      </c>
      <c r="B54" s="548" t="str">
        <f>IF(ISERROR((B53-#REF!)*100),"",(B53-#REF!)*100)</f>
        <v/>
      </c>
      <c r="C54" s="197" t="str">
        <f>IF(ISERROR((C53-#REF!)*100),"",(C53-#REF!)*100)</f>
        <v/>
      </c>
      <c r="D54" s="197" t="str">
        <f>IF(ISERROR((D53-#REF!)*100),"",(D53-#REF!)*100)</f>
        <v/>
      </c>
      <c r="E54" s="197" t="str">
        <f>IF(ISERROR((E53-#REF!)*100),"",(E53-#REF!)*100)</f>
        <v/>
      </c>
      <c r="F54" s="430"/>
      <c r="G54" s="197"/>
      <c r="H54" s="197"/>
      <c r="I54" s="197"/>
      <c r="J54" s="197"/>
      <c r="K54" s="430"/>
      <c r="L54" s="197"/>
      <c r="M54" s="197"/>
      <c r="N54" s="197"/>
      <c r="O54" s="197"/>
      <c r="P54" s="430"/>
      <c r="Q54" s="197"/>
      <c r="R54" s="197"/>
      <c r="S54" s="197"/>
      <c r="T54" s="197"/>
      <c r="U54" s="430"/>
      <c r="V54" s="197"/>
      <c r="W54" s="197"/>
      <c r="X54" s="197"/>
      <c r="Y54" s="197"/>
      <c r="Z54" s="430"/>
      <c r="AA54" s="197"/>
      <c r="AB54" s="197"/>
      <c r="AC54" s="197"/>
      <c r="AD54" s="197"/>
      <c r="AE54" s="430"/>
      <c r="AF54" s="197"/>
      <c r="AG54" s="197"/>
      <c r="AH54" s="197"/>
      <c r="AI54" s="197"/>
      <c r="AJ54" s="430"/>
      <c r="AK54" s="197">
        <f>(AK53-AF53)*100</f>
        <v>5.8548279927894686E-2</v>
      </c>
      <c r="AL54" s="197">
        <f>(AL53-AG53)*100</f>
        <v>1.7208119179347086</v>
      </c>
      <c r="AM54" s="197">
        <f>(AM53-AH53)*100</f>
        <v>-1.5193815572018821</v>
      </c>
      <c r="AN54" s="457">
        <f>(AN53-AI53)*100</f>
        <v>-0.70681882447911071</v>
      </c>
      <c r="AO54" s="430"/>
      <c r="AP54" s="197">
        <f t="shared" ref="AP54" si="236">(AP53-AK53)*100</f>
        <v>-3.5070578091552451</v>
      </c>
      <c r="AQ54" s="197">
        <f t="shared" ref="AQ54" si="237">(AQ53-AL53)*100</f>
        <v>-3.031031310156318</v>
      </c>
      <c r="AR54" s="197">
        <f t="shared" ref="AR54" si="238">(AR53-AM53)*100</f>
        <v>0.17302303160022237</v>
      </c>
      <c r="AS54" s="457">
        <f t="shared" ref="AS54" si="239">(AS53-AN53)*100</f>
        <v>0.93941194958753471</v>
      </c>
      <c r="AT54" s="430">
        <f t="shared" ref="AT54" si="240">(AT53-AO53)*100</f>
        <v>-0.76805205778133212</v>
      </c>
      <c r="AU54" s="197">
        <f t="shared" ref="AU54" si="241">(AU53-AP53)*100</f>
        <v>3.951195533794988</v>
      </c>
      <c r="AV54" s="197">
        <f t="shared" ref="AV54" si="242">(AV53-AQ53)*100</f>
        <v>6.3354732853551168</v>
      </c>
      <c r="AW54" s="197">
        <f t="shared" ref="AW54" si="243">(AW53-AR53)*100</f>
        <v>4.8933612331853142</v>
      </c>
      <c r="AX54" s="457">
        <f t="shared" ref="AX54" si="244">(AX53-AS53)*100</f>
        <v>4.2501984800852686</v>
      </c>
      <c r="AY54" s="548">
        <f t="shared" ref="AY54" si="245">(AY53-AT53)*100</f>
        <v>5.04450039576923</v>
      </c>
      <c r="AZ54" s="548">
        <f t="shared" ref="AZ54" si="246">(AZ53-AU53)*100</f>
        <v>2.5281539320869824</v>
      </c>
      <c r="BA54" s="197">
        <f t="shared" ref="BA54" si="247">(BA53-AV53)*100</f>
        <v>2.8417772225808324E-2</v>
      </c>
      <c r="BB54" s="197">
        <f t="shared" ref="BB54" si="248">(BB53-AW53)*100</f>
        <v>1.1968959705528555</v>
      </c>
      <c r="BC54" s="457">
        <f t="shared" ref="BC54" si="249">(BC53-AX53)*100</f>
        <v>0.98986219699487565</v>
      </c>
      <c r="BD54" s="1948">
        <f t="shared" ref="BD54" si="250">(BD53-AY53)*100</f>
        <v>0.90384443536242476</v>
      </c>
      <c r="BE54" s="197">
        <f t="shared" ref="BE54:BG54" si="251">(BE53-AZ53)*100</f>
        <v>-2.2011240741004521</v>
      </c>
      <c r="BF54" s="197">
        <f t="shared" si="251"/>
        <v>-3.1658639125736467</v>
      </c>
      <c r="BG54" s="197">
        <f t="shared" si="251"/>
        <v>-4.2663011294972044</v>
      </c>
      <c r="BH54" s="457">
        <f t="shared" ref="BH54" si="252">(BH53-BC53)*100</f>
        <v>-4.2272793539093687</v>
      </c>
      <c r="BI54" s="1948">
        <f t="shared" ref="BI54:BL54" si="253">(BI53-BD53)*100</f>
        <v>-3.4727697854653075</v>
      </c>
      <c r="BJ54" s="197">
        <f t="shared" si="253"/>
        <v>-2.191016074908986</v>
      </c>
      <c r="BK54" s="197">
        <f t="shared" si="253"/>
        <v>-2.3290118285276633</v>
      </c>
      <c r="BL54" s="197">
        <f t="shared" si="253"/>
        <v>-1.2756675845440324</v>
      </c>
      <c r="BM54" s="457">
        <f t="shared" ref="BM54" si="254">(BM53-BH53)*100</f>
        <v>0.91025672639640232</v>
      </c>
      <c r="BN54" s="1948">
        <f t="shared" ref="BN54" si="255">(BN53-BI53)*100</f>
        <v>-1.096568207565654</v>
      </c>
      <c r="BO54" s="548"/>
      <c r="BP54" s="197"/>
      <c r="BQ54" s="197"/>
      <c r="BR54" s="457"/>
      <c r="BS54" s="1948"/>
      <c r="BX54" s="430"/>
      <c r="CC54" s="430"/>
      <c r="CD54" s="197"/>
      <c r="CE54" s="117"/>
      <c r="CF54" s="173"/>
      <c r="CG54" s="173"/>
      <c r="CH54" s="173"/>
      <c r="CI54" s="239"/>
      <c r="CJ54" s="177"/>
      <c r="CK54" s="2070"/>
      <c r="CL54" s="197">
        <f t="shared" si="214"/>
        <v>0.91025672639640232</v>
      </c>
      <c r="CM54" s="197">
        <f t="shared" si="215"/>
        <v>-4.2272793539093687</v>
      </c>
      <c r="CN54" s="197"/>
      <c r="CO54" s="197"/>
      <c r="CP54" s="197"/>
      <c r="CQ54" s="1928"/>
      <c r="CR54" s="93"/>
      <c r="CS54" s="93"/>
      <c r="CT54" s="93"/>
      <c r="CU54" s="93"/>
      <c r="CV54" s="93"/>
      <c r="CW54" s="93"/>
      <c r="CX54" s="93"/>
      <c r="CY54" s="119"/>
      <c r="CZ54"/>
      <c r="DA54"/>
      <c r="DB54"/>
      <c r="DC54"/>
      <c r="DD54"/>
      <c r="DE54"/>
      <c r="DF54" s="90"/>
      <c r="DG54" s="90"/>
      <c r="DH54" s="90"/>
      <c r="DI54" s="90"/>
      <c r="DJ54" s="90"/>
    </row>
    <row r="55" spans="1:114" s="1" customFormat="1" ht="12.75" hidden="1" customHeight="1" outlineLevel="1">
      <c r="A55" s="76" t="s">
        <v>88</v>
      </c>
      <c r="B55" s="549" t="str">
        <f>IF(ISERROR((B53-#REF!)*100),"",(B53-#REF!)*100)</f>
        <v/>
      </c>
      <c r="C55" s="194" t="str">
        <f>IF(ISERROR((C53-#REF!)*100),"",(C53-#REF!)*100)</f>
        <v/>
      </c>
      <c r="D55" s="194" t="str">
        <f>IF(ISERROR((D53-B53)*100),"",(D53-B53)*100)</f>
        <v/>
      </c>
      <c r="E55" s="194" t="str">
        <f>IF(ISERROR((E53-C53)*100),"",(E53-C53)*100)</f>
        <v/>
      </c>
      <c r="F55" s="431"/>
      <c r="G55" s="194"/>
      <c r="H55" s="194"/>
      <c r="I55" s="194"/>
      <c r="J55" s="194"/>
      <c r="K55" s="431"/>
      <c r="L55" s="194"/>
      <c r="M55" s="194"/>
      <c r="N55" s="194"/>
      <c r="O55" s="194"/>
      <c r="P55" s="431"/>
      <c r="Q55" s="194"/>
      <c r="R55" s="194"/>
      <c r="S55" s="194"/>
      <c r="T55" s="194"/>
      <c r="U55" s="431"/>
      <c r="V55" s="194"/>
      <c r="W55" s="194"/>
      <c r="X55" s="194"/>
      <c r="Y55" s="194"/>
      <c r="Z55" s="431"/>
      <c r="AA55" s="194"/>
      <c r="AB55" s="194"/>
      <c r="AC55" s="194"/>
      <c r="AD55" s="194"/>
      <c r="AE55" s="431"/>
      <c r="AF55" s="194"/>
      <c r="AG55" s="194"/>
      <c r="AH55" s="194"/>
      <c r="AI55" s="194"/>
      <c r="AJ55" s="431"/>
      <c r="AK55" s="194">
        <f>(AK53-AI53)*100</f>
        <v>2.256005560674168</v>
      </c>
      <c r="AL55" s="194">
        <f>(AL53-AK53)*100</f>
        <v>-0.2903450519985834</v>
      </c>
      <c r="AM55" s="194">
        <f>(AM53-AL53)*100</f>
        <v>-2.5084982387514998</v>
      </c>
      <c r="AN55" s="194">
        <f>(AN53-AM53)*100</f>
        <v>-0.16398109440319553</v>
      </c>
      <c r="AO55" s="431"/>
      <c r="AP55" s="194">
        <f>(AP53-AN53)*100</f>
        <v>-0.54423342400196639</v>
      </c>
      <c r="AQ55" s="194">
        <f>(AQ53-AP53)*100</f>
        <v>0.18568144700034372</v>
      </c>
      <c r="AR55" s="194">
        <f>(AR53-AQ53)*100</f>
        <v>0.69555610300504056</v>
      </c>
      <c r="AS55" s="194">
        <f>(AS53-AR53)*100</f>
        <v>0.60240782358411682</v>
      </c>
      <c r="AT55" s="431"/>
      <c r="AU55" s="194">
        <f>(AU53-AS53)*100</f>
        <v>2.4675501602054868</v>
      </c>
      <c r="AV55" s="194">
        <f>(AV53-AU53)*100</f>
        <v>2.5699591985604728</v>
      </c>
      <c r="AW55" s="194">
        <f>(AW53-AV53)*100</f>
        <v>-0.7465559491647622</v>
      </c>
      <c r="AX55" s="194">
        <f>(AX53-AW53)*100</f>
        <v>-4.0754929515929295E-2</v>
      </c>
      <c r="AY55" s="549"/>
      <c r="AZ55" s="549">
        <f>(AZ53-AX53)*100</f>
        <v>0.74550561220720069</v>
      </c>
      <c r="BA55" s="194">
        <f>(BA53-AZ53)*100</f>
        <v>7.0223038699299134E-2</v>
      </c>
      <c r="BB55" s="194">
        <f>(BB53-BA53)*100</f>
        <v>0.42192224916228482</v>
      </c>
      <c r="BC55" s="194">
        <f>(BC53-BB53)*100</f>
        <v>-0.24778870307390899</v>
      </c>
      <c r="BD55" s="1949"/>
      <c r="BE55" s="194">
        <f>(BE53-BD53)*100</f>
        <v>-2.3815433788230562</v>
      </c>
      <c r="BF55" s="194">
        <f>(BF53-BE53)*100</f>
        <v>-0.89451679977389509</v>
      </c>
      <c r="BG55" s="194">
        <f>(BG53-BF53)*100</f>
        <v>-0.6785149677612734</v>
      </c>
      <c r="BH55" s="194">
        <f>(BH53-BG53)*100</f>
        <v>-0.20876692748607317</v>
      </c>
      <c r="BI55" s="1949"/>
      <c r="BJ55" s="194">
        <f>(BJ53-BI53)*100</f>
        <v>-1.0997896682667347</v>
      </c>
      <c r="BK55" s="194">
        <f>(BK53-BJ53)*100</f>
        <v>-1.0325125533925728</v>
      </c>
      <c r="BL55" s="194">
        <f>(BL53-BK53)*100</f>
        <v>0.37482927622235762</v>
      </c>
      <c r="BM55" s="194">
        <f>(BM53-BL53)*100</f>
        <v>1.9771573834543616</v>
      </c>
      <c r="BN55" s="1949"/>
      <c r="BO55" s="549"/>
      <c r="BP55" s="194"/>
      <c r="BQ55" s="194"/>
      <c r="BR55" s="2183"/>
      <c r="BS55" s="1949"/>
      <c r="BT55" s="194"/>
      <c r="BU55" s="194"/>
      <c r="BV55" s="194"/>
      <c r="BW55" s="194"/>
      <c r="BX55" s="458"/>
      <c r="BY55" s="194"/>
      <c r="BZ55" s="194"/>
      <c r="CA55" s="194"/>
      <c r="CB55" s="194"/>
      <c r="CC55" s="458"/>
      <c r="CD55" s="194"/>
      <c r="CE55" s="114"/>
      <c r="CF55" s="173"/>
      <c r="CG55" s="173"/>
      <c r="CH55" s="173"/>
      <c r="CI55" s="239"/>
      <c r="CJ55" s="177"/>
      <c r="CK55" s="2070"/>
      <c r="CL55" s="194">
        <f t="shared" si="214"/>
        <v>1.9771573834543616</v>
      </c>
      <c r="CM55" s="194">
        <f t="shared" si="215"/>
        <v>-0.20876692748607317</v>
      </c>
      <c r="CN55" s="194"/>
      <c r="CO55" s="194"/>
      <c r="CP55" s="194"/>
      <c r="CQ55" s="44"/>
      <c r="CR55" s="40"/>
      <c r="CS55" s="40"/>
      <c r="CT55" s="40"/>
      <c r="CU55" s="40"/>
      <c r="CV55" s="40"/>
      <c r="CW55" s="40"/>
      <c r="CX55" s="40"/>
      <c r="CY55" s="139"/>
      <c r="CZ55"/>
      <c r="DA55"/>
      <c r="DB55"/>
      <c r="DC55"/>
      <c r="DD55"/>
      <c r="DE55"/>
      <c r="DF55" s="3"/>
      <c r="DG55" s="3"/>
      <c r="DH55" s="3"/>
      <c r="DI55" s="3"/>
      <c r="DJ55" s="3"/>
    </row>
    <row r="56" spans="1:114" s="262" customFormat="1" ht="12.75" hidden="1" customHeight="1" outlineLevel="1" collapsed="1">
      <c r="A56" s="503" t="s">
        <v>563</v>
      </c>
      <c r="B56" s="543"/>
      <c r="F56" s="265">
        <f>+F61+F66</f>
        <v>8.9960000000000004</v>
      </c>
      <c r="G56" s="262">
        <f t="shared" ref="G56:BD56" si="256">+G61+G66</f>
        <v>2.4260000000000002</v>
      </c>
      <c r="H56" s="262">
        <f t="shared" si="256"/>
        <v>2.8630000000000013</v>
      </c>
      <c r="I56" s="262">
        <f t="shared" si="256"/>
        <v>2.8460000000000001</v>
      </c>
      <c r="J56" s="262">
        <f t="shared" si="256"/>
        <v>2.6599999999999895</v>
      </c>
      <c r="K56" s="265">
        <f t="shared" si="256"/>
        <v>10.794999999999991</v>
      </c>
      <c r="L56" s="262">
        <f t="shared" si="256"/>
        <v>3.0200000000000014</v>
      </c>
      <c r="M56" s="262">
        <f t="shared" si="256"/>
        <v>3.5139999999999993</v>
      </c>
      <c r="N56" s="262">
        <f t="shared" si="256"/>
        <v>3.0489999999999995</v>
      </c>
      <c r="O56" s="262">
        <f t="shared" si="256"/>
        <v>2.9979999999999993</v>
      </c>
      <c r="P56" s="265">
        <f t="shared" si="256"/>
        <v>12.581</v>
      </c>
      <c r="Q56" s="262">
        <f t="shared" si="256"/>
        <v>3.1129999999999995</v>
      </c>
      <c r="R56" s="262">
        <f t="shared" si="256"/>
        <v>3.359</v>
      </c>
      <c r="S56" s="262">
        <f t="shared" si="256"/>
        <v>3.3469999999999995</v>
      </c>
      <c r="T56" s="262">
        <f t="shared" si="256"/>
        <v>2.4120000000000008</v>
      </c>
      <c r="U56" s="265">
        <f t="shared" si="256"/>
        <v>12.231</v>
      </c>
      <c r="V56" s="262">
        <f t="shared" si="256"/>
        <v>2.0119999999999996</v>
      </c>
      <c r="W56" s="262">
        <f t="shared" si="256"/>
        <v>2.2969999999999997</v>
      </c>
      <c r="X56" s="262">
        <f t="shared" si="256"/>
        <v>3.2740000000000009</v>
      </c>
      <c r="Y56" s="262">
        <f t="shared" si="256"/>
        <v>3.1850000000000005</v>
      </c>
      <c r="Z56" s="265">
        <f t="shared" si="256"/>
        <v>10.768000000000001</v>
      </c>
      <c r="AA56" s="262">
        <f t="shared" si="256"/>
        <v>3.67</v>
      </c>
      <c r="AB56" s="262">
        <f t="shared" si="256"/>
        <v>4.836999999999998</v>
      </c>
      <c r="AC56" s="262">
        <f t="shared" si="256"/>
        <v>5.3109999999999999</v>
      </c>
      <c r="AD56" s="262">
        <f t="shared" si="256"/>
        <v>3.5999999999999996</v>
      </c>
      <c r="AE56" s="265">
        <f t="shared" si="256"/>
        <v>17.417999999999999</v>
      </c>
      <c r="AF56" s="262">
        <f t="shared" si="256"/>
        <v>4.5530000000000008</v>
      </c>
      <c r="AG56" s="262">
        <f t="shared" si="256"/>
        <v>4.4869999999999983</v>
      </c>
      <c r="AH56" s="262">
        <f t="shared" si="256"/>
        <v>5.0079999999999991</v>
      </c>
      <c r="AI56" s="262">
        <f t="shared" si="256"/>
        <v>4.245000000000001</v>
      </c>
      <c r="AJ56" s="265">
        <f t="shared" si="256"/>
        <v>18.292999999999999</v>
      </c>
      <c r="AK56" s="262">
        <f t="shared" si="256"/>
        <v>5.1880000000000024</v>
      </c>
      <c r="AL56" s="262">
        <f t="shared" si="256"/>
        <v>6.6560000000000024</v>
      </c>
      <c r="AM56" s="262">
        <f t="shared" si="256"/>
        <v>7.9949999999999974</v>
      </c>
      <c r="AN56" s="262">
        <f t="shared" si="256"/>
        <v>13.177999999999997</v>
      </c>
      <c r="AO56" s="265">
        <f t="shared" si="256"/>
        <v>33.016999999999996</v>
      </c>
      <c r="AP56" s="262">
        <f t="shared" si="256"/>
        <v>13.874000000000002</v>
      </c>
      <c r="AQ56" s="262">
        <f t="shared" si="256"/>
        <v>16.776999999999994</v>
      </c>
      <c r="AR56" s="262">
        <f t="shared" si="256"/>
        <v>18.981000000000019</v>
      </c>
      <c r="AS56" s="262">
        <f t="shared" si="256"/>
        <v>22.327999999999978</v>
      </c>
      <c r="AT56" s="265">
        <f t="shared" si="256"/>
        <v>71.959999999999994</v>
      </c>
      <c r="AU56" s="262">
        <f t="shared" si="256"/>
        <v>31.28899999999998</v>
      </c>
      <c r="AV56" s="262">
        <f t="shared" si="256"/>
        <v>85.207000000000008</v>
      </c>
      <c r="AW56" s="262">
        <f t="shared" si="256"/>
        <v>83.59499999999997</v>
      </c>
      <c r="AX56" s="262">
        <f t="shared" si="256"/>
        <v>90.6</v>
      </c>
      <c r="AY56" s="543">
        <f t="shared" si="256"/>
        <v>290.69099999999997</v>
      </c>
      <c r="AZ56" s="603">
        <f t="shared" si="256"/>
        <v>77.5</v>
      </c>
      <c r="BA56" s="262">
        <f t="shared" si="256"/>
        <v>93.7</v>
      </c>
      <c r="BB56" s="262">
        <f t="shared" si="256"/>
        <v>105.1</v>
      </c>
      <c r="BC56" s="262">
        <f t="shared" si="256"/>
        <v>116</v>
      </c>
      <c r="BD56" s="1947">
        <f t="shared" si="256"/>
        <v>392.29999999999995</v>
      </c>
      <c r="BE56" s="262">
        <v>91.6</v>
      </c>
      <c r="BF56" s="262">
        <v>88.1</v>
      </c>
      <c r="BG56" s="262">
        <v>88.7</v>
      </c>
      <c r="BH56" s="262">
        <v>93</v>
      </c>
      <c r="BI56" s="1947">
        <f>SUM(BE56:BH56)</f>
        <v>361.4</v>
      </c>
      <c r="BJ56" s="262">
        <v>85.9</v>
      </c>
      <c r="BK56" s="262">
        <v>83.8</v>
      </c>
      <c r="BL56" s="262">
        <v>94.4</v>
      </c>
      <c r="BM56" s="262">
        <v>130.4</v>
      </c>
      <c r="BN56" s="1947">
        <f>SUM(BJ56:BM56)</f>
        <v>394.5</v>
      </c>
      <c r="BO56" s="543"/>
      <c r="BR56" s="2167"/>
      <c r="BS56" s="1947"/>
      <c r="BT56" s="269"/>
      <c r="BU56" s="269"/>
      <c r="BV56" s="269"/>
      <c r="BW56" s="269"/>
      <c r="BX56" s="459"/>
      <c r="BY56" s="269"/>
      <c r="BZ56" s="269"/>
      <c r="CA56" s="269"/>
      <c r="CB56" s="269"/>
      <c r="CC56" s="459"/>
      <c r="CE56" s="263"/>
      <c r="CF56" s="173"/>
      <c r="CG56" s="173"/>
      <c r="CH56" s="173"/>
      <c r="CI56" s="239"/>
      <c r="CJ56" s="177"/>
      <c r="CK56" s="2070"/>
      <c r="CL56" s="262">
        <f t="shared" si="214"/>
        <v>130.4</v>
      </c>
      <c r="CM56" s="262">
        <f t="shared" si="215"/>
        <v>93</v>
      </c>
      <c r="CO56" s="2088">
        <f>IFERROR(($CL56/CM56)-1,"")</f>
        <v>0.40215053763440856</v>
      </c>
      <c r="CP56" s="2088"/>
      <c r="CQ56" s="452"/>
      <c r="CR56" s="258"/>
      <c r="CS56" s="258"/>
      <c r="CT56" s="258"/>
      <c r="CU56" s="258"/>
      <c r="CV56" s="258"/>
      <c r="CW56" s="258"/>
      <c r="CX56" s="258"/>
      <c r="CY56" s="263"/>
      <c r="CZ56"/>
      <c r="DA56"/>
      <c r="DB56"/>
      <c r="DC56"/>
      <c r="DD56"/>
      <c r="DE56"/>
      <c r="DF56" s="266"/>
      <c r="DG56" s="266"/>
      <c r="DH56" s="266"/>
      <c r="DI56" s="266"/>
      <c r="DJ56" s="266"/>
    </row>
    <row r="57" spans="1:114" s="1" customFormat="1" ht="12.75" hidden="1" customHeight="1" outlineLevel="1">
      <c r="A57" s="504" t="s">
        <v>85</v>
      </c>
      <c r="B57" s="439" t="str">
        <f>IF(ISERROR((B56-#REF!)/#REF!),"",(B56-#REF!)/#REF!)</f>
        <v/>
      </c>
      <c r="C57" s="191" t="str">
        <f>IF(ISERROR((C56-#REF!)/#REF!),"",(C56-#REF!)/#REF!)</f>
        <v/>
      </c>
      <c r="D57" s="191" t="str">
        <f>IF(ISERROR((D56-#REF!)/#REF!),"",(D56-#REF!)/#REF!)</f>
        <v/>
      </c>
      <c r="E57" s="191" t="str">
        <f>IF(ISERROR((E56-#REF!)/#REF!),"",(E56-#REF!)/#REF!)</f>
        <v/>
      </c>
      <c r="F57" s="411"/>
      <c r="G57" s="191"/>
      <c r="H57" s="191"/>
      <c r="I57" s="191"/>
      <c r="J57" s="191"/>
      <c r="K57" s="411"/>
      <c r="L57" s="191"/>
      <c r="M57" s="191"/>
      <c r="N57" s="191"/>
      <c r="O57" s="191"/>
      <c r="P57" s="411"/>
      <c r="Q57" s="191"/>
      <c r="R57" s="191"/>
      <c r="S57" s="191"/>
      <c r="T57" s="191"/>
      <c r="U57" s="411"/>
      <c r="V57" s="191"/>
      <c r="W57" s="191"/>
      <c r="X57" s="191"/>
      <c r="Y57" s="191"/>
      <c r="Z57" s="411"/>
      <c r="AA57" s="191"/>
      <c r="AB57" s="191"/>
      <c r="AC57" s="191"/>
      <c r="AD57" s="191"/>
      <c r="AE57" s="411"/>
      <c r="AF57" s="191"/>
      <c r="AG57" s="191"/>
      <c r="AH57" s="191"/>
      <c r="AI57" s="191"/>
      <c r="AJ57" s="411"/>
      <c r="AK57" s="191"/>
      <c r="AL57" s="191"/>
      <c r="AM57" s="191"/>
      <c r="AN57" s="191"/>
      <c r="AO57" s="60"/>
      <c r="AP57" s="191">
        <f t="shared" ref="AP57" si="257">(AP56-AK56)/AK56</f>
        <v>1.6742482652274471</v>
      </c>
      <c r="AQ57" s="191">
        <f t="shared" ref="AQ57" si="258">(AQ56-AL56)/AL56</f>
        <v>1.5205829326923059</v>
      </c>
      <c r="AR57" s="191">
        <f t="shared" ref="AR57" si="259">(AR56-AM56)/AM56</f>
        <v>1.3741088180112602</v>
      </c>
      <c r="AS57" s="191">
        <f t="shared" ref="AS57" si="260">(AS56-AN56)/AN56</f>
        <v>0.69433904993170303</v>
      </c>
      <c r="AT57" s="60">
        <f t="shared" ref="AT57" si="261">(AT56-AO56)/AO56</f>
        <v>1.1794832964836297</v>
      </c>
      <c r="AU57" s="191">
        <f t="shared" ref="AU57" si="262">(AU56-AP56)/AP56</f>
        <v>1.2552256018451762</v>
      </c>
      <c r="AV57" s="191">
        <f t="shared" ref="AV57" si="263">(AV56-AQ56)/AQ56</f>
        <v>4.0787983548906261</v>
      </c>
      <c r="AW57" s="191">
        <f t="shared" ref="AW57" si="264">(AW56-AR56)/AR56</f>
        <v>3.4041409830883453</v>
      </c>
      <c r="AX57" s="191">
        <f t="shared" ref="AX57" si="265">(AX56-AS56)/AS56</f>
        <v>3.0576854174131176</v>
      </c>
      <c r="AY57" s="368">
        <f t="shared" ref="AY57" si="266">(AY56-AT56)/AT56</f>
        <v>3.039619232907171</v>
      </c>
      <c r="AZ57" s="439">
        <f t="shared" ref="AZ57" si="267">(AZ56-AU56)/AU56</f>
        <v>1.4769088177953928</v>
      </c>
      <c r="BA57" s="191">
        <f t="shared" ref="BA57" si="268">(BA56-AV56)/AV56</f>
        <v>9.9674909338434564E-2</v>
      </c>
      <c r="BB57" s="191">
        <f t="shared" ref="BB57" si="269">(BB56-AW56)/AW56</f>
        <v>0.25725222800406761</v>
      </c>
      <c r="BC57" s="191">
        <f t="shared" ref="BC57" si="270">(BC56-AX56)/AX56</f>
        <v>0.28035320088300231</v>
      </c>
      <c r="BD57" s="1936">
        <f t="shared" ref="BD57" si="271">(BD56-AY56)/AY56</f>
        <v>0.34954298550694718</v>
      </c>
      <c r="BE57" s="191">
        <f t="shared" ref="BE57:BG57" si="272">(BE56-AZ56)/AZ56</f>
        <v>0.18193548387096767</v>
      </c>
      <c r="BF57" s="191">
        <f t="shared" si="272"/>
        <v>-5.9765208110992618E-2</v>
      </c>
      <c r="BG57" s="191">
        <f t="shared" si="272"/>
        <v>-0.15604186489058033</v>
      </c>
      <c r="BH57" s="191">
        <f t="shared" ref="BH57" si="273">(BH56-BC56)/BC56</f>
        <v>-0.19827586206896552</v>
      </c>
      <c r="BI57" s="1936">
        <f t="shared" ref="BI57:BL57" si="274">(BI56-BD56)/BD56</f>
        <v>-7.8766250318633643E-2</v>
      </c>
      <c r="BJ57" s="191">
        <f t="shared" si="274"/>
        <v>-6.2227074235807742E-2</v>
      </c>
      <c r="BK57" s="191">
        <f t="shared" si="274"/>
        <v>-4.88081725312145E-2</v>
      </c>
      <c r="BL57" s="191">
        <f t="shared" si="274"/>
        <v>6.4261555806087972E-2</v>
      </c>
      <c r="BM57" s="191">
        <f t="shared" ref="BM57" si="275">(BM56-BH56)/BH56</f>
        <v>0.40215053763440867</v>
      </c>
      <c r="BN57" s="1936">
        <f t="shared" ref="BN57" si="276">(BN56-BI56)/BI56</f>
        <v>9.1588267847260721E-2</v>
      </c>
      <c r="BO57" s="439"/>
      <c r="BP57" s="191"/>
      <c r="BQ57" s="191"/>
      <c r="BR57" s="2184"/>
      <c r="BS57" s="2154"/>
      <c r="BT57" s="191"/>
      <c r="BU57" s="191"/>
      <c r="BV57" s="191"/>
      <c r="BW57" s="191"/>
      <c r="BX57" s="460"/>
      <c r="BY57" s="191"/>
      <c r="BZ57" s="191"/>
      <c r="CA57" s="191"/>
      <c r="CB57" s="191"/>
      <c r="CC57" s="460"/>
      <c r="CD57" s="191"/>
      <c r="CE57" s="111"/>
      <c r="CF57" s="173"/>
      <c r="CG57" s="173"/>
      <c r="CH57" s="173"/>
      <c r="CI57" s="239"/>
      <c r="CJ57" s="177"/>
      <c r="CK57" s="2070"/>
      <c r="CL57" s="191">
        <f t="shared" si="214"/>
        <v>0.40215053763440867</v>
      </c>
      <c r="CM57" s="191">
        <f t="shared" si="215"/>
        <v>-0.19827586206896552</v>
      </c>
      <c r="CN57" s="191"/>
      <c r="CO57" s="2110">
        <f>IFERROR(($CL57-CM57)*10000,"")</f>
        <v>6004.2639970337423</v>
      </c>
      <c r="CP57" s="2110"/>
      <c r="CQ57" s="44"/>
      <c r="CR57" s="40"/>
      <c r="CS57" s="40"/>
      <c r="CT57" s="40"/>
      <c r="CU57" s="40"/>
      <c r="CV57" s="40"/>
      <c r="CW57" s="40"/>
      <c r="CX57" s="40"/>
      <c r="CY57" s="139"/>
      <c r="CZ57"/>
      <c r="DA57"/>
      <c r="DB57"/>
      <c r="DC57"/>
      <c r="DD57"/>
      <c r="DE57"/>
      <c r="DF57" s="3"/>
      <c r="DG57" s="3"/>
      <c r="DH57" s="3"/>
      <c r="DI57" s="3"/>
      <c r="DJ57" s="3"/>
    </row>
    <row r="58" spans="1:114" s="176" customFormat="1" ht="12.75" hidden="1" customHeight="1" outlineLevel="2">
      <c r="A58" s="501" t="s">
        <v>235</v>
      </c>
      <c r="B58" s="546"/>
      <c r="C58" s="374"/>
      <c r="D58" s="374"/>
      <c r="E58" s="374"/>
      <c r="F58" s="376">
        <f t="shared" ref="F58:AK58" si="277">F61/F12</f>
        <v>0.2257578799437864</v>
      </c>
      <c r="G58" s="374">
        <f t="shared" si="277"/>
        <v>0.25389848246991109</v>
      </c>
      <c r="H58" s="374">
        <f t="shared" si="277"/>
        <v>0.25746402877697849</v>
      </c>
      <c r="I58" s="374">
        <f t="shared" si="277"/>
        <v>0.26227997419592669</v>
      </c>
      <c r="J58" s="374">
        <f t="shared" si="277"/>
        <v>0.24941397093295739</v>
      </c>
      <c r="K58" s="376">
        <f t="shared" si="277"/>
        <v>0.25586025455665884</v>
      </c>
      <c r="L58" s="374">
        <f t="shared" si="277"/>
        <v>0.26276864178195436</v>
      </c>
      <c r="M58" s="374">
        <f t="shared" si="277"/>
        <v>0.2538650484034099</v>
      </c>
      <c r="N58" s="374">
        <f t="shared" si="277"/>
        <v>0.22823564638071708</v>
      </c>
      <c r="O58" s="374">
        <f t="shared" si="277"/>
        <v>0.23401764108968851</v>
      </c>
      <c r="P58" s="376">
        <f t="shared" si="277"/>
        <v>0.24426754684011259</v>
      </c>
      <c r="Q58" s="374">
        <f t="shared" si="277"/>
        <v>0.23640643985419196</v>
      </c>
      <c r="R58" s="374">
        <f t="shared" si="277"/>
        <v>0.22992675747826682</v>
      </c>
      <c r="S58" s="374">
        <f t="shared" si="277"/>
        <v>0.23592020864171423</v>
      </c>
      <c r="T58" s="374">
        <f t="shared" si="277"/>
        <v>0.2259484777517565</v>
      </c>
      <c r="U58" s="376">
        <f t="shared" si="277"/>
        <v>0.23235623777047437</v>
      </c>
      <c r="V58" s="374">
        <f t="shared" si="277"/>
        <v>0.22637263726372633</v>
      </c>
      <c r="W58" s="374">
        <f t="shared" si="277"/>
        <v>0.2276511397423191</v>
      </c>
      <c r="X58" s="374">
        <f t="shared" si="277"/>
        <v>0.22266050054406969</v>
      </c>
      <c r="Y58" s="374">
        <f t="shared" si="277"/>
        <v>0.18779481132075473</v>
      </c>
      <c r="Z58" s="376">
        <f t="shared" si="277"/>
        <v>0.21262983294498639</v>
      </c>
      <c r="AA58" s="374">
        <f t="shared" si="277"/>
        <v>0.22637552430298544</v>
      </c>
      <c r="AB58" s="374">
        <f t="shared" si="277"/>
        <v>0.2352969791311961</v>
      </c>
      <c r="AC58" s="374">
        <f t="shared" si="277"/>
        <v>0.24809641705984023</v>
      </c>
      <c r="AD58" s="374">
        <f t="shared" si="277"/>
        <v>0.19493177387914229</v>
      </c>
      <c r="AE58" s="376">
        <f t="shared" si="277"/>
        <v>0.22725849381556285</v>
      </c>
      <c r="AF58" s="374">
        <f t="shared" si="277"/>
        <v>0.21950631568797613</v>
      </c>
      <c r="AG58" s="374">
        <f t="shared" si="277"/>
        <v>0.19457935819601035</v>
      </c>
      <c r="AH58" s="374">
        <f t="shared" si="277"/>
        <v>0.21384346043810576</v>
      </c>
      <c r="AI58" s="374">
        <f t="shared" si="277"/>
        <v>0.20873285145301673</v>
      </c>
      <c r="AJ58" s="376">
        <f t="shared" si="277"/>
        <v>0.20892437013179832</v>
      </c>
      <c r="AK58" s="374">
        <f t="shared" si="277"/>
        <v>0.18550401427297067</v>
      </c>
      <c r="AL58" s="374">
        <f t="shared" ref="AL58:BD58" si="278">AL61/AL12</f>
        <v>0.19956472737165293</v>
      </c>
      <c r="AM58" s="374">
        <f t="shared" si="278"/>
        <v>0.16602820458850764</v>
      </c>
      <c r="AN58" s="374">
        <f t="shared" si="278"/>
        <v>0.16541489457967598</v>
      </c>
      <c r="AO58" s="376">
        <f t="shared" si="278"/>
        <v>0.17970810994808953</v>
      </c>
      <c r="AP58" s="374">
        <f t="shared" si="278"/>
        <v>0.15949738219895288</v>
      </c>
      <c r="AQ58" s="374">
        <f t="shared" si="278"/>
        <v>0.15919833616940823</v>
      </c>
      <c r="AR58" s="374">
        <f t="shared" si="278"/>
        <v>0.18078960997569821</v>
      </c>
      <c r="AS58" s="374">
        <f t="shared" si="278"/>
        <v>0.17498200553093154</v>
      </c>
      <c r="AT58" s="376">
        <f t="shared" si="278"/>
        <v>0.16868333693453028</v>
      </c>
      <c r="AU58" s="374">
        <f t="shared" si="278"/>
        <v>0.33623188405797105</v>
      </c>
      <c r="AV58" s="374">
        <f t="shared" si="278"/>
        <v>0.30813391846761062</v>
      </c>
      <c r="AW58" s="374">
        <f t="shared" si="278"/>
        <v>0.30173476938255361</v>
      </c>
      <c r="AX58" s="374">
        <f t="shared" si="278"/>
        <v>0.28095238095238095</v>
      </c>
      <c r="AY58" s="546">
        <f t="shared" si="278"/>
        <v>0.30527166229044639</v>
      </c>
      <c r="AZ58" s="546">
        <f t="shared" si="278"/>
        <v>0.33687002652519887</v>
      </c>
      <c r="BA58" s="374">
        <f t="shared" si="278"/>
        <v>0.32296650717703351</v>
      </c>
      <c r="BB58" s="374">
        <f t="shared" si="278"/>
        <v>0.32507739938080499</v>
      </c>
      <c r="BC58" s="374">
        <f t="shared" si="278"/>
        <v>0.30528846153846151</v>
      </c>
      <c r="BD58" s="1944">
        <f t="shared" si="278"/>
        <v>0.32203389830508478</v>
      </c>
      <c r="BE58" s="374"/>
      <c r="BF58" s="374"/>
      <c r="BG58" s="374"/>
      <c r="BH58" s="374"/>
      <c r="BI58" s="1944"/>
      <c r="BJ58" s="374"/>
      <c r="BK58" s="374"/>
      <c r="BL58" s="374"/>
      <c r="BM58" s="374"/>
      <c r="BN58" s="1944"/>
      <c r="BO58" s="2347"/>
      <c r="BP58" s="377"/>
      <c r="BQ58" s="377"/>
      <c r="BR58" s="2164"/>
      <c r="BS58" s="1944"/>
      <c r="BT58" s="377"/>
      <c r="BU58" s="377"/>
      <c r="BV58" s="377"/>
      <c r="BW58" s="377"/>
      <c r="BX58" s="378"/>
      <c r="BY58" s="377"/>
      <c r="BZ58" s="377"/>
      <c r="CA58" s="377"/>
      <c r="CB58" s="377"/>
      <c r="CC58" s="378"/>
      <c r="CD58" s="195"/>
      <c r="CE58" s="115"/>
      <c r="CF58" s="173"/>
      <c r="CG58" s="173"/>
      <c r="CH58" s="173"/>
      <c r="CI58" s="239"/>
      <c r="CJ58" s="177"/>
      <c r="CK58" s="2070"/>
      <c r="CL58" s="374">
        <f t="shared" si="214"/>
        <v>0</v>
      </c>
      <c r="CM58" s="374">
        <f t="shared" si="215"/>
        <v>0</v>
      </c>
      <c r="CN58" s="377"/>
      <c r="CO58" s="2109">
        <f>IFERROR(($CL58-CM58)*10000,"")</f>
        <v>0</v>
      </c>
      <c r="CP58" s="2109"/>
      <c r="CQ58" s="494"/>
      <c r="CR58" s="16"/>
      <c r="CS58" s="16"/>
      <c r="CT58" s="16"/>
      <c r="CU58" s="16"/>
      <c r="CV58" s="16"/>
      <c r="CW58" s="16"/>
      <c r="CX58" s="16"/>
      <c r="CY58" s="141"/>
      <c r="CZ58"/>
      <c r="DA58"/>
      <c r="DB58"/>
      <c r="DC58"/>
      <c r="DD58"/>
      <c r="DE58"/>
      <c r="DF58" s="8"/>
      <c r="DG58" s="8"/>
      <c r="DH58" s="8"/>
      <c r="DI58" s="8"/>
      <c r="DJ58" s="8"/>
    </row>
    <row r="59" spans="1:114" s="179" customFormat="1" ht="12.75" hidden="1" customHeight="1" outlineLevel="2">
      <c r="A59" s="502" t="s">
        <v>86</v>
      </c>
      <c r="B59" s="547"/>
      <c r="C59" s="91"/>
      <c r="D59" s="91"/>
      <c r="E59" s="91"/>
      <c r="F59" s="92"/>
      <c r="G59" s="91"/>
      <c r="H59" s="91"/>
      <c r="I59" s="91"/>
      <c r="J59" s="91"/>
      <c r="K59" s="92">
        <f>(K58-F58)*100</f>
        <v>3.0102374612872436</v>
      </c>
      <c r="L59" s="91">
        <f>IF(ISERROR((L58-G58)*100),"",(L58-G58)*100)</f>
        <v>0.88701593120432687</v>
      </c>
      <c r="M59" s="91">
        <f>IF(ISERROR((M58-H58)*100),"",(M58-H58)*100)</f>
        <v>-0.35989803735685943</v>
      </c>
      <c r="N59" s="91">
        <f>IF(ISERROR((N58-I58)*100),"",(N58-I58)*100)</f>
        <v>-3.4044327815209607</v>
      </c>
      <c r="O59" s="91">
        <f>IF(ISERROR((O58-J58)*100),"",(O58-J58)*100)</f>
        <v>-1.5396329843268886</v>
      </c>
      <c r="P59" s="92">
        <f>IF(ISERROR((P58-K58)*100),"",(P58-K58)*100)</f>
        <v>-1.1592707716546247</v>
      </c>
      <c r="Q59" s="91">
        <f t="shared" ref="Q59:AO59" si="279">(Q58-L58)*100</f>
        <v>-2.6362201927762396</v>
      </c>
      <c r="R59" s="91">
        <f t="shared" si="279"/>
        <v>-2.3938290925143075</v>
      </c>
      <c r="S59" s="91">
        <f t="shared" si="279"/>
        <v>0.76845622609971465</v>
      </c>
      <c r="T59" s="91">
        <f t="shared" si="279"/>
        <v>-0.8069163337932006</v>
      </c>
      <c r="U59" s="92">
        <f t="shared" si="279"/>
        <v>-1.1911309069638221</v>
      </c>
      <c r="V59" s="91">
        <f t="shared" si="279"/>
        <v>-1.0033802590465628</v>
      </c>
      <c r="W59" s="91">
        <f t="shared" si="279"/>
        <v>-0.2275617735947727</v>
      </c>
      <c r="X59" s="91">
        <f t="shared" si="279"/>
        <v>-1.325970809764454</v>
      </c>
      <c r="Y59" s="91">
        <f t="shared" si="279"/>
        <v>-3.8153666431001767</v>
      </c>
      <c r="Z59" s="92">
        <f t="shared" si="279"/>
        <v>-1.9726404825487986</v>
      </c>
      <c r="AA59" s="91">
        <f t="shared" si="279"/>
        <v>2.8870392591029415E-4</v>
      </c>
      <c r="AB59" s="91">
        <f t="shared" si="279"/>
        <v>0.76458393888770015</v>
      </c>
      <c r="AC59" s="91">
        <f t="shared" si="279"/>
        <v>2.5435916515770538</v>
      </c>
      <c r="AD59" s="91">
        <f t="shared" si="279"/>
        <v>0.71369625583875551</v>
      </c>
      <c r="AE59" s="92">
        <f t="shared" si="279"/>
        <v>1.462866087057646</v>
      </c>
      <c r="AF59" s="91">
        <f t="shared" si="279"/>
        <v>-0.6869208615009309</v>
      </c>
      <c r="AG59" s="91">
        <f t="shared" si="279"/>
        <v>-4.0717620935185748</v>
      </c>
      <c r="AH59" s="91">
        <f t="shared" si="279"/>
        <v>-3.4252956621734469</v>
      </c>
      <c r="AI59" s="91">
        <f t="shared" si="279"/>
        <v>1.3801077573874443</v>
      </c>
      <c r="AJ59" s="92">
        <f t="shared" si="279"/>
        <v>-1.8334123683764525</v>
      </c>
      <c r="AK59" s="91">
        <f>(AK58-AF58)*100</f>
        <v>-3.400230141500546</v>
      </c>
      <c r="AL59" s="91">
        <f>(AL58-AG58)*100</f>
        <v>0.49853691756425733</v>
      </c>
      <c r="AM59" s="91">
        <f t="shared" si="279"/>
        <v>-4.7815255849598115</v>
      </c>
      <c r="AN59" s="91">
        <f t="shared" si="279"/>
        <v>-4.3317956873340755</v>
      </c>
      <c r="AO59" s="92">
        <f t="shared" si="279"/>
        <v>-2.9216260183708793</v>
      </c>
      <c r="AP59" s="91">
        <f t="shared" ref="AP59:BB59" si="280">(AP58-AK58)*100</f>
        <v>-2.6006632074017793</v>
      </c>
      <c r="AQ59" s="91">
        <f t="shared" si="280"/>
        <v>-4.0366391202244696</v>
      </c>
      <c r="AR59" s="91">
        <f t="shared" si="280"/>
        <v>1.4761405387190563</v>
      </c>
      <c r="AS59" s="91">
        <f t="shared" si="280"/>
        <v>0.95671109512555641</v>
      </c>
      <c r="AT59" s="92">
        <f t="shared" si="280"/>
        <v>-1.1024773013559253</v>
      </c>
      <c r="AU59" s="91">
        <f t="shared" si="280"/>
        <v>17.673450185901817</v>
      </c>
      <c r="AV59" s="91">
        <f t="shared" si="280"/>
        <v>14.89355822982024</v>
      </c>
      <c r="AW59" s="91">
        <f t="shared" si="280"/>
        <v>12.094515940685541</v>
      </c>
      <c r="AX59" s="91">
        <f t="shared" si="280"/>
        <v>10.597037542144941</v>
      </c>
      <c r="AY59" s="547">
        <f t="shared" si="280"/>
        <v>13.65883253559161</v>
      </c>
      <c r="AZ59" s="547">
        <f t="shared" si="280"/>
        <v>6.381424672278202E-2</v>
      </c>
      <c r="BA59" s="91">
        <f t="shared" si="280"/>
        <v>1.4832588709422889</v>
      </c>
      <c r="BB59" s="91">
        <f t="shared" si="280"/>
        <v>2.3342629998251372</v>
      </c>
      <c r="BC59" s="91">
        <f t="shared" ref="BC59" si="281">(BC58-AX58)*100</f>
        <v>2.4336080586080557</v>
      </c>
      <c r="BD59" s="1945">
        <f t="shared" ref="BD59" si="282">(BD58-AY58)*100</f>
        <v>1.6762236014638388</v>
      </c>
      <c r="BE59" s="91"/>
      <c r="BF59" s="91"/>
      <c r="BG59" s="91"/>
      <c r="BH59" s="91"/>
      <c r="BI59" s="1945"/>
      <c r="BJ59" s="91"/>
      <c r="BK59" s="91"/>
      <c r="BL59" s="91"/>
      <c r="BM59" s="91"/>
      <c r="BN59" s="1945"/>
      <c r="BO59" s="547"/>
      <c r="BP59" s="91"/>
      <c r="BQ59" s="91"/>
      <c r="BR59" s="2165"/>
      <c r="BS59" s="1945"/>
      <c r="BT59" s="90"/>
      <c r="BU59" s="90"/>
      <c r="BV59" s="90"/>
      <c r="BW59" s="90"/>
      <c r="BX59" s="92"/>
      <c r="BY59" s="90"/>
      <c r="BZ59" s="90"/>
      <c r="CA59" s="90"/>
      <c r="CB59" s="90"/>
      <c r="CC59" s="92"/>
      <c r="CD59" s="197"/>
      <c r="CE59" s="119"/>
      <c r="CF59" s="173"/>
      <c r="CG59" s="173"/>
      <c r="CH59" s="173"/>
      <c r="CI59" s="239"/>
      <c r="CJ59" s="177"/>
      <c r="CK59" s="2070"/>
      <c r="CL59" s="91">
        <f t="shared" si="214"/>
        <v>0</v>
      </c>
      <c r="CM59" s="91">
        <f t="shared" si="215"/>
        <v>0</v>
      </c>
      <c r="CN59" s="91"/>
      <c r="CO59" s="91"/>
      <c r="CP59" s="91"/>
      <c r="CQ59" s="452"/>
      <c r="CR59" s="93"/>
      <c r="CS59" s="93"/>
      <c r="CT59" s="93"/>
      <c r="CU59" s="93"/>
      <c r="CV59" s="93"/>
      <c r="CW59" s="93"/>
      <c r="CX59" s="93"/>
      <c r="CY59" s="119"/>
      <c r="CZ59"/>
      <c r="DA59"/>
      <c r="DB59"/>
      <c r="DC59"/>
      <c r="DD59"/>
      <c r="DE59"/>
      <c r="DF59" s="90"/>
      <c r="DG59" s="90"/>
      <c r="DH59" s="90"/>
      <c r="DI59" s="90"/>
      <c r="DJ59" s="90"/>
    </row>
    <row r="60" spans="1:114" s="1" customFormat="1" ht="12.75" hidden="1" customHeight="1" outlineLevel="2">
      <c r="A60" s="76" t="s">
        <v>88</v>
      </c>
      <c r="B60" s="190"/>
      <c r="C60" s="6"/>
      <c r="D60" s="6"/>
      <c r="E60" s="6"/>
      <c r="F60" s="61"/>
      <c r="G60" s="6"/>
      <c r="H60" s="6">
        <f>IF(ISERROR((H58-F58)*100),"",(H58-F58)*100)</f>
        <v>3.1706148833192089</v>
      </c>
      <c r="I60" s="6">
        <f>IF(ISERROR((I58-G58)*100),"",(I58-G58)*100)</f>
        <v>0.83814917260155997</v>
      </c>
      <c r="J60" s="6">
        <f>IF(ISERROR((J58-H58)*100),"",(J58-H58)*100)</f>
        <v>-0.80500578440211024</v>
      </c>
      <c r="K60" s="61"/>
      <c r="L60" s="6">
        <f>IF(ISERROR((L58-J58)*100),"",(L58-J58)*100)</f>
        <v>1.335467084899697</v>
      </c>
      <c r="M60" s="6">
        <f>IF(ISERROR((M58-L58)*100),"",(M58-L58)*100)</f>
        <v>-0.8903593378544461</v>
      </c>
      <c r="N60" s="6">
        <f>IF(ISERROR((N58-M58)*100),"",(N58-M58)*100)</f>
        <v>-2.5629402022692815</v>
      </c>
      <c r="O60" s="6">
        <f>IF(ISERROR((O58-N58)*100),"",(O58-N58)*100)</f>
        <v>0.57819947089714219</v>
      </c>
      <c r="P60" s="61"/>
      <c r="Q60" s="6">
        <f>(Q58-O58)*100</f>
        <v>0.23887987645034581</v>
      </c>
      <c r="R60" s="6">
        <f>(R58-Q58)*100</f>
        <v>-0.64796823759251387</v>
      </c>
      <c r="S60" s="6">
        <f>(S58-R58)*100</f>
        <v>0.59934511634474052</v>
      </c>
      <c r="T60" s="6">
        <f>(T58-S58)*100</f>
        <v>-0.99717308899577306</v>
      </c>
      <c r="U60" s="61"/>
      <c r="V60" s="6">
        <f>(V58-T58)*100</f>
        <v>4.2415951196983492E-2</v>
      </c>
      <c r="W60" s="6">
        <f>(W58-V58)*100</f>
        <v>0.12785024785927634</v>
      </c>
      <c r="X60" s="6">
        <f>(X58-W58)*100</f>
        <v>-0.4990639198249408</v>
      </c>
      <c r="Y60" s="6">
        <f>(Y58-X58)*100</f>
        <v>-3.4865689223314957</v>
      </c>
      <c r="Z60" s="61"/>
      <c r="AA60" s="6">
        <f>(AA58-Y58)*100</f>
        <v>3.85807129822307</v>
      </c>
      <c r="AB60" s="6">
        <f>(AB58-AA58)*100</f>
        <v>0.8921454828210662</v>
      </c>
      <c r="AC60" s="6">
        <f>(AC58-AB58)*100</f>
        <v>1.2799437928644131</v>
      </c>
      <c r="AD60" s="6">
        <f>(AD58-AC58)*100</f>
        <v>-5.3164643180697944</v>
      </c>
      <c r="AE60" s="61"/>
      <c r="AF60" s="6">
        <f>(AF58-AD58)*100</f>
        <v>2.4574541808833841</v>
      </c>
      <c r="AG60" s="6">
        <f>(AG58-AF58)*100</f>
        <v>-2.4926957491965771</v>
      </c>
      <c r="AH60" s="6">
        <f>(AH58-AG58)*100</f>
        <v>1.9264102242095404</v>
      </c>
      <c r="AI60" s="6">
        <f>(AI58-AH58)*100</f>
        <v>-0.51106089850890268</v>
      </c>
      <c r="AJ60" s="61"/>
      <c r="AK60" s="6">
        <f>(AK58-AI58)*100</f>
        <v>-2.3228837180046065</v>
      </c>
      <c r="AL60" s="6">
        <f>(AL58-AK58)*100</f>
        <v>1.406071309868226</v>
      </c>
      <c r="AM60" s="6">
        <f>(AM58-AL58)*100</f>
        <v>-3.3536522783145282</v>
      </c>
      <c r="AN60" s="6">
        <f>(AN58-AM58)*100</f>
        <v>-6.1331000883166342E-2</v>
      </c>
      <c r="AO60" s="61"/>
      <c r="AP60" s="6">
        <f>(AP58-AN58)*100</f>
        <v>-0.59175123807231056</v>
      </c>
      <c r="AQ60" s="6">
        <f>(AQ58-AP58)*100</f>
        <v>-2.9904602954464177E-2</v>
      </c>
      <c r="AR60" s="6">
        <f>(AR58-AQ58)*100</f>
        <v>2.1591273806289975</v>
      </c>
      <c r="AS60" s="6">
        <f>(AS58-AR58)*100</f>
        <v>-0.58076044447666619</v>
      </c>
      <c r="AT60" s="61"/>
      <c r="AU60" s="6">
        <f>(AU58-AS58)*100</f>
        <v>16.124987852703949</v>
      </c>
      <c r="AV60" s="6">
        <f>(AV58-AU58)*100</f>
        <v>-2.8097965590360428</v>
      </c>
      <c r="AW60" s="6">
        <f>(AW58-AV58)*100</f>
        <v>-0.63991490850570099</v>
      </c>
      <c r="AX60" s="6">
        <f>(AX58-AW58)*100</f>
        <v>-2.078238843017266</v>
      </c>
      <c r="AY60" s="190"/>
      <c r="AZ60" s="190">
        <f>(AZ58-AX58)*100</f>
        <v>5.5917645572817918</v>
      </c>
      <c r="BA60" s="6">
        <f>(BA58-AZ58)*100</f>
        <v>-1.3903519348165361</v>
      </c>
      <c r="BB60" s="6">
        <f>(BB58-BA58)*100</f>
        <v>0.2110892203771475</v>
      </c>
      <c r="BC60" s="6">
        <f>(BC58-BB58)*100</f>
        <v>-1.9788937842343479</v>
      </c>
      <c r="BD60" s="1946"/>
      <c r="BE60" s="6"/>
      <c r="BF60" s="6"/>
      <c r="BG60" s="6"/>
      <c r="BH60" s="6"/>
      <c r="BI60" s="1946"/>
      <c r="BJ60" s="6"/>
      <c r="BK60" s="6"/>
      <c r="BL60" s="6"/>
      <c r="BM60" s="6"/>
      <c r="BN60" s="1946"/>
      <c r="BO60" s="190"/>
      <c r="BP60" s="6"/>
      <c r="BQ60" s="6"/>
      <c r="BR60" s="2166"/>
      <c r="BS60" s="1946"/>
      <c r="BT60" s="6"/>
      <c r="BU60" s="6"/>
      <c r="BV60" s="6"/>
      <c r="BW60" s="6"/>
      <c r="BX60" s="61"/>
      <c r="BY60" s="6"/>
      <c r="BZ60" s="6"/>
      <c r="CA60" s="6"/>
      <c r="CB60" s="6"/>
      <c r="CC60" s="61"/>
      <c r="CD60" s="194"/>
      <c r="CE60" s="114"/>
      <c r="CF60" s="173"/>
      <c r="CG60" s="173"/>
      <c r="CH60" s="173"/>
      <c r="CI60" s="239"/>
      <c r="CJ60" s="177"/>
      <c r="CK60" s="2070"/>
      <c r="CL60" s="6">
        <f t="shared" si="214"/>
        <v>0</v>
      </c>
      <c r="CM60" s="6">
        <f t="shared" si="215"/>
        <v>0</v>
      </c>
      <c r="CN60" s="6"/>
      <c r="CO60" s="6"/>
      <c r="CP60" s="6"/>
      <c r="CQ60" s="44"/>
      <c r="CR60" s="40"/>
      <c r="CS60" s="40"/>
      <c r="CT60" s="40"/>
      <c r="CU60" s="40"/>
      <c r="CV60" s="40"/>
      <c r="CW60" s="40"/>
      <c r="CX60" s="40"/>
      <c r="CY60" s="139"/>
      <c r="CZ60"/>
      <c r="DA60"/>
      <c r="DB60"/>
      <c r="DC60"/>
      <c r="DD60"/>
      <c r="DE60"/>
      <c r="DF60" s="3"/>
      <c r="DG60" s="3"/>
      <c r="DH60" s="3"/>
      <c r="DI60" s="3"/>
      <c r="DJ60" s="3"/>
    </row>
    <row r="61" spans="1:114" s="262" customFormat="1" ht="12.75" hidden="1" customHeight="1" outlineLevel="2" collapsed="1">
      <c r="A61" s="503" t="s">
        <v>237</v>
      </c>
      <c r="B61" s="543"/>
      <c r="F61" s="265">
        <v>8.9960000000000004</v>
      </c>
      <c r="G61" s="262">
        <v>2.4260000000000002</v>
      </c>
      <c r="H61" s="262">
        <v>2.8630000000000013</v>
      </c>
      <c r="I61" s="262">
        <v>2.8460000000000001</v>
      </c>
      <c r="J61" s="262">
        <v>2.6599999999999895</v>
      </c>
      <c r="K61" s="265">
        <f>SUM(G61:J61)</f>
        <v>10.794999999999991</v>
      </c>
      <c r="L61" s="262">
        <v>3.0200000000000014</v>
      </c>
      <c r="M61" s="262">
        <v>3.5139999999999993</v>
      </c>
      <c r="N61" s="262">
        <v>3.0489999999999995</v>
      </c>
      <c r="O61" s="262">
        <v>2.9979999999999993</v>
      </c>
      <c r="P61" s="265">
        <f>SUM(L61:O61)</f>
        <v>12.581</v>
      </c>
      <c r="Q61" s="262">
        <v>3.1129999999999995</v>
      </c>
      <c r="R61" s="262">
        <v>3.359</v>
      </c>
      <c r="S61" s="262">
        <v>3.3469999999999995</v>
      </c>
      <c r="T61" s="262">
        <v>2.4120000000000008</v>
      </c>
      <c r="U61" s="265">
        <f>SUM(Q61:T61)</f>
        <v>12.231</v>
      </c>
      <c r="V61" s="262">
        <v>2.0119999999999996</v>
      </c>
      <c r="W61" s="262">
        <v>2.2969999999999997</v>
      </c>
      <c r="X61" s="262">
        <v>3.2740000000000009</v>
      </c>
      <c r="Y61" s="262">
        <v>3.1850000000000005</v>
      </c>
      <c r="Z61" s="265">
        <f>SUM(V61:Y61)</f>
        <v>10.768000000000001</v>
      </c>
      <c r="AA61" s="262">
        <v>3.67</v>
      </c>
      <c r="AB61" s="262">
        <v>4.836999999999998</v>
      </c>
      <c r="AC61" s="262">
        <v>5.3109999999999999</v>
      </c>
      <c r="AD61" s="262">
        <v>3.5999999999999996</v>
      </c>
      <c r="AE61" s="265">
        <f>SUM(AA61:AD61)</f>
        <v>17.417999999999999</v>
      </c>
      <c r="AF61" s="262">
        <v>4.5530000000000008</v>
      </c>
      <c r="AG61" s="262">
        <v>4.4869999999999983</v>
      </c>
      <c r="AH61" s="262">
        <v>5.0079999999999991</v>
      </c>
      <c r="AI61" s="262">
        <v>4.245000000000001</v>
      </c>
      <c r="AJ61" s="265">
        <f>SUM(AF61:AI61)</f>
        <v>18.292999999999999</v>
      </c>
      <c r="AK61" s="262">
        <v>4.1590000000000025</v>
      </c>
      <c r="AL61" s="262">
        <v>5.1350000000000016</v>
      </c>
      <c r="AM61" s="262">
        <v>3.9439999999999991</v>
      </c>
      <c r="AN61" s="262">
        <v>3.6559999999999988</v>
      </c>
      <c r="AO61" s="265">
        <f>SUM(AK61:AN61)</f>
        <v>16.894000000000002</v>
      </c>
      <c r="AP61" s="262">
        <v>3.8079999999999998</v>
      </c>
      <c r="AQ61" s="262">
        <v>4.2100000000000009</v>
      </c>
      <c r="AR61" s="262">
        <v>4.5380000000000003</v>
      </c>
      <c r="AS61" s="262">
        <v>4.6189999999999998</v>
      </c>
      <c r="AT61" s="265">
        <f>SUM(AP61:AS61)</f>
        <v>17.175000000000001</v>
      </c>
      <c r="AU61" s="262">
        <v>11.368000000000002</v>
      </c>
      <c r="AV61" s="262">
        <v>11.164000000000001</v>
      </c>
      <c r="AW61" s="262">
        <v>11.009999999999998</v>
      </c>
      <c r="AX61" s="262">
        <v>11.8</v>
      </c>
      <c r="AY61" s="543">
        <f>SUM(AU61:AX61)</f>
        <v>45.341999999999999</v>
      </c>
      <c r="AZ61" s="603">
        <v>12.7</v>
      </c>
      <c r="BA61" s="262">
        <v>13.5</v>
      </c>
      <c r="BB61" s="262">
        <v>10.5</v>
      </c>
      <c r="BC61" s="262">
        <v>12.7</v>
      </c>
      <c r="BD61" s="1947">
        <f>SUM(AZ61:BC61)</f>
        <v>49.400000000000006</v>
      </c>
      <c r="BI61" s="1947"/>
      <c r="BN61" s="1947"/>
      <c r="BO61" s="543"/>
      <c r="BR61" s="2167"/>
      <c r="BS61" s="1947"/>
      <c r="BT61" s="269"/>
      <c r="BU61" s="269"/>
      <c r="BV61" s="269"/>
      <c r="BW61" s="269"/>
      <c r="BX61" s="265"/>
      <c r="BY61" s="269"/>
      <c r="BZ61" s="269"/>
      <c r="CA61" s="269"/>
      <c r="CB61" s="269"/>
      <c r="CC61" s="265"/>
      <c r="CE61" s="263"/>
      <c r="CF61" s="173"/>
      <c r="CG61" s="173"/>
      <c r="CH61" s="173"/>
      <c r="CI61" s="239"/>
      <c r="CJ61" s="177"/>
      <c r="CK61" s="2070"/>
      <c r="CL61" s="262">
        <f t="shared" si="214"/>
        <v>0</v>
      </c>
      <c r="CM61" s="262">
        <f t="shared" si="215"/>
        <v>0</v>
      </c>
      <c r="CO61" s="2088" t="str">
        <f>IFERROR(($CL61/CM61)-1,"")</f>
        <v/>
      </c>
      <c r="CP61" s="2088" t="str">
        <f>IFERROR(($CL61/CN61)-1,"")</f>
        <v/>
      </c>
      <c r="CQ61" s="452"/>
      <c r="CR61" s="258"/>
      <c r="CS61" s="258"/>
      <c r="CT61" s="258"/>
      <c r="CU61" s="258"/>
      <c r="CV61" s="258"/>
      <c r="CW61" s="258"/>
      <c r="CX61" s="258"/>
      <c r="CY61" s="263"/>
      <c r="CZ61"/>
      <c r="DA61"/>
      <c r="DB61"/>
      <c r="DC61"/>
      <c r="DD61"/>
      <c r="DE61"/>
      <c r="DF61" s="266"/>
      <c r="DG61" s="266"/>
      <c r="DH61" s="266"/>
      <c r="DI61" s="266"/>
      <c r="DJ61" s="266"/>
    </row>
    <row r="62" spans="1:114" s="1" customFormat="1" ht="12.75" hidden="1" customHeight="1" outlineLevel="2">
      <c r="A62" s="504" t="s">
        <v>85</v>
      </c>
      <c r="B62" s="368" t="str">
        <f>IF(ISERROR((B61-#REF!)/#REF!),"",(B61-#REF!)/#REF!)</f>
        <v/>
      </c>
      <c r="C62" s="18" t="str">
        <f>IF(ISERROR((C61-#REF!)/#REF!),"",(C61-#REF!)/#REF!)</f>
        <v/>
      </c>
      <c r="D62" s="18" t="str">
        <f>IF(ISERROR((D61-#REF!)/#REF!),"",(D61-#REF!)/#REF!)</f>
        <v/>
      </c>
      <c r="E62" s="18" t="str">
        <f>IF(ISERROR((E61-#REF!)/#REF!),"",(E61-#REF!)/#REF!)</f>
        <v/>
      </c>
      <c r="F62" s="60"/>
      <c r="G62" s="18" t="str">
        <f t="shared" ref="G62:T62" si="283">IF(ISERROR((G61-B61)/B61),"",(G61-B61)/B61)</f>
        <v/>
      </c>
      <c r="H62" s="18" t="str">
        <f t="shared" si="283"/>
        <v/>
      </c>
      <c r="I62" s="18" t="str">
        <f t="shared" si="283"/>
        <v/>
      </c>
      <c r="J62" s="18" t="str">
        <f t="shared" si="283"/>
        <v/>
      </c>
      <c r="K62" s="60">
        <f t="shared" si="283"/>
        <v>0.19997776789684199</v>
      </c>
      <c r="L62" s="18">
        <f t="shared" si="283"/>
        <v>0.24484748557296007</v>
      </c>
      <c r="M62" s="18">
        <f t="shared" si="283"/>
        <v>0.22738386308068381</v>
      </c>
      <c r="N62" s="18">
        <f t="shared" si="283"/>
        <v>7.1328179901616093E-2</v>
      </c>
      <c r="O62" s="18">
        <f t="shared" si="283"/>
        <v>0.12706766917293655</v>
      </c>
      <c r="P62" s="60">
        <f t="shared" si="283"/>
        <v>0.16544696618805094</v>
      </c>
      <c r="Q62" s="18">
        <f t="shared" si="283"/>
        <v>3.0794701986754356E-2</v>
      </c>
      <c r="R62" s="18">
        <f t="shared" si="283"/>
        <v>-4.4109277177006086E-2</v>
      </c>
      <c r="S62" s="18">
        <f t="shared" si="283"/>
        <v>9.7736962938668445E-2</v>
      </c>
      <c r="T62" s="18">
        <f t="shared" si="283"/>
        <v>-0.19546364242828507</v>
      </c>
      <c r="U62" s="60">
        <f t="shared" ref="U62:AS62" si="284">(U61-P61)/P61</f>
        <v>-2.7819728161513367E-2</v>
      </c>
      <c r="V62" s="18">
        <f t="shared" si="284"/>
        <v>-0.35367812399614523</v>
      </c>
      <c r="W62" s="18">
        <f t="shared" si="284"/>
        <v>-0.31616552545400423</v>
      </c>
      <c r="X62" s="18">
        <f t="shared" si="284"/>
        <v>-2.181057663579284E-2</v>
      </c>
      <c r="Y62" s="18">
        <f t="shared" si="284"/>
        <v>0.3204809286898837</v>
      </c>
      <c r="Z62" s="60">
        <f t="shared" si="284"/>
        <v>-0.11961409533153455</v>
      </c>
      <c r="AA62" s="18">
        <f t="shared" si="284"/>
        <v>0.82405566600397651</v>
      </c>
      <c r="AB62" s="18">
        <f t="shared" si="284"/>
        <v>1.1057901610796685</v>
      </c>
      <c r="AC62" s="18">
        <f t="shared" si="284"/>
        <v>0.62217470983506362</v>
      </c>
      <c r="AD62" s="18">
        <f t="shared" si="284"/>
        <v>0.13029827315541573</v>
      </c>
      <c r="AE62" s="60">
        <f t="shared" si="284"/>
        <v>0.61757057949479921</v>
      </c>
      <c r="AF62" s="18">
        <f t="shared" si="284"/>
        <v>0.24059945504087218</v>
      </c>
      <c r="AG62" s="18">
        <f t="shared" si="284"/>
        <v>-7.2358900144717755E-2</v>
      </c>
      <c r="AH62" s="18">
        <f t="shared" si="284"/>
        <v>-5.7051402749011638E-2</v>
      </c>
      <c r="AI62" s="18">
        <f t="shared" si="284"/>
        <v>0.17916666666666706</v>
      </c>
      <c r="AJ62" s="60">
        <f t="shared" si="284"/>
        <v>5.0235388678378692E-2</v>
      </c>
      <c r="AK62" s="18">
        <f t="shared" si="284"/>
        <v>-8.6536349659564749E-2</v>
      </c>
      <c r="AL62" s="18">
        <f t="shared" si="284"/>
        <v>0.14441720525963972</v>
      </c>
      <c r="AM62" s="18">
        <f t="shared" si="284"/>
        <v>-0.21246006389776362</v>
      </c>
      <c r="AN62" s="18">
        <f t="shared" si="284"/>
        <v>-0.13875147232037741</v>
      </c>
      <c r="AO62" s="60">
        <f t="shared" si="284"/>
        <v>-7.64773410594215E-2</v>
      </c>
      <c r="AP62" s="18">
        <f>(AP61-AK61)/AK61</f>
        <v>-8.439528732868537E-2</v>
      </c>
      <c r="AQ62" s="18">
        <f t="shared" si="284"/>
        <v>-0.18013631937682578</v>
      </c>
      <c r="AR62" s="18">
        <f t="shared" si="284"/>
        <v>0.15060851926977722</v>
      </c>
      <c r="AS62" s="18">
        <f t="shared" si="284"/>
        <v>0.26340262582056928</v>
      </c>
      <c r="AT62" s="60">
        <f t="shared" ref="AT62:BB62" si="285">(AT61-AO61)/AO61</f>
        <v>1.6633124186101501E-2</v>
      </c>
      <c r="AU62" s="18">
        <f t="shared" si="285"/>
        <v>1.9852941176470595</v>
      </c>
      <c r="AV62" s="18">
        <f t="shared" si="285"/>
        <v>1.6517814726840854</v>
      </c>
      <c r="AW62" s="18">
        <f t="shared" si="285"/>
        <v>1.4261789334508588</v>
      </c>
      <c r="AX62" s="18">
        <f t="shared" si="285"/>
        <v>1.5546655120155881</v>
      </c>
      <c r="AY62" s="368">
        <f t="shared" si="285"/>
        <v>1.64</v>
      </c>
      <c r="AZ62" s="368">
        <f t="shared" si="285"/>
        <v>0.11717100633356764</v>
      </c>
      <c r="BA62" s="18">
        <f t="shared" si="285"/>
        <v>0.20924399856682177</v>
      </c>
      <c r="BB62" s="18">
        <f t="shared" si="285"/>
        <v>-4.6321525885558414E-2</v>
      </c>
      <c r="BC62" s="18">
        <f t="shared" ref="BC62" si="286">(BC61-AX61)/AX61</f>
        <v>7.6271186440677846E-2</v>
      </c>
      <c r="BD62" s="1936">
        <f t="shared" ref="BD62" si="287">(BD61-AY61)/AY61</f>
        <v>8.9497596047814543E-2</v>
      </c>
      <c r="BE62" s="18"/>
      <c r="BF62" s="18"/>
      <c r="BG62" s="18"/>
      <c r="BH62" s="18"/>
      <c r="BI62" s="1936"/>
      <c r="BJ62" s="18"/>
      <c r="BK62" s="18"/>
      <c r="BL62" s="18"/>
      <c r="BM62" s="18"/>
      <c r="BN62" s="1936"/>
      <c r="BO62" s="439"/>
      <c r="BP62" s="191"/>
      <c r="BQ62" s="191"/>
      <c r="BR62" s="2184"/>
      <c r="BS62" s="1936"/>
      <c r="BT62" s="18"/>
      <c r="BU62" s="18"/>
      <c r="BV62" s="18"/>
      <c r="BW62" s="18"/>
      <c r="BX62" s="60"/>
      <c r="BY62" s="18"/>
      <c r="BZ62" s="18"/>
      <c r="CA62" s="18"/>
      <c r="CB62" s="18"/>
      <c r="CC62" s="60"/>
      <c r="CD62" s="191"/>
      <c r="CE62" s="111"/>
      <c r="CF62" s="173"/>
      <c r="CG62" s="173"/>
      <c r="CH62" s="173"/>
      <c r="CI62" s="239"/>
      <c r="CJ62" s="177"/>
      <c r="CK62" s="2070"/>
      <c r="CL62" s="18">
        <f t="shared" si="214"/>
        <v>0</v>
      </c>
      <c r="CM62" s="18">
        <f t="shared" si="215"/>
        <v>0</v>
      </c>
      <c r="CN62" s="191"/>
      <c r="CO62" s="2107">
        <f>IFERROR(($CL62-CM62)*10000,"")</f>
        <v>0</v>
      </c>
      <c r="CP62" s="2107"/>
      <c r="CQ62" s="44"/>
      <c r="CR62" s="40"/>
      <c r="CS62" s="40"/>
      <c r="CT62" s="40"/>
      <c r="CU62" s="40"/>
      <c r="CV62" s="40"/>
      <c r="CW62" s="40"/>
      <c r="CX62" s="40"/>
      <c r="CY62" s="139"/>
      <c r="CZ62"/>
      <c r="DA62"/>
      <c r="DB62"/>
      <c r="DC62"/>
      <c r="DD62"/>
      <c r="DE62"/>
      <c r="DF62" s="3"/>
      <c r="DG62" s="3"/>
      <c r="DH62" s="3"/>
      <c r="DI62" s="3"/>
      <c r="DJ62" s="3"/>
    </row>
    <row r="63" spans="1:114" s="176" customFormat="1" ht="12.75" hidden="1" customHeight="1" outlineLevel="2">
      <c r="A63" s="501" t="s">
        <v>239</v>
      </c>
      <c r="B63" s="546" t="str">
        <f>IF(ISERROR(B66/#REF!),"",B66/#REF!)</f>
        <v/>
      </c>
      <c r="C63" s="374" t="str">
        <f>IF(ISERROR(C66/#REF!),"",C66/#REF!)</f>
        <v/>
      </c>
      <c r="D63" s="374" t="str">
        <f>IF(ISERROR(D66/#REF!),"",D66/#REF!)</f>
        <v/>
      </c>
      <c r="E63" s="374" t="str">
        <f>IF(ISERROR(E66/#REF!),"",E66/#REF!)</f>
        <v/>
      </c>
      <c r="F63" s="376" t="str">
        <f>IF(ISERROR(F66/#REF!),"",F66/#REF!)</f>
        <v/>
      </c>
      <c r="G63" s="374"/>
      <c r="H63" s="374"/>
      <c r="I63" s="374"/>
      <c r="J63" s="374"/>
      <c r="K63" s="376"/>
      <c r="L63" s="374"/>
      <c r="M63" s="374"/>
      <c r="N63" s="374"/>
      <c r="O63" s="374"/>
      <c r="P63" s="376"/>
      <c r="Q63" s="374"/>
      <c r="R63" s="374"/>
      <c r="S63" s="374"/>
      <c r="T63" s="374"/>
      <c r="U63" s="376"/>
      <c r="V63" s="374"/>
      <c r="W63" s="374"/>
      <c r="X63" s="374"/>
      <c r="Y63" s="374"/>
      <c r="Z63" s="376"/>
      <c r="AA63" s="374"/>
      <c r="AB63" s="374"/>
      <c r="AC63" s="374"/>
      <c r="AD63" s="374"/>
      <c r="AE63" s="376"/>
      <c r="AF63" s="374"/>
      <c r="AG63" s="374"/>
      <c r="AH63" s="374"/>
      <c r="AI63" s="374"/>
      <c r="AJ63" s="376"/>
      <c r="AK63" s="374">
        <f t="shared" ref="AK63:BD63" si="288">+AK66/AK14</f>
        <v>0.12979313824419778</v>
      </c>
      <c r="AL63" s="374">
        <f t="shared" si="288"/>
        <v>0.10960582258413207</v>
      </c>
      <c r="AM63" s="374">
        <f t="shared" si="288"/>
        <v>0.12592868911063443</v>
      </c>
      <c r="AN63" s="374">
        <f t="shared" si="288"/>
        <v>0.13383746099569896</v>
      </c>
      <c r="AO63" s="376">
        <f t="shared" si="288"/>
        <v>0.12886029411764705</v>
      </c>
      <c r="AP63" s="374">
        <f t="shared" si="288"/>
        <v>0.12867186501342198</v>
      </c>
      <c r="AQ63" s="374">
        <f t="shared" si="288"/>
        <v>0.13178481543624154</v>
      </c>
      <c r="AR63" s="374">
        <f t="shared" si="288"/>
        <v>0.13615067731261976</v>
      </c>
      <c r="AS63" s="374">
        <f t="shared" si="288"/>
        <v>0.14545499347017207</v>
      </c>
      <c r="AT63" s="376">
        <f t="shared" si="288"/>
        <v>0.13647800308903391</v>
      </c>
      <c r="AU63" s="374">
        <f t="shared" si="288"/>
        <v>0.13778054431649189</v>
      </c>
      <c r="AV63" s="374">
        <f t="shared" si="288"/>
        <v>0.19108265460964358</v>
      </c>
      <c r="AW63" s="374">
        <f t="shared" si="288"/>
        <v>0.18364512227827728</v>
      </c>
      <c r="AX63" s="374">
        <f t="shared" si="288"/>
        <v>0.18458655422815648</v>
      </c>
      <c r="AY63" s="546">
        <f t="shared" si="288"/>
        <v>0.18117326319225119</v>
      </c>
      <c r="AZ63" s="546">
        <f t="shared" si="288"/>
        <v>0.18398637137989779</v>
      </c>
      <c r="BA63" s="374">
        <f t="shared" si="288"/>
        <v>0.18937426210153482</v>
      </c>
      <c r="BB63" s="374">
        <f t="shared" si="288"/>
        <v>0.19753602004593862</v>
      </c>
      <c r="BC63" s="374">
        <f t="shared" si="288"/>
        <v>0.19508970727101038</v>
      </c>
      <c r="BD63" s="1944">
        <f t="shared" si="288"/>
        <v>0.19219774676307383</v>
      </c>
      <c r="BE63" s="374"/>
      <c r="BF63" s="374"/>
      <c r="BG63" s="374"/>
      <c r="BH63" s="374"/>
      <c r="BI63" s="1944"/>
      <c r="BJ63" s="374"/>
      <c r="BK63" s="374"/>
      <c r="BL63" s="374"/>
      <c r="BM63" s="374"/>
      <c r="BN63" s="1944"/>
      <c r="BO63" s="2347"/>
      <c r="BP63" s="377"/>
      <c r="BQ63" s="377"/>
      <c r="BR63" s="2164"/>
      <c r="BS63" s="1944"/>
      <c r="BT63" s="377"/>
      <c r="BU63" s="377"/>
      <c r="BV63" s="377"/>
      <c r="BW63" s="377"/>
      <c r="BX63" s="378"/>
      <c r="BY63" s="377"/>
      <c r="BZ63" s="377"/>
      <c r="CA63" s="377"/>
      <c r="CB63" s="377"/>
      <c r="CC63" s="378"/>
      <c r="CD63" s="193"/>
      <c r="CE63" s="113"/>
      <c r="CF63" s="173"/>
      <c r="CG63" s="173"/>
      <c r="CH63" s="173"/>
      <c r="CI63" s="239"/>
      <c r="CJ63" s="177"/>
      <c r="CK63" s="2070"/>
      <c r="CL63" s="374">
        <f t="shared" si="214"/>
        <v>0</v>
      </c>
      <c r="CM63" s="374">
        <f t="shared" si="215"/>
        <v>0</v>
      </c>
      <c r="CN63" s="377"/>
      <c r="CO63" s="2109">
        <f>IFERROR(($CL63-CM63)*10000,"")</f>
        <v>0</v>
      </c>
      <c r="CP63" s="2109"/>
      <c r="CQ63" s="40" t="s">
        <v>539</v>
      </c>
      <c r="CR63" s="16"/>
      <c r="CS63" s="16"/>
      <c r="CT63" s="16"/>
      <c r="CU63" s="16"/>
      <c r="CV63" s="16"/>
      <c r="CW63" s="16"/>
      <c r="CX63" s="16"/>
      <c r="CY63" s="141"/>
      <c r="CZ63"/>
      <c r="DA63"/>
      <c r="DB63"/>
      <c r="DC63"/>
      <c r="DD63"/>
      <c r="DE63"/>
      <c r="DF63" s="8"/>
      <c r="DG63" s="8"/>
      <c r="DH63" s="8"/>
      <c r="DI63" s="8"/>
      <c r="DJ63" s="8"/>
    </row>
    <row r="64" spans="1:114" s="179" customFormat="1" ht="12.75" hidden="1" customHeight="1" outlineLevel="2">
      <c r="A64" s="502" t="s">
        <v>86</v>
      </c>
      <c r="B64" s="548" t="str">
        <f>IF(ISERROR((B63-#REF!)*100),"",(B63-#REF!)*100)</f>
        <v/>
      </c>
      <c r="C64" s="197" t="str">
        <f>IF(ISERROR((C63-#REF!)*100),"",(C63-#REF!)*100)</f>
        <v/>
      </c>
      <c r="D64" s="197" t="str">
        <f>IF(ISERROR((D63-#REF!)*100),"",(D63-#REF!)*100)</f>
        <v/>
      </c>
      <c r="E64" s="197" t="str">
        <f>IF(ISERROR((E63-#REF!)*100),"",(E63-#REF!)*100)</f>
        <v/>
      </c>
      <c r="F64" s="430"/>
      <c r="G64" s="197"/>
      <c r="H64" s="197"/>
      <c r="I64" s="197"/>
      <c r="J64" s="197"/>
      <c r="K64" s="430"/>
      <c r="L64" s="197"/>
      <c r="M64" s="197"/>
      <c r="N64" s="197"/>
      <c r="O64" s="197"/>
      <c r="P64" s="430"/>
      <c r="Q64" s="197"/>
      <c r="R64" s="197"/>
      <c r="S64" s="197"/>
      <c r="T64" s="197"/>
      <c r="U64" s="430"/>
      <c r="V64" s="197"/>
      <c r="W64" s="197"/>
      <c r="X64" s="197"/>
      <c r="Y64" s="197"/>
      <c r="Z64" s="430"/>
      <c r="AA64" s="197"/>
      <c r="AB64" s="197"/>
      <c r="AC64" s="197"/>
      <c r="AD64" s="197"/>
      <c r="AE64" s="430"/>
      <c r="AF64" s="197"/>
      <c r="AG64" s="197"/>
      <c r="AH64" s="197"/>
      <c r="AI64" s="197"/>
      <c r="AJ64" s="430"/>
      <c r="AK64" s="197">
        <f>(AK63-AF63)*100</f>
        <v>12.979313824419778</v>
      </c>
      <c r="AL64" s="197">
        <f>(AL63-AG63)*100</f>
        <v>10.960582258413206</v>
      </c>
      <c r="AM64" s="197">
        <f>(AM63-AH63)*100</f>
        <v>12.592868911063443</v>
      </c>
      <c r="AN64" s="457">
        <f>(AN63-AI63)*100</f>
        <v>13.383746099569896</v>
      </c>
      <c r="AO64" s="430"/>
      <c r="AP64" s="197">
        <f t="shared" ref="AP64:BB64" si="289">(AP63-AK63)*100</f>
        <v>-0.11212732307757933</v>
      </c>
      <c r="AQ64" s="197">
        <f t="shared" si="289"/>
        <v>2.2178992852109474</v>
      </c>
      <c r="AR64" s="197">
        <f t="shared" si="289"/>
        <v>1.0221988201985333</v>
      </c>
      <c r="AS64" s="457">
        <f t="shared" si="289"/>
        <v>1.1617532474473113</v>
      </c>
      <c r="AT64" s="430">
        <f t="shared" si="289"/>
        <v>0.76177089713868607</v>
      </c>
      <c r="AU64" s="197">
        <f t="shared" si="289"/>
        <v>0.91086793030699109</v>
      </c>
      <c r="AV64" s="197">
        <f t="shared" si="289"/>
        <v>5.9297839173402034</v>
      </c>
      <c r="AW64" s="197">
        <f t="shared" si="289"/>
        <v>4.7494444965657525</v>
      </c>
      <c r="AX64" s="457">
        <f t="shared" si="289"/>
        <v>3.9131560757984407</v>
      </c>
      <c r="AY64" s="548">
        <f t="shared" si="289"/>
        <v>4.4695260103217285</v>
      </c>
      <c r="AZ64" s="548">
        <f t="shared" si="289"/>
        <v>4.6205827063405893</v>
      </c>
      <c r="BA64" s="197">
        <f t="shared" si="289"/>
        <v>-0.17083925081087525</v>
      </c>
      <c r="BB64" s="197">
        <f t="shared" si="289"/>
        <v>1.3890897767661337</v>
      </c>
      <c r="BC64" s="457">
        <f t="shared" ref="BC64" si="290">(BC63-AX63)*100</f>
        <v>1.0503153042853901</v>
      </c>
      <c r="BD64" s="1948">
        <f t="shared" ref="BD64" si="291">(BD63-AY63)*100</f>
        <v>1.1024483570822641</v>
      </c>
      <c r="BE64" s="197"/>
      <c r="BF64" s="197"/>
      <c r="BG64" s="197"/>
      <c r="BH64" s="457"/>
      <c r="BI64" s="1948"/>
      <c r="BJ64" s="197"/>
      <c r="BK64" s="197"/>
      <c r="BL64" s="197"/>
      <c r="BM64" s="457"/>
      <c r="BN64" s="1948"/>
      <c r="BO64" s="548"/>
      <c r="BP64" s="197"/>
      <c r="BQ64" s="197"/>
      <c r="BR64" s="457"/>
      <c r="BS64" s="1948"/>
      <c r="BX64" s="430"/>
      <c r="CC64" s="430"/>
      <c r="CD64" s="197"/>
      <c r="CE64" s="117"/>
      <c r="CF64" s="173"/>
      <c r="CG64" s="173"/>
      <c r="CH64" s="173"/>
      <c r="CI64" s="239"/>
      <c r="CJ64" s="177"/>
      <c r="CK64" s="2070"/>
      <c r="CL64" s="197">
        <f t="shared" si="214"/>
        <v>0</v>
      </c>
      <c r="CM64" s="197">
        <f t="shared" si="215"/>
        <v>0</v>
      </c>
      <c r="CN64" s="197"/>
      <c r="CO64" s="197"/>
      <c r="CP64" s="197"/>
      <c r="CQ64" s="1928"/>
      <c r="CR64" s="93"/>
      <c r="CS64" s="93"/>
      <c r="CT64" s="93"/>
      <c r="CU64" s="93"/>
      <c r="CV64" s="93"/>
      <c r="CW64" s="93"/>
      <c r="CX64" s="93"/>
      <c r="CY64" s="119"/>
      <c r="CZ64"/>
      <c r="DA64"/>
      <c r="DB64"/>
      <c r="DC64"/>
      <c r="DD64"/>
      <c r="DE64"/>
      <c r="DF64" s="90"/>
      <c r="DG64" s="90"/>
      <c r="DH64" s="90"/>
      <c r="DI64" s="90"/>
      <c r="DJ64" s="90"/>
    </row>
    <row r="65" spans="1:114" s="1" customFormat="1" ht="12.75" hidden="1" customHeight="1" outlineLevel="2">
      <c r="A65" s="76" t="s">
        <v>88</v>
      </c>
      <c r="B65" s="549" t="str">
        <f>IF(ISERROR((B63-#REF!)*100),"",(B63-#REF!)*100)</f>
        <v/>
      </c>
      <c r="C65" s="194" t="str">
        <f>IF(ISERROR((C63-#REF!)*100),"",(C63-#REF!)*100)</f>
        <v/>
      </c>
      <c r="D65" s="194" t="str">
        <f>IF(ISERROR((D63-B63)*100),"",(D63-B63)*100)</f>
        <v/>
      </c>
      <c r="E65" s="194" t="str">
        <f>IF(ISERROR((E63-C63)*100),"",(E63-C63)*100)</f>
        <v/>
      </c>
      <c r="F65" s="431"/>
      <c r="G65" s="194"/>
      <c r="H65" s="194"/>
      <c r="I65" s="194"/>
      <c r="J65" s="194"/>
      <c r="K65" s="431"/>
      <c r="L65" s="194"/>
      <c r="M65" s="194"/>
      <c r="N65" s="194"/>
      <c r="O65" s="194"/>
      <c r="P65" s="431"/>
      <c r="Q65" s="194"/>
      <c r="R65" s="194"/>
      <c r="S65" s="194"/>
      <c r="T65" s="194"/>
      <c r="U65" s="431"/>
      <c r="V65" s="194"/>
      <c r="W65" s="194"/>
      <c r="X65" s="194"/>
      <c r="Y65" s="194"/>
      <c r="Z65" s="431"/>
      <c r="AA65" s="194"/>
      <c r="AB65" s="194"/>
      <c r="AC65" s="194"/>
      <c r="AD65" s="194"/>
      <c r="AE65" s="431"/>
      <c r="AF65" s="194"/>
      <c r="AG65" s="194"/>
      <c r="AH65" s="194"/>
      <c r="AI65" s="194"/>
      <c r="AJ65" s="431"/>
      <c r="AK65" s="194">
        <f>(AK63-AI63)*100</f>
        <v>12.979313824419778</v>
      </c>
      <c r="AL65" s="194">
        <f>(AL63-AK63)*100</f>
        <v>-2.0187315660065708</v>
      </c>
      <c r="AM65" s="194">
        <f>(AM63-AL63)*100</f>
        <v>1.6322866526502362</v>
      </c>
      <c r="AN65" s="194">
        <f>(AN63-AM63)*100</f>
        <v>0.79087718850645305</v>
      </c>
      <c r="AO65" s="431"/>
      <c r="AP65" s="194">
        <f>(AP63-AN63)*100</f>
        <v>-0.5165595982276977</v>
      </c>
      <c r="AQ65" s="194">
        <f>(AQ63-AP63)*100</f>
        <v>0.31129504228195604</v>
      </c>
      <c r="AR65" s="194">
        <f>(AR63-AQ63)*100</f>
        <v>0.43658618763782187</v>
      </c>
      <c r="AS65" s="194">
        <f>(AS63-AR63)*100</f>
        <v>0.93043161575523115</v>
      </c>
      <c r="AT65" s="431"/>
      <c r="AU65" s="194">
        <f>(AU63-AS63)*100</f>
        <v>-0.76744491536801795</v>
      </c>
      <c r="AV65" s="194">
        <f>(AV63-AU63)*100</f>
        <v>5.3302110293151683</v>
      </c>
      <c r="AW65" s="194">
        <f>(AW63-AV63)*100</f>
        <v>-0.74375323313662922</v>
      </c>
      <c r="AX65" s="194">
        <f>(AX63-AW63)*100</f>
        <v>9.4143194987919565E-2</v>
      </c>
      <c r="AY65" s="549"/>
      <c r="AZ65" s="549">
        <f>(AZ63-AX63)*100</f>
        <v>-6.0018284825869017E-2</v>
      </c>
      <c r="BA65" s="194">
        <f>(BA63-AZ63)*100</f>
        <v>0.53878907216370342</v>
      </c>
      <c r="BB65" s="194">
        <f>(BB63-BA63)*100</f>
        <v>0.81617579444037969</v>
      </c>
      <c r="BC65" s="194">
        <f>(BC63-BB63)*100</f>
        <v>-0.24463127749282387</v>
      </c>
      <c r="BD65" s="1949"/>
      <c r="BE65" s="194"/>
      <c r="BF65" s="194"/>
      <c r="BG65" s="194"/>
      <c r="BH65" s="194"/>
      <c r="BI65" s="1949"/>
      <c r="BJ65" s="194"/>
      <c r="BK65" s="194"/>
      <c r="BL65" s="194"/>
      <c r="BM65" s="194"/>
      <c r="BN65" s="1949"/>
      <c r="BO65" s="549"/>
      <c r="BP65" s="194"/>
      <c r="BQ65" s="194"/>
      <c r="BR65" s="2183"/>
      <c r="BS65" s="1949"/>
      <c r="BT65" s="194"/>
      <c r="BU65" s="194"/>
      <c r="BV65" s="194"/>
      <c r="BW65" s="194"/>
      <c r="BX65" s="458"/>
      <c r="BY65" s="194"/>
      <c r="BZ65" s="194"/>
      <c r="CA65" s="194"/>
      <c r="CB65" s="194"/>
      <c r="CC65" s="458"/>
      <c r="CD65" s="194"/>
      <c r="CE65" s="114"/>
      <c r="CF65" s="173"/>
      <c r="CG65" s="173"/>
      <c r="CH65" s="173"/>
      <c r="CI65" s="239"/>
      <c r="CJ65" s="177"/>
      <c r="CK65" s="2070"/>
      <c r="CL65" s="194">
        <f t="shared" si="214"/>
        <v>0</v>
      </c>
      <c r="CM65" s="194">
        <f t="shared" si="215"/>
        <v>0</v>
      </c>
      <c r="CN65" s="194"/>
      <c r="CO65" s="194"/>
      <c r="CP65" s="194"/>
      <c r="CQ65" s="44"/>
      <c r="CR65" s="40"/>
      <c r="CS65" s="40"/>
      <c r="CT65" s="40"/>
      <c r="CU65" s="40"/>
      <c r="CV65" s="40"/>
      <c r="CW65" s="40"/>
      <c r="CX65" s="40"/>
      <c r="CY65" s="139"/>
      <c r="CZ65"/>
      <c r="DA65"/>
      <c r="DB65"/>
      <c r="DC65"/>
      <c r="DD65"/>
      <c r="DE65"/>
      <c r="DF65" s="3"/>
      <c r="DG65" s="3"/>
      <c r="DH65" s="3"/>
      <c r="DI65" s="3"/>
      <c r="DJ65" s="3"/>
    </row>
    <row r="66" spans="1:114" s="262" customFormat="1" ht="12.75" hidden="1" customHeight="1" outlineLevel="2" collapsed="1">
      <c r="A66" s="503" t="s">
        <v>240</v>
      </c>
      <c r="B66" s="543"/>
      <c r="F66" s="265"/>
      <c r="K66" s="265"/>
      <c r="P66" s="265"/>
      <c r="U66" s="265"/>
      <c r="Z66" s="265"/>
      <c r="AE66" s="265"/>
      <c r="AJ66" s="265"/>
      <c r="AK66" s="262">
        <v>1.0289999999999999</v>
      </c>
      <c r="AL66" s="262">
        <v>1.5210000000000008</v>
      </c>
      <c r="AM66" s="262">
        <v>4.0509999999999984</v>
      </c>
      <c r="AN66" s="262">
        <v>9.5219999999999985</v>
      </c>
      <c r="AO66" s="265">
        <f>SUM(AK66:AN66)</f>
        <v>16.122999999999998</v>
      </c>
      <c r="AP66" s="262">
        <v>10.066000000000003</v>
      </c>
      <c r="AQ66" s="262">
        <v>12.566999999999993</v>
      </c>
      <c r="AR66" s="262">
        <v>14.443000000000019</v>
      </c>
      <c r="AS66" s="262">
        <v>17.708999999999978</v>
      </c>
      <c r="AT66" s="265">
        <f>SUM(AP66:AS66)</f>
        <v>54.784999999999997</v>
      </c>
      <c r="AU66" s="262">
        <v>19.920999999999978</v>
      </c>
      <c r="AV66" s="262">
        <v>74.043000000000006</v>
      </c>
      <c r="AW66" s="262">
        <v>72.58499999999998</v>
      </c>
      <c r="AX66" s="262">
        <v>78.8</v>
      </c>
      <c r="AY66" s="543">
        <f>SUM(AU66:AX66)</f>
        <v>245.34899999999999</v>
      </c>
      <c r="AZ66" s="603">
        <v>64.8</v>
      </c>
      <c r="BA66" s="262">
        <v>80.2</v>
      </c>
      <c r="BB66" s="262">
        <v>94.6</v>
      </c>
      <c r="BC66" s="262">
        <v>103.3</v>
      </c>
      <c r="BD66" s="1947">
        <f>SUM(AZ66:BC66)</f>
        <v>342.9</v>
      </c>
      <c r="BI66" s="1947"/>
      <c r="BN66" s="1947"/>
      <c r="BO66" s="543"/>
      <c r="BR66" s="2167"/>
      <c r="BS66" s="1947"/>
      <c r="BT66" s="269"/>
      <c r="BU66" s="269"/>
      <c r="BV66" s="269"/>
      <c r="BW66" s="269"/>
      <c r="BX66" s="459"/>
      <c r="BY66" s="269"/>
      <c r="BZ66" s="269"/>
      <c r="CA66" s="269"/>
      <c r="CB66" s="269"/>
      <c r="CC66" s="459"/>
      <c r="CE66" s="263"/>
      <c r="CF66" s="173"/>
      <c r="CG66" s="173"/>
      <c r="CH66" s="173"/>
      <c r="CI66" s="239"/>
      <c r="CJ66" s="177"/>
      <c r="CK66" s="2070"/>
      <c r="CL66" s="262">
        <f t="shared" si="214"/>
        <v>0</v>
      </c>
      <c r="CM66" s="262">
        <f t="shared" si="215"/>
        <v>0</v>
      </c>
      <c r="CO66" s="2088" t="str">
        <f>IFERROR(($CL66/CM66)-1,"")</f>
        <v/>
      </c>
      <c r="CP66" s="2088"/>
      <c r="CQ66" s="452"/>
      <c r="CR66" s="258"/>
      <c r="CS66" s="258"/>
      <c r="CT66" s="258"/>
      <c r="CU66" s="258"/>
      <c r="CV66" s="258"/>
      <c r="CW66" s="258"/>
      <c r="CX66" s="258"/>
      <c r="CY66" s="263"/>
      <c r="CZ66"/>
      <c r="DA66"/>
      <c r="DB66"/>
      <c r="DC66"/>
      <c r="DD66"/>
      <c r="DE66"/>
      <c r="DF66" s="266"/>
      <c r="DG66" s="266"/>
      <c r="DH66" s="266"/>
      <c r="DI66" s="266"/>
      <c r="DJ66" s="266"/>
    </row>
    <row r="67" spans="1:114" s="1" customFormat="1" ht="12.75" hidden="1" customHeight="1" outlineLevel="2">
      <c r="A67" s="504" t="s">
        <v>85</v>
      </c>
      <c r="B67" s="439" t="str">
        <f>IF(ISERROR((B66-#REF!)/#REF!),"",(B66-#REF!)/#REF!)</f>
        <v/>
      </c>
      <c r="C67" s="191" t="str">
        <f>IF(ISERROR((C66-#REF!)/#REF!),"",(C66-#REF!)/#REF!)</f>
        <v/>
      </c>
      <c r="D67" s="191" t="str">
        <f>IF(ISERROR((D66-#REF!)/#REF!),"",(D66-#REF!)/#REF!)</f>
        <v/>
      </c>
      <c r="E67" s="191" t="str">
        <f>IF(ISERROR((E66-#REF!)/#REF!),"",(E66-#REF!)/#REF!)</f>
        <v/>
      </c>
      <c r="F67" s="411"/>
      <c r="G67" s="191"/>
      <c r="H67" s="191"/>
      <c r="I67" s="191"/>
      <c r="J67" s="191"/>
      <c r="K67" s="411"/>
      <c r="L67" s="191"/>
      <c r="M67" s="191"/>
      <c r="N67" s="191"/>
      <c r="O67" s="191"/>
      <c r="P67" s="411"/>
      <c r="Q67" s="191"/>
      <c r="R67" s="191"/>
      <c r="S67" s="191"/>
      <c r="T67" s="191"/>
      <c r="U67" s="411"/>
      <c r="V67" s="191"/>
      <c r="W67" s="191"/>
      <c r="X67" s="191"/>
      <c r="Y67" s="191"/>
      <c r="Z67" s="411"/>
      <c r="AA67" s="191"/>
      <c r="AB67" s="191"/>
      <c r="AC67" s="191"/>
      <c r="AD67" s="191"/>
      <c r="AE67" s="411"/>
      <c r="AF67" s="191"/>
      <c r="AG67" s="191"/>
      <c r="AH67" s="191"/>
      <c r="AI67" s="191"/>
      <c r="AJ67" s="411"/>
      <c r="AK67" s="191"/>
      <c r="AL67" s="191"/>
      <c r="AM67" s="191"/>
      <c r="AN67" s="191"/>
      <c r="AO67" s="60"/>
      <c r="AP67" s="191">
        <f t="shared" ref="AP67:BB67" si="292">(AP66-AK66)/AK66</f>
        <v>8.7823129251700713</v>
      </c>
      <c r="AQ67" s="191">
        <f t="shared" si="292"/>
        <v>7.2623274161735614</v>
      </c>
      <c r="AR67" s="191">
        <f t="shared" si="292"/>
        <v>2.5652925203653481</v>
      </c>
      <c r="AS67" s="191">
        <f t="shared" si="292"/>
        <v>0.85979836168871893</v>
      </c>
      <c r="AT67" s="60">
        <f t="shared" si="292"/>
        <v>2.3979408298703717</v>
      </c>
      <c r="AU67" s="191">
        <f t="shared" si="292"/>
        <v>0.97903834691038871</v>
      </c>
      <c r="AV67" s="191">
        <f t="shared" si="292"/>
        <v>4.8918596323704975</v>
      </c>
      <c r="AW67" s="191">
        <f t="shared" si="292"/>
        <v>4.0256179464100175</v>
      </c>
      <c r="AX67" s="191">
        <f t="shared" si="292"/>
        <v>3.4497148342650683</v>
      </c>
      <c r="AY67" s="368">
        <f t="shared" si="292"/>
        <v>3.4783973715433056</v>
      </c>
      <c r="AZ67" s="439">
        <f t="shared" si="292"/>
        <v>2.2528487525726653</v>
      </c>
      <c r="BA67" s="191">
        <f t="shared" si="292"/>
        <v>8.3154383263779094E-2</v>
      </c>
      <c r="BB67" s="191">
        <f t="shared" si="292"/>
        <v>0.30329957980298988</v>
      </c>
      <c r="BC67" s="191">
        <f t="shared" ref="BC67" si="293">(BC66-AX66)/AX66</f>
        <v>0.31091370558375636</v>
      </c>
      <c r="BD67" s="1936">
        <f t="shared" ref="BD67" si="294">(BD66-AY66)/AY66</f>
        <v>0.39760096841641901</v>
      </c>
      <c r="BE67" s="191"/>
      <c r="BF67" s="191"/>
      <c r="BG67" s="191"/>
      <c r="BH67" s="191"/>
      <c r="BI67" s="1936"/>
      <c r="BJ67" s="191"/>
      <c r="BK67" s="191"/>
      <c r="BL67" s="191"/>
      <c r="BM67" s="191"/>
      <c r="BN67" s="1936"/>
      <c r="BO67" s="439"/>
      <c r="BP67" s="191"/>
      <c r="BQ67" s="191"/>
      <c r="BR67" s="2184"/>
      <c r="BS67" s="2154"/>
      <c r="BT67" s="191"/>
      <c r="BU67" s="191"/>
      <c r="BV67" s="191"/>
      <c r="BW67" s="191"/>
      <c r="BX67" s="460"/>
      <c r="BY67" s="191"/>
      <c r="BZ67" s="191"/>
      <c r="CA67" s="191"/>
      <c r="CB67" s="191"/>
      <c r="CC67" s="460"/>
      <c r="CD67" s="191"/>
      <c r="CE67" s="111"/>
      <c r="CF67" s="173"/>
      <c r="CG67" s="173"/>
      <c r="CH67" s="173"/>
      <c r="CI67" s="239"/>
      <c r="CJ67" s="177"/>
      <c r="CK67" s="2070"/>
      <c r="CL67" s="191">
        <f t="shared" si="214"/>
        <v>0</v>
      </c>
      <c r="CM67" s="191">
        <f t="shared" si="215"/>
        <v>0</v>
      </c>
      <c r="CN67" s="191"/>
      <c r="CO67" s="2110">
        <f>IFERROR(($CL67-CM67)*10000,"")</f>
        <v>0</v>
      </c>
      <c r="CP67" s="2110"/>
      <c r="CQ67" s="44"/>
      <c r="CR67" s="40"/>
      <c r="CS67" s="40"/>
      <c r="CT67" s="40"/>
      <c r="CU67" s="40"/>
      <c r="CV67" s="40"/>
      <c r="CW67" s="40"/>
      <c r="CX67" s="40"/>
      <c r="CY67" s="139"/>
      <c r="CZ67"/>
      <c r="DA67"/>
      <c r="DB67"/>
      <c r="DC67"/>
      <c r="DD67"/>
      <c r="DE67"/>
      <c r="DF67" s="3"/>
      <c r="DG67" s="3"/>
      <c r="DH67" s="3"/>
      <c r="DI67" s="3"/>
      <c r="DJ67" s="3"/>
    </row>
    <row r="68" spans="1:114" s="176" customFormat="1" ht="12.75" hidden="1" customHeight="1" outlineLevel="1" collapsed="1">
      <c r="A68" s="501" t="s">
        <v>191</v>
      </c>
      <c r="B68" s="546" t="str">
        <f>IF(ISERROR(B71/#REF!),"",B71/#REF!)</f>
        <v/>
      </c>
      <c r="C68" s="374" t="str">
        <f>IF(ISERROR(C71/#REF!),"",C71/#REF!)</f>
        <v/>
      </c>
      <c r="D68" s="374" t="str">
        <f>IF(ISERROR(D71/#REF!),"",D71/#REF!)</f>
        <v/>
      </c>
      <c r="E68" s="374" t="str">
        <f>IF(ISERROR(E71/#REF!),"",E71/#REF!)</f>
        <v/>
      </c>
      <c r="F68" s="376" t="str">
        <f>IF(ISERROR(F71/#REF!),"",F71/#REF!)</f>
        <v/>
      </c>
      <c r="G68" s="374"/>
      <c r="H68" s="374"/>
      <c r="I68" s="374"/>
      <c r="J68" s="374"/>
      <c r="K68" s="376"/>
      <c r="L68" s="374"/>
      <c r="M68" s="374"/>
      <c r="N68" s="374"/>
      <c r="O68" s="374"/>
      <c r="P68" s="376"/>
      <c r="Q68" s="374"/>
      <c r="R68" s="374"/>
      <c r="S68" s="374"/>
      <c r="T68" s="374"/>
      <c r="U68" s="376"/>
      <c r="V68" s="374"/>
      <c r="W68" s="374"/>
      <c r="X68" s="374"/>
      <c r="Y68" s="374"/>
      <c r="Z68" s="376"/>
      <c r="AA68" s="374"/>
      <c r="AB68" s="374"/>
      <c r="AC68" s="374"/>
      <c r="AD68" s="374"/>
      <c r="AE68" s="376"/>
      <c r="AF68" s="374"/>
      <c r="AG68" s="374"/>
      <c r="AH68" s="374"/>
      <c r="AI68" s="374"/>
      <c r="AJ68" s="376"/>
      <c r="AK68" s="374"/>
      <c r="AL68" s="374"/>
      <c r="AM68" s="374"/>
      <c r="AN68" s="374"/>
      <c r="AO68" s="376"/>
      <c r="AP68" s="374"/>
      <c r="AQ68" s="374"/>
      <c r="AR68" s="374">
        <f>+AR71/AR19</f>
        <v>0.28380788653701516</v>
      </c>
      <c r="AS68" s="374">
        <f>+AS71/AS19</f>
        <v>0.30076845687865233</v>
      </c>
      <c r="AT68" s="376"/>
      <c r="AU68" s="374">
        <f t="shared" ref="AU68:BJ68" si="295">+AU71/AU19</f>
        <v>0.28007898603967674</v>
      </c>
      <c r="AV68" s="374">
        <f t="shared" si="295"/>
        <v>0.29334831630436836</v>
      </c>
      <c r="AW68" s="374">
        <f t="shared" si="295"/>
        <v>0.2843691759176728</v>
      </c>
      <c r="AX68" s="374">
        <f t="shared" si="295"/>
        <v>0.26239067055393589</v>
      </c>
      <c r="AY68" s="546">
        <f t="shared" si="295"/>
        <v>0.2789939419592074</v>
      </c>
      <c r="AZ68" s="546">
        <f t="shared" si="295"/>
        <v>0.29008202833706187</v>
      </c>
      <c r="BA68" s="374">
        <f t="shared" si="295"/>
        <v>0.30329799764428739</v>
      </c>
      <c r="BB68" s="374">
        <f t="shared" si="295"/>
        <v>0.30010775862068967</v>
      </c>
      <c r="BC68" s="374">
        <f t="shared" si="295"/>
        <v>0.28613569321533922</v>
      </c>
      <c r="BD68" s="1944">
        <f t="shared" si="295"/>
        <v>0.29484774137682207</v>
      </c>
      <c r="BE68" s="374">
        <f t="shared" si="295"/>
        <v>0.29849077697037452</v>
      </c>
      <c r="BF68" s="374">
        <f t="shared" si="295"/>
        <v>0.31141006477329347</v>
      </c>
      <c r="BG68" s="374">
        <f t="shared" si="295"/>
        <v>0.30494117647058822</v>
      </c>
      <c r="BH68" s="374">
        <f t="shared" si="295"/>
        <v>0.28377806014400681</v>
      </c>
      <c r="BI68" s="1944">
        <f t="shared" si="295"/>
        <v>0.29908234725911614</v>
      </c>
      <c r="BJ68" s="374">
        <f t="shared" si="295"/>
        <v>0.29710144927536231</v>
      </c>
      <c r="BK68" s="374">
        <f t="shared" ref="BK68:BN68" si="296">+BK71/BK19</f>
        <v>0.30208333333333331</v>
      </c>
      <c r="BL68" s="374">
        <f t="shared" si="296"/>
        <v>0.29533250722841803</v>
      </c>
      <c r="BM68" s="374">
        <f t="shared" si="296"/>
        <v>0.27155322862129144</v>
      </c>
      <c r="BN68" s="1944">
        <f t="shared" si="296"/>
        <v>0.29026915113871632</v>
      </c>
      <c r="BO68" s="2347"/>
      <c r="BP68" s="377"/>
      <c r="BQ68" s="377"/>
      <c r="BR68" s="2164"/>
      <c r="BS68" s="1944"/>
      <c r="BT68" s="377"/>
      <c r="BU68" s="377"/>
      <c r="BV68" s="377"/>
      <c r="BW68" s="377"/>
      <c r="BX68" s="378"/>
      <c r="BY68" s="377"/>
      <c r="BZ68" s="377"/>
      <c r="CA68" s="377"/>
      <c r="CB68" s="377"/>
      <c r="CC68" s="378"/>
      <c r="CD68" s="193"/>
      <c r="CE68" s="113"/>
      <c r="CF68" s="173"/>
      <c r="CG68" s="173"/>
      <c r="CH68" s="173"/>
      <c r="CI68" s="239"/>
      <c r="CJ68" s="177"/>
      <c r="CK68" s="2070"/>
      <c r="CL68" s="374">
        <f t="shared" si="214"/>
        <v>0.27155322862129144</v>
      </c>
      <c r="CM68" s="374">
        <f t="shared" si="215"/>
        <v>0.28377806014400681</v>
      </c>
      <c r="CN68" s="377"/>
      <c r="CO68" s="2109">
        <f>IFERROR(($CL68-CM68)*10000,"")</f>
        <v>-122.24831522715363</v>
      </c>
      <c r="CP68" s="2109"/>
      <c r="CQ68" s="44" t="s">
        <v>196</v>
      </c>
      <c r="CR68" s="16"/>
      <c r="CS68" s="16"/>
      <c r="CT68" s="16"/>
      <c r="CU68" s="16"/>
      <c r="CV68" s="16"/>
      <c r="CW68" s="16"/>
      <c r="CX68" s="16"/>
      <c r="CY68" s="141"/>
      <c r="CZ68"/>
      <c r="DA68"/>
      <c r="DB68"/>
      <c r="DC68"/>
      <c r="DD68"/>
      <c r="DE68"/>
      <c r="DF68" s="8"/>
      <c r="DG68" s="8"/>
      <c r="DH68" s="8"/>
      <c r="DI68" s="8"/>
      <c r="DJ68" s="8"/>
    </row>
    <row r="69" spans="1:114" s="179" customFormat="1" ht="12.75" hidden="1" customHeight="1" outlineLevel="1">
      <c r="A69" s="502" t="s">
        <v>86</v>
      </c>
      <c r="B69" s="547" t="str">
        <f>IF(ISERROR((B68-#REF!)*100),"",(B68-#REF!)*100)</f>
        <v/>
      </c>
      <c r="C69" s="91" t="str">
        <f>IF(ISERROR((C68-#REF!)*100),"",(C68-#REF!)*100)</f>
        <v/>
      </c>
      <c r="D69" s="91" t="str">
        <f>IF(ISERROR((D68-#REF!)*100),"",(D68-#REF!)*100)</f>
        <v/>
      </c>
      <c r="E69" s="91" t="str">
        <f>IF(ISERROR((E68-#REF!)*100),"",(E68-#REF!)*100)</f>
        <v/>
      </c>
      <c r="F69" s="92"/>
      <c r="G69" s="91"/>
      <c r="H69" s="91"/>
      <c r="I69" s="91"/>
      <c r="J69" s="91"/>
      <c r="K69" s="92"/>
      <c r="L69" s="91"/>
      <c r="M69" s="91"/>
      <c r="N69" s="91"/>
      <c r="O69" s="91"/>
      <c r="P69" s="92"/>
      <c r="Q69" s="91"/>
      <c r="R69" s="91"/>
      <c r="S69" s="91"/>
      <c r="T69" s="91"/>
      <c r="U69" s="92"/>
      <c r="V69" s="91"/>
      <c r="W69" s="91"/>
      <c r="X69" s="91"/>
      <c r="Y69" s="91"/>
      <c r="Z69" s="92"/>
      <c r="AA69" s="91"/>
      <c r="AB69" s="91"/>
      <c r="AC69" s="91"/>
      <c r="AD69" s="91"/>
      <c r="AE69" s="92"/>
      <c r="AF69" s="91"/>
      <c r="AG69" s="91"/>
      <c r="AH69" s="91"/>
      <c r="AI69" s="91"/>
      <c r="AJ69" s="92"/>
      <c r="AK69" s="91"/>
      <c r="AL69" s="91"/>
      <c r="AM69" s="91"/>
      <c r="AN69" s="91"/>
      <c r="AO69" s="92"/>
      <c r="AP69" s="91"/>
      <c r="AQ69" s="91"/>
      <c r="AR69" s="91"/>
      <c r="AS69" s="91"/>
      <c r="AT69" s="92"/>
      <c r="AU69" s="91"/>
      <c r="AV69" s="197"/>
      <c r="AW69" s="197">
        <f>(AW68-AR68)*100</f>
        <v>5.6128938065763689E-2</v>
      </c>
      <c r="AX69" s="91">
        <f>(AX68-AS68)*100</f>
        <v>-3.8377786324716445</v>
      </c>
      <c r="AY69" s="547"/>
      <c r="AZ69" s="547">
        <f t="shared" ref="AZ69:BB69" si="297">(AZ68-AU68)*100</f>
        <v>1.0003042297385134</v>
      </c>
      <c r="BA69" s="197">
        <f t="shared" si="297"/>
        <v>0.99496813399190254</v>
      </c>
      <c r="BB69" s="197">
        <f t="shared" si="297"/>
        <v>1.5738582703016868</v>
      </c>
      <c r="BC69" s="91">
        <f>(BC68-AX68)*100</f>
        <v>2.3745022661403326</v>
      </c>
      <c r="BD69" s="1945"/>
      <c r="BE69" s="91">
        <f>(BE68-AZ68)*100</f>
        <v>0.8408748633312646</v>
      </c>
      <c r="BF69" s="197">
        <f t="shared" ref="BF69:BG69" si="298">(BF68-BA68)*100</f>
        <v>0.81120671290060842</v>
      </c>
      <c r="BG69" s="197">
        <f t="shared" si="298"/>
        <v>0.48334178498985469</v>
      </c>
      <c r="BH69" s="91">
        <f>(BH68-BC68)*100</f>
        <v>-0.23576330713324101</v>
      </c>
      <c r="BI69" s="1945"/>
      <c r="BJ69" s="91">
        <f>(BJ68-BE68)*100</f>
        <v>-0.13893276950122102</v>
      </c>
      <c r="BK69" s="197">
        <f t="shared" ref="BK69:BL69" si="299">(BK68-BF68)*100</f>
        <v>-0.93267314399601564</v>
      </c>
      <c r="BL69" s="197">
        <f t="shared" si="299"/>
        <v>-0.96086692421701869</v>
      </c>
      <c r="BM69" s="91">
        <f>(BM68-BH68)*100</f>
        <v>-1.2224831522715363</v>
      </c>
      <c r="BN69" s="1945"/>
      <c r="BO69" s="548"/>
      <c r="BP69" s="197"/>
      <c r="BQ69" s="197"/>
      <c r="BR69" s="457"/>
      <c r="BS69" s="1945"/>
      <c r="BT69" s="90"/>
      <c r="BU69" s="90"/>
      <c r="BV69" s="90"/>
      <c r="BW69" s="90"/>
      <c r="BX69" s="461"/>
      <c r="BY69" s="90"/>
      <c r="BZ69" s="90"/>
      <c r="CA69" s="90"/>
      <c r="CB69" s="90"/>
      <c r="CC69" s="461"/>
      <c r="CD69" s="197"/>
      <c r="CE69" s="117"/>
      <c r="CF69" s="173"/>
      <c r="CG69" s="173"/>
      <c r="CH69" s="173"/>
      <c r="CI69" s="239"/>
      <c r="CJ69" s="177"/>
      <c r="CK69" s="2070"/>
      <c r="CL69" s="197">
        <f t="shared" si="214"/>
        <v>-1.2224831522715363</v>
      </c>
      <c r="CM69" s="197">
        <f t="shared" si="215"/>
        <v>-0.23576330713324101</v>
      </c>
      <c r="CN69" s="197"/>
      <c r="CO69" s="197"/>
      <c r="CP69" s="197"/>
      <c r="CQ69" s="44"/>
      <c r="CR69" s="93"/>
      <c r="CS69" s="93"/>
      <c r="CT69" s="93"/>
      <c r="CU69" s="93"/>
      <c r="CV69" s="93"/>
      <c r="CW69" s="93"/>
      <c r="CX69" s="93"/>
      <c r="CY69" s="119"/>
      <c r="CZ69"/>
      <c r="DA69"/>
      <c r="DB69"/>
      <c r="DC69"/>
      <c r="DD69"/>
      <c r="DE69"/>
      <c r="DF69" s="90"/>
      <c r="DG69" s="90"/>
      <c r="DH69" s="90"/>
      <c r="DI69" s="90"/>
      <c r="DJ69" s="90"/>
    </row>
    <row r="70" spans="1:114" s="1" customFormat="1" ht="12.75" hidden="1" customHeight="1" outlineLevel="1">
      <c r="A70" s="76" t="s">
        <v>88</v>
      </c>
      <c r="B70" s="190" t="str">
        <f>IF(ISERROR((B68-#REF!)*100),"",(B68-#REF!)*100)</f>
        <v/>
      </c>
      <c r="C70" s="6" t="str">
        <f>IF(ISERROR((C68-#REF!)*100),"",(C68-#REF!)*100)</f>
        <v/>
      </c>
      <c r="D70" s="6" t="str">
        <f>IF(ISERROR((D68-B68)*100),"",(D68-B68)*100)</f>
        <v/>
      </c>
      <c r="E70" s="6" t="str">
        <f>IF(ISERROR((E68-C68)*100),"",(E68-C68)*100)</f>
        <v/>
      </c>
      <c r="F70" s="61"/>
      <c r="G70" s="6"/>
      <c r="H70" s="6"/>
      <c r="I70" s="6"/>
      <c r="J70" s="6"/>
      <c r="K70" s="61"/>
      <c r="L70" s="6"/>
      <c r="M70" s="6"/>
      <c r="N70" s="6"/>
      <c r="O70" s="6"/>
      <c r="P70" s="61"/>
      <c r="Q70" s="6"/>
      <c r="R70" s="6"/>
      <c r="S70" s="6"/>
      <c r="T70" s="6"/>
      <c r="U70" s="61"/>
      <c r="V70" s="6"/>
      <c r="W70" s="6"/>
      <c r="X70" s="6"/>
      <c r="Y70" s="6"/>
      <c r="Z70" s="61"/>
      <c r="AA70" s="6"/>
      <c r="AB70" s="6"/>
      <c r="AC70" s="6"/>
      <c r="AD70" s="6"/>
      <c r="AE70" s="61"/>
      <c r="AF70" s="6"/>
      <c r="AG70" s="6"/>
      <c r="AH70" s="6"/>
      <c r="AI70" s="6"/>
      <c r="AJ70" s="61"/>
      <c r="AK70" s="6"/>
      <c r="AL70" s="6"/>
      <c r="AM70" s="6"/>
      <c r="AN70" s="6"/>
      <c r="AO70" s="61"/>
      <c r="AP70" s="6"/>
      <c r="AQ70" s="6"/>
      <c r="AR70" s="6"/>
      <c r="AS70" s="6"/>
      <c r="AT70" s="61"/>
      <c r="AU70" s="194">
        <f>(AU68-AS68)*100</f>
        <v>-2.0689470838975597</v>
      </c>
      <c r="AV70" s="194">
        <f>(AV68-AU68)*100</f>
        <v>1.3269330264691626</v>
      </c>
      <c r="AW70" s="194">
        <f>(AW68-AV68)*100</f>
        <v>-0.8979140386695561</v>
      </c>
      <c r="AX70" s="6">
        <f>(AX68-AW68)*100</f>
        <v>-2.1978505363736911</v>
      </c>
      <c r="AY70" s="190"/>
      <c r="AZ70" s="549">
        <f>(AZ68-AX68)*100</f>
        <v>2.7691357783125978</v>
      </c>
      <c r="BA70" s="194">
        <f>(BA68-AZ68)*100</f>
        <v>1.3215969307225517</v>
      </c>
      <c r="BB70" s="194">
        <f>(BB68-BA68)*100</f>
        <v>-0.31902390235977185</v>
      </c>
      <c r="BC70" s="6">
        <f>(BC68-BB68)*100</f>
        <v>-1.3972065405350453</v>
      </c>
      <c r="BD70" s="1946"/>
      <c r="BE70" s="6">
        <f>(BE68-BC68)*100</f>
        <v>1.2355083755035301</v>
      </c>
      <c r="BF70" s="194">
        <f>(BF68-BE68)*100</f>
        <v>1.2919287802918955</v>
      </c>
      <c r="BG70" s="194">
        <f>(BG68-BF68)*100</f>
        <v>-0.64688883027052557</v>
      </c>
      <c r="BH70" s="6">
        <f>(BH68-BG68)*100</f>
        <v>-2.116311632658141</v>
      </c>
      <c r="BI70" s="1946"/>
      <c r="BJ70" s="6">
        <f>(BJ68-BH68)*100</f>
        <v>1.3323389131355501</v>
      </c>
      <c r="BK70" s="194">
        <f>(BK68-BJ68)*100</f>
        <v>0.49818840579710089</v>
      </c>
      <c r="BL70" s="194">
        <f>(BL68-BK68)*100</f>
        <v>-0.67508261049152862</v>
      </c>
      <c r="BM70" s="6">
        <f>(BM68-BL68)*100</f>
        <v>-2.3779278607126586</v>
      </c>
      <c r="BN70" s="1946"/>
      <c r="BO70" s="549"/>
      <c r="BP70" s="194"/>
      <c r="BQ70" s="194"/>
      <c r="BR70" s="2183"/>
      <c r="BS70" s="1946"/>
      <c r="BT70" s="6"/>
      <c r="BU70" s="6"/>
      <c r="BV70" s="6"/>
      <c r="BW70" s="6"/>
      <c r="BX70" s="462"/>
      <c r="BY70" s="6"/>
      <c r="BZ70" s="6"/>
      <c r="CA70" s="6"/>
      <c r="CB70" s="6"/>
      <c r="CC70" s="462"/>
      <c r="CD70" s="194"/>
      <c r="CE70" s="114"/>
      <c r="CF70" s="173"/>
      <c r="CG70" s="173"/>
      <c r="CH70" s="173"/>
      <c r="CI70" s="239"/>
      <c r="CJ70" s="177"/>
      <c r="CK70" s="2070"/>
      <c r="CL70" s="194">
        <f t="shared" si="214"/>
        <v>-2.3779278607126586</v>
      </c>
      <c r="CM70" s="194">
        <f t="shared" si="215"/>
        <v>-2.116311632658141</v>
      </c>
      <c r="CN70" s="194"/>
      <c r="CO70" s="194"/>
      <c r="CP70" s="194"/>
      <c r="CQ70" s="44"/>
      <c r="CR70" s="40"/>
      <c r="CS70" s="40"/>
      <c r="CT70" s="40"/>
      <c r="CU70" s="40"/>
      <c r="CV70" s="40"/>
      <c r="CW70" s="40"/>
      <c r="CX70" s="40"/>
      <c r="CY70" s="139"/>
      <c r="CZ70"/>
      <c r="DA70"/>
      <c r="DB70"/>
      <c r="DC70"/>
      <c r="DD70"/>
      <c r="DE70"/>
      <c r="DF70" s="3"/>
      <c r="DG70" s="3"/>
      <c r="DH70" s="3"/>
      <c r="DI70" s="3"/>
      <c r="DJ70" s="3"/>
    </row>
    <row r="71" spans="1:114" s="262" customFormat="1" ht="12.75" hidden="1" customHeight="1" outlineLevel="1" collapsed="1">
      <c r="A71" s="503" t="s">
        <v>190</v>
      </c>
      <c r="B71" s="543"/>
      <c r="F71" s="265"/>
      <c r="K71" s="265"/>
      <c r="P71" s="265"/>
      <c r="U71" s="265"/>
      <c r="Z71" s="265"/>
      <c r="AE71" s="265"/>
      <c r="AJ71" s="265"/>
      <c r="AO71" s="265"/>
      <c r="AR71" s="262">
        <v>13.207000000000001</v>
      </c>
      <c r="AS71" s="262">
        <v>28.102</v>
      </c>
      <c r="AT71" s="265">
        <f>SUM(AP71:AS71)</f>
        <v>41.308999999999997</v>
      </c>
      <c r="AU71" s="262">
        <v>24.396000000000001</v>
      </c>
      <c r="AV71" s="262">
        <v>31.065000000000001</v>
      </c>
      <c r="AW71" s="262">
        <v>35.094000000000001</v>
      </c>
      <c r="AX71" s="262">
        <v>36</v>
      </c>
      <c r="AY71" s="543">
        <f>SUM(AU71:AX71)</f>
        <v>126.55500000000001</v>
      </c>
      <c r="AZ71" s="603">
        <v>38.9</v>
      </c>
      <c r="BA71" s="262">
        <v>51.5</v>
      </c>
      <c r="BB71" s="262">
        <v>55.7</v>
      </c>
      <c r="BC71" s="262">
        <v>58.2</v>
      </c>
      <c r="BD71" s="1947">
        <f>SUM(AZ71:BC71)</f>
        <v>204.3</v>
      </c>
      <c r="BE71" s="262">
        <v>53.4</v>
      </c>
      <c r="BF71" s="262">
        <v>62.5</v>
      </c>
      <c r="BG71" s="262">
        <v>64.8</v>
      </c>
      <c r="BH71" s="262">
        <v>67</v>
      </c>
      <c r="BI71" s="1947">
        <f>SUM(BE71:BH71)</f>
        <v>247.7</v>
      </c>
      <c r="BJ71" s="262">
        <v>61.5</v>
      </c>
      <c r="BK71" s="262">
        <v>69.599999999999994</v>
      </c>
      <c r="BL71" s="262">
        <v>71.5</v>
      </c>
      <c r="BM71" s="262">
        <v>77.8</v>
      </c>
      <c r="BN71" s="1947">
        <f>SUM(BJ71:BM71)</f>
        <v>280.39999999999998</v>
      </c>
      <c r="BO71" s="543"/>
      <c r="BR71" s="2167"/>
      <c r="BS71" s="1947"/>
      <c r="BT71" s="269"/>
      <c r="BU71" s="269"/>
      <c r="BV71" s="269"/>
      <c r="BW71" s="269"/>
      <c r="BX71" s="459"/>
      <c r="BY71" s="269"/>
      <c r="BZ71" s="269"/>
      <c r="CA71" s="269"/>
      <c r="CB71" s="269"/>
      <c r="CC71" s="459"/>
      <c r="CE71" s="263"/>
      <c r="CF71" s="173"/>
      <c r="CG71" s="173"/>
      <c r="CH71" s="173"/>
      <c r="CI71" s="239"/>
      <c r="CJ71" s="177"/>
      <c r="CK71" s="2070"/>
      <c r="CL71" s="262">
        <f t="shared" si="214"/>
        <v>77.8</v>
      </c>
      <c r="CM71" s="262">
        <f t="shared" si="215"/>
        <v>67</v>
      </c>
      <c r="CO71" s="2088">
        <f>IFERROR(($CL71/CM71)-1,"")</f>
        <v>0.16119402985074616</v>
      </c>
      <c r="CP71" s="2088"/>
      <c r="CQ71" s="452"/>
      <c r="CR71" s="258"/>
      <c r="CS71" s="258"/>
      <c r="CT71" s="258"/>
      <c r="CU71" s="258"/>
      <c r="CV71" s="258"/>
      <c r="CW71" s="258"/>
      <c r="CX71" s="258"/>
      <c r="CY71" s="263"/>
      <c r="CZ71"/>
      <c r="DA71"/>
      <c r="DB71"/>
      <c r="DC71"/>
      <c r="DD71"/>
      <c r="DE71"/>
      <c r="DF71" s="266"/>
      <c r="DG71" s="266"/>
      <c r="DH71" s="266"/>
      <c r="DI71" s="266"/>
      <c r="DJ71" s="266"/>
    </row>
    <row r="72" spans="1:114" s="1" customFormat="1" ht="12.75" hidden="1" customHeight="1" outlineLevel="1">
      <c r="A72" s="504" t="s">
        <v>85</v>
      </c>
      <c r="B72" s="368" t="str">
        <f>IF(ISERROR((B71-#REF!)/#REF!),"",(B71-#REF!)/#REF!)</f>
        <v/>
      </c>
      <c r="C72" s="18" t="str">
        <f>IF(ISERROR((C71-#REF!)/#REF!),"",(C71-#REF!)/#REF!)</f>
        <v/>
      </c>
      <c r="D72" s="18" t="str">
        <f>IF(ISERROR((D71-#REF!)/#REF!),"",(D71-#REF!)/#REF!)</f>
        <v/>
      </c>
      <c r="E72" s="18" t="str">
        <f>IF(ISERROR((E71-#REF!)/#REF!),"",(E71-#REF!)/#REF!)</f>
        <v/>
      </c>
      <c r="F72" s="60"/>
      <c r="G72" s="18" t="str">
        <f t="shared" ref="G72:L72" si="300">IF(ISERROR((G71-B71)/B71),"",(G71-B71)/B71)</f>
        <v/>
      </c>
      <c r="H72" s="18" t="str">
        <f t="shared" si="300"/>
        <v/>
      </c>
      <c r="I72" s="18" t="str">
        <f t="shared" si="300"/>
        <v/>
      </c>
      <c r="J72" s="18" t="str">
        <f t="shared" si="300"/>
        <v/>
      </c>
      <c r="K72" s="60" t="str">
        <f t="shared" si="300"/>
        <v/>
      </c>
      <c r="L72" s="18" t="str">
        <f t="shared" si="300"/>
        <v/>
      </c>
      <c r="M72" s="18"/>
      <c r="N72" s="18"/>
      <c r="O72" s="18"/>
      <c r="P72" s="60"/>
      <c r="Q72" s="18"/>
      <c r="R72" s="18"/>
      <c r="S72" s="18"/>
      <c r="T72" s="18"/>
      <c r="U72" s="60"/>
      <c r="V72" s="18"/>
      <c r="W72" s="18"/>
      <c r="X72" s="18"/>
      <c r="Y72" s="18"/>
      <c r="Z72" s="60"/>
      <c r="AA72" s="18"/>
      <c r="AB72" s="18"/>
      <c r="AC72" s="18"/>
      <c r="AD72" s="18"/>
      <c r="AE72" s="60"/>
      <c r="AF72" s="18"/>
      <c r="AG72" s="18"/>
      <c r="AH72" s="18"/>
      <c r="AI72" s="18"/>
      <c r="AJ72" s="60"/>
      <c r="AK72" s="18"/>
      <c r="AL72" s="18"/>
      <c r="AM72" s="18"/>
      <c r="AN72" s="18"/>
      <c r="AO72" s="60"/>
      <c r="AP72" s="18"/>
      <c r="AQ72" s="18"/>
      <c r="AR72" s="18"/>
      <c r="AS72" s="18"/>
      <c r="AT72" s="60"/>
      <c r="AU72" s="18"/>
      <c r="AV72" s="191"/>
      <c r="AW72" s="191"/>
      <c r="AX72" s="191">
        <f>(AX71-AS71)/AS71</f>
        <v>0.28104761226958935</v>
      </c>
      <c r="AY72" s="368"/>
      <c r="AZ72" s="368">
        <f t="shared" ref="AZ72:BB72" si="301">(AZ71-AU71)/AU71</f>
        <v>0.59452369240859149</v>
      </c>
      <c r="BA72" s="191">
        <f t="shared" si="301"/>
        <v>0.65781426042169633</v>
      </c>
      <c r="BB72" s="191">
        <f t="shared" si="301"/>
        <v>0.58716589730438251</v>
      </c>
      <c r="BC72" s="191">
        <f>(BC71-AX71)/AX71</f>
        <v>0.6166666666666667</v>
      </c>
      <c r="BD72" s="1936"/>
      <c r="BE72" s="191">
        <f>(BE71-AZ71)/AZ71</f>
        <v>0.37275064267352187</v>
      </c>
      <c r="BF72" s="191">
        <f t="shared" ref="BF72:BG72" si="302">(BF71-BA71)/BA71</f>
        <v>0.21359223300970873</v>
      </c>
      <c r="BG72" s="191">
        <f t="shared" si="302"/>
        <v>0.16337522441651695</v>
      </c>
      <c r="BH72" s="191">
        <f>(BH71-BC71)/BC71</f>
        <v>0.15120274914089341</v>
      </c>
      <c r="BI72" s="1936"/>
      <c r="BJ72" s="191">
        <f>(BJ71-BE71)/BE71</f>
        <v>0.151685393258427</v>
      </c>
      <c r="BK72" s="191">
        <f t="shared" ref="BK72:BL72" si="303">(BK71-BF71)/BF71</f>
        <v>0.11359999999999991</v>
      </c>
      <c r="BL72" s="191">
        <f t="shared" si="303"/>
        <v>0.1033950617283951</v>
      </c>
      <c r="BM72" s="191">
        <f>(BM71-BH71)/BH71</f>
        <v>0.16119402985074624</v>
      </c>
      <c r="BN72" s="1936"/>
      <c r="BO72" s="439"/>
      <c r="BP72" s="191"/>
      <c r="BQ72" s="191"/>
      <c r="BR72" s="2184"/>
      <c r="BS72" s="1936"/>
      <c r="BT72" s="18"/>
      <c r="BU72" s="18"/>
      <c r="BV72" s="18"/>
      <c r="BW72" s="18"/>
      <c r="BX72" s="60"/>
      <c r="BY72" s="18"/>
      <c r="BZ72" s="18"/>
      <c r="CA72" s="18"/>
      <c r="CB72" s="18"/>
      <c r="CC72" s="60"/>
      <c r="CD72" s="191"/>
      <c r="CE72" s="111"/>
      <c r="CF72" s="173"/>
      <c r="CG72" s="173"/>
      <c r="CH72" s="173"/>
      <c r="CI72" s="239"/>
      <c r="CJ72" s="177"/>
      <c r="CK72" s="2070"/>
      <c r="CL72" s="191">
        <f t="shared" si="214"/>
        <v>0.16119402985074624</v>
      </c>
      <c r="CM72" s="191">
        <f t="shared" si="215"/>
        <v>0.15120274914089341</v>
      </c>
      <c r="CN72" s="191"/>
      <c r="CO72" s="2110">
        <f>IFERROR(($CL72-CM72)*10000,"")</f>
        <v>99.912807098528347</v>
      </c>
      <c r="CP72" s="2110"/>
      <c r="CQ72" s="44"/>
      <c r="CR72" s="40"/>
      <c r="CS72" s="40"/>
      <c r="CT72" s="40"/>
      <c r="CU72" s="40"/>
      <c r="CV72" s="40"/>
      <c r="CW72" s="40"/>
      <c r="CX72" s="40"/>
      <c r="CY72" s="139"/>
      <c r="CZ72"/>
      <c r="DA72"/>
      <c r="DB72"/>
      <c r="DC72"/>
      <c r="DD72"/>
      <c r="DE72"/>
      <c r="DF72" s="3"/>
      <c r="DG72" s="3"/>
      <c r="DH72" s="3"/>
      <c r="DI72" s="3"/>
      <c r="DJ72" s="3"/>
    </row>
    <row r="73" spans="1:114" s="176" customFormat="1" ht="12.75" hidden="1" customHeight="1" outlineLevel="1">
      <c r="A73" s="501" t="s">
        <v>241</v>
      </c>
      <c r="B73" s="546" t="str">
        <f>IF(ISERROR(B76/#REF!),"",B76/#REF!)</f>
        <v/>
      </c>
      <c r="C73" s="374" t="str">
        <f>IF(ISERROR(C76/#REF!),"",C76/#REF!)</f>
        <v/>
      </c>
      <c r="D73" s="374" t="str">
        <f>IF(ISERROR(D76/#REF!),"",D76/#REF!)</f>
        <v/>
      </c>
      <c r="E73" s="374" t="str">
        <f>IF(ISERROR(E76/#REF!),"",E76/#REF!)</f>
        <v/>
      </c>
      <c r="F73" s="376" t="str">
        <f>IF(ISERROR(F76/#REF!),"",F76/#REF!)</f>
        <v/>
      </c>
      <c r="G73" s="374"/>
      <c r="H73" s="374"/>
      <c r="I73" s="374"/>
      <c r="J73" s="374"/>
      <c r="K73" s="376"/>
      <c r="L73" s="374"/>
      <c r="M73" s="374"/>
      <c r="N73" s="374"/>
      <c r="O73" s="374"/>
      <c r="P73" s="376"/>
      <c r="Q73" s="374"/>
      <c r="R73" s="374"/>
      <c r="S73" s="374"/>
      <c r="T73" s="374"/>
      <c r="U73" s="376"/>
      <c r="V73" s="374"/>
      <c r="W73" s="374"/>
      <c r="X73" s="374"/>
      <c r="Y73" s="374"/>
      <c r="Z73" s="376"/>
      <c r="AA73" s="374"/>
      <c r="AB73" s="374"/>
      <c r="AC73" s="374"/>
      <c r="AD73" s="374"/>
      <c r="AE73" s="376"/>
      <c r="AF73" s="374"/>
      <c r="AG73" s="374"/>
      <c r="AH73" s="374"/>
      <c r="AI73" s="374"/>
      <c r="AJ73" s="376"/>
      <c r="AK73" s="374"/>
      <c r="AL73" s="374"/>
      <c r="AM73" s="374"/>
      <c r="AN73" s="374"/>
      <c r="AO73" s="376"/>
      <c r="AP73" s="374"/>
      <c r="AQ73" s="374"/>
      <c r="AR73" s="374"/>
      <c r="AS73" s="374"/>
      <c r="AT73" s="376"/>
      <c r="AU73" s="374"/>
      <c r="AV73" s="374"/>
      <c r="AW73" s="374"/>
      <c r="AX73" s="374"/>
      <c r="AY73" s="546"/>
      <c r="AZ73" s="546"/>
      <c r="BA73" s="374">
        <f>+BA76/BA22</f>
        <v>0.23310023310023312</v>
      </c>
      <c r="BB73" s="374">
        <f>+BB76/BB22</f>
        <v>0.22632794457274824</v>
      </c>
      <c r="BC73" s="374">
        <f>+BC76/BC22</f>
        <v>0.22971370489581569</v>
      </c>
      <c r="BD73" s="1944"/>
      <c r="BE73" s="374">
        <f>+BE76/BE22</f>
        <v>0.23328854551561978</v>
      </c>
      <c r="BF73" s="374">
        <f>+BF76/BF22</f>
        <v>0.23328701559363901</v>
      </c>
      <c r="BG73" s="374">
        <f>+BG76/BG22</f>
        <v>0.22829202495363346</v>
      </c>
      <c r="BH73" s="374">
        <f>+BH76/BH22</f>
        <v>0.23083638903439843</v>
      </c>
      <c r="BI73" s="1944"/>
      <c r="BJ73" s="374">
        <f>+BJ76/BJ22</f>
        <v>0.22951093306626605</v>
      </c>
      <c r="BK73" s="374">
        <f>+BK76/BK22</f>
        <v>0.23165771921262404</v>
      </c>
      <c r="BL73" s="374">
        <f>+BL76/BL22</f>
        <v>0.23054938075579548</v>
      </c>
      <c r="BM73" s="374">
        <f>+BM76/BM22</f>
        <v>0.23005398920215958</v>
      </c>
      <c r="BN73" s="1944"/>
      <c r="BO73" s="2347"/>
      <c r="BP73" s="377"/>
      <c r="BQ73" s="377"/>
      <c r="BR73" s="2164"/>
      <c r="BS73" s="1944"/>
      <c r="BT73" s="377"/>
      <c r="BU73" s="377"/>
      <c r="BV73" s="377"/>
      <c r="BW73" s="377"/>
      <c r="BX73" s="378"/>
      <c r="BY73" s="377"/>
      <c r="BZ73" s="377"/>
      <c r="CA73" s="377"/>
      <c r="CB73" s="377"/>
      <c r="CC73" s="378"/>
      <c r="CD73" s="193"/>
      <c r="CE73" s="113"/>
      <c r="CF73" s="173"/>
      <c r="CG73" s="173"/>
      <c r="CH73" s="173"/>
      <c r="CI73" s="239"/>
      <c r="CJ73" s="177"/>
      <c r="CK73" s="2070"/>
      <c r="CL73" s="374"/>
      <c r="CM73" s="374"/>
      <c r="CN73" s="377"/>
      <c r="CO73" s="374"/>
      <c r="CP73" s="374"/>
      <c r="CQ73" s="44"/>
      <c r="CR73" s="16"/>
      <c r="CS73" s="16"/>
      <c r="CT73" s="16"/>
      <c r="CU73" s="16"/>
      <c r="CV73" s="16"/>
      <c r="CW73" s="16"/>
      <c r="CX73" s="16"/>
      <c r="CY73" s="141"/>
      <c r="CZ73"/>
      <c r="DA73"/>
      <c r="DB73"/>
      <c r="DC73"/>
      <c r="DD73"/>
      <c r="DE73"/>
      <c r="DF73" s="8"/>
      <c r="DG73" s="8"/>
      <c r="DH73" s="8"/>
      <c r="DI73" s="8"/>
      <c r="DJ73" s="8"/>
    </row>
    <row r="74" spans="1:114" s="179" customFormat="1" ht="12.75" hidden="1" customHeight="1" outlineLevel="1">
      <c r="A74" s="502" t="s">
        <v>86</v>
      </c>
      <c r="B74" s="547" t="str">
        <f>IF(ISERROR((B73-#REF!)*100),"",(B73-#REF!)*100)</f>
        <v/>
      </c>
      <c r="C74" s="91" t="str">
        <f>IF(ISERROR((C73-#REF!)*100),"",(C73-#REF!)*100)</f>
        <v/>
      </c>
      <c r="D74" s="91" t="str">
        <f>IF(ISERROR((D73-#REF!)*100),"",(D73-#REF!)*100)</f>
        <v/>
      </c>
      <c r="E74" s="91" t="str">
        <f>IF(ISERROR((E73-#REF!)*100),"",(E73-#REF!)*100)</f>
        <v/>
      </c>
      <c r="F74" s="92"/>
      <c r="G74" s="91"/>
      <c r="H74" s="91"/>
      <c r="I74" s="91"/>
      <c r="J74" s="91"/>
      <c r="K74" s="92"/>
      <c r="L74" s="91"/>
      <c r="M74" s="91"/>
      <c r="N74" s="91"/>
      <c r="O74" s="91"/>
      <c r="P74" s="92"/>
      <c r="Q74" s="91"/>
      <c r="R74" s="91"/>
      <c r="S74" s="91"/>
      <c r="T74" s="91"/>
      <c r="U74" s="92"/>
      <c r="V74" s="91"/>
      <c r="W74" s="91"/>
      <c r="X74" s="91"/>
      <c r="Y74" s="91"/>
      <c r="Z74" s="92"/>
      <c r="AA74" s="91"/>
      <c r="AB74" s="91"/>
      <c r="AC74" s="91"/>
      <c r="AD74" s="91"/>
      <c r="AE74" s="92"/>
      <c r="AF74" s="91"/>
      <c r="AG74" s="91"/>
      <c r="AH74" s="91"/>
      <c r="AI74" s="91"/>
      <c r="AJ74" s="92"/>
      <c r="AK74" s="91"/>
      <c r="AL74" s="91"/>
      <c r="AM74" s="91"/>
      <c r="AN74" s="91"/>
      <c r="AO74" s="92"/>
      <c r="AP74" s="91"/>
      <c r="AQ74" s="91"/>
      <c r="AR74" s="91"/>
      <c r="AS74" s="91"/>
      <c r="AT74" s="92"/>
      <c r="AU74" s="91"/>
      <c r="AV74" s="197"/>
      <c r="AW74" s="197"/>
      <c r="AX74" s="91"/>
      <c r="AY74" s="547"/>
      <c r="AZ74" s="2051"/>
      <c r="BA74" s="2052"/>
      <c r="BB74" s="2052"/>
      <c r="BC74" s="2052"/>
      <c r="BD74" s="2053"/>
      <c r="BE74" s="2052"/>
      <c r="BF74" s="2052"/>
      <c r="BG74" s="2052"/>
      <c r="BH74" s="2052"/>
      <c r="BI74" s="2053"/>
      <c r="BJ74" s="2052"/>
      <c r="BK74" s="2052"/>
      <c r="BL74" s="2052"/>
      <c r="BM74" s="2052"/>
      <c r="BN74" s="2053"/>
      <c r="BO74" s="2051"/>
      <c r="BP74" s="2052"/>
      <c r="BQ74" s="2052"/>
      <c r="BR74" s="2054"/>
      <c r="BS74" s="2053"/>
      <c r="BT74" s="90"/>
      <c r="BU74" s="90"/>
      <c r="BV74" s="90"/>
      <c r="BW74" s="90"/>
      <c r="BX74" s="461"/>
      <c r="BY74" s="90"/>
      <c r="BZ74" s="90"/>
      <c r="CA74" s="90"/>
      <c r="CB74" s="90"/>
      <c r="CC74" s="461"/>
      <c r="CD74" s="197"/>
      <c r="CE74" s="117"/>
      <c r="CF74" s="173"/>
      <c r="CG74" s="173"/>
      <c r="CH74" s="173"/>
      <c r="CI74" s="239"/>
      <c r="CJ74" s="177"/>
      <c r="CK74" s="2070"/>
      <c r="CL74" s="2052"/>
      <c r="CM74" s="2052"/>
      <c r="CN74" s="2052"/>
      <c r="CO74" s="2052"/>
      <c r="CP74" s="2052"/>
      <c r="CQ74" s="44"/>
      <c r="CR74" s="93"/>
      <c r="CS74" s="93"/>
      <c r="CT74" s="93"/>
      <c r="CU74" s="93"/>
      <c r="CV74" s="93"/>
      <c r="CW74" s="93"/>
      <c r="CX74" s="93"/>
      <c r="CY74" s="119"/>
      <c r="CZ74"/>
      <c r="DA74"/>
      <c r="DB74"/>
      <c r="DC74"/>
      <c r="DD74"/>
      <c r="DE74"/>
      <c r="DF74" s="90"/>
      <c r="DG74" s="90"/>
      <c r="DH74" s="90"/>
      <c r="DI74" s="90"/>
      <c r="DJ74" s="90"/>
    </row>
    <row r="75" spans="1:114" s="1" customFormat="1" ht="12.75" hidden="1" customHeight="1" outlineLevel="1">
      <c r="A75" s="76" t="s">
        <v>88</v>
      </c>
      <c r="B75" s="190" t="str">
        <f>IF(ISERROR((B73-#REF!)*100),"",(B73-#REF!)*100)</f>
        <v/>
      </c>
      <c r="C75" s="6" t="str">
        <f>IF(ISERROR((C73-#REF!)*100),"",(C73-#REF!)*100)</f>
        <v/>
      </c>
      <c r="D75" s="6" t="str">
        <f>IF(ISERROR((D73-B73)*100),"",(D73-B73)*100)</f>
        <v/>
      </c>
      <c r="E75" s="6" t="str">
        <f>IF(ISERROR((E73-C73)*100),"",(E73-C73)*100)</f>
        <v/>
      </c>
      <c r="F75" s="61"/>
      <c r="G75" s="6"/>
      <c r="H75" s="6"/>
      <c r="I75" s="6"/>
      <c r="J75" s="6"/>
      <c r="K75" s="61"/>
      <c r="L75" s="6"/>
      <c r="M75" s="6"/>
      <c r="N75" s="6"/>
      <c r="O75" s="6"/>
      <c r="P75" s="61"/>
      <c r="Q75" s="6"/>
      <c r="R75" s="6"/>
      <c r="S75" s="6"/>
      <c r="T75" s="6"/>
      <c r="U75" s="61"/>
      <c r="V75" s="6"/>
      <c r="W75" s="6"/>
      <c r="X75" s="6"/>
      <c r="Y75" s="6"/>
      <c r="Z75" s="61"/>
      <c r="AA75" s="6"/>
      <c r="AB75" s="6"/>
      <c r="AC75" s="6"/>
      <c r="AD75" s="6"/>
      <c r="AE75" s="61"/>
      <c r="AF75" s="6"/>
      <c r="AG75" s="6"/>
      <c r="AH75" s="6"/>
      <c r="AI75" s="6"/>
      <c r="AJ75" s="61"/>
      <c r="AK75" s="6"/>
      <c r="AL75" s="6"/>
      <c r="AM75" s="6"/>
      <c r="AN75" s="6"/>
      <c r="AO75" s="61"/>
      <c r="AP75" s="6"/>
      <c r="AQ75" s="6"/>
      <c r="AR75" s="6"/>
      <c r="AS75" s="6"/>
      <c r="AT75" s="61"/>
      <c r="AU75" s="194"/>
      <c r="AV75" s="194"/>
      <c r="AW75" s="194"/>
      <c r="AX75" s="6"/>
      <c r="AY75" s="190"/>
      <c r="AZ75" s="2055"/>
      <c r="BA75" s="2056"/>
      <c r="BB75" s="2056"/>
      <c r="BC75" s="2056"/>
      <c r="BD75" s="2057"/>
      <c r="BE75" s="2056"/>
      <c r="BF75" s="2056"/>
      <c r="BG75" s="2056"/>
      <c r="BH75" s="2056"/>
      <c r="BI75" s="2057"/>
      <c r="BJ75" s="2056"/>
      <c r="BK75" s="2056"/>
      <c r="BL75" s="2056"/>
      <c r="BM75" s="2056"/>
      <c r="BN75" s="2057"/>
      <c r="BO75" s="2055"/>
      <c r="BP75" s="2056"/>
      <c r="BQ75" s="2056"/>
      <c r="BR75" s="2185"/>
      <c r="BS75" s="2057"/>
      <c r="BT75" s="6"/>
      <c r="BU75" s="6"/>
      <c r="BV75" s="6"/>
      <c r="BW75" s="6"/>
      <c r="BX75" s="462"/>
      <c r="BY75" s="6"/>
      <c r="BZ75" s="6"/>
      <c r="CA75" s="6"/>
      <c r="CB75" s="6"/>
      <c r="CC75" s="462"/>
      <c r="CD75" s="194"/>
      <c r="CE75" s="114"/>
      <c r="CF75" s="173"/>
      <c r="CG75" s="173"/>
      <c r="CH75" s="173"/>
      <c r="CI75" s="239"/>
      <c r="CJ75" s="177"/>
      <c r="CK75" s="2070"/>
      <c r="CL75" s="2056"/>
      <c r="CM75" s="2056"/>
      <c r="CN75" s="2056"/>
      <c r="CO75" s="2056"/>
      <c r="CP75" s="2056"/>
      <c r="CQ75" s="44"/>
      <c r="CR75" s="40"/>
      <c r="CS75" s="40"/>
      <c r="CT75" s="40"/>
      <c r="CU75" s="40"/>
      <c r="CV75" s="40"/>
      <c r="CW75" s="40"/>
      <c r="CX75" s="40"/>
      <c r="CY75" s="139"/>
      <c r="CZ75"/>
      <c r="DA75"/>
      <c r="DB75"/>
      <c r="DC75"/>
      <c r="DD75"/>
      <c r="DE75"/>
      <c r="DF75" s="3"/>
      <c r="DG75" s="3"/>
      <c r="DH75" s="3"/>
      <c r="DI75" s="3"/>
      <c r="DJ75" s="3"/>
    </row>
    <row r="76" spans="1:114" s="262" customFormat="1" ht="12.75" hidden="1" customHeight="1" outlineLevel="1" collapsed="1">
      <c r="A76" s="503" t="s">
        <v>242</v>
      </c>
      <c r="B76" s="543"/>
      <c r="F76" s="265"/>
      <c r="K76" s="265"/>
      <c r="P76" s="265"/>
      <c r="U76" s="265"/>
      <c r="Z76" s="265"/>
      <c r="AE76" s="265"/>
      <c r="AJ76" s="265"/>
      <c r="AO76" s="265"/>
      <c r="AT76" s="265"/>
      <c r="AY76" s="543"/>
      <c r="AZ76" s="603"/>
      <c r="BA76" s="2058">
        <v>40</v>
      </c>
      <c r="BB76" s="2058">
        <v>137.19999999999999</v>
      </c>
      <c r="BC76" s="2058">
        <v>135.6</v>
      </c>
      <c r="BD76" s="2059"/>
      <c r="BE76" s="2058">
        <v>138.9</v>
      </c>
      <c r="BF76" s="2058">
        <v>151.1</v>
      </c>
      <c r="BG76" s="262">
        <v>135.4</v>
      </c>
      <c r="BH76" s="262">
        <v>132.19999999999999</v>
      </c>
      <c r="BI76" s="2059"/>
      <c r="BJ76" s="262">
        <v>137.5</v>
      </c>
      <c r="BK76" s="2058">
        <v>142.4</v>
      </c>
      <c r="BL76" s="2058">
        <v>145.19999999999999</v>
      </c>
      <c r="BM76" s="262">
        <v>153.4</v>
      </c>
      <c r="BN76" s="2059"/>
      <c r="BO76" s="2315"/>
      <c r="BP76" s="2063"/>
      <c r="BQ76" s="2063"/>
      <c r="BR76" s="2186"/>
      <c r="BS76" s="2155"/>
      <c r="BT76" s="631"/>
      <c r="BU76" s="631"/>
      <c r="BV76" s="631"/>
      <c r="BW76" s="631"/>
      <c r="BX76" s="632"/>
      <c r="BY76" s="631"/>
      <c r="BZ76" s="631"/>
      <c r="CA76" s="631"/>
      <c r="CB76" s="631"/>
      <c r="CC76" s="632"/>
      <c r="CE76" s="263"/>
      <c r="CF76" s="173"/>
      <c r="CG76" s="173"/>
      <c r="CH76" s="173"/>
      <c r="CI76" s="239"/>
      <c r="CJ76" s="177"/>
      <c r="CK76" s="2070"/>
      <c r="CL76" s="2058">
        <f>BM76</f>
        <v>153.4</v>
      </c>
      <c r="CM76" s="2058">
        <f>BH76</f>
        <v>132.19999999999999</v>
      </c>
      <c r="CN76" s="2063"/>
      <c r="CO76" s="2089">
        <f>IFERROR(($CL76/CM76)-1,"")</f>
        <v>0.16036308623298057</v>
      </c>
      <c r="CP76" s="2089" t="str">
        <f>IFERROR(($CL76/CN76)-1,"")</f>
        <v/>
      </c>
      <c r="CQ76" s="452"/>
      <c r="CR76" s="258"/>
      <c r="CS76" s="258"/>
      <c r="CT76" s="258"/>
      <c r="CU76" s="258"/>
      <c r="CV76" s="258"/>
      <c r="CW76" s="258"/>
      <c r="CX76" s="258"/>
      <c r="CY76" s="263"/>
      <c r="CZ76"/>
      <c r="DA76"/>
      <c r="DB76"/>
      <c r="DC76"/>
      <c r="DD76"/>
      <c r="DE76"/>
      <c r="DF76" s="266"/>
      <c r="DG76" s="266"/>
      <c r="DH76" s="266"/>
      <c r="DI76" s="266"/>
      <c r="DJ76" s="266"/>
    </row>
    <row r="77" spans="1:114" s="1" customFormat="1" ht="12.75" hidden="1" customHeight="1" outlineLevel="1">
      <c r="A77" s="504" t="s">
        <v>85</v>
      </c>
      <c r="B77" s="368" t="str">
        <f>IF(ISERROR((B76-#REF!)/#REF!),"",(B76-#REF!)/#REF!)</f>
        <v/>
      </c>
      <c r="C77" s="18" t="str">
        <f>IF(ISERROR((C76-#REF!)/#REF!),"",(C76-#REF!)/#REF!)</f>
        <v/>
      </c>
      <c r="D77" s="18" t="str">
        <f>IF(ISERROR((D76-#REF!)/#REF!),"",(D76-#REF!)/#REF!)</f>
        <v/>
      </c>
      <c r="E77" s="18" t="str">
        <f>IF(ISERROR((E76-#REF!)/#REF!),"",(E76-#REF!)/#REF!)</f>
        <v/>
      </c>
      <c r="F77" s="60"/>
      <c r="G77" s="18" t="str">
        <f t="shared" ref="G77" si="304">IF(ISERROR((G76-B76)/B76),"",(G76-B76)/B76)</f>
        <v/>
      </c>
      <c r="H77" s="18" t="str">
        <f t="shared" ref="H77" si="305">IF(ISERROR((H76-C76)/C76),"",(H76-C76)/C76)</f>
        <v/>
      </c>
      <c r="I77" s="18" t="str">
        <f t="shared" ref="I77" si="306">IF(ISERROR((I76-D76)/D76),"",(I76-D76)/D76)</f>
        <v/>
      </c>
      <c r="J77" s="18" t="str">
        <f t="shared" ref="J77" si="307">IF(ISERROR((J76-E76)/E76),"",(J76-E76)/E76)</f>
        <v/>
      </c>
      <c r="K77" s="60" t="str">
        <f t="shared" ref="K77" si="308">IF(ISERROR((K76-F76)/F76),"",(K76-F76)/F76)</f>
        <v/>
      </c>
      <c r="L77" s="18" t="str">
        <f t="shared" ref="L77" si="309">IF(ISERROR((L76-G76)/G76),"",(L76-G76)/G76)</f>
        <v/>
      </c>
      <c r="M77" s="18"/>
      <c r="N77" s="18"/>
      <c r="O77" s="18"/>
      <c r="P77" s="60"/>
      <c r="Q77" s="18"/>
      <c r="R77" s="18"/>
      <c r="S77" s="18"/>
      <c r="T77" s="18"/>
      <c r="U77" s="60"/>
      <c r="V77" s="18"/>
      <c r="W77" s="18"/>
      <c r="X77" s="18"/>
      <c r="Y77" s="18"/>
      <c r="Z77" s="60"/>
      <c r="AA77" s="18"/>
      <c r="AB77" s="18"/>
      <c r="AC77" s="18"/>
      <c r="AD77" s="18"/>
      <c r="AE77" s="60"/>
      <c r="AF77" s="18"/>
      <c r="AG77" s="18"/>
      <c r="AH77" s="18"/>
      <c r="AI77" s="18"/>
      <c r="AJ77" s="60"/>
      <c r="AK77" s="18"/>
      <c r="AL77" s="18"/>
      <c r="AM77" s="18"/>
      <c r="AN77" s="18"/>
      <c r="AO77" s="60"/>
      <c r="AP77" s="18"/>
      <c r="AQ77" s="18"/>
      <c r="AR77" s="18"/>
      <c r="AS77" s="18"/>
      <c r="AT77" s="60"/>
      <c r="AU77" s="18"/>
      <c r="AV77" s="191"/>
      <c r="AW77" s="191"/>
      <c r="AX77" s="191"/>
      <c r="AY77" s="368"/>
      <c r="AZ77" s="2060"/>
      <c r="BA77" s="2061"/>
      <c r="BB77" s="2061"/>
      <c r="BC77" s="2061"/>
      <c r="BD77" s="2062"/>
      <c r="BE77" s="2061"/>
      <c r="BF77" s="2061"/>
      <c r="BG77" s="2061"/>
      <c r="BH77" s="2061"/>
      <c r="BI77" s="2062"/>
      <c r="BJ77" s="2061"/>
      <c r="BK77" s="2061"/>
      <c r="BL77" s="2061"/>
      <c r="BM77" s="2061"/>
      <c r="BN77" s="2062"/>
      <c r="BO77" s="2060"/>
      <c r="BP77" s="2061"/>
      <c r="BQ77" s="2061"/>
      <c r="BR77" s="2168"/>
      <c r="BS77" s="2062"/>
      <c r="BT77" s="18"/>
      <c r="BU77" s="18"/>
      <c r="BV77" s="18"/>
      <c r="BW77" s="18"/>
      <c r="BX77" s="60"/>
      <c r="BY77" s="18"/>
      <c r="BZ77" s="18"/>
      <c r="CA77" s="18"/>
      <c r="CB77" s="18"/>
      <c r="CC77" s="60"/>
      <c r="CD77" s="191"/>
      <c r="CE77" s="111"/>
      <c r="CF77" s="173"/>
      <c r="CG77" s="173"/>
      <c r="CH77" s="173"/>
      <c r="CI77" s="239"/>
      <c r="CJ77" s="177"/>
      <c r="CK77" s="2070"/>
      <c r="CL77" s="2061"/>
      <c r="CM77" s="2061"/>
      <c r="CN77" s="2061"/>
      <c r="CO77" s="2061"/>
      <c r="CP77" s="2061"/>
      <c r="CQ77" s="44"/>
      <c r="CR77" s="40"/>
      <c r="CS77" s="40"/>
      <c r="CT77" s="40"/>
      <c r="CU77" s="40"/>
      <c r="CV77" s="40"/>
      <c r="CW77" s="40"/>
      <c r="CX77" s="40"/>
      <c r="CY77" s="139"/>
      <c r="CZ77"/>
      <c r="DA77"/>
      <c r="DB77"/>
      <c r="DC77"/>
      <c r="DD77"/>
      <c r="DE77"/>
      <c r="DF77" s="3"/>
      <c r="DG77" s="3"/>
      <c r="DH77" s="3"/>
      <c r="DI77" s="3"/>
      <c r="DJ77" s="3"/>
    </row>
    <row r="78" spans="1:114" s="1" customFormat="1" ht="12.75" hidden="1" customHeight="1" outlineLevel="1">
      <c r="A78" s="501" t="s">
        <v>553</v>
      </c>
      <c r="B78" s="546" t="str">
        <f>IF(ISERROR(B81/#REF!),"",B81/#REF!)</f>
        <v/>
      </c>
      <c r="C78" s="374" t="str">
        <f>IF(ISERROR(C81/#REF!),"",C81/#REF!)</f>
        <v/>
      </c>
      <c r="D78" s="374" t="str">
        <f>IF(ISERROR(D81/#REF!),"",D81/#REF!)</f>
        <v/>
      </c>
      <c r="E78" s="374" t="str">
        <f>IF(ISERROR(E81/#REF!),"",E81/#REF!)</f>
        <v/>
      </c>
      <c r="F78" s="376" t="str">
        <f>IF(ISERROR(F81/#REF!),"",F81/#REF!)</f>
        <v/>
      </c>
      <c r="G78" s="374"/>
      <c r="H78" s="374"/>
      <c r="I78" s="374"/>
      <c r="J78" s="374"/>
      <c r="K78" s="376"/>
      <c r="L78" s="374"/>
      <c r="M78" s="374"/>
      <c r="N78" s="374"/>
      <c r="O78" s="374"/>
      <c r="P78" s="376"/>
      <c r="Q78" s="374"/>
      <c r="R78" s="374"/>
      <c r="S78" s="374"/>
      <c r="T78" s="374"/>
      <c r="U78" s="376"/>
      <c r="V78" s="374"/>
      <c r="W78" s="374"/>
      <c r="X78" s="374"/>
      <c r="Y78" s="374"/>
      <c r="Z78" s="376"/>
      <c r="AA78" s="374"/>
      <c r="AB78" s="374"/>
      <c r="AC78" s="374"/>
      <c r="AD78" s="374"/>
      <c r="AE78" s="376"/>
      <c r="AF78" s="374"/>
      <c r="AG78" s="374"/>
      <c r="AH78" s="374"/>
      <c r="AI78" s="374"/>
      <c r="AJ78" s="376"/>
      <c r="AK78" s="374"/>
      <c r="AL78" s="374"/>
      <c r="AM78" s="374"/>
      <c r="AN78" s="374"/>
      <c r="AO78" s="376"/>
      <c r="AP78" s="374"/>
      <c r="AQ78" s="374"/>
      <c r="AR78" s="374"/>
      <c r="AS78" s="374"/>
      <c r="AT78" s="376"/>
      <c r="AU78" s="374"/>
      <c r="AV78" s="374"/>
      <c r="AW78" s="374"/>
      <c r="AX78" s="374"/>
      <c r="AY78" s="546"/>
      <c r="AZ78" s="546"/>
      <c r="BA78" s="374"/>
      <c r="BB78" s="374"/>
      <c r="BC78" s="374">
        <f>+BC81/(BC33+BC27)</f>
        <v>0.38639181649101051</v>
      </c>
      <c r="BD78" s="1944"/>
      <c r="BE78" s="374">
        <f>+BE81/(BE33+BE27)</f>
        <v>0.36693422287084332</v>
      </c>
      <c r="BF78" s="374">
        <f>+BF81/(BF33+BF27)</f>
        <v>0.38272826194480164</v>
      </c>
      <c r="BG78" s="374">
        <f>+BG81/(BG33+BG27)</f>
        <v>0.36708362060474736</v>
      </c>
      <c r="BH78" s="374">
        <f>+BH81/(BH33+BH27)</f>
        <v>0.36750028036335097</v>
      </c>
      <c r="BI78" s="1944"/>
      <c r="BJ78" s="374">
        <f>+BJ81/(BJ33+BJ27)</f>
        <v>0.38535031847133755</v>
      </c>
      <c r="BK78" s="374">
        <f>+BK81/(BK33+BK27)</f>
        <v>0.41771482929922837</v>
      </c>
      <c r="BL78" s="374">
        <f>+BL81/(BL33+BL27)</f>
        <v>0.39741518578352181</v>
      </c>
      <c r="BM78" s="374">
        <f>+BM81/(BM33+BM27)</f>
        <v>0.38235294117647062</v>
      </c>
      <c r="BN78" s="1944"/>
      <c r="BO78" s="2347"/>
      <c r="BP78" s="377"/>
      <c r="BQ78" s="377"/>
      <c r="BR78" s="2164"/>
      <c r="BS78" s="1944"/>
      <c r="BT78" s="377"/>
      <c r="BU78" s="377"/>
      <c r="BV78" s="377"/>
      <c r="BW78" s="377"/>
      <c r="BX78" s="378"/>
      <c r="BY78" s="377"/>
      <c r="BZ78" s="377"/>
      <c r="CA78" s="377"/>
      <c r="CB78" s="377"/>
      <c r="CC78" s="378"/>
      <c r="CD78" s="191"/>
      <c r="CE78" s="111"/>
      <c r="CF78" s="173"/>
      <c r="CG78" s="173"/>
      <c r="CH78" s="173"/>
      <c r="CI78" s="1989"/>
      <c r="CJ78" s="177"/>
      <c r="CK78" s="2070"/>
      <c r="CL78" s="374"/>
      <c r="CM78" s="374"/>
      <c r="CN78" s="377"/>
      <c r="CO78" s="374"/>
      <c r="CP78" s="374"/>
      <c r="CQ78" s="44"/>
      <c r="CR78" s="40"/>
      <c r="CS78" s="40"/>
      <c r="CT78" s="40"/>
      <c r="CU78" s="40"/>
      <c r="CV78" s="40"/>
      <c r="CW78" s="40"/>
      <c r="CX78" s="40"/>
      <c r="CY78" s="139"/>
      <c r="CZ78"/>
      <c r="DA78"/>
      <c r="DB78"/>
      <c r="DC78"/>
      <c r="DD78"/>
      <c r="DE78"/>
      <c r="DF78" s="3"/>
      <c r="DG78" s="3"/>
      <c r="DH78" s="3"/>
      <c r="DI78" s="3"/>
      <c r="DJ78" s="3"/>
    </row>
    <row r="79" spans="1:114" s="1" customFormat="1" ht="12.75" hidden="1" customHeight="1" outlineLevel="1">
      <c r="A79" s="502" t="s">
        <v>86</v>
      </c>
      <c r="B79" s="547" t="str">
        <f>IF(ISERROR((B78-#REF!)*100),"",(B78-#REF!)*100)</f>
        <v/>
      </c>
      <c r="C79" s="91" t="str">
        <f>IF(ISERROR((C78-#REF!)*100),"",(C78-#REF!)*100)</f>
        <v/>
      </c>
      <c r="D79" s="91" t="str">
        <f>IF(ISERROR((D78-#REF!)*100),"",(D78-#REF!)*100)</f>
        <v/>
      </c>
      <c r="E79" s="91" t="str">
        <f>IF(ISERROR((E78-#REF!)*100),"",(E78-#REF!)*100)</f>
        <v/>
      </c>
      <c r="F79" s="92"/>
      <c r="G79" s="91"/>
      <c r="H79" s="91"/>
      <c r="I79" s="91"/>
      <c r="J79" s="91"/>
      <c r="K79" s="92"/>
      <c r="L79" s="91"/>
      <c r="M79" s="91"/>
      <c r="N79" s="91"/>
      <c r="O79" s="91"/>
      <c r="P79" s="92"/>
      <c r="Q79" s="91"/>
      <c r="R79" s="91"/>
      <c r="S79" s="91"/>
      <c r="T79" s="91"/>
      <c r="U79" s="92"/>
      <c r="V79" s="91"/>
      <c r="W79" s="91"/>
      <c r="X79" s="91"/>
      <c r="Y79" s="91"/>
      <c r="Z79" s="92"/>
      <c r="AA79" s="91"/>
      <c r="AB79" s="91"/>
      <c r="AC79" s="91"/>
      <c r="AD79" s="91"/>
      <c r="AE79" s="92"/>
      <c r="AF79" s="91"/>
      <c r="AG79" s="91"/>
      <c r="AH79" s="91"/>
      <c r="AI79" s="91"/>
      <c r="AJ79" s="92"/>
      <c r="AK79" s="91"/>
      <c r="AL79" s="91"/>
      <c r="AM79" s="91"/>
      <c r="AN79" s="91"/>
      <c r="AO79" s="92"/>
      <c r="AP79" s="91"/>
      <c r="AQ79" s="91"/>
      <c r="AR79" s="91"/>
      <c r="AS79" s="91"/>
      <c r="AT79" s="92"/>
      <c r="AU79" s="91"/>
      <c r="AV79" s="197"/>
      <c r="AW79" s="197"/>
      <c r="AX79" s="91"/>
      <c r="AY79" s="547"/>
      <c r="AZ79" s="2051"/>
      <c r="BA79" s="2052"/>
      <c r="BB79" s="2052"/>
      <c r="BC79" s="2052"/>
      <c r="BD79" s="2053"/>
      <c r="BE79" s="2052"/>
      <c r="BF79" s="2052"/>
      <c r="BG79" s="2052"/>
      <c r="BH79" s="2052"/>
      <c r="BI79" s="2053"/>
      <c r="BJ79" s="2052"/>
      <c r="BK79" s="2052"/>
      <c r="BL79" s="2052"/>
      <c r="BM79" s="2052"/>
      <c r="BN79" s="2053"/>
      <c r="BO79" s="2051"/>
      <c r="BP79" s="2052"/>
      <c r="BQ79" s="2052"/>
      <c r="BR79" s="2054"/>
      <c r="BS79" s="2053"/>
      <c r="BT79" s="90"/>
      <c r="BU79" s="90"/>
      <c r="BV79" s="90"/>
      <c r="BW79" s="90"/>
      <c r="BX79" s="461"/>
      <c r="BY79" s="90"/>
      <c r="BZ79" s="90"/>
      <c r="CA79" s="90"/>
      <c r="CB79" s="90"/>
      <c r="CC79" s="461"/>
      <c r="CD79" s="191"/>
      <c r="CE79" s="111"/>
      <c r="CF79" s="173"/>
      <c r="CG79" s="173"/>
      <c r="CH79" s="173"/>
      <c r="CI79" s="1989"/>
      <c r="CJ79" s="177"/>
      <c r="CK79" s="2070"/>
      <c r="CL79" s="2052"/>
      <c r="CM79" s="2052"/>
      <c r="CN79" s="2052"/>
      <c r="CO79" s="2052"/>
      <c r="CP79" s="2052"/>
      <c r="CQ79" s="44"/>
      <c r="CR79" s="40"/>
      <c r="CS79" s="40"/>
      <c r="CT79" s="40"/>
      <c r="CU79" s="40"/>
      <c r="CV79" s="40"/>
      <c r="CW79" s="40"/>
      <c r="CX79" s="40"/>
      <c r="CY79" s="139"/>
      <c r="CZ79"/>
      <c r="DA79"/>
      <c r="DB79"/>
      <c r="DC79"/>
      <c r="DD79"/>
      <c r="DE79"/>
      <c r="DF79" s="3"/>
      <c r="DG79" s="3"/>
      <c r="DH79" s="3"/>
      <c r="DI79" s="3"/>
      <c r="DJ79" s="3"/>
    </row>
    <row r="80" spans="1:114" s="1" customFormat="1" ht="12.75" hidden="1" customHeight="1" outlineLevel="1">
      <c r="A80" s="76" t="s">
        <v>88</v>
      </c>
      <c r="B80" s="190" t="str">
        <f>IF(ISERROR((B78-#REF!)*100),"",(B78-#REF!)*100)</f>
        <v/>
      </c>
      <c r="C80" s="6" t="str">
        <f>IF(ISERROR((C78-#REF!)*100),"",(C78-#REF!)*100)</f>
        <v/>
      </c>
      <c r="D80" s="6" t="str">
        <f>IF(ISERROR((D78-B78)*100),"",(D78-B78)*100)</f>
        <v/>
      </c>
      <c r="E80" s="6" t="str">
        <f>IF(ISERROR((E78-C78)*100),"",(E78-C78)*100)</f>
        <v/>
      </c>
      <c r="F80" s="61"/>
      <c r="G80" s="6"/>
      <c r="H80" s="6"/>
      <c r="I80" s="6"/>
      <c r="J80" s="6"/>
      <c r="K80" s="61"/>
      <c r="L80" s="6"/>
      <c r="M80" s="6"/>
      <c r="N80" s="6"/>
      <c r="O80" s="6"/>
      <c r="P80" s="61"/>
      <c r="Q80" s="6"/>
      <c r="R80" s="6"/>
      <c r="S80" s="6"/>
      <c r="T80" s="6"/>
      <c r="U80" s="61"/>
      <c r="V80" s="6"/>
      <c r="W80" s="6"/>
      <c r="X80" s="6"/>
      <c r="Y80" s="6"/>
      <c r="Z80" s="61"/>
      <c r="AA80" s="6"/>
      <c r="AB80" s="6"/>
      <c r="AC80" s="6"/>
      <c r="AD80" s="6"/>
      <c r="AE80" s="61"/>
      <c r="AF80" s="6"/>
      <c r="AG80" s="6"/>
      <c r="AH80" s="6"/>
      <c r="AI80" s="6"/>
      <c r="AJ80" s="61"/>
      <c r="AK80" s="6"/>
      <c r="AL80" s="6"/>
      <c r="AM80" s="6"/>
      <c r="AN80" s="6"/>
      <c r="AO80" s="61"/>
      <c r="AP80" s="6"/>
      <c r="AQ80" s="6"/>
      <c r="AR80" s="6"/>
      <c r="AS80" s="6"/>
      <c r="AT80" s="61"/>
      <c r="AU80" s="194"/>
      <c r="AV80" s="194"/>
      <c r="AW80" s="194"/>
      <c r="AX80" s="6"/>
      <c r="AY80" s="190"/>
      <c r="AZ80" s="2055"/>
      <c r="BA80" s="2056"/>
      <c r="BB80" s="2056"/>
      <c r="BC80" s="2056"/>
      <c r="BD80" s="2057"/>
      <c r="BE80" s="2056"/>
      <c r="BF80" s="2056"/>
      <c r="BG80" s="2056"/>
      <c r="BH80" s="2056"/>
      <c r="BI80" s="2057"/>
      <c r="BJ80" s="2056"/>
      <c r="BK80" s="2056"/>
      <c r="BL80" s="2056"/>
      <c r="BM80" s="2056"/>
      <c r="BN80" s="2057"/>
      <c r="BO80" s="2055"/>
      <c r="BP80" s="2056"/>
      <c r="BQ80" s="2056"/>
      <c r="BR80" s="2185"/>
      <c r="BS80" s="2057"/>
      <c r="BT80" s="6"/>
      <c r="BU80" s="6"/>
      <c r="BV80" s="6"/>
      <c r="BW80" s="6"/>
      <c r="BX80" s="462"/>
      <c r="BY80" s="6"/>
      <c r="BZ80" s="6"/>
      <c r="CA80" s="6"/>
      <c r="CB80" s="6"/>
      <c r="CC80" s="462"/>
      <c r="CD80" s="191"/>
      <c r="CE80" s="111"/>
      <c r="CF80" s="173"/>
      <c r="CG80" s="173"/>
      <c r="CH80" s="173"/>
      <c r="CI80" s="1989"/>
      <c r="CJ80" s="177"/>
      <c r="CK80" s="2070"/>
      <c r="CL80" s="2056"/>
      <c r="CM80" s="2056"/>
      <c r="CN80" s="2056"/>
      <c r="CO80" s="2056"/>
      <c r="CP80" s="2056"/>
      <c r="CQ80" s="44"/>
      <c r="CR80" s="40"/>
      <c r="CS80" s="40"/>
      <c r="CT80" s="40"/>
      <c r="CU80" s="40"/>
      <c r="CV80" s="40"/>
      <c r="CW80" s="40"/>
      <c r="CX80" s="40"/>
      <c r="CY80" s="139"/>
      <c r="CZ80"/>
      <c r="DA80"/>
      <c r="DB80"/>
      <c r="DC80"/>
      <c r="DD80"/>
      <c r="DE80"/>
      <c r="DF80" s="3"/>
      <c r="DG80" s="3"/>
      <c r="DH80" s="3"/>
      <c r="DI80" s="3"/>
      <c r="DJ80" s="3"/>
    </row>
    <row r="81" spans="1:114" s="1" customFormat="1" ht="12.75" hidden="1" customHeight="1" outlineLevel="1">
      <c r="A81" s="503" t="s">
        <v>541</v>
      </c>
      <c r="B81" s="543"/>
      <c r="C81" s="262"/>
      <c r="D81" s="262"/>
      <c r="E81" s="262"/>
      <c r="F81" s="265"/>
      <c r="G81" s="262"/>
      <c r="H81" s="262"/>
      <c r="I81" s="262"/>
      <c r="J81" s="262"/>
      <c r="K81" s="265"/>
      <c r="L81" s="262"/>
      <c r="M81" s="262"/>
      <c r="N81" s="262"/>
      <c r="O81" s="262"/>
      <c r="P81" s="265"/>
      <c r="Q81" s="262"/>
      <c r="R81" s="262"/>
      <c r="S81" s="262"/>
      <c r="T81" s="262"/>
      <c r="U81" s="265"/>
      <c r="V81" s="262"/>
      <c r="W81" s="262"/>
      <c r="X81" s="262"/>
      <c r="Y81" s="262"/>
      <c r="Z81" s="265"/>
      <c r="AA81" s="262"/>
      <c r="AB81" s="262"/>
      <c r="AC81" s="262"/>
      <c r="AD81" s="262"/>
      <c r="AE81" s="265"/>
      <c r="AF81" s="262"/>
      <c r="AG81" s="262"/>
      <c r="AH81" s="262"/>
      <c r="AI81" s="262"/>
      <c r="AJ81" s="265"/>
      <c r="AK81" s="262"/>
      <c r="AL81" s="262"/>
      <c r="AM81" s="262"/>
      <c r="AN81" s="262"/>
      <c r="AO81" s="265"/>
      <c r="AP81" s="262"/>
      <c r="AQ81" s="262"/>
      <c r="AR81" s="262"/>
      <c r="AS81" s="262"/>
      <c r="AT81" s="265"/>
      <c r="AU81" s="262"/>
      <c r="AV81" s="262"/>
      <c r="AW81" s="262"/>
      <c r="AX81" s="262"/>
      <c r="AY81" s="543"/>
      <c r="AZ81" s="603"/>
      <c r="BA81" s="262"/>
      <c r="BB81" s="262"/>
      <c r="BC81" s="262">
        <f>229.3+20</f>
        <v>249.3</v>
      </c>
      <c r="BD81" s="1947"/>
      <c r="BE81" s="262">
        <f>324.3+27.7</f>
        <v>352</v>
      </c>
      <c r="BF81" s="262">
        <f>370.9+16</f>
        <v>386.9</v>
      </c>
      <c r="BG81" s="262">
        <f>355.4+17.3</f>
        <v>372.7</v>
      </c>
      <c r="BH81" s="262">
        <f>322.6+5.1</f>
        <v>327.70000000000005</v>
      </c>
      <c r="BI81" s="1947"/>
      <c r="BJ81" s="262">
        <v>338.8</v>
      </c>
      <c r="BK81" s="262">
        <v>395.2</v>
      </c>
      <c r="BL81" s="262">
        <v>369</v>
      </c>
      <c r="BM81" s="262">
        <v>339.3</v>
      </c>
      <c r="BN81" s="1947"/>
      <c r="BO81" s="543"/>
      <c r="BP81" s="262"/>
      <c r="BQ81" s="262"/>
      <c r="BR81" s="2167"/>
      <c r="BS81" s="1947"/>
      <c r="BT81" s="269"/>
      <c r="BU81" s="269"/>
      <c r="BV81" s="269"/>
      <c r="BW81" s="269"/>
      <c r="BX81" s="515"/>
      <c r="BY81" s="269"/>
      <c r="BZ81" s="269"/>
      <c r="CA81" s="269"/>
      <c r="CB81" s="269"/>
      <c r="CC81" s="515"/>
      <c r="CD81" s="191"/>
      <c r="CE81" s="111"/>
      <c r="CF81" s="173"/>
      <c r="CG81" s="173"/>
      <c r="CH81" s="173"/>
      <c r="CI81" s="1989"/>
      <c r="CJ81" s="177"/>
      <c r="CK81" s="2070"/>
      <c r="CL81" s="262">
        <f>BM81</f>
        <v>339.3</v>
      </c>
      <c r="CM81" s="262">
        <f>BH81</f>
        <v>327.70000000000005</v>
      </c>
      <c r="CN81" s="262"/>
      <c r="CO81" s="2088">
        <f>IFERROR(($CL81/CM81)-1,"")</f>
        <v>3.5398230088495408E-2</v>
      </c>
      <c r="CP81" s="2088" t="str">
        <f>IFERROR(($CL81/CN81)-1,"")</f>
        <v/>
      </c>
      <c r="CQ81" s="44"/>
      <c r="CR81" s="40"/>
      <c r="CS81" s="40"/>
      <c r="CT81" s="40"/>
      <c r="CU81" s="40"/>
      <c r="CV81" s="40"/>
      <c r="CW81" s="40"/>
      <c r="CX81" s="40"/>
      <c r="CY81" s="139"/>
      <c r="CZ81"/>
      <c r="DA81"/>
      <c r="DB81"/>
      <c r="DC81"/>
      <c r="DD81"/>
      <c r="DE81"/>
      <c r="DF81" s="3"/>
      <c r="DG81" s="3"/>
      <c r="DH81" s="3"/>
      <c r="DI81" s="3"/>
      <c r="DJ81" s="3"/>
    </row>
    <row r="82" spans="1:114" s="1" customFormat="1" ht="12.75" hidden="1" customHeight="1" outlineLevel="1">
      <c r="A82" s="504" t="s">
        <v>85</v>
      </c>
      <c r="B82" s="368" t="str">
        <f>IF(ISERROR((B81-#REF!)/#REF!),"",(B81-#REF!)/#REF!)</f>
        <v/>
      </c>
      <c r="C82" s="18" t="str">
        <f>IF(ISERROR((C81-#REF!)/#REF!),"",(C81-#REF!)/#REF!)</f>
        <v/>
      </c>
      <c r="D82" s="18" t="str">
        <f>IF(ISERROR((D81-#REF!)/#REF!),"",(D81-#REF!)/#REF!)</f>
        <v/>
      </c>
      <c r="E82" s="18" t="str">
        <f>IF(ISERROR((E81-#REF!)/#REF!),"",(E81-#REF!)/#REF!)</f>
        <v/>
      </c>
      <c r="F82" s="60"/>
      <c r="G82" s="18" t="str">
        <f t="shared" ref="G82" si="310">IF(ISERROR((G81-B81)/B81),"",(G81-B81)/B81)</f>
        <v/>
      </c>
      <c r="H82" s="18" t="str">
        <f t="shared" ref="H82" si="311">IF(ISERROR((H81-C81)/C81),"",(H81-C81)/C81)</f>
        <v/>
      </c>
      <c r="I82" s="18" t="str">
        <f t="shared" ref="I82" si="312">IF(ISERROR((I81-D81)/D81),"",(I81-D81)/D81)</f>
        <v/>
      </c>
      <c r="J82" s="18" t="str">
        <f t="shared" ref="J82" si="313">IF(ISERROR((J81-E81)/E81),"",(J81-E81)/E81)</f>
        <v/>
      </c>
      <c r="K82" s="60" t="str">
        <f t="shared" ref="K82" si="314">IF(ISERROR((K81-F81)/F81),"",(K81-F81)/F81)</f>
        <v/>
      </c>
      <c r="L82" s="18" t="str">
        <f t="shared" ref="L82" si="315">IF(ISERROR((L81-G81)/G81),"",(L81-G81)/G81)</f>
        <v/>
      </c>
      <c r="M82" s="18"/>
      <c r="N82" s="18"/>
      <c r="O82" s="18"/>
      <c r="P82" s="60"/>
      <c r="Q82" s="18"/>
      <c r="R82" s="18"/>
      <c r="S82" s="18"/>
      <c r="T82" s="18"/>
      <c r="U82" s="60"/>
      <c r="V82" s="18"/>
      <c r="W82" s="18"/>
      <c r="X82" s="18"/>
      <c r="Y82" s="18"/>
      <c r="Z82" s="60"/>
      <c r="AA82" s="18"/>
      <c r="AB82" s="18"/>
      <c r="AC82" s="18"/>
      <c r="AD82" s="18"/>
      <c r="AE82" s="60"/>
      <c r="AF82" s="18"/>
      <c r="AG82" s="18"/>
      <c r="AH82" s="18"/>
      <c r="AI82" s="18"/>
      <c r="AJ82" s="60"/>
      <c r="AK82" s="18"/>
      <c r="AL82" s="18"/>
      <c r="AM82" s="18"/>
      <c r="AN82" s="18"/>
      <c r="AO82" s="60"/>
      <c r="AP82" s="18"/>
      <c r="AQ82" s="18"/>
      <c r="AR82" s="18"/>
      <c r="AS82" s="18"/>
      <c r="AT82" s="60"/>
      <c r="AU82" s="18"/>
      <c r="AV82" s="191"/>
      <c r="AW82" s="191"/>
      <c r="AX82" s="191"/>
      <c r="AY82" s="368"/>
      <c r="AZ82" s="368"/>
      <c r="BA82" s="191"/>
      <c r="BB82" s="191"/>
      <c r="BC82" s="191"/>
      <c r="BD82" s="1936"/>
      <c r="BE82" s="191"/>
      <c r="BF82" s="191"/>
      <c r="BG82" s="191"/>
      <c r="BH82" s="191"/>
      <c r="BI82" s="1936"/>
      <c r="BJ82" s="191"/>
      <c r="BK82" s="191"/>
      <c r="BL82" s="191"/>
      <c r="BM82" s="191"/>
      <c r="BN82" s="1936"/>
      <c r="BO82" s="439"/>
      <c r="BP82" s="191"/>
      <c r="BQ82" s="191"/>
      <c r="BR82" s="2184"/>
      <c r="BS82" s="1936"/>
      <c r="BT82" s="18"/>
      <c r="BU82" s="18"/>
      <c r="BV82" s="18"/>
      <c r="BW82" s="18"/>
      <c r="BX82" s="60"/>
      <c r="BY82" s="18"/>
      <c r="BZ82" s="18"/>
      <c r="CA82" s="18"/>
      <c r="CB82" s="18"/>
      <c r="CC82" s="60"/>
      <c r="CD82" s="191"/>
      <c r="CE82" s="111"/>
      <c r="CF82" s="173"/>
      <c r="CG82" s="173"/>
      <c r="CH82" s="173"/>
      <c r="CI82" s="1989"/>
      <c r="CJ82" s="177"/>
      <c r="CK82" s="2070"/>
      <c r="CL82" s="191"/>
      <c r="CM82" s="191"/>
      <c r="CN82" s="191"/>
      <c r="CO82" s="191"/>
      <c r="CP82" s="191"/>
      <c r="CQ82" s="44"/>
      <c r="CR82" s="40"/>
      <c r="CS82" s="40"/>
      <c r="CT82" s="40"/>
      <c r="CU82" s="40"/>
      <c r="CV82" s="40"/>
      <c r="CW82" s="40"/>
      <c r="CX82" s="40"/>
      <c r="CY82" s="139"/>
      <c r="CZ82"/>
      <c r="DA82"/>
      <c r="DB82"/>
      <c r="DC82"/>
      <c r="DD82"/>
      <c r="DE82"/>
      <c r="DF82" s="3"/>
      <c r="DG82" s="3"/>
      <c r="DH82" s="3"/>
      <c r="DI82" s="3"/>
      <c r="DJ82" s="3"/>
    </row>
    <row r="83" spans="1:114" s="176" customFormat="1" ht="12.75" hidden="1" customHeight="1" outlineLevel="1">
      <c r="A83" s="15" t="s">
        <v>192</v>
      </c>
      <c r="B83" s="546"/>
      <c r="C83" s="374" t="str">
        <f>IF(ISERROR(C86/C20),"",C86/C20)</f>
        <v/>
      </c>
      <c r="D83" s="374" t="str">
        <f>IF(ISERROR(D86/D20),"",D86/D20)</f>
        <v/>
      </c>
      <c r="E83" s="374" t="str">
        <f>IF(ISERROR(E86/E20),"",E86/E20)</f>
        <v/>
      </c>
      <c r="F83" s="376"/>
      <c r="G83" s="374">
        <f t="shared" ref="G83:AL83" si="316">+G86/G5</f>
        <v>0.25389848246991109</v>
      </c>
      <c r="H83" s="374">
        <f t="shared" si="316"/>
        <v>0.25746402877697849</v>
      </c>
      <c r="I83" s="479">
        <f t="shared" si="316"/>
        <v>0.26227997419592669</v>
      </c>
      <c r="J83" s="479">
        <f t="shared" si="316"/>
        <v>0.24941397093295739</v>
      </c>
      <c r="K83" s="376">
        <f t="shared" si="316"/>
        <v>0.25586025455665884</v>
      </c>
      <c r="L83" s="374">
        <f t="shared" si="316"/>
        <v>0.26276864178195436</v>
      </c>
      <c r="M83" s="374">
        <f t="shared" si="316"/>
        <v>0.2538650484034099</v>
      </c>
      <c r="N83" s="479">
        <f t="shared" si="316"/>
        <v>0.22823564638071708</v>
      </c>
      <c r="O83" s="479">
        <f t="shared" si="316"/>
        <v>0.23401764108968851</v>
      </c>
      <c r="P83" s="376">
        <f t="shared" si="316"/>
        <v>0.24426754684011259</v>
      </c>
      <c r="Q83" s="374">
        <f t="shared" si="316"/>
        <v>0.17287906898296507</v>
      </c>
      <c r="R83" s="374">
        <f t="shared" si="316"/>
        <v>0.15565290648694191</v>
      </c>
      <c r="S83" s="479">
        <f t="shared" si="316"/>
        <v>0.14657582671851396</v>
      </c>
      <c r="T83" s="479">
        <f t="shared" si="316"/>
        <v>0.14061873847880108</v>
      </c>
      <c r="U83" s="376">
        <f t="shared" si="316"/>
        <v>0.15337742778315763</v>
      </c>
      <c r="V83" s="374">
        <f t="shared" si="316"/>
        <v>0.14443005181347141</v>
      </c>
      <c r="W83" s="374">
        <f t="shared" si="316"/>
        <v>0.14737220698646766</v>
      </c>
      <c r="X83" s="479">
        <f t="shared" si="316"/>
        <v>0.15997100454007865</v>
      </c>
      <c r="Y83" s="479">
        <f t="shared" si="316"/>
        <v>0.1449224928819994</v>
      </c>
      <c r="Z83" s="376">
        <f t="shared" si="316"/>
        <v>0.14930694255812096</v>
      </c>
      <c r="AA83" s="374">
        <f t="shared" si="316"/>
        <v>0.16054610960116303</v>
      </c>
      <c r="AB83" s="374">
        <f t="shared" si="316"/>
        <v>0.16075855230540403</v>
      </c>
      <c r="AC83" s="479">
        <f t="shared" si="316"/>
        <v>0.16194204463642903</v>
      </c>
      <c r="AD83" s="479">
        <f t="shared" si="316"/>
        <v>0.12820944726520195</v>
      </c>
      <c r="AE83" s="376">
        <f t="shared" si="316"/>
        <v>0.15248722996195888</v>
      </c>
      <c r="AF83" s="374">
        <f t="shared" si="316"/>
        <v>0.15127204394333627</v>
      </c>
      <c r="AG83" s="374">
        <f t="shared" si="316"/>
        <v>0.13965618905066446</v>
      </c>
      <c r="AH83" s="479">
        <f t="shared" si="316"/>
        <v>0.14480153622148592</v>
      </c>
      <c r="AI83" s="479">
        <f t="shared" si="316"/>
        <v>0.13115572190087332</v>
      </c>
      <c r="AJ83" s="376">
        <f t="shared" si="316"/>
        <v>0.1416397479048544</v>
      </c>
      <c r="AK83" s="374">
        <f t="shared" si="316"/>
        <v>0.1519973070017954</v>
      </c>
      <c r="AL83" s="374">
        <f t="shared" si="316"/>
        <v>0.15520718738540523</v>
      </c>
      <c r="AM83" s="479">
        <f t="shared" ref="AM83:BJ83" si="317">+AM86/AM5</f>
        <v>0.13979827576491796</v>
      </c>
      <c r="AN83" s="479">
        <f t="shared" si="317"/>
        <v>0.14435545560952232</v>
      </c>
      <c r="AO83" s="376">
        <f t="shared" si="317"/>
        <v>0.14654098660760753</v>
      </c>
      <c r="AP83" s="374">
        <f t="shared" si="317"/>
        <v>0.14263283011254491</v>
      </c>
      <c r="AQ83" s="374">
        <f t="shared" si="317"/>
        <v>0.1410741770065139</v>
      </c>
      <c r="AR83" s="479">
        <f t="shared" si="317"/>
        <v>0.17958367271190118</v>
      </c>
      <c r="AS83" s="479">
        <f t="shared" si="317"/>
        <v>0.20632038906663649</v>
      </c>
      <c r="AT83" s="376">
        <f t="shared" si="317"/>
        <v>0.17586141594155225</v>
      </c>
      <c r="AU83" s="374">
        <f t="shared" si="317"/>
        <v>0.20678958792930663</v>
      </c>
      <c r="AV83" s="374">
        <f t="shared" si="317"/>
        <v>0.2097557869155211</v>
      </c>
      <c r="AW83" s="479">
        <f t="shared" si="317"/>
        <v>0.20410876132930506</v>
      </c>
      <c r="AX83" s="479">
        <f t="shared" si="317"/>
        <v>0.19993977717554953</v>
      </c>
      <c r="AY83" s="546">
        <f t="shared" si="317"/>
        <v>0.20470176573228865</v>
      </c>
      <c r="AZ83" s="546">
        <f t="shared" si="317"/>
        <v>0.21593738882959804</v>
      </c>
      <c r="BA83" s="374">
        <f t="shared" si="317"/>
        <v>0.22503483511379474</v>
      </c>
      <c r="BB83" s="374">
        <f t="shared" si="317"/>
        <v>0.22558705612829319</v>
      </c>
      <c r="BC83" s="479">
        <f t="shared" si="317"/>
        <v>0.27338403041825099</v>
      </c>
      <c r="BD83" s="1944">
        <f t="shared" si="317"/>
        <v>0.24481133991308235</v>
      </c>
      <c r="BE83" s="479">
        <f t="shared" si="317"/>
        <v>0.28305911029859843</v>
      </c>
      <c r="BF83" s="374">
        <f t="shared" si="317"/>
        <v>0.29062797139195501</v>
      </c>
      <c r="BG83" s="374">
        <f t="shared" si="317"/>
        <v>0.28064422398406041</v>
      </c>
      <c r="BH83" s="479">
        <f t="shared" si="317"/>
        <v>0.27080921137270036</v>
      </c>
      <c r="BI83" s="1944">
        <f t="shared" si="317"/>
        <v>0.28135937318262083</v>
      </c>
      <c r="BJ83" s="479">
        <f t="shared" si="317"/>
        <v>0.27929035657825402</v>
      </c>
      <c r="BK83" s="374">
        <f t="shared" ref="BK83:BN83" si="318">+BK86/BK5</f>
        <v>0.29249126891734578</v>
      </c>
      <c r="BL83" s="374">
        <f t="shared" si="318"/>
        <v>0.28058952141873833</v>
      </c>
      <c r="BM83" s="479">
        <f t="shared" si="318"/>
        <v>0.2676610576022187</v>
      </c>
      <c r="BN83" s="1944">
        <f t="shared" si="318"/>
        <v>0.27969044346010896</v>
      </c>
      <c r="BO83" s="2348"/>
      <c r="BP83" s="479"/>
      <c r="BQ83" s="479"/>
      <c r="BR83" s="2187"/>
      <c r="BS83" s="1944"/>
      <c r="BT83" s="377"/>
      <c r="BU83" s="377"/>
      <c r="BV83" s="377"/>
      <c r="BW83" s="377"/>
      <c r="BX83" s="376"/>
      <c r="BY83" s="377"/>
      <c r="BZ83" s="377"/>
      <c r="CA83" s="377"/>
      <c r="CB83" s="377"/>
      <c r="CC83" s="376"/>
      <c r="CD83" s="193"/>
      <c r="CE83" s="113"/>
      <c r="CF83" s="173"/>
      <c r="CG83" s="173"/>
      <c r="CH83" s="173"/>
      <c r="CI83" s="239"/>
      <c r="CJ83" s="177"/>
      <c r="CK83" s="2070"/>
      <c r="CL83" s="374">
        <f t="shared" ref="CL83:CL101" si="319">BM83</f>
        <v>0.2676610576022187</v>
      </c>
      <c r="CM83" s="374">
        <f t="shared" ref="CM83:CM92" si="320">BH83</f>
        <v>0.27080921137270036</v>
      </c>
      <c r="CN83" s="479"/>
      <c r="CO83" s="2109">
        <f>IFERROR(($CL83-CM83)*10000,"")</f>
        <v>-31.481537704816652</v>
      </c>
      <c r="CP83" s="2109"/>
      <c r="CQ83" s="452"/>
      <c r="CR83" s="16"/>
      <c r="CS83" s="16"/>
      <c r="CT83" s="16"/>
      <c r="CU83" s="16"/>
      <c r="CV83" s="16"/>
      <c r="CW83" s="16"/>
      <c r="CX83" s="16"/>
      <c r="CY83" s="141"/>
      <c r="CZ83"/>
      <c r="DA83"/>
      <c r="DB83"/>
      <c r="DC83"/>
      <c r="DD83"/>
      <c r="DE83"/>
      <c r="DF83" s="8"/>
      <c r="DG83" s="8"/>
      <c r="DH83" s="8"/>
      <c r="DI83" s="8"/>
      <c r="DJ83" s="8"/>
    </row>
    <row r="84" spans="1:114" s="179" customFormat="1" ht="12.75" hidden="1" customHeight="1" outlineLevel="1">
      <c r="A84" s="379" t="s">
        <v>86</v>
      </c>
      <c r="B84" s="547"/>
      <c r="C84" s="91" t="str">
        <f>IF(ISERROR((C83-#REF!)*100),"",(C83-#REF!)*100)</f>
        <v/>
      </c>
      <c r="D84" s="91" t="str">
        <f>IF(ISERROR((D83-#REF!)*100),"",(D83-#REF!)*100)</f>
        <v/>
      </c>
      <c r="E84" s="91" t="str">
        <f>IF(ISERROR((E83-#REF!)*100),"",(E83-#REF!)*100)</f>
        <v/>
      </c>
      <c r="F84" s="92"/>
      <c r="G84" s="197"/>
      <c r="H84" s="197"/>
      <c r="I84" s="197"/>
      <c r="J84" s="457"/>
      <c r="K84" s="430">
        <f t="shared" ref="K84:BB84" si="321">(K83-F83)*100</f>
        <v>25.586025455665883</v>
      </c>
      <c r="L84" s="197">
        <f t="shared" si="321"/>
        <v>0.88701593120432687</v>
      </c>
      <c r="M84" s="197">
        <f t="shared" si="321"/>
        <v>-0.35989803735685943</v>
      </c>
      <c r="N84" s="197">
        <f t="shared" si="321"/>
        <v>-3.4044327815209607</v>
      </c>
      <c r="O84" s="457">
        <f t="shared" si="321"/>
        <v>-1.5396329843268886</v>
      </c>
      <c r="P84" s="430">
        <f t="shared" si="321"/>
        <v>-1.1592707716546247</v>
      </c>
      <c r="Q84" s="197">
        <f t="shared" si="321"/>
        <v>-8.9889572798989299</v>
      </c>
      <c r="R84" s="197">
        <f t="shared" si="321"/>
        <v>-9.8212141916467992</v>
      </c>
      <c r="S84" s="197">
        <f t="shared" si="321"/>
        <v>-8.1659819662203113</v>
      </c>
      <c r="T84" s="457">
        <f t="shared" si="321"/>
        <v>-9.3398902610887422</v>
      </c>
      <c r="U84" s="430">
        <f t="shared" si="321"/>
        <v>-9.0890119056954966</v>
      </c>
      <c r="V84" s="197">
        <f t="shared" si="321"/>
        <v>-2.8449017169493662</v>
      </c>
      <c r="W84" s="197">
        <f t="shared" si="321"/>
        <v>-0.82806995004742479</v>
      </c>
      <c r="X84" s="197">
        <f t="shared" si="321"/>
        <v>1.3395177821564686</v>
      </c>
      <c r="Y84" s="457">
        <f t="shared" si="321"/>
        <v>0.43037544031983288</v>
      </c>
      <c r="Z84" s="430">
        <f t="shared" si="321"/>
        <v>-0.40704852250366685</v>
      </c>
      <c r="AA84" s="197">
        <f t="shared" si="321"/>
        <v>1.6116057787691624</v>
      </c>
      <c r="AB84" s="197">
        <f t="shared" si="321"/>
        <v>1.338634531893637</v>
      </c>
      <c r="AC84" s="197">
        <f t="shared" si="321"/>
        <v>0.19710400963503794</v>
      </c>
      <c r="AD84" s="457">
        <f t="shared" si="321"/>
        <v>-1.6713045616797455</v>
      </c>
      <c r="AE84" s="430">
        <f t="shared" si="321"/>
        <v>0.31802874038379114</v>
      </c>
      <c r="AF84" s="197">
        <f t="shared" si="321"/>
        <v>-0.92740656578267633</v>
      </c>
      <c r="AG84" s="197">
        <f t="shared" si="321"/>
        <v>-2.1102363254739576</v>
      </c>
      <c r="AH84" s="197">
        <f t="shared" si="321"/>
        <v>-1.7140508414943105</v>
      </c>
      <c r="AI84" s="457">
        <f t="shared" si="321"/>
        <v>0.29462746356713754</v>
      </c>
      <c r="AJ84" s="430">
        <f t="shared" si="321"/>
        <v>-1.0847482057104481</v>
      </c>
      <c r="AK84" s="197">
        <f t="shared" si="321"/>
        <v>7.2526305845913019E-2</v>
      </c>
      <c r="AL84" s="197">
        <f t="shared" si="321"/>
        <v>1.5550998334740773</v>
      </c>
      <c r="AM84" s="197">
        <f t="shared" si="321"/>
        <v>-0.50032604565679595</v>
      </c>
      <c r="AN84" s="457">
        <f t="shared" si="321"/>
        <v>1.3199733708648993</v>
      </c>
      <c r="AO84" s="430">
        <f t="shared" si="321"/>
        <v>0.49012387027531357</v>
      </c>
      <c r="AP84" s="197">
        <f t="shared" si="321"/>
        <v>-0.93644768892504893</v>
      </c>
      <c r="AQ84" s="197">
        <f t="shared" si="321"/>
        <v>-1.4133010378891337</v>
      </c>
      <c r="AR84" s="197">
        <f t="shared" si="321"/>
        <v>3.9785396946983216</v>
      </c>
      <c r="AS84" s="457">
        <f t="shared" si="321"/>
        <v>6.196493345711418</v>
      </c>
      <c r="AT84" s="430">
        <f t="shared" si="321"/>
        <v>2.9320429333944715</v>
      </c>
      <c r="AU84" s="197">
        <f t="shared" si="321"/>
        <v>6.415675781676172</v>
      </c>
      <c r="AV84" s="197">
        <f t="shared" si="321"/>
        <v>6.8681609909007211</v>
      </c>
      <c r="AW84" s="197">
        <f t="shared" si="321"/>
        <v>2.4525088617403878</v>
      </c>
      <c r="AX84" s="457">
        <f t="shared" si="321"/>
        <v>-0.63806118910869625</v>
      </c>
      <c r="AY84" s="548">
        <f t="shared" si="321"/>
        <v>2.8840349790736406</v>
      </c>
      <c r="AZ84" s="548">
        <f t="shared" si="321"/>
        <v>0.91478009002914085</v>
      </c>
      <c r="BA84" s="197">
        <f t="shared" si="321"/>
        <v>1.5279048198273637</v>
      </c>
      <c r="BB84" s="197">
        <f t="shared" si="321"/>
        <v>2.1478294798988133</v>
      </c>
      <c r="BC84" s="457">
        <f t="shared" ref="BC84:BG84" si="322">(BC83-AX83)*100</f>
        <v>7.344425324270146</v>
      </c>
      <c r="BD84" s="1948">
        <f t="shared" ref="BD84" si="323">(BD83-AY83)*100</f>
        <v>4.0109574180793697</v>
      </c>
      <c r="BE84" s="197">
        <f t="shared" si="322"/>
        <v>6.7121721469000386</v>
      </c>
      <c r="BF84" s="197">
        <f t="shared" si="322"/>
        <v>6.5593136278160271</v>
      </c>
      <c r="BG84" s="197">
        <f t="shared" si="322"/>
        <v>5.5057167855767224</v>
      </c>
      <c r="BH84" s="457">
        <f t="shared" ref="BH84" si="324">(BH83-BC83)*100</f>
        <v>-0.25748190455506248</v>
      </c>
      <c r="BI84" s="1948">
        <f t="shared" ref="BI84:BL84" si="325">(BI83-BD83)*100</f>
        <v>3.6548033269538482</v>
      </c>
      <c r="BJ84" s="197">
        <f t="shared" si="325"/>
        <v>-0.37687537203444088</v>
      </c>
      <c r="BK84" s="197">
        <f t="shared" si="325"/>
        <v>0.18632975253907724</v>
      </c>
      <c r="BL84" s="197">
        <f t="shared" si="325"/>
        <v>-5.4702565322084507E-3</v>
      </c>
      <c r="BM84" s="457">
        <f t="shared" ref="BM84" si="326">(BM83-BH83)*100</f>
        <v>-0.31481537704816653</v>
      </c>
      <c r="BN84" s="1948">
        <f t="shared" ref="BN84" si="327">(BN83-BI83)*100</f>
        <v>-0.16689297225118693</v>
      </c>
      <c r="BO84" s="547"/>
      <c r="BP84" s="91"/>
      <c r="BQ84" s="91"/>
      <c r="BR84" s="2165"/>
      <c r="BS84" s="1945"/>
      <c r="BT84" s="90"/>
      <c r="BU84" s="90"/>
      <c r="BV84" s="90"/>
      <c r="BW84" s="90"/>
      <c r="BX84" s="92"/>
      <c r="BY84" s="90"/>
      <c r="BZ84" s="90"/>
      <c r="CA84" s="90"/>
      <c r="CB84" s="90"/>
      <c r="CC84" s="92"/>
      <c r="CD84" s="197"/>
      <c r="CE84" s="117"/>
      <c r="CF84" s="173"/>
      <c r="CG84" s="173"/>
      <c r="CH84" s="173"/>
      <c r="CI84" s="239"/>
      <c r="CJ84" s="177"/>
      <c r="CK84" s="2070"/>
      <c r="CL84" s="197">
        <f t="shared" si="319"/>
        <v>-0.31481537704816653</v>
      </c>
      <c r="CM84" s="197">
        <f t="shared" si="320"/>
        <v>-0.25748190455506248</v>
      </c>
      <c r="CN84" s="91"/>
      <c r="CO84" s="197"/>
      <c r="CP84" s="197"/>
      <c r="CQ84" s="44"/>
      <c r="CR84" s="1900"/>
      <c r="CS84" s="1900"/>
      <c r="CT84" s="1901"/>
      <c r="CU84" s="1901"/>
      <c r="CV84" s="93"/>
      <c r="CW84" s="93"/>
      <c r="CX84" s="93"/>
      <c r="CY84" s="119"/>
      <c r="CZ84"/>
      <c r="DA84"/>
      <c r="DB84"/>
      <c r="DC84"/>
      <c r="DD84"/>
      <c r="DE84"/>
      <c r="DF84" s="90"/>
      <c r="DG84" s="90"/>
      <c r="DH84" s="90"/>
      <c r="DI84" s="90"/>
      <c r="DJ84" s="90"/>
    </row>
    <row r="85" spans="1:114" s="1" customFormat="1" ht="12.75" hidden="1" customHeight="1" outlineLevel="1">
      <c r="A85" s="58" t="s">
        <v>88</v>
      </c>
      <c r="B85" s="190"/>
      <c r="C85" s="6" t="str">
        <f>IF(ISERROR((C83-#REF!)*100),"",(C83-#REF!)*100)</f>
        <v/>
      </c>
      <c r="D85" s="6" t="str">
        <f>IF(ISERROR((D83-B83)*100),"",(D83-B83)*100)</f>
        <v/>
      </c>
      <c r="E85" s="6" t="str">
        <f>IF(ISERROR((E83-C83)*100),"",(E83-C83)*100)</f>
        <v/>
      </c>
      <c r="F85" s="61"/>
      <c r="G85" s="194"/>
      <c r="H85" s="194">
        <f>(H83-G83)*100</f>
        <v>0.35655463070674021</v>
      </c>
      <c r="I85" s="194">
        <f>(I83-H83)*100</f>
        <v>0.48159454189481976</v>
      </c>
      <c r="J85" s="194">
        <f>(J83-I83)*100</f>
        <v>-1.2866003262969299</v>
      </c>
      <c r="K85" s="431"/>
      <c r="L85" s="194">
        <f>(L83-J83)*100</f>
        <v>1.335467084899697</v>
      </c>
      <c r="M85" s="194">
        <f>(M83-L83)*100</f>
        <v>-0.8903593378544461</v>
      </c>
      <c r="N85" s="194">
        <f>(N83-M83)*100</f>
        <v>-2.5629402022692815</v>
      </c>
      <c r="O85" s="194">
        <f>(O83-N83)*100</f>
        <v>0.57819947089714219</v>
      </c>
      <c r="P85" s="431"/>
      <c r="Q85" s="194">
        <f>(Q83-O83)*100</f>
        <v>-6.1138572106723439</v>
      </c>
      <c r="R85" s="194">
        <f>(R83-Q83)*100</f>
        <v>-1.7226162496023156</v>
      </c>
      <c r="S85" s="194">
        <f>(S83-R83)*100</f>
        <v>-0.90770797684279481</v>
      </c>
      <c r="T85" s="194">
        <f>(T83-S83)*100</f>
        <v>-0.59570882397128877</v>
      </c>
      <c r="U85" s="431"/>
      <c r="V85" s="194">
        <f>(V83-T83)*100</f>
        <v>0.38113133346703298</v>
      </c>
      <c r="W85" s="194">
        <f>(W83-V83)*100</f>
        <v>0.29421551729962581</v>
      </c>
      <c r="X85" s="194">
        <f>(X83-W83)*100</f>
        <v>1.2598797553610985</v>
      </c>
      <c r="Y85" s="194">
        <f>(Y83-X83)*100</f>
        <v>-1.5048511658079244</v>
      </c>
      <c r="Z85" s="431"/>
      <c r="AA85" s="194">
        <f>(AA83-Y83)*100</f>
        <v>1.5623616719163624</v>
      </c>
      <c r="AB85" s="194">
        <f>(AB83-AA83)*100</f>
        <v>2.1244270424100598E-2</v>
      </c>
      <c r="AC85" s="194">
        <f>(AC83-AB83)*100</f>
        <v>0.11834923310249934</v>
      </c>
      <c r="AD85" s="194">
        <f>(AD83-AC83)*100</f>
        <v>-3.3732597371227078</v>
      </c>
      <c r="AE85" s="431"/>
      <c r="AF85" s="194">
        <f>(AF83-AD83)*100</f>
        <v>2.3062596678134319</v>
      </c>
      <c r="AG85" s="194">
        <f>(AG83-AF83)*100</f>
        <v>-1.1615854892671806</v>
      </c>
      <c r="AH85" s="194">
        <f>(AH83-AG83)*100</f>
        <v>0.51453471708214626</v>
      </c>
      <c r="AI85" s="194">
        <f>(AI83-AH83)*100</f>
        <v>-1.3645814320612599</v>
      </c>
      <c r="AJ85" s="431"/>
      <c r="AK85" s="194">
        <f>(AK83-AI83)*100</f>
        <v>2.0841585100922071</v>
      </c>
      <c r="AL85" s="194">
        <f>(AL83-AK83)*100</f>
        <v>0.32098803836098366</v>
      </c>
      <c r="AM85" s="194">
        <f>(AM83-AL83)*100</f>
        <v>-1.5408911620487271</v>
      </c>
      <c r="AN85" s="194">
        <f>(AN83-AM83)*100</f>
        <v>0.45571798446043532</v>
      </c>
      <c r="AO85" s="431"/>
      <c r="AP85" s="194">
        <f>(AP83-AN83)*100</f>
        <v>-0.17226254969774091</v>
      </c>
      <c r="AQ85" s="194">
        <f>(AQ83-AP83)*100</f>
        <v>-0.15586531060310105</v>
      </c>
      <c r="AR85" s="194">
        <f>(AR83-AQ83)*100</f>
        <v>3.8509495705387282</v>
      </c>
      <c r="AS85" s="194">
        <f>(AS83-AR83)*100</f>
        <v>2.6736716354735317</v>
      </c>
      <c r="AT85" s="431"/>
      <c r="AU85" s="194">
        <f>(AU83-AS83)*100</f>
        <v>4.6919886267013378E-2</v>
      </c>
      <c r="AV85" s="194">
        <f>(AV83-AU83)*100</f>
        <v>0.29661989862144744</v>
      </c>
      <c r="AW85" s="194">
        <f>(AW83-AV83)*100</f>
        <v>-0.56470255862160479</v>
      </c>
      <c r="AX85" s="194">
        <f>(AX83-AW83)*100</f>
        <v>-0.41689841537555228</v>
      </c>
      <c r="AY85" s="549"/>
      <c r="AZ85" s="549">
        <f>(AZ83-AX83)*100</f>
        <v>1.5997611654048505</v>
      </c>
      <c r="BA85" s="194">
        <f>(BA83-AZ83)*100</f>
        <v>0.9097446284196703</v>
      </c>
      <c r="BB85" s="194">
        <f>(BB83-BA83)*100</f>
        <v>5.5222101449844962E-2</v>
      </c>
      <c r="BC85" s="194">
        <f>(BC83-BB83)*100</f>
        <v>4.7796974289957799</v>
      </c>
      <c r="BD85" s="1949"/>
      <c r="BE85" s="194">
        <f>(BE83-BC83)*100</f>
        <v>0.96750798803474369</v>
      </c>
      <c r="BF85" s="194">
        <f>(BF83-BE83)*100</f>
        <v>0.75688610933565825</v>
      </c>
      <c r="BG85" s="194">
        <f>(BG83-BF83)*100</f>
        <v>-0.99837474078945943</v>
      </c>
      <c r="BH85" s="194">
        <f>(BH83-BG83)*100</f>
        <v>-0.983501261136005</v>
      </c>
      <c r="BI85" s="1949"/>
      <c r="BJ85" s="194">
        <f>(BJ83-BH83)*100</f>
        <v>0.84811452055536529</v>
      </c>
      <c r="BK85" s="194">
        <f>(BK83-BJ83)*100</f>
        <v>1.3200912339091764</v>
      </c>
      <c r="BL85" s="194">
        <f>(BL83-BK83)*100</f>
        <v>-1.1901747498607451</v>
      </c>
      <c r="BM85" s="194">
        <f>(BM83-BL83)*100</f>
        <v>-1.2928463816519631</v>
      </c>
      <c r="BN85" s="1949"/>
      <c r="BO85" s="190"/>
      <c r="BP85" s="6"/>
      <c r="BQ85" s="6"/>
      <c r="BR85" s="2166"/>
      <c r="BS85" s="1946"/>
      <c r="BT85" s="6"/>
      <c r="BU85" s="6"/>
      <c r="BV85" s="6"/>
      <c r="BW85" s="6"/>
      <c r="BX85" s="61"/>
      <c r="BY85" s="6"/>
      <c r="BZ85" s="6"/>
      <c r="CA85" s="6"/>
      <c r="CB85" s="6"/>
      <c r="CC85" s="61"/>
      <c r="CD85" s="194"/>
      <c r="CE85" s="114"/>
      <c r="CF85" s="447"/>
      <c r="CG85" s="447"/>
      <c r="CH85" s="447"/>
      <c r="CI85" s="447"/>
      <c r="CJ85" s="2203"/>
      <c r="CK85" s="2073"/>
      <c r="CL85" s="194">
        <f t="shared" si="319"/>
        <v>-1.2928463816519631</v>
      </c>
      <c r="CM85" s="194">
        <f t="shared" si="320"/>
        <v>-0.983501261136005</v>
      </c>
      <c r="CN85" s="6"/>
      <c r="CO85" s="194"/>
      <c r="CP85" s="194"/>
      <c r="CQ85" s="44"/>
      <c r="CR85" s="1900"/>
      <c r="CS85" s="1900"/>
      <c r="CT85" s="1901"/>
      <c r="CU85" s="40"/>
      <c r="CV85" s="40"/>
      <c r="CW85" s="40"/>
      <c r="CX85" s="40"/>
      <c r="CY85" s="139"/>
      <c r="CZ85"/>
      <c r="DA85"/>
      <c r="DB85"/>
      <c r="DC85"/>
      <c r="DD85"/>
      <c r="DE85"/>
      <c r="DF85" s="3"/>
      <c r="DG85" s="3"/>
      <c r="DH85" s="3"/>
      <c r="DI85" s="3"/>
      <c r="DJ85" s="3"/>
    </row>
    <row r="86" spans="1:114" s="262" customFormat="1" ht="12.75" hidden="1" customHeight="1" outlineLevel="1" collapsed="1">
      <c r="A86" s="267" t="s">
        <v>542</v>
      </c>
      <c r="B86" s="543"/>
      <c r="F86" s="265"/>
      <c r="G86" s="262">
        <f>+G61+G51+G66+G71</f>
        <v>2.4260000000000002</v>
      </c>
      <c r="H86" s="262">
        <f>+H61+H51+H66+H71</f>
        <v>2.8630000000000013</v>
      </c>
      <c r="I86" s="262">
        <f>+I61+I51+I66+I71</f>
        <v>2.8460000000000001</v>
      </c>
      <c r="J86" s="262">
        <f>+J61+J51+J66+J71</f>
        <v>2.6599999999999895</v>
      </c>
      <c r="K86" s="265">
        <f>SUM(G86:J86)</f>
        <v>10.794999999999991</v>
      </c>
      <c r="L86" s="262">
        <f>+L61+L51+L66+L71</f>
        <v>3.0200000000000014</v>
      </c>
      <c r="M86" s="262">
        <f>+M61+M51+M66+M71</f>
        <v>3.5139999999999993</v>
      </c>
      <c r="N86" s="262">
        <f>+N61+N51+N66+N71</f>
        <v>3.0489999999999995</v>
      </c>
      <c r="O86" s="262">
        <f>+O61+O51+O66+O71</f>
        <v>2.9979999999999993</v>
      </c>
      <c r="P86" s="265">
        <f>SUM(L86:O86)</f>
        <v>12.581</v>
      </c>
      <c r="Q86" s="262">
        <f>+Q61+Q51+Q66+Q71</f>
        <v>4.0999999999999996</v>
      </c>
      <c r="R86" s="262">
        <f>+R61+R51+R66+R71</f>
        <v>4.6190000000000015</v>
      </c>
      <c r="S86" s="262">
        <f>+S61+S51+S66+S71</f>
        <v>4.5609999999999982</v>
      </c>
      <c r="T86" s="262">
        <f>+T61+T51+T66+T71</f>
        <v>3.5090000000000021</v>
      </c>
      <c r="U86" s="265">
        <f>SUM(Q86:T86)</f>
        <v>16.789000000000001</v>
      </c>
      <c r="V86" s="262">
        <f>+V61+V51+V66+V71</f>
        <v>2.8989999999999982</v>
      </c>
      <c r="W86" s="262">
        <f>+W61+W51+W66+W71</f>
        <v>3.2779999999999996</v>
      </c>
      <c r="X86" s="262">
        <f>+X61+X51+X66+X71</f>
        <v>4.1930000000000014</v>
      </c>
      <c r="Y86" s="262">
        <f>+Y61+Y51+Y66+Y71</f>
        <v>4.5810000000000013</v>
      </c>
      <c r="Z86" s="265">
        <f>SUM(V86:Y86)</f>
        <v>14.951000000000001</v>
      </c>
      <c r="AA86" s="262">
        <f>+AA61+AA51+AA66+AA71</f>
        <v>5.08</v>
      </c>
      <c r="AB86" s="262">
        <f>+AB61+AB51+AB66+AB71</f>
        <v>6.4849999999999994</v>
      </c>
      <c r="AC86" s="262">
        <f>+AC61+AC51+AC66+AC71</f>
        <v>7.1979999999999968</v>
      </c>
      <c r="AD86" s="262">
        <f>+AD61+AD51+AD66+AD71</f>
        <v>5.3279999999999976</v>
      </c>
      <c r="AE86" s="265">
        <f>SUM(AA86:AD86)</f>
        <v>24.090999999999994</v>
      </c>
      <c r="AF86" s="262">
        <f>+AF61+AF51+AF66+AF71</f>
        <v>6.2790000000000017</v>
      </c>
      <c r="AG86" s="262">
        <f>+AG61+AG51+AG66+AG71</f>
        <v>6.1579999999999977</v>
      </c>
      <c r="AH86" s="262">
        <f>+AH61+AH51+AH66+AH71</f>
        <v>6.8619999999999983</v>
      </c>
      <c r="AI86" s="262">
        <f>+AI61+AI51+AI66+AI71</f>
        <v>5.782</v>
      </c>
      <c r="AJ86" s="265">
        <f>SUM(AF86:AI86)</f>
        <v>25.081</v>
      </c>
      <c r="AK86" s="262">
        <f>+AK61+AK51+AK66+AK71</f>
        <v>6.7730000000000032</v>
      </c>
      <c r="AL86" s="262">
        <f>+AL61+AL51+AL66+AL71</f>
        <v>8.4650000000000016</v>
      </c>
      <c r="AM86" s="262">
        <f>+AM61+AM51+AM66+AM71</f>
        <v>9.9239999999999959</v>
      </c>
      <c r="AN86" s="262">
        <f>+AN61+AN51+AN66+AN71</f>
        <v>15.662999999999998</v>
      </c>
      <c r="AO86" s="265">
        <f>SUM(AK86:AN86)</f>
        <v>40.824999999999996</v>
      </c>
      <c r="AP86" s="262">
        <f>+AP61+AP51+AP66+AP71</f>
        <v>16.260000000000005</v>
      </c>
      <c r="AQ86" s="262">
        <f>+AQ61+AQ51+AQ66+AQ71</f>
        <v>19.339999999999996</v>
      </c>
      <c r="AR86" s="262">
        <f>+AR61+AR51+AR66+AR71</f>
        <v>34.83600000000002</v>
      </c>
      <c r="AS86" s="262">
        <f>+AS61+AS51+AS66+AS71</f>
        <v>53.071999999999974</v>
      </c>
      <c r="AT86" s="265">
        <f>SUM(AP86:AS86)</f>
        <v>123.508</v>
      </c>
      <c r="AU86" s="262">
        <f>+AU61+AU51+AU66+AU71</f>
        <v>58.397999999999982</v>
      </c>
      <c r="AV86" s="262">
        <f>+AV61+AV51+AV66+AV71</f>
        <v>121.87</v>
      </c>
      <c r="AW86" s="262">
        <f>+AW61+AW51+AW66+AW71</f>
        <v>124.98599999999996</v>
      </c>
      <c r="AX86" s="262">
        <f>+AX61+AX51+AX66+AX71</f>
        <v>132.80000000000001</v>
      </c>
      <c r="AY86" s="543">
        <f>SUM(AU86:AX86)</f>
        <v>438.05399999999992</v>
      </c>
      <c r="AZ86" s="543">
        <f>+AZ61+AZ51+AZ66+AZ71</f>
        <v>121.4</v>
      </c>
      <c r="BA86" s="262">
        <f>+BA61+BA51+BA66+BA71+BA76</f>
        <v>193.8</v>
      </c>
      <c r="BB86" s="262">
        <f>+BB61+BB51+BB66+BB71+BB76</f>
        <v>315.09999999999997</v>
      </c>
      <c r="BC86" s="262">
        <f>+BC61+BC51+BC66+BC71+BC76+BC81</f>
        <v>575.20000000000005</v>
      </c>
      <c r="BD86" s="1947">
        <f>SUM(AZ86:BC86)</f>
        <v>1205.5</v>
      </c>
      <c r="BE86" s="262">
        <f>+BE56+BE51+BE71+BE76+BE81</f>
        <v>650.29999999999995</v>
      </c>
      <c r="BF86" s="262">
        <f>+BF56+BF51+BF71+BF76+BF81</f>
        <v>703</v>
      </c>
      <c r="BG86" s="262">
        <f>+BG56+BG51+BG71+BG76+BG81</f>
        <v>676.09999999999991</v>
      </c>
      <c r="BH86" s="262">
        <f>+BH56+BH51+BH71+BH76+BH81</f>
        <v>631.5</v>
      </c>
      <c r="BI86" s="1947">
        <f>SUM(BE86:BH86)</f>
        <v>2660.8999999999996</v>
      </c>
      <c r="BJ86" s="262">
        <f>+BJ56+BJ51+BJ71+BJ76+BJ81</f>
        <v>636</v>
      </c>
      <c r="BK86" s="262">
        <f>+BK56+BK51+BK71+BK76+BK81</f>
        <v>703.5</v>
      </c>
      <c r="BL86" s="262">
        <f>+BL56+BL51+BL71+BL76+BL81</f>
        <v>693</v>
      </c>
      <c r="BM86" s="262">
        <f>+BM56+BM51+BM71+BM76+BM81</f>
        <v>714.2</v>
      </c>
      <c r="BN86" s="1947">
        <f>SUM(BJ86:BM86)</f>
        <v>2746.7</v>
      </c>
      <c r="BO86" s="543"/>
      <c r="BR86" s="2167"/>
      <c r="BS86" s="1947"/>
      <c r="BT86" s="269"/>
      <c r="BU86" s="269"/>
      <c r="BV86" s="269"/>
      <c r="BW86" s="269"/>
      <c r="BX86" s="265"/>
      <c r="BY86" s="269"/>
      <c r="BZ86" s="269"/>
      <c r="CA86" s="269"/>
      <c r="CB86" s="269"/>
      <c r="CC86" s="265"/>
      <c r="CE86" s="263"/>
      <c r="CF86" s="264"/>
      <c r="CG86" s="264"/>
      <c r="CH86" s="264"/>
      <c r="CI86" s="265"/>
      <c r="CK86" s="2072"/>
      <c r="CL86" s="262">
        <f t="shared" si="319"/>
        <v>714.2</v>
      </c>
      <c r="CM86" s="262">
        <f t="shared" si="320"/>
        <v>631.5</v>
      </c>
      <c r="CO86" s="2088">
        <f>IFERROR(($CL86/CM86)-1,"")</f>
        <v>0.13095803642121928</v>
      </c>
      <c r="CP86" s="2088" t="str">
        <f>IFERROR(($CL86/CN86)-1,"")</f>
        <v/>
      </c>
      <c r="CQ86" s="452"/>
      <c r="CR86" s="1900"/>
      <c r="CS86" s="1900"/>
      <c r="CT86" s="1902"/>
      <c r="CU86" s="258"/>
      <c r="CV86" s="258"/>
      <c r="CW86" s="258"/>
      <c r="CX86" s="258"/>
      <c r="CY86" s="263"/>
      <c r="CZ86"/>
      <c r="DA86"/>
      <c r="DB86"/>
      <c r="DC86"/>
      <c r="DD86"/>
      <c r="DE86"/>
      <c r="DF86" s="266"/>
      <c r="DG86" s="266"/>
      <c r="DH86" s="266"/>
      <c r="DI86" s="266"/>
      <c r="DJ86" s="266"/>
    </row>
    <row r="87" spans="1:114" s="1" customFormat="1" ht="12.75" hidden="1" customHeight="1" outlineLevel="1">
      <c r="A87" s="76" t="s">
        <v>85</v>
      </c>
      <c r="B87" s="368" t="str">
        <f>IF(ISERROR((B86-#REF!)/#REF!),"",(B86-#REF!)/#REF!)</f>
        <v/>
      </c>
      <c r="C87" s="18" t="str">
        <f>IF(ISERROR((C86-#REF!)/#REF!),"",(C86-#REF!)/#REF!)</f>
        <v/>
      </c>
      <c r="D87" s="18" t="str">
        <f>IF(ISERROR((D86-#REF!)/#REF!),"",(D86-#REF!)/#REF!)</f>
        <v/>
      </c>
      <c r="E87" s="18" t="str">
        <f>IF(ISERROR((E86-#REF!)/#REF!),"",(E86-#REF!)/#REF!)</f>
        <v/>
      </c>
      <c r="F87" s="60"/>
      <c r="G87" s="191" t="str">
        <f t="shared" ref="G87:AL87" si="328">IF(ISERROR((G86-B86)/B86),"",(G86-B86)/B86)</f>
        <v/>
      </c>
      <c r="H87" s="191" t="str">
        <f t="shared" si="328"/>
        <v/>
      </c>
      <c r="I87" s="191" t="str">
        <f t="shared" si="328"/>
        <v/>
      </c>
      <c r="J87" s="18" t="str">
        <f t="shared" si="328"/>
        <v/>
      </c>
      <c r="K87" s="60" t="str">
        <f t="shared" si="328"/>
        <v/>
      </c>
      <c r="L87" s="191">
        <f t="shared" si="328"/>
        <v>0.24484748557296007</v>
      </c>
      <c r="M87" s="191">
        <f t="shared" si="328"/>
        <v>0.22738386308068381</v>
      </c>
      <c r="N87" s="191">
        <f t="shared" si="328"/>
        <v>7.1328179901616093E-2</v>
      </c>
      <c r="O87" s="18">
        <f t="shared" si="328"/>
        <v>0.12706766917293655</v>
      </c>
      <c r="P87" s="60">
        <f t="shared" si="328"/>
        <v>0.16544696618805094</v>
      </c>
      <c r="Q87" s="191">
        <f t="shared" si="328"/>
        <v>0.35761589403973437</v>
      </c>
      <c r="R87" s="191">
        <f t="shared" si="328"/>
        <v>0.31445645987478726</v>
      </c>
      <c r="S87" s="191">
        <f t="shared" si="328"/>
        <v>0.49590029517874679</v>
      </c>
      <c r="T87" s="18">
        <f t="shared" si="328"/>
        <v>0.17044696464309636</v>
      </c>
      <c r="U87" s="60">
        <f t="shared" si="328"/>
        <v>0.33447261743899548</v>
      </c>
      <c r="V87" s="191">
        <f t="shared" si="328"/>
        <v>-0.29292682926829305</v>
      </c>
      <c r="W87" s="191">
        <f t="shared" si="328"/>
        <v>-0.29032258064516164</v>
      </c>
      <c r="X87" s="191">
        <f t="shared" si="328"/>
        <v>-8.0684060513044706E-2</v>
      </c>
      <c r="Y87" s="18">
        <f t="shared" si="328"/>
        <v>0.3055001424907377</v>
      </c>
      <c r="Z87" s="60">
        <f t="shared" si="328"/>
        <v>-0.10947644290904764</v>
      </c>
      <c r="AA87" s="191">
        <f t="shared" si="328"/>
        <v>0.75232838909969069</v>
      </c>
      <c r="AB87" s="191">
        <f t="shared" si="328"/>
        <v>0.97834045149481397</v>
      </c>
      <c r="AC87" s="191">
        <f t="shared" si="328"/>
        <v>0.71667064154543159</v>
      </c>
      <c r="AD87" s="18">
        <f t="shared" si="328"/>
        <v>0.16306483300589306</v>
      </c>
      <c r="AE87" s="60">
        <f t="shared" si="328"/>
        <v>0.61133034579626733</v>
      </c>
      <c r="AF87" s="191">
        <f t="shared" si="328"/>
        <v>0.23602362204724442</v>
      </c>
      <c r="AG87" s="191">
        <f t="shared" si="328"/>
        <v>-5.0424055512721937E-2</v>
      </c>
      <c r="AH87" s="191">
        <f t="shared" si="328"/>
        <v>-4.6679633231452994E-2</v>
      </c>
      <c r="AI87" s="18">
        <f t="shared" si="328"/>
        <v>8.5210210210210705E-2</v>
      </c>
      <c r="AJ87" s="60">
        <f t="shared" si="328"/>
        <v>4.1094184550247222E-2</v>
      </c>
      <c r="AK87" s="191">
        <f t="shared" si="328"/>
        <v>7.8674948240165854E-2</v>
      </c>
      <c r="AL87" s="191">
        <f t="shared" si="328"/>
        <v>0.37463462163040023</v>
      </c>
      <c r="AM87" s="191">
        <f t="shared" ref="AM87:BB87" si="329">IF(ISERROR((AM86-AH86)/AH86),"",(AM86-AH86)/AH86)</f>
        <v>0.44622559020693653</v>
      </c>
      <c r="AN87" s="18">
        <f t="shared" si="329"/>
        <v>1.7089242476651676</v>
      </c>
      <c r="AO87" s="60">
        <f t="shared" si="329"/>
        <v>0.62772616721821284</v>
      </c>
      <c r="AP87" s="191">
        <f t="shared" si="329"/>
        <v>1.4007086962941087</v>
      </c>
      <c r="AQ87" s="191">
        <f t="shared" si="329"/>
        <v>1.2847017129356164</v>
      </c>
      <c r="AR87" s="191">
        <f t="shared" si="329"/>
        <v>2.5102781136638486</v>
      </c>
      <c r="AS87" s="18">
        <f t="shared" si="329"/>
        <v>2.3883674902636773</v>
      </c>
      <c r="AT87" s="60">
        <f t="shared" si="329"/>
        <v>2.0253031230863443</v>
      </c>
      <c r="AU87" s="191">
        <f t="shared" si="329"/>
        <v>2.5915129151291492</v>
      </c>
      <c r="AV87" s="191">
        <f t="shared" si="329"/>
        <v>5.3014477766287502</v>
      </c>
      <c r="AW87" s="191">
        <f t="shared" si="329"/>
        <v>2.5878401653461904</v>
      </c>
      <c r="AX87" s="18">
        <f t="shared" si="329"/>
        <v>1.5022610792885152</v>
      </c>
      <c r="AY87" s="368">
        <f t="shared" si="329"/>
        <v>2.5467662013796675</v>
      </c>
      <c r="AZ87" s="439">
        <f t="shared" si="329"/>
        <v>1.0788383163806987</v>
      </c>
      <c r="BA87" s="191">
        <f t="shared" si="329"/>
        <v>0.59021908591121686</v>
      </c>
      <c r="BB87" s="191">
        <f t="shared" si="329"/>
        <v>1.5210823612244577</v>
      </c>
      <c r="BC87" s="18">
        <f t="shared" ref="BC87:BG87" si="330">IF(ISERROR((BC86-AX86)/AX86),"",(BC86-AX86)/AX86)</f>
        <v>3.3313253012048194</v>
      </c>
      <c r="BD87" s="1936">
        <f t="shared" ref="BD87" si="331">IF(ISERROR((BD86-AY86)/AY86),"",(BD86-AY86)/AY86)</f>
        <v>1.7519438242773728</v>
      </c>
      <c r="BE87" s="18">
        <f t="shared" si="330"/>
        <v>4.3566721581548595</v>
      </c>
      <c r="BF87" s="191">
        <f t="shared" si="330"/>
        <v>2.6274509803921569</v>
      </c>
      <c r="BG87" s="191">
        <f t="shared" si="330"/>
        <v>1.1456680418914629</v>
      </c>
      <c r="BH87" s="18">
        <f t="shared" ref="BH87" si="332">IF(ISERROR((BH86-BC86)/BC86),"",(BH86-BC86)/BC86)</f>
        <v>9.7878998609179327E-2</v>
      </c>
      <c r="BI87" s="1936">
        <f t="shared" ref="BI87:BL87" si="333">IF(ISERROR((BI86-BD86)/BD86),"",(BI86-BD86)/BD86)</f>
        <v>1.2072998755703024</v>
      </c>
      <c r="BJ87" s="18">
        <f t="shared" si="333"/>
        <v>-2.1989850838074667E-2</v>
      </c>
      <c r="BK87" s="191">
        <f t="shared" si="333"/>
        <v>7.1123755334281653E-4</v>
      </c>
      <c r="BL87" s="191">
        <f t="shared" si="333"/>
        <v>2.4996302322141832E-2</v>
      </c>
      <c r="BM87" s="18">
        <f t="shared" ref="BM87" si="334">IF(ISERROR((BM86-BH86)/BH86),"",(BM86-BH86)/BH86)</f>
        <v>0.13095803642121939</v>
      </c>
      <c r="BN87" s="1936">
        <f t="shared" ref="BN87" si="335">IF(ISERROR((BN86-BI86)/BI86),"",(BN86-BI86)/BI86)</f>
        <v>3.2244729226953359E-2</v>
      </c>
      <c r="BO87" s="368"/>
      <c r="BP87" s="18"/>
      <c r="BQ87" s="18"/>
      <c r="BR87" s="2162"/>
      <c r="BS87" s="1936"/>
      <c r="BT87" s="18"/>
      <c r="BU87" s="18"/>
      <c r="BV87" s="18"/>
      <c r="BW87" s="18"/>
      <c r="BX87" s="60"/>
      <c r="BY87" s="18"/>
      <c r="BZ87" s="18"/>
      <c r="CA87" s="18"/>
      <c r="CB87" s="18"/>
      <c r="CC87" s="60"/>
      <c r="CD87" s="191"/>
      <c r="CE87" s="111"/>
      <c r="CF87" s="173"/>
      <c r="CG87" s="173"/>
      <c r="CH87" s="173"/>
      <c r="CI87" s="239"/>
      <c r="CJ87" s="177"/>
      <c r="CK87" s="2070"/>
      <c r="CL87" s="191">
        <f t="shared" si="319"/>
        <v>0.13095803642121939</v>
      </c>
      <c r="CM87" s="191">
        <f t="shared" si="320"/>
        <v>9.7878998609179327E-2</v>
      </c>
      <c r="CN87" s="18"/>
      <c r="CO87" s="2110">
        <f>IFERROR(($CL87-CM87)*10000,"")</f>
        <v>330.79037812040065</v>
      </c>
      <c r="CP87" s="2110"/>
      <c r="CQ87" s="44"/>
      <c r="CR87" s="40"/>
      <c r="CS87" s="40"/>
      <c r="CT87" s="40"/>
      <c r="CU87" s="40"/>
      <c r="CV87" s="40"/>
      <c r="CW87" s="40"/>
      <c r="CX87" s="40"/>
      <c r="CY87" s="139"/>
      <c r="CZ87"/>
      <c r="DA87"/>
      <c r="DB87"/>
      <c r="DC87"/>
      <c r="DD87"/>
      <c r="DE87"/>
      <c r="DF87" s="3"/>
      <c r="DG87" s="3"/>
      <c r="DH87" s="3"/>
      <c r="DI87" s="3"/>
      <c r="DJ87" s="3"/>
    </row>
    <row r="88" spans="1:114" s="1" customFormat="1" ht="12.75" hidden="1" customHeight="1" outlineLevel="1">
      <c r="A88" s="383" t="s">
        <v>184</v>
      </c>
      <c r="B88" s="368"/>
      <c r="C88" s="18"/>
      <c r="D88" s="18"/>
      <c r="E88" s="18"/>
      <c r="F88" s="60"/>
      <c r="G88" s="195">
        <f t="shared" ref="G88:AY88" si="336">+G92/G86</f>
        <v>0.39612530915086575</v>
      </c>
      <c r="H88" s="386">
        <f t="shared" si="336"/>
        <v>0.41704505763185495</v>
      </c>
      <c r="I88" s="485">
        <f t="shared" si="336"/>
        <v>0.40126493323963458</v>
      </c>
      <c r="J88" s="386">
        <f t="shared" si="336"/>
        <v>0.30977443609022265</v>
      </c>
      <c r="K88" s="387">
        <f t="shared" si="336"/>
        <v>0.38175081056044408</v>
      </c>
      <c r="L88" s="195">
        <f t="shared" si="336"/>
        <v>0.37052980132450358</v>
      </c>
      <c r="M88" s="386">
        <f t="shared" si="336"/>
        <v>0.47182697780307331</v>
      </c>
      <c r="N88" s="485">
        <f t="shared" si="336"/>
        <v>0.37454903246966209</v>
      </c>
      <c r="O88" s="386">
        <f t="shared" si="336"/>
        <v>0.33689126084056042</v>
      </c>
      <c r="P88" s="387">
        <f t="shared" si="336"/>
        <v>0.39178125745171294</v>
      </c>
      <c r="Q88" s="195">
        <f t="shared" si="336"/>
        <v>0.33390243902439021</v>
      </c>
      <c r="R88" s="386">
        <f t="shared" si="336"/>
        <v>0.38276683264775946</v>
      </c>
      <c r="S88" s="485">
        <f t="shared" si="336"/>
        <v>0.49090111817583842</v>
      </c>
      <c r="T88" s="386">
        <f t="shared" si="336"/>
        <v>0.40267882587631837</v>
      </c>
      <c r="U88" s="387">
        <f t="shared" si="336"/>
        <v>0.40437191017928409</v>
      </c>
      <c r="V88" s="195">
        <f t="shared" si="336"/>
        <v>0.13832355984822292</v>
      </c>
      <c r="W88" s="386">
        <f t="shared" si="336"/>
        <v>0.34594264795607077</v>
      </c>
      <c r="X88" s="485">
        <f t="shared" si="336"/>
        <v>0.44717386119723368</v>
      </c>
      <c r="Y88" s="386">
        <f t="shared" si="336"/>
        <v>0.35254311285745482</v>
      </c>
      <c r="Z88" s="387">
        <f t="shared" si="336"/>
        <v>0.3360979198715805</v>
      </c>
      <c r="AA88" s="195">
        <f t="shared" si="336"/>
        <v>0.39409448818897641</v>
      </c>
      <c r="AB88" s="386">
        <f t="shared" si="336"/>
        <v>0.4900539707016191</v>
      </c>
      <c r="AC88" s="485">
        <f t="shared" si="336"/>
        <v>0.46735204223395355</v>
      </c>
      <c r="AD88" s="386">
        <f t="shared" si="336"/>
        <v>0.33952702702702664</v>
      </c>
      <c r="AE88" s="387">
        <f t="shared" si="336"/>
        <v>0.42974554813000693</v>
      </c>
      <c r="AF88" s="195">
        <f t="shared" si="336"/>
        <v>0.39990444338270437</v>
      </c>
      <c r="AG88" s="386">
        <f t="shared" si="336"/>
        <v>0.41977914907437458</v>
      </c>
      <c r="AH88" s="485">
        <f t="shared" si="336"/>
        <v>0.52331681725444468</v>
      </c>
      <c r="AI88" s="386">
        <f t="shared" si="336"/>
        <v>0.40850916637841572</v>
      </c>
      <c r="AJ88" s="387">
        <f t="shared" si="336"/>
        <v>0.44053267413579994</v>
      </c>
      <c r="AK88" s="195">
        <f t="shared" si="336"/>
        <v>0.28687435405285727</v>
      </c>
      <c r="AL88" s="386">
        <f t="shared" si="336"/>
        <v>0.23945658594211477</v>
      </c>
      <c r="AM88" s="485">
        <f t="shared" si="336"/>
        <v>-0.10479645304312826</v>
      </c>
      <c r="AN88" s="386">
        <f t="shared" si="336"/>
        <v>-6.576007150609714E-2</v>
      </c>
      <c r="AO88" s="387">
        <f t="shared" si="336"/>
        <v>4.6540110226576885E-2</v>
      </c>
      <c r="AP88" s="195">
        <f t="shared" si="336"/>
        <v>-0.16574415744157395</v>
      </c>
      <c r="AQ88" s="386">
        <f t="shared" si="336"/>
        <v>-0.17192347466390917</v>
      </c>
      <c r="AR88" s="485">
        <f t="shared" si="336"/>
        <v>-3.3413709955218147E-2</v>
      </c>
      <c r="AS88" s="386">
        <f t="shared" si="336"/>
        <v>5.7864787458546466E-2</v>
      </c>
      <c r="AT88" s="387">
        <f t="shared" si="336"/>
        <v>-3.3301486543381803E-2</v>
      </c>
      <c r="AU88" s="195">
        <f t="shared" si="336"/>
        <v>5.1885338538986961E-3</v>
      </c>
      <c r="AV88" s="386">
        <f t="shared" si="336"/>
        <v>5.3425781570525931E-2</v>
      </c>
      <c r="AW88" s="485">
        <f t="shared" si="336"/>
        <v>3.862032547645302E-2</v>
      </c>
      <c r="AX88" s="386">
        <f t="shared" si="336"/>
        <v>7.9819277108433798E-2</v>
      </c>
      <c r="AY88" s="582">
        <f t="shared" si="336"/>
        <v>5.0772279216717439E-2</v>
      </c>
      <c r="AZ88" s="604">
        <f>+AZ92/AZ86</f>
        <v>3.0477759472817133E-2</v>
      </c>
      <c r="BA88" s="386">
        <f t="shared" ref="BA88:BD88" si="337">+BA92/BA86</f>
        <v>0.12022703818369453</v>
      </c>
      <c r="BB88" s="386">
        <f t="shared" si="337"/>
        <v>0.12154871469374802</v>
      </c>
      <c r="BC88" s="386">
        <f t="shared" si="337"/>
        <v>4.972183588317107E-2</v>
      </c>
      <c r="BD88" s="1950">
        <f t="shared" si="337"/>
        <v>7.7892990460389888E-2</v>
      </c>
      <c r="BE88" s="386">
        <f t="shared" ref="BE88:BI88" si="338">+BE92/BE86</f>
        <v>0.11625403659849302</v>
      </c>
      <c r="BF88" s="386">
        <f t="shared" si="338"/>
        <v>0.2321479374110953</v>
      </c>
      <c r="BG88" s="386">
        <f t="shared" si="338"/>
        <v>0.20485135335009616</v>
      </c>
      <c r="BH88" s="386">
        <f t="shared" si="338"/>
        <v>0.16579572446555821</v>
      </c>
      <c r="BI88" s="1950">
        <f t="shared" si="338"/>
        <v>0.18114171896726675</v>
      </c>
      <c r="BJ88" s="386">
        <f t="shared" ref="BJ88:BN88" si="339">+BJ92/BJ86</f>
        <v>0.18254716981132077</v>
      </c>
      <c r="BK88" s="386">
        <f t="shared" si="339"/>
        <v>0.24349680170575691</v>
      </c>
      <c r="BL88" s="386">
        <f t="shared" si="339"/>
        <v>0.22121212121212122</v>
      </c>
      <c r="BM88" s="386">
        <f t="shared" si="339"/>
        <v>0.20764491739008678</v>
      </c>
      <c r="BN88" s="1950">
        <f t="shared" si="339"/>
        <v>0.2144391451560054</v>
      </c>
      <c r="BO88" s="2349"/>
      <c r="BP88" s="393"/>
      <c r="BQ88" s="393"/>
      <c r="BR88" s="2169"/>
      <c r="BS88" s="1950"/>
      <c r="BT88" s="386"/>
      <c r="BU88" s="386"/>
      <c r="BV88" s="386"/>
      <c r="BW88" s="386"/>
      <c r="BX88" s="394"/>
      <c r="BY88" s="386"/>
      <c r="BZ88" s="386"/>
      <c r="CA88" s="386"/>
      <c r="CB88" s="386"/>
      <c r="CC88" s="394"/>
      <c r="CD88" s="191"/>
      <c r="CE88" s="111"/>
      <c r="CF88" s="173"/>
      <c r="CG88" s="173"/>
      <c r="CH88" s="173"/>
      <c r="CI88" s="239"/>
      <c r="CJ88" s="177"/>
      <c r="CK88" s="2070"/>
      <c r="CL88" s="386">
        <f t="shared" si="319"/>
        <v>0.20764491739008678</v>
      </c>
      <c r="CM88" s="386">
        <f t="shared" si="320"/>
        <v>0.16579572446555821</v>
      </c>
      <c r="CN88" s="393"/>
      <c r="CO88" s="2111">
        <f>IFERROR(($CL88-CM88)*10000,"")</f>
        <v>418.49192924528575</v>
      </c>
      <c r="CP88" s="2111"/>
      <c r="CQ88" s="44" t="s">
        <v>491</v>
      </c>
      <c r="CR88" s="40"/>
      <c r="CS88" s="40"/>
      <c r="CT88" s="40"/>
      <c r="CU88" s="40"/>
      <c r="CV88" s="40"/>
      <c r="CW88" s="40"/>
      <c r="CX88" s="40"/>
      <c r="CY88" s="139"/>
      <c r="CZ88"/>
      <c r="DA88"/>
      <c r="DB88"/>
      <c r="DC88"/>
      <c r="DD88"/>
      <c r="DE88"/>
      <c r="DF88" s="3"/>
      <c r="DG88" s="3"/>
      <c r="DH88" s="3"/>
      <c r="DI88" s="3"/>
      <c r="DJ88" s="3"/>
    </row>
    <row r="89" spans="1:114" s="1" customFormat="1" ht="12.75" hidden="1" customHeight="1" outlineLevel="1">
      <c r="A89" s="76" t="s">
        <v>86</v>
      </c>
      <c r="B89" s="368"/>
      <c r="C89" s="18"/>
      <c r="D89" s="18"/>
      <c r="E89" s="18"/>
      <c r="F89" s="60"/>
      <c r="G89" s="197">
        <f t="shared" ref="G89:AL89" si="340">(G88-B88)*100</f>
        <v>39.612530915086573</v>
      </c>
      <c r="H89" s="197">
        <f t="shared" si="340"/>
        <v>41.704505763185495</v>
      </c>
      <c r="I89" s="197">
        <f t="shared" si="340"/>
        <v>40.126493323963459</v>
      </c>
      <c r="J89" s="457">
        <f t="shared" si="340"/>
        <v>30.977443609022266</v>
      </c>
      <c r="K89" s="430">
        <f t="shared" si="340"/>
        <v>38.175081056044405</v>
      </c>
      <c r="L89" s="197">
        <f t="shared" si="340"/>
        <v>-2.559550782636216</v>
      </c>
      <c r="M89" s="197">
        <f t="shared" si="340"/>
        <v>5.4781920171218355</v>
      </c>
      <c r="N89" s="197">
        <f t="shared" si="340"/>
        <v>-2.6715900769972487</v>
      </c>
      <c r="O89" s="457">
        <f t="shared" si="340"/>
        <v>2.7116824750337774</v>
      </c>
      <c r="P89" s="430">
        <f t="shared" si="340"/>
        <v>1.0030446891268863</v>
      </c>
      <c r="Q89" s="197">
        <f t="shared" si="340"/>
        <v>-3.6627362300113377</v>
      </c>
      <c r="R89" s="197">
        <f t="shared" si="340"/>
        <v>-8.9060145155313855</v>
      </c>
      <c r="S89" s="197">
        <f t="shared" si="340"/>
        <v>11.635208570617634</v>
      </c>
      <c r="T89" s="457">
        <f t="shared" si="340"/>
        <v>6.5787565035757947</v>
      </c>
      <c r="U89" s="430">
        <f t="shared" si="340"/>
        <v>1.259065272757115</v>
      </c>
      <c r="V89" s="197">
        <f t="shared" si="340"/>
        <v>-19.557887917616728</v>
      </c>
      <c r="W89" s="197">
        <f t="shared" si="340"/>
        <v>-3.6824184691688688</v>
      </c>
      <c r="X89" s="197">
        <f t="shared" si="340"/>
        <v>-4.3727256978604743</v>
      </c>
      <c r="Y89" s="457">
        <f t="shared" si="340"/>
        <v>-5.0135713018863548</v>
      </c>
      <c r="Z89" s="430">
        <f t="shared" si="340"/>
        <v>-6.8273990307703594</v>
      </c>
      <c r="AA89" s="197">
        <f t="shared" si="340"/>
        <v>25.577092834075348</v>
      </c>
      <c r="AB89" s="197">
        <f t="shared" si="340"/>
        <v>14.411132274554832</v>
      </c>
      <c r="AC89" s="197">
        <f t="shared" si="340"/>
        <v>2.0178181036719867</v>
      </c>
      <c r="AD89" s="457">
        <f t="shared" si="340"/>
        <v>-1.3016085830428181</v>
      </c>
      <c r="AE89" s="430">
        <f t="shared" si="340"/>
        <v>9.364762825842643</v>
      </c>
      <c r="AF89" s="197">
        <f t="shared" si="340"/>
        <v>0.58099551937279559</v>
      </c>
      <c r="AG89" s="197">
        <f t="shared" si="340"/>
        <v>-7.0274821627244517</v>
      </c>
      <c r="AH89" s="197">
        <f t="shared" si="340"/>
        <v>5.5964775020491135</v>
      </c>
      <c r="AI89" s="457">
        <f t="shared" si="340"/>
        <v>6.8982139351389087</v>
      </c>
      <c r="AJ89" s="430">
        <f t="shared" si="340"/>
        <v>1.0787126005793013</v>
      </c>
      <c r="AK89" s="197">
        <f t="shared" si="340"/>
        <v>-11.30300893298471</v>
      </c>
      <c r="AL89" s="197">
        <f t="shared" si="340"/>
        <v>-18.032256313225979</v>
      </c>
      <c r="AM89" s="197">
        <f t="shared" ref="AM89:BB89" si="341">(AM88-AH88)*100</f>
        <v>-62.811327029757294</v>
      </c>
      <c r="AN89" s="457">
        <f t="shared" si="341"/>
        <v>-47.426923788451283</v>
      </c>
      <c r="AO89" s="430">
        <f t="shared" si="341"/>
        <v>-39.399256390922304</v>
      </c>
      <c r="AP89" s="197">
        <f t="shared" si="341"/>
        <v>-45.261851149443125</v>
      </c>
      <c r="AQ89" s="197">
        <f t="shared" si="341"/>
        <v>-41.138006060602393</v>
      </c>
      <c r="AR89" s="197">
        <f t="shared" si="341"/>
        <v>7.1382743087910123</v>
      </c>
      <c r="AS89" s="457">
        <f t="shared" si="341"/>
        <v>12.36248589646436</v>
      </c>
      <c r="AT89" s="430">
        <f t="shared" si="341"/>
        <v>-7.9841596769958691</v>
      </c>
      <c r="AU89" s="197">
        <f t="shared" si="341"/>
        <v>17.093269129547263</v>
      </c>
      <c r="AV89" s="197">
        <f t="shared" si="341"/>
        <v>22.53492562344351</v>
      </c>
      <c r="AW89" s="197">
        <f t="shared" si="341"/>
        <v>7.2034035431671164</v>
      </c>
      <c r="AX89" s="457">
        <f t="shared" si="341"/>
        <v>2.1954489649887332</v>
      </c>
      <c r="AY89" s="548">
        <f t="shared" si="341"/>
        <v>8.4073765760099235</v>
      </c>
      <c r="AZ89" s="548">
        <f t="shared" si="341"/>
        <v>2.5289225618918434</v>
      </c>
      <c r="BA89" s="197">
        <f t="shared" si="341"/>
        <v>6.6801256613168603</v>
      </c>
      <c r="BB89" s="197">
        <f t="shared" si="341"/>
        <v>8.2928389217295013</v>
      </c>
      <c r="BC89" s="457">
        <f t="shared" ref="BC89:BG89" si="342">(BC88-AX88)*100</f>
        <v>-3.0097441225262727</v>
      </c>
      <c r="BD89" s="1948">
        <f t="shared" ref="BD89" si="343">(BD88-AY88)*100</f>
        <v>2.7120711243672448</v>
      </c>
      <c r="BE89" s="197">
        <f t="shared" si="342"/>
        <v>8.5776277125675904</v>
      </c>
      <c r="BF89" s="197">
        <f t="shared" si="342"/>
        <v>11.192089922740077</v>
      </c>
      <c r="BG89" s="197">
        <f t="shared" si="342"/>
        <v>8.330263865634814</v>
      </c>
      <c r="BH89" s="457">
        <f t="shared" ref="BH89" si="344">(BH88-BC88)*100</f>
        <v>11.607388858238714</v>
      </c>
      <c r="BI89" s="1948">
        <f t="shared" ref="BI89:BL89" si="345">(BI88-BD88)*100</f>
        <v>10.324872850687687</v>
      </c>
      <c r="BJ89" s="197">
        <f t="shared" si="345"/>
        <v>6.6293133212827744</v>
      </c>
      <c r="BK89" s="197">
        <f t="shared" si="345"/>
        <v>1.1348864294661616</v>
      </c>
      <c r="BL89" s="197">
        <f t="shared" si="345"/>
        <v>1.6360767862025061</v>
      </c>
      <c r="BM89" s="457">
        <f t="shared" ref="BM89" si="346">(BM88-BH88)*100</f>
        <v>4.1849192924528573</v>
      </c>
      <c r="BN89" s="1948">
        <f t="shared" ref="BN89" si="347">(BN88-BI88)*100</f>
        <v>3.3297426188738655</v>
      </c>
      <c r="BO89" s="548"/>
      <c r="BP89" s="197"/>
      <c r="BQ89" s="197"/>
      <c r="BR89" s="457"/>
      <c r="BS89" s="1945"/>
      <c r="BT89" s="90"/>
      <c r="BU89" s="90"/>
      <c r="BV89" s="90"/>
      <c r="BW89" s="90"/>
      <c r="BX89" s="92"/>
      <c r="BY89" s="90"/>
      <c r="BZ89" s="90"/>
      <c r="CA89" s="90"/>
      <c r="CB89" s="90"/>
      <c r="CC89" s="92"/>
      <c r="CD89" s="191"/>
      <c r="CE89" s="111"/>
      <c r="CF89" s="173"/>
      <c r="CG89" s="173"/>
      <c r="CH89" s="173"/>
      <c r="CI89" s="239"/>
      <c r="CJ89" s="177"/>
      <c r="CK89" s="2070"/>
      <c r="CL89" s="197">
        <f t="shared" si="319"/>
        <v>4.1849192924528573</v>
      </c>
      <c r="CM89" s="197">
        <f t="shared" si="320"/>
        <v>11.607388858238714</v>
      </c>
      <c r="CN89" s="197"/>
      <c r="CO89" s="197"/>
      <c r="CP89" s="197"/>
      <c r="CQ89" s="44"/>
      <c r="CR89" s="40"/>
      <c r="CS89" s="40"/>
      <c r="CT89" s="40"/>
      <c r="CU89" s="40"/>
      <c r="CV89" s="40"/>
      <c r="CW89" s="40"/>
      <c r="CX89" s="40"/>
      <c r="CY89" s="139"/>
      <c r="CZ89"/>
      <c r="DA89"/>
      <c r="DB89"/>
      <c r="DC89"/>
      <c r="DD89"/>
      <c r="DE89"/>
      <c r="DF89" s="3"/>
      <c r="DG89" s="3"/>
      <c r="DH89" s="3"/>
      <c r="DI89" s="3"/>
      <c r="DJ89" s="3"/>
    </row>
    <row r="90" spans="1:114" s="1" customFormat="1" ht="12.75" hidden="1" customHeight="1" outlineLevel="1">
      <c r="A90" s="76" t="s">
        <v>88</v>
      </c>
      <c r="B90" s="368"/>
      <c r="C90" s="18"/>
      <c r="D90" s="18"/>
      <c r="E90" s="18"/>
      <c r="F90" s="60"/>
      <c r="G90" s="194">
        <f>(G88-E88)*100</f>
        <v>39.612530915086573</v>
      </c>
      <c r="H90" s="194">
        <f>(H88-G88)*100</f>
        <v>2.0919748480989209</v>
      </c>
      <c r="I90" s="194">
        <f>(I88-H88)*100</f>
        <v>-1.5780124392220374</v>
      </c>
      <c r="J90" s="194">
        <f>(J88-I88)*100</f>
        <v>-9.1490497149411922</v>
      </c>
      <c r="K90" s="431"/>
      <c r="L90" s="194">
        <f>(L88-J88)*100</f>
        <v>6.0755365234280934</v>
      </c>
      <c r="M90" s="194">
        <f>(M88-L88)*100</f>
        <v>10.129717647856973</v>
      </c>
      <c r="N90" s="194">
        <f>(N88-M88)*100</f>
        <v>-9.7277945333411218</v>
      </c>
      <c r="O90" s="194">
        <f>(O88-N88)*100</f>
        <v>-3.7657771629101666</v>
      </c>
      <c r="P90" s="431"/>
      <c r="Q90" s="194">
        <f>(Q88-O88)*100</f>
        <v>-0.29888218161702174</v>
      </c>
      <c r="R90" s="194">
        <f>(R88-Q88)*100</f>
        <v>4.8864393623369251</v>
      </c>
      <c r="S90" s="194">
        <f>(S88-R88)*100</f>
        <v>10.813428552807897</v>
      </c>
      <c r="T90" s="194">
        <f>(T88-S88)*100</f>
        <v>-8.822229229952006</v>
      </c>
      <c r="U90" s="431"/>
      <c r="V90" s="194">
        <f>(V88-T88)*100</f>
        <v>-26.435526602809546</v>
      </c>
      <c r="W90" s="194">
        <f>(W88-V88)*100</f>
        <v>20.761908810784785</v>
      </c>
      <c r="X90" s="194">
        <f>(X88-W88)*100</f>
        <v>10.123121324116291</v>
      </c>
      <c r="Y90" s="194">
        <f>(Y88-X88)*100</f>
        <v>-9.4630748339778865</v>
      </c>
      <c r="Z90" s="431"/>
      <c r="AA90" s="194">
        <f>(AA88-Y88)*100</f>
        <v>4.1551375331521587</v>
      </c>
      <c r="AB90" s="194">
        <f>(AB88-AA88)*100</f>
        <v>9.5959482512642698</v>
      </c>
      <c r="AC90" s="194">
        <f>(AC88-AB88)*100</f>
        <v>-2.2701928467665553</v>
      </c>
      <c r="AD90" s="194">
        <f>(AD88-AC88)*100</f>
        <v>-12.782501520692691</v>
      </c>
      <c r="AE90" s="431"/>
      <c r="AF90" s="194">
        <f>(AF88-AD88)*100</f>
        <v>6.0377416355677731</v>
      </c>
      <c r="AG90" s="194">
        <f>(AG88-AF88)*100</f>
        <v>1.9874705691670214</v>
      </c>
      <c r="AH90" s="194">
        <f>(AH88-AG88)*100</f>
        <v>10.35376681800701</v>
      </c>
      <c r="AI90" s="194">
        <f>(AI88-AH88)*100</f>
        <v>-11.480765087602895</v>
      </c>
      <c r="AJ90" s="431"/>
      <c r="AK90" s="194">
        <f>(AK88-AI88)*100</f>
        <v>-12.163481232555846</v>
      </c>
      <c r="AL90" s="194">
        <f>(AL88-AK88)*100</f>
        <v>-4.7417768110742493</v>
      </c>
      <c r="AM90" s="194">
        <f>(AM88-AL88)*100</f>
        <v>-34.425303898524305</v>
      </c>
      <c r="AN90" s="194">
        <f>(AN88-AM88)*100</f>
        <v>3.9036381537031124</v>
      </c>
      <c r="AO90" s="431"/>
      <c r="AP90" s="194">
        <f>(AP88-AN88)*100</f>
        <v>-9.9984085935476799</v>
      </c>
      <c r="AQ90" s="194">
        <f>(AQ88-AP88)*100</f>
        <v>-0.61793172223352233</v>
      </c>
      <c r="AR90" s="194">
        <f>(AR88-AQ88)*100</f>
        <v>13.850976470869103</v>
      </c>
      <c r="AS90" s="194">
        <f>(AS88-AR88)*100</f>
        <v>9.1278497413764619</v>
      </c>
      <c r="AT90" s="431"/>
      <c r="AU90" s="194">
        <f>(AU88-AS88)*100</f>
        <v>-5.2676253604647769</v>
      </c>
      <c r="AV90" s="194">
        <f>(AV88-AU88)*100</f>
        <v>4.8237247716627234</v>
      </c>
      <c r="AW90" s="194">
        <f>(AW88-AV88)*100</f>
        <v>-1.4805456094072911</v>
      </c>
      <c r="AX90" s="194">
        <f>(AX88-AW88)*100</f>
        <v>4.1198951631980778</v>
      </c>
      <c r="AY90" s="549"/>
      <c r="AZ90" s="549">
        <f>(AZ88-AX88)*100</f>
        <v>-4.9341517635616663</v>
      </c>
      <c r="BA90" s="194">
        <f>(BA88-AZ88)*100</f>
        <v>8.9749278710877398</v>
      </c>
      <c r="BB90" s="194">
        <f>(BB88-BA88)*100</f>
        <v>0.13216765100534933</v>
      </c>
      <c r="BC90" s="194">
        <f>(BC88-BB88)*100</f>
        <v>-7.1826878810576948</v>
      </c>
      <c r="BD90" s="1949"/>
      <c r="BE90" s="194">
        <f>(BE88-BC88)*100</f>
        <v>6.6532200715321954</v>
      </c>
      <c r="BF90" s="194">
        <f>(BF88-BE88)*100</f>
        <v>11.589390081260227</v>
      </c>
      <c r="BG90" s="194">
        <f>(BG88-BF88)*100</f>
        <v>-2.7296584060999134</v>
      </c>
      <c r="BH90" s="194">
        <f>(BH88-BG88)*100</f>
        <v>-3.9055628884537952</v>
      </c>
      <c r="BI90" s="1949"/>
      <c r="BJ90" s="194">
        <f>(BJ88-BH88)*100</f>
        <v>1.6751445345762561</v>
      </c>
      <c r="BK90" s="194">
        <f>(BK88-BJ88)*100</f>
        <v>6.0949631894436145</v>
      </c>
      <c r="BL90" s="194">
        <f>(BL88-BK88)*100</f>
        <v>-2.2284680493635687</v>
      </c>
      <c r="BM90" s="194">
        <f>(BM88-BL88)*100</f>
        <v>-1.3567203822034442</v>
      </c>
      <c r="BN90" s="1949"/>
      <c r="BO90" s="549"/>
      <c r="BP90" s="194"/>
      <c r="BQ90" s="194"/>
      <c r="BR90" s="2183"/>
      <c r="BS90" s="1946"/>
      <c r="BT90" s="6"/>
      <c r="BU90" s="6"/>
      <c r="BV90" s="6"/>
      <c r="BW90" s="6"/>
      <c r="BX90" s="61"/>
      <c r="BY90" s="6"/>
      <c r="BZ90" s="6"/>
      <c r="CA90" s="6"/>
      <c r="CB90" s="6"/>
      <c r="CC90" s="61"/>
      <c r="CD90" s="191"/>
      <c r="CE90" s="111"/>
      <c r="CF90" s="447"/>
      <c r="CG90" s="447"/>
      <c r="CH90" s="447"/>
      <c r="CI90" s="447"/>
      <c r="CJ90" s="2203"/>
      <c r="CK90" s="2073"/>
      <c r="CL90" s="194">
        <f t="shared" si="319"/>
        <v>-1.3567203822034442</v>
      </c>
      <c r="CM90" s="194">
        <f t="shared" si="320"/>
        <v>-3.9055628884537952</v>
      </c>
      <c r="CN90" s="194"/>
      <c r="CO90" s="194"/>
      <c r="CP90" s="194"/>
      <c r="CQ90" s="44"/>
      <c r="CR90" s="40"/>
      <c r="CS90" s="40"/>
      <c r="CT90" s="40"/>
      <c r="CU90" s="40"/>
      <c r="CV90" s="40"/>
      <c r="CW90" s="40"/>
      <c r="CX90" s="40"/>
      <c r="CY90" s="139"/>
      <c r="CZ90"/>
      <c r="DA90"/>
      <c r="DB90"/>
      <c r="DC90"/>
      <c r="DD90"/>
      <c r="DE90"/>
      <c r="DF90" s="3"/>
      <c r="DG90" s="3"/>
      <c r="DH90" s="3"/>
      <c r="DI90" s="3"/>
      <c r="DJ90" s="3"/>
    </row>
    <row r="91" spans="1:114" s="1" customFormat="1" ht="12.75" hidden="1" customHeight="1" outlineLevel="1">
      <c r="A91" s="384" t="s">
        <v>105</v>
      </c>
      <c r="B91" s="368"/>
      <c r="C91" s="18"/>
      <c r="D91" s="18"/>
      <c r="E91" s="18"/>
      <c r="F91" s="60"/>
      <c r="G91" s="416">
        <f t="shared" ref="G91:AL91" si="348">(G92-B92)/(G86-B86)</f>
        <v>0.39612530915086575</v>
      </c>
      <c r="H91" s="416">
        <f t="shared" si="348"/>
        <v>0.41704505763185495</v>
      </c>
      <c r="I91" s="388">
        <f t="shared" si="348"/>
        <v>0.40126493323963458</v>
      </c>
      <c r="J91" s="478">
        <f t="shared" si="348"/>
        <v>0.30977443609022265</v>
      </c>
      <c r="K91" s="389">
        <f t="shared" si="348"/>
        <v>0.38175081056044408</v>
      </c>
      <c r="L91" s="416">
        <f t="shared" si="348"/>
        <v>0.26599326599326717</v>
      </c>
      <c r="M91" s="416">
        <f t="shared" si="348"/>
        <v>0.71274961597542152</v>
      </c>
      <c r="N91" s="388">
        <f t="shared" si="348"/>
        <v>-3.2814473634241176E-15</v>
      </c>
      <c r="O91" s="478">
        <f t="shared" si="348"/>
        <v>0.55029585798818237</v>
      </c>
      <c r="P91" s="389">
        <f t="shared" si="348"/>
        <v>0.45240761478163816</v>
      </c>
      <c r="Q91" s="416">
        <f t="shared" si="348"/>
        <v>0.2314814814814804</v>
      </c>
      <c r="R91" s="416">
        <f t="shared" si="348"/>
        <v>9.9547511312219089E-2</v>
      </c>
      <c r="S91" s="388">
        <f t="shared" si="348"/>
        <v>0.72552910052910025</v>
      </c>
      <c r="T91" s="478">
        <f t="shared" si="348"/>
        <v>0.78864970645792531</v>
      </c>
      <c r="U91" s="389">
        <f t="shared" si="348"/>
        <v>0.44201520912547537</v>
      </c>
      <c r="V91" s="416">
        <f t="shared" si="348"/>
        <v>0.8059950041631978</v>
      </c>
      <c r="W91" s="416">
        <f t="shared" si="348"/>
        <v>0.47278150633855387</v>
      </c>
      <c r="X91" s="388">
        <f t="shared" si="348"/>
        <v>0.98913043478260854</v>
      </c>
      <c r="Y91" s="478">
        <f t="shared" si="348"/>
        <v>0.18843283582089479</v>
      </c>
      <c r="Z91" s="389">
        <f t="shared" si="348"/>
        <v>0.95973884657236141</v>
      </c>
      <c r="AA91" s="416">
        <f t="shared" si="348"/>
        <v>0.73406694176983078</v>
      </c>
      <c r="AB91" s="416">
        <f t="shared" si="348"/>
        <v>0.63735578422201422</v>
      </c>
      <c r="AC91" s="388">
        <f t="shared" si="348"/>
        <v>0.49550748752079776</v>
      </c>
      <c r="AD91" s="478">
        <f t="shared" si="348"/>
        <v>0.25970548862114712</v>
      </c>
      <c r="AE91" s="389">
        <f t="shared" si="348"/>
        <v>0.58293216630196909</v>
      </c>
      <c r="AF91" s="416">
        <f t="shared" si="348"/>
        <v>0.42452043369474607</v>
      </c>
      <c r="AG91" s="416">
        <f t="shared" si="348"/>
        <v>1.8134556574923504</v>
      </c>
      <c r="AH91" s="388">
        <f t="shared" si="348"/>
        <v>-0.67559523809524724</v>
      </c>
      <c r="AI91" s="478">
        <f t="shared" si="348"/>
        <v>1.2180616740088099</v>
      </c>
      <c r="AJ91" s="389">
        <f t="shared" si="348"/>
        <v>0.70303030303030245</v>
      </c>
      <c r="AK91" s="416">
        <f t="shared" si="348"/>
        <v>-1.1497975708501953</v>
      </c>
      <c r="AL91" s="416">
        <f t="shared" si="348"/>
        <v>-0.24187256176852834</v>
      </c>
      <c r="AM91" s="388">
        <f t="shared" ref="AM91:BB91" si="349">(AM92-AH92)/(AM86-AH86)</f>
        <v>-1.5124101894186828</v>
      </c>
      <c r="AN91" s="478">
        <f t="shared" si="349"/>
        <v>-0.34328509260196333</v>
      </c>
      <c r="AO91" s="389">
        <f t="shared" si="349"/>
        <v>-0.58111026422764223</v>
      </c>
      <c r="AP91" s="416">
        <f t="shared" si="349"/>
        <v>-0.48887951934225732</v>
      </c>
      <c r="AQ91" s="416">
        <f t="shared" si="349"/>
        <v>-0.49213793103448344</v>
      </c>
      <c r="AR91" s="388">
        <f t="shared" si="349"/>
        <v>-4.9775208734736502E-3</v>
      </c>
      <c r="AS91" s="478">
        <f t="shared" si="349"/>
        <v>0.10962602582266243</v>
      </c>
      <c r="AT91" s="389">
        <f t="shared" si="349"/>
        <v>-7.2723534462948866E-2</v>
      </c>
      <c r="AU91" s="416">
        <f t="shared" si="349"/>
        <v>7.1147183065166139E-2</v>
      </c>
      <c r="AV91" s="416">
        <f t="shared" si="349"/>
        <v>9.59328976884814E-2</v>
      </c>
      <c r="AW91" s="388">
        <f t="shared" si="349"/>
        <v>6.6455906821962715E-2</v>
      </c>
      <c r="AX91" s="478">
        <f t="shared" si="349"/>
        <v>9.4433574152117561E-2</v>
      </c>
      <c r="AY91" s="583">
        <f t="shared" si="349"/>
        <v>8.3784247772980547E-2</v>
      </c>
      <c r="AZ91" s="605">
        <f t="shared" si="349"/>
        <v>5.3918923208787384E-2</v>
      </c>
      <c r="BA91" s="416">
        <f t="shared" si="349"/>
        <v>0.23340747949395249</v>
      </c>
      <c r="BB91" s="416">
        <f t="shared" si="349"/>
        <v>0.17606804338449583</v>
      </c>
      <c r="BC91" s="478">
        <f t="shared" ref="BC91:BG91" si="350">(BC92-AX92)/(BC86-AX86)</f>
        <v>4.0687160940325477E-2</v>
      </c>
      <c r="BD91" s="1951">
        <f t="shared" ref="BD91" si="351">(BD92-AY92)/(BD86-AY86)</f>
        <v>9.3373344834685526E-2</v>
      </c>
      <c r="BE91" s="388">
        <f t="shared" si="350"/>
        <v>0.13594252221591985</v>
      </c>
      <c r="BF91" s="416">
        <f t="shared" si="350"/>
        <v>0.27474469756480752</v>
      </c>
      <c r="BG91" s="416">
        <f t="shared" si="350"/>
        <v>0.27756232686980614</v>
      </c>
      <c r="BH91" s="478">
        <f t="shared" ref="BH91" si="352">(BH92-BC92)/(BH86-BC86)</f>
        <v>1.3516873889875676</v>
      </c>
      <c r="BI91" s="1951">
        <f t="shared" ref="BI91:BL91" si="353">(BI92-BD92)/(BI86-BD86)</f>
        <v>0.26666208602446073</v>
      </c>
      <c r="BJ91" s="388">
        <f t="shared" si="353"/>
        <v>-2.832167832167841</v>
      </c>
      <c r="BK91" s="416">
        <f t="shared" si="353"/>
        <v>16.199999999999989</v>
      </c>
      <c r="BL91" s="416">
        <f t="shared" si="353"/>
        <v>0.87573964497041012</v>
      </c>
      <c r="BM91" s="478">
        <f t="shared" ref="BM91" si="354">(BM92-BH92)/(BM86-BH86)</f>
        <v>0.52720677146311923</v>
      </c>
      <c r="BN91" s="1951">
        <f t="shared" ref="BN91" si="355">(BN92-BI92)/(BN86-BI86)</f>
        <v>1.2470862470862445</v>
      </c>
      <c r="BO91" s="583"/>
      <c r="BP91" s="388"/>
      <c r="BQ91" s="388"/>
      <c r="BR91" s="478"/>
      <c r="BS91" s="1951"/>
      <c r="BT91" s="388"/>
      <c r="BU91" s="388"/>
      <c r="BV91" s="388"/>
      <c r="BW91" s="388"/>
      <c r="BX91" s="389"/>
      <c r="BY91" s="388"/>
      <c r="BZ91" s="388"/>
      <c r="CA91" s="388"/>
      <c r="CB91" s="388"/>
      <c r="CC91" s="389"/>
      <c r="CD91" s="191"/>
      <c r="CE91" s="111"/>
      <c r="CF91" s="173"/>
      <c r="CG91" s="173"/>
      <c r="CH91" s="173"/>
      <c r="CI91" s="239"/>
      <c r="CJ91" s="177"/>
      <c r="CK91" s="2070"/>
      <c r="CL91" s="416">
        <f t="shared" si="319"/>
        <v>0.52720677146311923</v>
      </c>
      <c r="CM91" s="416">
        <f t="shared" si="320"/>
        <v>1.3516873889875676</v>
      </c>
      <c r="CN91" s="388"/>
      <c r="CO91" s="2112">
        <f>IFERROR(($CL91-CM91)*10000,"")</f>
        <v>-8244.8061752444828</v>
      </c>
      <c r="CP91" s="2112"/>
      <c r="CQ91" s="44"/>
      <c r="CR91" s="1899">
        <f>32*4+CNW!EE126+CNW!EE132</f>
        <v>194.29164999999998</v>
      </c>
      <c r="CS91" s="1899"/>
      <c r="CT91" s="40"/>
      <c r="CU91" s="1901">
        <f>50/BI86</f>
        <v>1.8790634747641779E-2</v>
      </c>
      <c r="CV91" s="40"/>
      <c r="CW91" s="40"/>
      <c r="CX91" s="40"/>
      <c r="CY91" s="139"/>
      <c r="CZ91"/>
      <c r="DA91"/>
      <c r="DB91"/>
      <c r="DC91"/>
      <c r="DD91"/>
      <c r="DE91"/>
      <c r="DF91" s="3"/>
      <c r="DG91" s="3"/>
      <c r="DH91" s="3"/>
      <c r="DI91" s="3"/>
      <c r="DJ91" s="3"/>
    </row>
    <row r="92" spans="1:114" s="1" customFormat="1" ht="12.75" customHeight="1" collapsed="1">
      <c r="A92" s="385" t="s">
        <v>185</v>
      </c>
      <c r="B92" s="368"/>
      <c r="C92" s="18"/>
      <c r="D92" s="18"/>
      <c r="E92" s="18"/>
      <c r="F92" s="60"/>
      <c r="G92" s="429">
        <v>0.9610000000000003</v>
      </c>
      <c r="H92" s="429">
        <v>1.1940000000000013</v>
      </c>
      <c r="I92" s="429">
        <v>1.1420000000000001</v>
      </c>
      <c r="J92" s="429">
        <v>0.82399999999998896</v>
      </c>
      <c r="K92" s="391">
        <f>SUM(G92:J92)</f>
        <v>4.1209999999999907</v>
      </c>
      <c r="L92" s="429">
        <v>1.1190000000000013</v>
      </c>
      <c r="M92" s="429">
        <v>1.6579999999999993</v>
      </c>
      <c r="N92" s="429">
        <v>1.1419999999999995</v>
      </c>
      <c r="O92" s="429">
        <v>1.01</v>
      </c>
      <c r="P92" s="391">
        <f>SUM(L92:O92)</f>
        <v>4.9290000000000003</v>
      </c>
      <c r="Q92" s="429">
        <v>1.3689999999999998</v>
      </c>
      <c r="R92" s="429">
        <v>1.7680000000000016</v>
      </c>
      <c r="S92" s="429">
        <v>2.2389999999999981</v>
      </c>
      <c r="T92" s="429">
        <v>1.413000000000002</v>
      </c>
      <c r="U92" s="391">
        <f>SUM(Q92:T92)</f>
        <v>6.7890000000000015</v>
      </c>
      <c r="V92" s="429">
        <v>0.40099999999999802</v>
      </c>
      <c r="W92" s="429">
        <v>1.1339999999999999</v>
      </c>
      <c r="X92" s="429">
        <v>1.8750000000000013</v>
      </c>
      <c r="Y92" s="429">
        <v>1.6150000000000011</v>
      </c>
      <c r="Z92" s="391">
        <f>SUM(V92:Y92)</f>
        <v>5.0250000000000004</v>
      </c>
      <c r="AA92" s="429">
        <v>2.0020000000000002</v>
      </c>
      <c r="AB92" s="429">
        <v>3.1779999999999995</v>
      </c>
      <c r="AC92" s="429">
        <v>3.3639999999999963</v>
      </c>
      <c r="AD92" s="429">
        <v>1.8089999999999971</v>
      </c>
      <c r="AE92" s="391">
        <f>SUM(AA92:AD92)</f>
        <v>10.352999999999994</v>
      </c>
      <c r="AF92" s="429">
        <v>2.5110000000000015</v>
      </c>
      <c r="AG92" s="429">
        <v>2.5849999999999977</v>
      </c>
      <c r="AH92" s="429">
        <v>3.5909999999999984</v>
      </c>
      <c r="AI92" s="429">
        <v>2.3619999999999997</v>
      </c>
      <c r="AJ92" s="391">
        <f>SUM(AF92:AI92)</f>
        <v>11.048999999999998</v>
      </c>
      <c r="AK92" s="429">
        <f>+AK86-AK158</f>
        <v>1.9430000000000032</v>
      </c>
      <c r="AL92" s="429">
        <f>+AL86-AL158</f>
        <v>2.0270000000000019</v>
      </c>
      <c r="AM92" s="429">
        <f>+AM86-AM158</f>
        <v>-1.0400000000000045</v>
      </c>
      <c r="AN92" s="429">
        <f>+AN86-AN158</f>
        <v>-1.0299999999999994</v>
      </c>
      <c r="AO92" s="391">
        <f>SUM(AK92:AN92)</f>
        <v>1.9000000000000012</v>
      </c>
      <c r="AP92" s="429">
        <f>+AP86-AP158</f>
        <v>-2.6949999999999932</v>
      </c>
      <c r="AQ92" s="429">
        <f>+AQ86-AQ158</f>
        <v>-3.3250000000000028</v>
      </c>
      <c r="AR92" s="429">
        <f>+AR86-AR158</f>
        <v>-1.1639999999999802</v>
      </c>
      <c r="AS92" s="429">
        <f>+AS86-AS158</f>
        <v>3.0709999999999766</v>
      </c>
      <c r="AT92" s="391">
        <f>SUM(AP92:AS92)</f>
        <v>-4.1129999999999995</v>
      </c>
      <c r="AU92" s="429">
        <f>+AU86-AU158</f>
        <v>0.30299999999997596</v>
      </c>
      <c r="AV92" s="429">
        <f>+AV86-AV158</f>
        <v>6.5109999999999957</v>
      </c>
      <c r="AW92" s="429">
        <f>+AW86-AW158</f>
        <v>4.8269999999999555</v>
      </c>
      <c r="AX92" s="429">
        <f>+AX86-AX158</f>
        <v>10.600000000000009</v>
      </c>
      <c r="AY92" s="440">
        <f>SUM(AU92:AX92)</f>
        <v>22.240999999999936</v>
      </c>
      <c r="AZ92" s="606">
        <v>3.7</v>
      </c>
      <c r="BA92" s="429">
        <v>23.3</v>
      </c>
      <c r="BB92" s="429">
        <f>30.9+7.4</f>
        <v>38.299999999999997</v>
      </c>
      <c r="BC92" s="429">
        <f>+-6.1+34.6+3.6-3.5</f>
        <v>28.6</v>
      </c>
      <c r="BD92" s="1952">
        <f>SUM(AZ92:BC92)</f>
        <v>93.9</v>
      </c>
      <c r="BE92" s="606">
        <f>+BE96-BE166</f>
        <v>75.600000000000009</v>
      </c>
      <c r="BF92" s="429">
        <f>153.2+7.5+2.5</f>
        <v>163.19999999999999</v>
      </c>
      <c r="BG92" s="429">
        <f>125.4+8.1+5</f>
        <v>138.5</v>
      </c>
      <c r="BH92" s="429">
        <v>104.7</v>
      </c>
      <c r="BI92" s="1952">
        <f>SUM(BE92:BH92)</f>
        <v>482</v>
      </c>
      <c r="BJ92" s="606">
        <v>116.10000000000001</v>
      </c>
      <c r="BK92" s="429">
        <v>171.29999999999998</v>
      </c>
      <c r="BL92" s="429">
        <v>153.30000000000001</v>
      </c>
      <c r="BM92" s="429">
        <v>148.29999999999998</v>
      </c>
      <c r="BN92" s="1952">
        <f>SUM(BJ92:BM92)</f>
        <v>589</v>
      </c>
      <c r="BO92" s="2350">
        <f t="shared" ref="BO92:BP92" si="356">+BO96-BO166</f>
        <v>150.80438262811782</v>
      </c>
      <c r="BP92" s="390">
        <f t="shared" si="356"/>
        <v>238.89430419245332</v>
      </c>
      <c r="BQ92" s="390">
        <f t="shared" ref="BQ92:BR92" si="357">+BQ96-BQ166</f>
        <v>232.78361761376385</v>
      </c>
      <c r="BR92" s="2188">
        <f t="shared" si="357"/>
        <v>225.34647825376328</v>
      </c>
      <c r="BS92" s="1952">
        <f>SUM(BO92:BR92)</f>
        <v>847.82878268809827</v>
      </c>
      <c r="BT92" s="18"/>
      <c r="BU92" s="18"/>
      <c r="BV92" s="18"/>
      <c r="BW92" s="18"/>
      <c r="BX92" s="1996">
        <f>+BX96-BX166</f>
        <v>955.61083970163941</v>
      </c>
      <c r="BY92" s="18"/>
      <c r="BZ92" s="18"/>
      <c r="CA92" s="18"/>
      <c r="CB92" s="18"/>
      <c r="CC92" s="1996">
        <f>+CC96-CC166</f>
        <v>1070.3245787982339</v>
      </c>
      <c r="CD92" s="191"/>
      <c r="CE92" s="111"/>
      <c r="CF92" s="173"/>
      <c r="CG92" s="173"/>
      <c r="CH92" s="173"/>
      <c r="CI92" s="239"/>
      <c r="CJ92" s="177"/>
      <c r="CK92" s="2070"/>
      <c r="CL92" s="429">
        <f t="shared" si="319"/>
        <v>148.29999999999998</v>
      </c>
      <c r="CM92" s="429">
        <f t="shared" si="320"/>
        <v>104.7</v>
      </c>
      <c r="CN92" s="390">
        <v>137.06277083378387</v>
      </c>
      <c r="CO92" s="2090">
        <f>IFERROR(($CL92/CM92)-1,"")</f>
        <v>0.41642788920725859</v>
      </c>
      <c r="CP92" s="2090">
        <f>IFERROR(($CL92/CN92)-1,"")</f>
        <v>8.1986006104046272E-2</v>
      </c>
      <c r="CQ92" s="374"/>
      <c r="CR92" s="452"/>
      <c r="CS92" s="452"/>
      <c r="CT92" s="2149"/>
      <c r="CU92" s="40"/>
      <c r="CV92" s="40"/>
      <c r="CW92" s="40"/>
      <c r="CX92" s="40"/>
      <c r="CY92" s="139"/>
      <c r="CZ92"/>
      <c r="DA92"/>
      <c r="DB92"/>
      <c r="DC92"/>
      <c r="DD92"/>
      <c r="DE92"/>
      <c r="DF92" s="3"/>
      <c r="DG92" s="3"/>
      <c r="DH92" s="3"/>
      <c r="DI92" s="3"/>
      <c r="DJ92" s="3"/>
    </row>
    <row r="93" spans="1:114" s="1" customFormat="1" ht="12.75" customHeight="1">
      <c r="A93" s="76" t="s">
        <v>85</v>
      </c>
      <c r="B93" s="368"/>
      <c r="C93" s="18"/>
      <c r="D93" s="18"/>
      <c r="E93" s="18"/>
      <c r="F93" s="60"/>
      <c r="G93" s="18" t="str">
        <f t="shared" ref="G93:AL93" si="358">IF(ISERROR((G92-B92)/B92),"",(G92-B92)/B92)</f>
        <v/>
      </c>
      <c r="H93" s="18" t="str">
        <f t="shared" si="358"/>
        <v/>
      </c>
      <c r="I93" s="18" t="str">
        <f t="shared" si="358"/>
        <v/>
      </c>
      <c r="J93" s="18" t="str">
        <f t="shared" si="358"/>
        <v/>
      </c>
      <c r="K93" s="60" t="str">
        <f t="shared" si="358"/>
        <v/>
      </c>
      <c r="L93" s="18">
        <f t="shared" si="358"/>
        <v>0.16441207075962641</v>
      </c>
      <c r="M93" s="18">
        <f t="shared" si="358"/>
        <v>0.38860971524287896</v>
      </c>
      <c r="N93" s="18">
        <f t="shared" si="358"/>
        <v>-5.8330456635297189E-16</v>
      </c>
      <c r="O93" s="18">
        <f t="shared" si="358"/>
        <v>0.22572815533982224</v>
      </c>
      <c r="P93" s="60">
        <f t="shared" si="358"/>
        <v>0.1960689153118203</v>
      </c>
      <c r="Q93" s="18">
        <f t="shared" si="358"/>
        <v>0.22341376228775528</v>
      </c>
      <c r="R93" s="18">
        <f t="shared" si="358"/>
        <v>6.6344993968638341E-2</v>
      </c>
      <c r="S93" s="18">
        <f t="shared" si="358"/>
        <v>0.96059544658493801</v>
      </c>
      <c r="T93" s="18">
        <f t="shared" si="358"/>
        <v>0.39900990099010103</v>
      </c>
      <c r="U93" s="60">
        <f t="shared" si="358"/>
        <v>0.37735849056603799</v>
      </c>
      <c r="V93" s="18">
        <f t="shared" si="358"/>
        <v>-0.70708546384222204</v>
      </c>
      <c r="W93" s="18">
        <f t="shared" si="358"/>
        <v>-0.35859728506787392</v>
      </c>
      <c r="X93" s="18">
        <f t="shared" si="358"/>
        <v>-0.16257257704332162</v>
      </c>
      <c r="Y93" s="18">
        <f t="shared" si="358"/>
        <v>0.14295824486907202</v>
      </c>
      <c r="Z93" s="60">
        <f t="shared" si="358"/>
        <v>-0.25983208130799834</v>
      </c>
      <c r="AA93" s="18">
        <f t="shared" si="358"/>
        <v>3.9925187032419203</v>
      </c>
      <c r="AB93" s="18">
        <f t="shared" si="358"/>
        <v>1.8024691358024689</v>
      </c>
      <c r="AC93" s="18">
        <f t="shared" si="358"/>
        <v>0.79413333333333014</v>
      </c>
      <c r="AD93" s="18">
        <f t="shared" si="358"/>
        <v>0.12012383900928533</v>
      </c>
      <c r="AE93" s="60">
        <f t="shared" si="358"/>
        <v>1.0602985074626854</v>
      </c>
      <c r="AF93" s="18">
        <f t="shared" si="358"/>
        <v>0.25424575424575485</v>
      </c>
      <c r="AG93" s="18">
        <f t="shared" si="358"/>
        <v>-0.18659534298300876</v>
      </c>
      <c r="AH93" s="18">
        <f t="shared" si="358"/>
        <v>6.7479191438764075E-2</v>
      </c>
      <c r="AI93" s="18">
        <f t="shared" si="358"/>
        <v>0.30569375345494942</v>
      </c>
      <c r="AJ93" s="60">
        <f t="shared" si="358"/>
        <v>6.7226890756302879E-2</v>
      </c>
      <c r="AK93" s="18">
        <f t="shared" si="358"/>
        <v>-0.22620469932297807</v>
      </c>
      <c r="AL93" s="18">
        <f t="shared" si="358"/>
        <v>-0.21586073500966976</v>
      </c>
      <c r="AM93" s="18">
        <f t="shared" ref="AM93:BB93" si="359">IF(ISERROR((AM92-AH92)/AH92),"",(AM92-AH92)/AH92)</f>
        <v>-1.2896129211918699</v>
      </c>
      <c r="AN93" s="18">
        <f t="shared" si="359"/>
        <v>-1.4360711261642674</v>
      </c>
      <c r="AO93" s="60">
        <f t="shared" si="359"/>
        <v>-0.82803873653724314</v>
      </c>
      <c r="AP93" s="18">
        <f t="shared" si="359"/>
        <v>-2.3870303654143021</v>
      </c>
      <c r="AQ93" s="18">
        <f t="shared" si="359"/>
        <v>-2.6403552047360632</v>
      </c>
      <c r="AR93" s="18">
        <f t="shared" si="359"/>
        <v>0.11923076923074534</v>
      </c>
      <c r="AS93" s="18">
        <f t="shared" si="359"/>
        <v>-3.9815533980582316</v>
      </c>
      <c r="AT93" s="60">
        <f t="shared" si="359"/>
        <v>-3.1647368421052615</v>
      </c>
      <c r="AU93" s="18">
        <f t="shared" si="359"/>
        <v>-1.1124304267161325</v>
      </c>
      <c r="AV93" s="18">
        <f t="shared" si="359"/>
        <v>-2.9581954887218016</v>
      </c>
      <c r="AW93" s="18">
        <f t="shared" si="359"/>
        <v>-5.1469072164948777</v>
      </c>
      <c r="AX93" s="18">
        <f t="shared" si="359"/>
        <v>2.451644415499866</v>
      </c>
      <c r="AY93" s="368">
        <f t="shared" si="359"/>
        <v>-6.407488451252112</v>
      </c>
      <c r="AZ93" s="368">
        <f>IF(ISERROR((AZ92-AU92)/AU92),"",(AZ92-AU92)/AU92)</f>
        <v>11.21122112211318</v>
      </c>
      <c r="BA93" s="18">
        <f t="shared" si="359"/>
        <v>2.5785593610812496</v>
      </c>
      <c r="BB93" s="18">
        <f t="shared" si="359"/>
        <v>6.9345349078103062</v>
      </c>
      <c r="BC93" s="18">
        <f t="shared" ref="BC93" si="360">IF(ISERROR((BC92-AX92)/AX92),"",(BC92-AX92)/AX92)</f>
        <v>1.6981132075471679</v>
      </c>
      <c r="BD93" s="1936">
        <f t="shared" ref="BD93" si="361">IF(ISERROR((BD92-AY92)/AY92),"",(BD92-AY92)/AY92)</f>
        <v>3.2219324670653426</v>
      </c>
      <c r="BE93" s="368">
        <f>IF(ISERROR((BE92-AZ92)/AZ92),"",(BE92-AZ92)/AZ92)</f>
        <v>19.432432432432432</v>
      </c>
      <c r="BF93" s="18">
        <f t="shared" ref="BF93:BG93" si="362">IF(ISERROR((BF92-BA92)/BA92),"",(BF92-BA92)/BA92)</f>
        <v>6.0042918454935608</v>
      </c>
      <c r="BG93" s="18">
        <f t="shared" si="362"/>
        <v>2.6161879895561362</v>
      </c>
      <c r="BH93" s="18">
        <f t="shared" ref="BH93" si="363">IF(ISERROR((BH92-BC92)/BC92),"",(BH92-BC92)/BC92)</f>
        <v>2.6608391608391604</v>
      </c>
      <c r="BI93" s="1936">
        <f t="shared" ref="BI93" si="364">IF(ISERROR((BI92-BD92)/BD92),"",(BI92-BD92)/BD92)</f>
        <v>4.1331203407880723</v>
      </c>
      <c r="BJ93" s="368">
        <f>IF(ISERROR((BJ92-BE92)/BE92),"",(BJ92-BE92)/BE92)</f>
        <v>0.5357142857142857</v>
      </c>
      <c r="BK93" s="18">
        <f t="shared" ref="BK93:BL93" si="365">IF(ISERROR((BK92-BF92)/BF92),"",(BK92-BF92)/BF92)</f>
        <v>4.963235294117644E-2</v>
      </c>
      <c r="BL93" s="18">
        <f t="shared" si="365"/>
        <v>0.10685920577617336</v>
      </c>
      <c r="BM93" s="18">
        <f t="shared" ref="BM93" si="366">IF(ISERROR((BM92-BH92)/BH92),"",(BM92-BH92)/BH92)</f>
        <v>0.41642788920725865</v>
      </c>
      <c r="BN93" s="1936">
        <f t="shared" ref="BN93" si="367">IF(ISERROR((BN92-BI92)/BI92),"",(BN92-BI92)/BI92)</f>
        <v>0.22199170124481327</v>
      </c>
      <c r="BO93" s="368">
        <f t="shared" ref="BO93" si="368">IF(ISERROR((BO92-BJ92)/BJ92),"",(BO92-BJ92)/BJ92)</f>
        <v>0.29891802435932652</v>
      </c>
      <c r="BP93" s="18">
        <f t="shared" ref="BP93" si="369">IF(ISERROR((BP92-BK92)/BK92),"",(BP92-BK92)/BK92)</f>
        <v>0.39459605483043397</v>
      </c>
      <c r="BQ93" s="18">
        <f t="shared" ref="BQ93:BS93" si="370">IF(ISERROR((BQ92-BL92)/BL92),"",(BQ92-BL92)/BL92)</f>
        <v>0.51848413316219066</v>
      </c>
      <c r="BR93" s="2162">
        <f t="shared" si="370"/>
        <v>0.5195312087239603</v>
      </c>
      <c r="BS93" s="1936">
        <f t="shared" si="370"/>
        <v>0.43943766160967451</v>
      </c>
      <c r="BT93" s="18"/>
      <c r="BU93" s="18"/>
      <c r="BV93" s="18"/>
      <c r="BW93" s="18"/>
      <c r="BX93" s="60">
        <f>IF(ISERROR((BX92-BS92)/BS92),"",(BX92-BS92)/BS92)</f>
        <v>0.12712715021517773</v>
      </c>
      <c r="BY93" s="18"/>
      <c r="BZ93" s="18"/>
      <c r="CA93" s="18"/>
      <c r="CB93" s="18"/>
      <c r="CC93" s="60">
        <f>IF(ISERROR((CC92-BX92)/BX92),"",(CC92-BX92)/BX92)</f>
        <v>0.1200423167368114</v>
      </c>
      <c r="CD93" s="191"/>
      <c r="CE93" s="111"/>
      <c r="CF93" s="173"/>
      <c r="CG93" s="173"/>
      <c r="CH93" s="173"/>
      <c r="CI93" s="239"/>
      <c r="CJ93" s="177"/>
      <c r="CK93" s="2070"/>
      <c r="CL93" s="18">
        <f t="shared" si="319"/>
        <v>0.41642788920725865</v>
      </c>
      <c r="CM93" s="18"/>
      <c r="CN93" s="18">
        <v>0.30910000796355175</v>
      </c>
      <c r="CO93" s="2107"/>
      <c r="CP93" s="2107"/>
      <c r="CQ93" s="44"/>
      <c r="CR93" s="40"/>
      <c r="CS93" s="2149"/>
      <c r="CT93" s="40"/>
      <c r="CU93" s="40"/>
      <c r="CV93" s="40"/>
      <c r="CW93" s="40"/>
      <c r="CX93" s="40"/>
      <c r="CY93" s="139"/>
      <c r="CZ93"/>
      <c r="DA93"/>
      <c r="DB93"/>
      <c r="DC93"/>
      <c r="DD93"/>
      <c r="DE93"/>
      <c r="DF93" s="3"/>
      <c r="DG93" s="3"/>
      <c r="DH93" s="3"/>
      <c r="DI93" s="3"/>
      <c r="DJ93" s="3"/>
    </row>
    <row r="94" spans="1:114" s="1" customFormat="1" ht="12.75" customHeight="1">
      <c r="A94" s="383" t="s">
        <v>186</v>
      </c>
      <c r="B94" s="368"/>
      <c r="C94" s="18"/>
      <c r="D94" s="18"/>
      <c r="E94" s="18"/>
      <c r="F94" s="60"/>
      <c r="G94" s="195">
        <f t="shared" ref="G94:AL94" si="371">+G92/G5</f>
        <v>0.10057561486132918</v>
      </c>
      <c r="H94" s="195">
        <f t="shared" si="371"/>
        <v>0.10737410071942456</v>
      </c>
      <c r="I94" s="195">
        <f t="shared" si="371"/>
        <v>0.1052437563358216</v>
      </c>
      <c r="J94" s="195">
        <f t="shared" si="371"/>
        <v>7.7262072198780063E-2</v>
      </c>
      <c r="K94" s="392">
        <f t="shared" si="371"/>
        <v>9.7674859567206063E-2</v>
      </c>
      <c r="L94" s="195">
        <f t="shared" si="371"/>
        <v>9.73636126337772E-2</v>
      </c>
      <c r="M94" s="195">
        <f t="shared" si="371"/>
        <v>0.11978037855801181</v>
      </c>
      <c r="N94" s="195">
        <f t="shared" si="371"/>
        <v>8.5485440526985507E-2</v>
      </c>
      <c r="O94" s="195">
        <f t="shared" si="371"/>
        <v>7.8838498165638898E-2</v>
      </c>
      <c r="P94" s="392">
        <f t="shared" si="371"/>
        <v>9.5699446655664502E-2</v>
      </c>
      <c r="Q94" s="195">
        <f t="shared" si="371"/>
        <v>5.772474278967784E-2</v>
      </c>
      <c r="R94" s="195">
        <f t="shared" si="371"/>
        <v>5.9578770008424653E-2</v>
      </c>
      <c r="S94" s="195">
        <f t="shared" si="371"/>
        <v>7.1954237233666424E-2</v>
      </c>
      <c r="T94" s="195">
        <f t="shared" si="371"/>
        <v>5.6624188506852691E-2</v>
      </c>
      <c r="U94" s="392">
        <f t="shared" si="371"/>
        <v>6.2021523451060656E-2</v>
      </c>
      <c r="V94" s="195">
        <f t="shared" si="371"/>
        <v>1.9978078915902649E-2</v>
      </c>
      <c r="W94" s="195">
        <f t="shared" si="371"/>
        <v>5.0982331520028783E-2</v>
      </c>
      <c r="X94" s="195">
        <f t="shared" si="371"/>
        <v>7.1534851779787162E-2</v>
      </c>
      <c r="Y94" s="195">
        <f t="shared" si="371"/>
        <v>5.1091426763682418E-2</v>
      </c>
      <c r="Z94" s="392">
        <f t="shared" si="371"/>
        <v>5.0181752816170017E-2</v>
      </c>
      <c r="AA94" s="195">
        <f t="shared" si="371"/>
        <v>6.3270336894001661E-2</v>
      </c>
      <c r="AB94" s="195">
        <f t="shared" si="371"/>
        <v>7.8780366881507163E-2</v>
      </c>
      <c r="AC94" s="195">
        <f t="shared" si="371"/>
        <v>7.5683945284377177E-2</v>
      </c>
      <c r="AD94" s="195">
        <f t="shared" si="371"/>
        <v>4.3530572466732365E-2</v>
      </c>
      <c r="AE94" s="392">
        <f t="shared" si="371"/>
        <v>6.5530708222828429E-2</v>
      </c>
      <c r="AF94" s="195">
        <f t="shared" si="371"/>
        <v>6.0494362532523882E-2</v>
      </c>
      <c r="AG94" s="195">
        <f t="shared" si="371"/>
        <v>5.8624756202657911E-2</v>
      </c>
      <c r="AH94" s="195">
        <f t="shared" si="371"/>
        <v>7.5777079068982206E-2</v>
      </c>
      <c r="AI94" s="195">
        <f t="shared" si="371"/>
        <v>5.3578314619485083E-2</v>
      </c>
      <c r="AJ94" s="392">
        <f t="shared" si="371"/>
        <v>6.2396936908446068E-2</v>
      </c>
      <c r="AK94" s="195">
        <f t="shared" si="371"/>
        <v>4.3604129263913896E-2</v>
      </c>
      <c r="AL94" s="195">
        <f t="shared" si="371"/>
        <v>3.7165383204987204E-2</v>
      </c>
      <c r="AM94" s="195">
        <f t="shared" ref="AM94:BP94" si="372">+AM92/AM5</f>
        <v>-1.4650363441708522E-2</v>
      </c>
      <c r="AN94" s="195">
        <f t="shared" si="372"/>
        <v>-9.4928250831774197E-3</v>
      </c>
      <c r="AO94" s="392">
        <f t="shared" si="372"/>
        <v>6.8200336694293814E-3</v>
      </c>
      <c r="AP94" s="195">
        <f t="shared" si="372"/>
        <v>-2.364055825051091E-2</v>
      </c>
      <c r="AQ94" s="195">
        <f t="shared" si="372"/>
        <v>-2.4253962696311228E-2</v>
      </c>
      <c r="AR94" s="195">
        <f t="shared" si="372"/>
        <v>-6.0005567526882908E-3</v>
      </c>
      <c r="AS94" s="195">
        <f t="shared" si="372"/>
        <v>1.1938685461705536E-2</v>
      </c>
      <c r="AT94" s="392">
        <f t="shared" si="372"/>
        <v>-5.8564465764776724E-3</v>
      </c>
      <c r="AU94" s="195">
        <f t="shared" si="372"/>
        <v>1.0729347776049685E-3</v>
      </c>
      <c r="AV94" s="195">
        <f t="shared" si="372"/>
        <v>1.1206366854902412E-2</v>
      </c>
      <c r="AW94" s="195">
        <f t="shared" si="372"/>
        <v>7.8827467951334291E-3</v>
      </c>
      <c r="AX94" s="195">
        <f t="shared" si="372"/>
        <v>1.5959048479373694E-2</v>
      </c>
      <c r="AY94" s="584">
        <f t="shared" si="372"/>
        <v>1.0393175205914842E-2</v>
      </c>
      <c r="AZ94" s="604">
        <f t="shared" si="372"/>
        <v>6.5812877979366784E-3</v>
      </c>
      <c r="BA94" s="195">
        <f t="shared" si="372"/>
        <v>2.7055271713887601E-2</v>
      </c>
      <c r="BB94" s="195">
        <f t="shared" si="372"/>
        <v>2.7419816723940428E-2</v>
      </c>
      <c r="BC94" s="195">
        <f t="shared" si="372"/>
        <v>1.3593155893536123E-2</v>
      </c>
      <c r="BD94" s="1953">
        <f t="shared" si="372"/>
        <v>1.9069087364444987E-2</v>
      </c>
      <c r="BE94" s="604">
        <f t="shared" si="372"/>
        <v>3.2906764168190134E-2</v>
      </c>
      <c r="BF94" s="195">
        <f t="shared" si="372"/>
        <v>6.746868411261317E-2</v>
      </c>
      <c r="BG94" s="195">
        <f t="shared" si="372"/>
        <v>5.7490349093022294E-2</v>
      </c>
      <c r="BH94" s="195">
        <f t="shared" si="372"/>
        <v>4.4899009391483342E-2</v>
      </c>
      <c r="BI94" s="1953">
        <f t="shared" si="372"/>
        <v>5.0965920505852629E-2</v>
      </c>
      <c r="BJ94" s="604">
        <f t="shared" si="372"/>
        <v>5.0983664148954867E-2</v>
      </c>
      <c r="BK94" s="195">
        <f t="shared" ref="BK94:BN94" si="373">+BK92/BK5</f>
        <v>7.1220688508232155E-2</v>
      </c>
      <c r="BL94" s="195">
        <f t="shared" si="373"/>
        <v>6.2069803222933033E-2</v>
      </c>
      <c r="BM94" s="195">
        <f t="shared" si="373"/>
        <v>5.5578458194355959E-2</v>
      </c>
      <c r="BN94" s="1953">
        <f t="shared" si="373"/>
        <v>5.9976579603889822E-2</v>
      </c>
      <c r="BO94" s="584">
        <f t="shared" si="372"/>
        <v>5.621842388712292E-2</v>
      </c>
      <c r="BP94" s="386">
        <f t="shared" si="372"/>
        <v>8.4563206329361318E-2</v>
      </c>
      <c r="BQ94" s="386">
        <f t="shared" ref="BQ94:BS94" si="374">+BQ92/BQ5</f>
        <v>8.2501944070098365E-2</v>
      </c>
      <c r="BR94" s="2170">
        <f t="shared" si="374"/>
        <v>7.7698033926956386E-2</v>
      </c>
      <c r="BS94" s="1953">
        <f t="shared" si="374"/>
        <v>7.5501147782870315E-2</v>
      </c>
      <c r="BT94" s="386"/>
      <c r="BU94" s="386"/>
      <c r="BV94" s="386"/>
      <c r="BW94" s="386"/>
      <c r="BX94" s="392">
        <f>+BX92/BX5</f>
        <v>7.9405523916048201E-2</v>
      </c>
      <c r="BY94" s="386"/>
      <c r="BZ94" s="386"/>
      <c r="CA94" s="386"/>
      <c r="CB94" s="386"/>
      <c r="CC94" s="392">
        <f>+CC92/CC5</f>
        <v>8.2882584412016902E-2</v>
      </c>
      <c r="CD94" s="191"/>
      <c r="CE94" s="111"/>
      <c r="CF94" s="173"/>
      <c r="CG94" s="173"/>
      <c r="CH94" s="173"/>
      <c r="CI94" s="239"/>
      <c r="CJ94" s="177"/>
      <c r="CK94" s="2070"/>
      <c r="CL94" s="195">
        <f t="shared" si="319"/>
        <v>5.5578458194355959E-2</v>
      </c>
      <c r="CM94" s="195">
        <f t="shared" ref="CM94:CM101" si="375">BH94</f>
        <v>4.4899009391483342E-2</v>
      </c>
      <c r="CN94" s="386">
        <v>5.457121460064969E-2</v>
      </c>
      <c r="CO94" s="2113">
        <f>IFERROR(($CL94-CM94)*10000,"")</f>
        <v>106.79448802872616</v>
      </c>
      <c r="CP94" s="2113">
        <f>IFERROR(($CL94-CN94)*10000,"")</f>
        <v>10.072435937062696</v>
      </c>
      <c r="CQ94" s="44"/>
      <c r="CR94" s="40"/>
      <c r="CS94" s="2149"/>
      <c r="CT94" s="40"/>
      <c r="CU94" s="40"/>
      <c r="CV94" s="40"/>
      <c r="CW94" s="40"/>
      <c r="CX94" s="40"/>
      <c r="CY94" s="139"/>
      <c r="CZ94"/>
      <c r="DA94"/>
      <c r="DB94"/>
      <c r="DC94"/>
      <c r="DD94"/>
      <c r="DE94"/>
      <c r="DF94" s="3"/>
      <c r="DG94" s="3"/>
      <c r="DH94" s="3"/>
      <c r="DI94" s="3"/>
      <c r="DJ94" s="3"/>
    </row>
    <row r="95" spans="1:114" s="1" customFormat="1" ht="12.75" customHeight="1">
      <c r="A95" s="384" t="s">
        <v>104</v>
      </c>
      <c r="B95" s="368"/>
      <c r="C95" s="18"/>
      <c r="D95" s="18"/>
      <c r="E95" s="18"/>
      <c r="F95" s="60"/>
      <c r="G95" s="409">
        <f t="shared" ref="G95:AL95" si="376">(G92-B92)/(G5-B5)</f>
        <v>0.10057561486132918</v>
      </c>
      <c r="H95" s="409">
        <f t="shared" si="376"/>
        <v>0.10737410071942456</v>
      </c>
      <c r="I95" s="388">
        <f t="shared" si="376"/>
        <v>0.1052437563358216</v>
      </c>
      <c r="J95" s="478">
        <f t="shared" si="376"/>
        <v>7.7262072198780063E-2</v>
      </c>
      <c r="K95" s="389">
        <f t="shared" si="376"/>
        <v>9.7674859567206063E-2</v>
      </c>
      <c r="L95" s="409">
        <f t="shared" si="376"/>
        <v>8.1527347781218257E-2</v>
      </c>
      <c r="M95" s="409">
        <f t="shared" si="376"/>
        <v>0.17046289493019778</v>
      </c>
      <c r="N95" s="388">
        <f t="shared" si="376"/>
        <v>-2.6560359440793209E-16</v>
      </c>
      <c r="O95" s="478">
        <f t="shared" si="376"/>
        <v>8.667287977633302E-2</v>
      </c>
      <c r="P95" s="389">
        <f t="shared" si="376"/>
        <v>8.6751127335195299E-2</v>
      </c>
      <c r="Q95" s="409">
        <f t="shared" si="376"/>
        <v>2.0453243884479951E-2</v>
      </c>
      <c r="R95" s="409">
        <f t="shared" si="376"/>
        <v>6.9475146845198194E-3</v>
      </c>
      <c r="S95" s="388">
        <f t="shared" si="376"/>
        <v>6.1774974659308417E-2</v>
      </c>
      <c r="T95" s="478">
        <f t="shared" si="376"/>
        <v>3.3187844848884297E-2</v>
      </c>
      <c r="U95" s="389">
        <f t="shared" si="376"/>
        <v>3.2092758424349103E-2</v>
      </c>
      <c r="V95" s="409">
        <f t="shared" si="376"/>
        <v>0.26564215148188863</v>
      </c>
      <c r="W95" s="409">
        <f t="shared" si="376"/>
        <v>8.53067814854684E-2</v>
      </c>
      <c r="X95" s="388">
        <f t="shared" si="376"/>
        <v>7.4194863432530955E-2</v>
      </c>
      <c r="Y95" s="478">
        <f t="shared" si="376"/>
        <v>3.0348557692307557E-2</v>
      </c>
      <c r="Z95" s="389">
        <f t="shared" si="376"/>
        <v>0.18914861677031949</v>
      </c>
      <c r="AA95" s="409">
        <f t="shared" si="376"/>
        <v>0.13837510803802966</v>
      </c>
      <c r="AB95" s="409">
        <f t="shared" si="376"/>
        <v>0.11294689727579149</v>
      </c>
      <c r="AC95" s="388">
        <f t="shared" si="376"/>
        <v>8.1647200745736434E-2</v>
      </c>
      <c r="AD95" s="478">
        <f t="shared" si="376"/>
        <v>1.9503367849602483E-2</v>
      </c>
      <c r="AE95" s="389">
        <f t="shared" si="376"/>
        <v>9.2098667265907139E-2</v>
      </c>
      <c r="AF95" s="409">
        <f t="shared" si="376"/>
        <v>5.15913237380905E-2</v>
      </c>
      <c r="AG95" s="409">
        <f t="shared" si="376"/>
        <v>-0.15796483750666043</v>
      </c>
      <c r="AH95" s="388">
        <f t="shared" si="376"/>
        <v>7.718463107786494E-2</v>
      </c>
      <c r="AI95" s="478">
        <f t="shared" si="376"/>
        <v>0.21875000000000175</v>
      </c>
      <c r="AJ95" s="389">
        <f t="shared" si="376"/>
        <v>3.6460788936036582E-2</v>
      </c>
      <c r="AK95" s="409">
        <f t="shared" si="376"/>
        <v>-0.18610747051113971</v>
      </c>
      <c r="AL95" s="409">
        <f t="shared" si="376"/>
        <v>-5.3417576105685961E-2</v>
      </c>
      <c r="AM95" s="388">
        <f t="shared" ref="AM95:BL95" si="377">(AM92-AH92)/(AM5-AH5)</f>
        <v>-0.19623712869189394</v>
      </c>
      <c r="AN95" s="478">
        <f t="shared" si="377"/>
        <v>-5.2656089912757297E-2</v>
      </c>
      <c r="AO95" s="389">
        <f t="shared" si="377"/>
        <v>-9.0124612126286696E-2</v>
      </c>
      <c r="AP95" s="409">
        <f t="shared" si="377"/>
        <v>-6.6792436527023671E-2</v>
      </c>
      <c r="AQ95" s="409">
        <f t="shared" si="377"/>
        <v>-6.4832648907947862E-2</v>
      </c>
      <c r="AR95" s="388">
        <f t="shared" si="377"/>
        <v>-1.0081792607767506E-3</v>
      </c>
      <c r="AS95" s="478">
        <f t="shared" si="377"/>
        <v>2.7573826044860254E-2</v>
      </c>
      <c r="AT95" s="389">
        <f t="shared" si="377"/>
        <v>-1.4191243108526546E-2</v>
      </c>
      <c r="AU95" s="409">
        <f t="shared" si="377"/>
        <v>1.7802427495783764E-2</v>
      </c>
      <c r="AV95" s="409">
        <f t="shared" si="377"/>
        <v>2.2157245257006922E-2</v>
      </c>
      <c r="AW95" s="388">
        <f t="shared" si="377"/>
        <v>1.4319928866452348E-2</v>
      </c>
      <c r="AX95" s="478">
        <f t="shared" si="377"/>
        <v>1.8500180603436701E-2</v>
      </c>
      <c r="AY95" s="583">
        <f t="shared" si="377"/>
        <v>1.8331189802310518E-2</v>
      </c>
      <c r="AZ95" s="607">
        <f t="shared" si="377"/>
        <v>1.2140945042298614E-2</v>
      </c>
      <c r="BA95" s="409">
        <f t="shared" si="377"/>
        <v>5.991984039458801E-2</v>
      </c>
      <c r="BB95" s="409">
        <f t="shared" si="377"/>
        <v>4.2670660972656045E-2</v>
      </c>
      <c r="BC95" s="478">
        <f t="shared" si="377"/>
        <v>1.2501736352271144E-2</v>
      </c>
      <c r="BD95" s="1951">
        <f t="shared" si="377"/>
        <v>2.5737383082911763E-2</v>
      </c>
      <c r="BE95" s="607">
        <f t="shared" si="377"/>
        <v>4.1436145689257728E-2</v>
      </c>
      <c r="BF95" s="409">
        <f t="shared" si="377"/>
        <v>8.9811902163446075E-2</v>
      </c>
      <c r="BG95" s="409">
        <f t="shared" si="377"/>
        <v>9.8982515064704166E-2</v>
      </c>
      <c r="BH95" s="478">
        <f t="shared" si="377"/>
        <v>0.33391838525669137</v>
      </c>
      <c r="BI95" s="1951">
        <f t="shared" si="377"/>
        <v>8.5614700756656614E-2</v>
      </c>
      <c r="BJ95" s="607">
        <f t="shared" si="377"/>
        <v>-2.0049504950495232</v>
      </c>
      <c r="BK95" s="409">
        <f t="shared" si="377"/>
        <v>-0.5912408759123966</v>
      </c>
      <c r="BL95" s="409">
        <f t="shared" si="377"/>
        <v>0.24382207578253615</v>
      </c>
      <c r="BM95" s="478">
        <f t="shared" ref="BM95" si="378">(BM92-BH92)/(BM5-BH5)</f>
        <v>0.12960760998810947</v>
      </c>
      <c r="BN95" s="1951">
        <f t="shared" ref="BN95" si="379">(BN92-BI92)/(BN5-BI5)</f>
        <v>0.29460352422907432</v>
      </c>
      <c r="BO95" s="583">
        <f t="shared" ref="BO95" si="380">(BO92-BJ92)/(BO5-BJ5)</f>
        <v>8.5632192264704129E-2</v>
      </c>
      <c r="BP95" s="388">
        <f t="shared" ref="BP95" si="381">(BP92-BK92)/(BP5-BK5)</f>
        <v>0.16100077061734036</v>
      </c>
      <c r="BQ95" s="388">
        <f t="shared" ref="BQ95:BS95" si="382">(BQ92-BL92)/(BQ5-BL5)</f>
        <v>0.22596421558927521</v>
      </c>
      <c r="BR95" s="478">
        <f t="shared" si="382"/>
        <v>0.3321177002374846</v>
      </c>
      <c r="BS95" s="1951">
        <f t="shared" si="382"/>
        <v>0.18371640595357724</v>
      </c>
      <c r="BT95" s="388"/>
      <c r="BU95" s="388"/>
      <c r="BV95" s="388"/>
      <c r="BW95" s="388"/>
      <c r="BX95" s="389">
        <f>(BX92-BS92)/(BX5-BS5)</f>
        <v>0.13385514306412538</v>
      </c>
      <c r="BY95" s="388"/>
      <c r="BZ95" s="388"/>
      <c r="CA95" s="388"/>
      <c r="CB95" s="388"/>
      <c r="CC95" s="680">
        <f>(CC92-BX92)/(CC5-BX5)</f>
        <v>0.13047788452630396</v>
      </c>
      <c r="CD95" s="191"/>
      <c r="CE95" s="111"/>
      <c r="CF95" s="173"/>
      <c r="CG95" s="173"/>
      <c r="CH95" s="173"/>
      <c r="CI95" s="239"/>
      <c r="CJ95" s="177"/>
      <c r="CK95" s="2070"/>
      <c r="CL95" s="409">
        <f t="shared" si="319"/>
        <v>0.12960760998810947</v>
      </c>
      <c r="CM95" s="409">
        <f t="shared" si="375"/>
        <v>0.33391838525669137</v>
      </c>
      <c r="CN95" s="388">
        <v>0.18006196079033068</v>
      </c>
      <c r="CO95" s="2114">
        <f>IFERROR(($CL95-CM95)*10000,"")</f>
        <v>-2043.1077526858192</v>
      </c>
      <c r="CP95" s="2114">
        <f>IFERROR(($CL95-CN95)*10000,"")</f>
        <v>-504.54350802221217</v>
      </c>
      <c r="CQ95" s="44"/>
      <c r="CR95" s="40"/>
      <c r="CS95" s="2149"/>
      <c r="CT95" s="2149"/>
      <c r="CU95" s="40"/>
      <c r="CV95" s="40"/>
      <c r="CW95" s="40"/>
      <c r="CX95" s="40"/>
      <c r="CY95" s="139"/>
      <c r="CZ95"/>
      <c r="DA95"/>
      <c r="DB95"/>
      <c r="DC95"/>
      <c r="DD95"/>
      <c r="DE95"/>
      <c r="DF95" s="3"/>
      <c r="DG95" s="3"/>
      <c r="DH95" s="3"/>
      <c r="DI95" s="3"/>
      <c r="DJ95" s="3"/>
    </row>
    <row r="96" spans="1:114" s="1" customFormat="1" ht="12.75" customHeight="1">
      <c r="A96" s="383" t="s">
        <v>252</v>
      </c>
      <c r="B96" s="368"/>
      <c r="C96" s="18"/>
      <c r="D96" s="18"/>
      <c r="E96" s="18"/>
      <c r="F96" s="60"/>
      <c r="G96" s="429"/>
      <c r="H96" s="429"/>
      <c r="I96" s="429"/>
      <c r="J96" s="429"/>
      <c r="K96" s="391"/>
      <c r="L96" s="429"/>
      <c r="M96" s="429"/>
      <c r="N96" s="429"/>
      <c r="O96" s="429"/>
      <c r="P96" s="391"/>
      <c r="Q96" s="429"/>
      <c r="R96" s="429"/>
      <c r="S96" s="429"/>
      <c r="T96" s="429"/>
      <c r="U96" s="391"/>
      <c r="V96" s="429"/>
      <c r="W96" s="429"/>
      <c r="X96" s="429"/>
      <c r="Y96" s="429"/>
      <c r="Z96" s="391"/>
      <c r="AA96" s="429"/>
      <c r="AB96" s="429"/>
      <c r="AC96" s="429"/>
      <c r="AD96" s="429"/>
      <c r="AE96" s="391"/>
      <c r="AF96" s="429"/>
      <c r="AG96" s="429"/>
      <c r="AH96" s="429"/>
      <c r="AI96" s="429"/>
      <c r="AJ96" s="391"/>
      <c r="AK96" s="429"/>
      <c r="AL96" s="429"/>
      <c r="AM96" s="429"/>
      <c r="AN96" s="429"/>
      <c r="AO96" s="391"/>
      <c r="AP96" s="429"/>
      <c r="AQ96" s="429"/>
      <c r="AR96" s="429"/>
      <c r="AS96" s="429"/>
      <c r="AT96" s="391"/>
      <c r="AU96" s="429"/>
      <c r="AV96" s="429">
        <f>+AV92+AV166</f>
        <v>31.210999999999995</v>
      </c>
      <c r="AW96" s="429">
        <f>+AW92+AW166</f>
        <v>26.073999999999955</v>
      </c>
      <c r="AX96" s="429">
        <f>+AX92+AX166</f>
        <v>32.20000000000001</v>
      </c>
      <c r="AY96" s="440"/>
      <c r="AZ96" s="677">
        <f>+AZ92+AZ166</f>
        <v>23.3</v>
      </c>
      <c r="BA96" s="429">
        <f>+BA92+BA166</f>
        <v>52.1</v>
      </c>
      <c r="BB96" s="429">
        <f>+BB92+BB166</f>
        <v>93.1</v>
      </c>
      <c r="BC96" s="429">
        <f>BC92+BC166</f>
        <v>151.4</v>
      </c>
      <c r="BD96" s="391">
        <f>SUM(AZ96:BC96)</f>
        <v>319.89999999999998</v>
      </c>
      <c r="BE96" s="429">
        <v>196</v>
      </c>
      <c r="BF96" s="429">
        <f>+BF92+BF166</f>
        <v>275.7</v>
      </c>
      <c r="BG96" s="429">
        <f>+BG92+BG166</f>
        <v>253.3</v>
      </c>
      <c r="BH96" s="429">
        <f>BH92+BH166</f>
        <v>211.9</v>
      </c>
      <c r="BI96" s="391">
        <f>SUM(BE96:BH96)</f>
        <v>936.9</v>
      </c>
      <c r="BJ96" s="429">
        <f>BJ92+BJ166</f>
        <v>222.3</v>
      </c>
      <c r="BK96" s="429">
        <f>+BK92+BK166</f>
        <v>282.7</v>
      </c>
      <c r="BL96" s="429">
        <f>+BL92+BL166</f>
        <v>265</v>
      </c>
      <c r="BM96" s="429">
        <f>BM92+BM166</f>
        <v>258.39999999999998</v>
      </c>
      <c r="BN96" s="391">
        <f>SUM(BJ96:BM96)</f>
        <v>1028.4000000000001</v>
      </c>
      <c r="BO96" s="606">
        <f t="shared" ref="BO96:BP96" si="383">+BO98+BO100</f>
        <v>265.80438262811782</v>
      </c>
      <c r="BP96" s="429">
        <f t="shared" si="383"/>
        <v>354.89430419245332</v>
      </c>
      <c r="BQ96" s="429">
        <f t="shared" ref="BQ96:BR96" si="384">+BQ98+BQ100</f>
        <v>349.78361761376385</v>
      </c>
      <c r="BR96" s="2189">
        <f t="shared" si="384"/>
        <v>341.34647825376328</v>
      </c>
      <c r="BS96" s="1952">
        <f>SUM(BO96:BR96)</f>
        <v>1311.8287826880983</v>
      </c>
      <c r="BT96" s="18">
        <f t="shared" ref="BT96:CC96" si="385">+BT98+BT100</f>
        <v>0</v>
      </c>
      <c r="BU96" s="18">
        <f t="shared" si="385"/>
        <v>0</v>
      </c>
      <c r="BV96" s="18">
        <f t="shared" si="385"/>
        <v>0</v>
      </c>
      <c r="BW96" s="18">
        <f t="shared" si="385"/>
        <v>0</v>
      </c>
      <c r="BX96" s="678">
        <f t="shared" si="385"/>
        <v>1451.3816762944612</v>
      </c>
      <c r="BY96" s="18">
        <f t="shared" si="385"/>
        <v>0</v>
      </c>
      <c r="BZ96" s="18">
        <f t="shared" si="385"/>
        <v>0</v>
      </c>
      <c r="CA96" s="18">
        <f t="shared" si="385"/>
        <v>0</v>
      </c>
      <c r="CB96" s="18">
        <f t="shared" si="385"/>
        <v>0</v>
      </c>
      <c r="CC96" s="1997">
        <f t="shared" si="385"/>
        <v>1600.4874346327495</v>
      </c>
      <c r="CD96" s="191"/>
      <c r="CE96" s="111"/>
      <c r="CF96" s="173"/>
      <c r="CG96" s="173"/>
      <c r="CH96" s="173"/>
      <c r="CI96" s="239"/>
      <c r="CJ96" s="177"/>
      <c r="CK96" s="2070"/>
      <c r="CL96" s="429">
        <f t="shared" si="319"/>
        <v>258.39999999999998</v>
      </c>
      <c r="CM96" s="429">
        <f t="shared" si="375"/>
        <v>211.9</v>
      </c>
      <c r="CN96" s="429">
        <v>248.06277083378387</v>
      </c>
      <c r="CO96" s="2090">
        <f>IFERROR(($CL96/CM96)-1,"")</f>
        <v>0.21944313355356293</v>
      </c>
      <c r="CP96" s="2090">
        <f>IFERROR(($CL96/CN96)-1,"")</f>
        <v>4.1671828188771798E-2</v>
      </c>
      <c r="CQ96" s="374" t="s">
        <v>575</v>
      </c>
      <c r="CR96" s="40"/>
      <c r="CS96" s="2149"/>
      <c r="CT96" s="40"/>
      <c r="CU96" s="40"/>
      <c r="CV96" s="40"/>
      <c r="CW96" s="40"/>
      <c r="CX96" s="40"/>
      <c r="CY96" s="139"/>
      <c r="CZ96"/>
      <c r="DA96"/>
      <c r="DB96"/>
      <c r="DC96"/>
      <c r="DD96"/>
      <c r="DE96"/>
      <c r="DF96" s="3"/>
      <c r="DG96" s="3"/>
      <c r="DH96" s="3"/>
      <c r="DI96" s="3"/>
      <c r="DJ96" s="3"/>
    </row>
    <row r="97" spans="1:114" s="154" customFormat="1" ht="12.75" customHeight="1">
      <c r="A97" s="1982" t="s">
        <v>253</v>
      </c>
      <c r="B97" s="583"/>
      <c r="C97" s="388"/>
      <c r="D97" s="388"/>
      <c r="E97" s="388"/>
      <c r="F97" s="389"/>
      <c r="G97" s="416"/>
      <c r="H97" s="416"/>
      <c r="I97" s="416"/>
      <c r="J97" s="416"/>
      <c r="K97" s="389"/>
      <c r="L97" s="416"/>
      <c r="M97" s="416"/>
      <c r="N97" s="416"/>
      <c r="O97" s="416"/>
      <c r="P97" s="389"/>
      <c r="Q97" s="416"/>
      <c r="R97" s="416"/>
      <c r="S97" s="416"/>
      <c r="T97" s="416"/>
      <c r="U97" s="389"/>
      <c r="V97" s="416"/>
      <c r="W97" s="416"/>
      <c r="X97" s="416"/>
      <c r="Y97" s="416"/>
      <c r="Z97" s="389"/>
      <c r="AA97" s="416"/>
      <c r="AB97" s="416"/>
      <c r="AC97" s="416"/>
      <c r="AD97" s="416"/>
      <c r="AE97" s="389"/>
      <c r="AF97" s="416"/>
      <c r="AG97" s="416"/>
      <c r="AH97" s="416"/>
      <c r="AI97" s="416"/>
      <c r="AJ97" s="389"/>
      <c r="AK97" s="416"/>
      <c r="AL97" s="416"/>
      <c r="AM97" s="416"/>
      <c r="AN97" s="416"/>
      <c r="AO97" s="389"/>
      <c r="AP97" s="416"/>
      <c r="AQ97" s="416"/>
      <c r="AR97" s="416"/>
      <c r="AS97" s="416"/>
      <c r="AT97" s="389"/>
      <c r="AU97" s="416"/>
      <c r="AV97" s="416">
        <f>+AV96/AV5</f>
        <v>5.3718617095432249E-2</v>
      </c>
      <c r="AW97" s="416">
        <f>+AW96/AW5</f>
        <v>4.2580223728259911E-2</v>
      </c>
      <c r="AX97" s="416">
        <f>+AX96/AX5</f>
        <v>4.8479373682625726E-2</v>
      </c>
      <c r="AY97" s="583"/>
      <c r="AZ97" s="1983">
        <f t="shared" ref="AZ97:BP97" si="386">+AZ96/AZ5</f>
        <v>4.1444325862682325E-2</v>
      </c>
      <c r="BA97" s="416">
        <f t="shared" si="386"/>
        <v>6.0496980956804468E-2</v>
      </c>
      <c r="BB97" s="416">
        <f t="shared" si="386"/>
        <v>6.6652348224513158E-2</v>
      </c>
      <c r="BC97" s="416">
        <f t="shared" si="386"/>
        <v>7.1958174904942968E-2</v>
      </c>
      <c r="BD97" s="1984">
        <f t="shared" si="386"/>
        <v>6.4964867389626743E-2</v>
      </c>
      <c r="BE97" s="1983">
        <f t="shared" si="386"/>
        <v>8.5313833028641081E-2</v>
      </c>
      <c r="BF97" s="416">
        <f t="shared" si="386"/>
        <v>0.1139774277564182</v>
      </c>
      <c r="BG97" s="416">
        <f t="shared" si="386"/>
        <v>0.1051429994603794</v>
      </c>
      <c r="BH97" s="416">
        <f t="shared" si="386"/>
        <v>9.0870105922209357E-2</v>
      </c>
      <c r="BI97" s="1984">
        <f t="shared" si="386"/>
        <v>9.9066329713554613E-2</v>
      </c>
      <c r="BJ97" s="1983">
        <f t="shared" si="386"/>
        <v>9.7619884068153889E-2</v>
      </c>
      <c r="BK97" s="416">
        <f t="shared" ref="BK97:BN97" si="387">+BK96/BK5</f>
        <v>0.11753700315982039</v>
      </c>
      <c r="BL97" s="416">
        <f t="shared" si="387"/>
        <v>0.10729613733905578</v>
      </c>
      <c r="BM97" s="416">
        <f t="shared" si="387"/>
        <v>9.6840685080388261E-2</v>
      </c>
      <c r="BN97" s="1984">
        <f t="shared" si="387"/>
        <v>0.10471971895524669</v>
      </c>
      <c r="BO97" s="605">
        <f t="shared" si="386"/>
        <v>9.9089318183093467E-2</v>
      </c>
      <c r="BP97" s="416">
        <f t="shared" si="386"/>
        <v>0.12562459524512012</v>
      </c>
      <c r="BQ97" s="416">
        <f t="shared" ref="BQ97:BS97" si="388">+BQ96/BQ5</f>
        <v>0.12396846802547988</v>
      </c>
      <c r="BR97" s="2322">
        <f t="shared" si="388"/>
        <v>0.11769409690237777</v>
      </c>
      <c r="BS97" s="2382">
        <f t="shared" si="388"/>
        <v>0.1168214394344215</v>
      </c>
      <c r="BT97" s="1990"/>
      <c r="BU97" s="1990"/>
      <c r="BV97" s="1990"/>
      <c r="BW97" s="1990"/>
      <c r="BX97" s="2159">
        <f>+BX96/BX5</f>
        <v>0.12060110415270781</v>
      </c>
      <c r="BY97" s="1990"/>
      <c r="BZ97" s="1990"/>
      <c r="CA97" s="1990"/>
      <c r="CB97" s="1990"/>
      <c r="CC97" s="2159">
        <f>+CC96/CC5</f>
        <v>0.12393673613499955</v>
      </c>
      <c r="CD97" s="416"/>
      <c r="CE97" s="1985"/>
      <c r="CF97" s="1986"/>
      <c r="CG97" s="1986"/>
      <c r="CH97" s="1986"/>
      <c r="CI97" s="1987"/>
      <c r="CJ97" s="2204"/>
      <c r="CK97" s="2074"/>
      <c r="CL97" s="416">
        <f t="shared" si="319"/>
        <v>9.6840685080388261E-2</v>
      </c>
      <c r="CM97" s="416">
        <f t="shared" si="375"/>
        <v>9.0870105922209357E-2</v>
      </c>
      <c r="CN97" s="416">
        <v>9.8765599288946515E-2</v>
      </c>
      <c r="CO97" s="2112">
        <f>IFERROR(($CL97-CM97)*10000,"")</f>
        <v>59.705791581789043</v>
      </c>
      <c r="CP97" s="2112">
        <f>IFERROR(($CL97-CN97)*10000,"")</f>
        <v>-19.249142085582537</v>
      </c>
      <c r="CQ97" s="1988"/>
      <c r="CR97" s="44" t="s">
        <v>548</v>
      </c>
      <c r="CS97" s="2150"/>
      <c r="CT97" s="423"/>
      <c r="CU97" s="423"/>
      <c r="CV97" s="423"/>
      <c r="CW97" s="423"/>
      <c r="CX97" s="423"/>
      <c r="CY97" s="424"/>
      <c r="CZ97"/>
      <c r="DA97"/>
      <c r="DB97"/>
      <c r="DC97"/>
      <c r="DD97"/>
      <c r="DE97"/>
      <c r="DF97" s="425"/>
      <c r="DG97" s="425"/>
      <c r="DH97" s="425"/>
      <c r="DI97" s="425"/>
      <c r="DJ97" s="425"/>
    </row>
    <row r="98" spans="1:114" s="1" customFormat="1" ht="12.75" customHeight="1">
      <c r="A98" s="2235" t="s">
        <v>587</v>
      </c>
      <c r="B98" s="368"/>
      <c r="C98" s="18"/>
      <c r="D98" s="18"/>
      <c r="E98" s="18"/>
      <c r="F98" s="60"/>
      <c r="G98" s="429"/>
      <c r="H98" s="429"/>
      <c r="I98" s="429"/>
      <c r="J98" s="429"/>
      <c r="K98" s="391"/>
      <c r="L98" s="429"/>
      <c r="M98" s="429"/>
      <c r="N98" s="429"/>
      <c r="O98" s="429"/>
      <c r="P98" s="391"/>
      <c r="Q98" s="429"/>
      <c r="R98" s="429"/>
      <c r="S98" s="429"/>
      <c r="T98" s="429"/>
      <c r="U98" s="391"/>
      <c r="V98" s="429"/>
      <c r="W98" s="429"/>
      <c r="X98" s="429"/>
      <c r="Y98" s="429"/>
      <c r="Z98" s="391"/>
      <c r="AA98" s="429"/>
      <c r="AB98" s="429"/>
      <c r="AC98" s="429"/>
      <c r="AD98" s="429"/>
      <c r="AE98" s="391"/>
      <c r="AF98" s="429"/>
      <c r="AG98" s="429"/>
      <c r="AH98" s="429"/>
      <c r="AI98" s="429"/>
      <c r="AJ98" s="391"/>
      <c r="AK98" s="429"/>
      <c r="AL98" s="429"/>
      <c r="AM98" s="429"/>
      <c r="AN98" s="429"/>
      <c r="AO98" s="391"/>
      <c r="AP98" s="429"/>
      <c r="AQ98" s="429"/>
      <c r="AR98" s="429"/>
      <c r="AS98" s="429"/>
      <c r="AT98" s="391"/>
      <c r="AU98" s="429"/>
      <c r="AV98" s="429"/>
      <c r="AW98" s="429"/>
      <c r="AX98" s="429"/>
      <c r="AY98" s="440"/>
      <c r="AZ98" s="677"/>
      <c r="BA98" s="429"/>
      <c r="BB98" s="429"/>
      <c r="BC98" s="429"/>
      <c r="BD98" s="391"/>
      <c r="BE98" s="429">
        <f>+BE176+BE167</f>
        <v>88.600000000000023</v>
      </c>
      <c r="BF98" s="429">
        <f>+BF176+BF167</f>
        <v>100.49999999999999</v>
      </c>
      <c r="BG98" s="2238">
        <f>+BG176+BG167</f>
        <v>93.5</v>
      </c>
      <c r="BH98" s="2238">
        <f>+BH176+BH167</f>
        <v>77.099999999999994</v>
      </c>
      <c r="BI98" s="1952">
        <f>SUM(BE98:BH98)</f>
        <v>359.70000000000005</v>
      </c>
      <c r="BJ98" s="429">
        <f>+BJ176+BJ167</f>
        <v>70.000000000000014</v>
      </c>
      <c r="BK98" s="429">
        <f>+BK176+BK167</f>
        <v>77.899999999999977</v>
      </c>
      <c r="BL98" s="429">
        <f>+BL176+BL167</f>
        <v>91.600000000000023</v>
      </c>
      <c r="BM98" s="2238">
        <f>+BM176+BM167</f>
        <v>113.79999999999998</v>
      </c>
      <c r="BN98" s="1952">
        <f>SUM(BJ98:BM98)</f>
        <v>353.29999999999995</v>
      </c>
      <c r="BO98" s="606">
        <f>+BO99*BO7</f>
        <v>106.31127130869466</v>
      </c>
      <c r="BP98" s="429">
        <f>+BP99*BP7</f>
        <v>127.72941712702729</v>
      </c>
      <c r="BQ98" s="429">
        <f>+BQ99*BQ7</f>
        <v>132.59377778612185</v>
      </c>
      <c r="BR98" s="2189">
        <f>+BR99*BR7</f>
        <v>130.40937561219118</v>
      </c>
      <c r="BS98" s="1952">
        <f>SUM(BO98:BR98)</f>
        <v>497.04384183403499</v>
      </c>
      <c r="BT98" s="18">
        <f t="shared" ref="BT98:CC98" si="389">+BT99*BT7</f>
        <v>0</v>
      </c>
      <c r="BU98" s="18">
        <f t="shared" si="389"/>
        <v>0</v>
      </c>
      <c r="BV98" s="18">
        <f t="shared" si="389"/>
        <v>0</v>
      </c>
      <c r="BW98" s="18">
        <f t="shared" si="389"/>
        <v>0</v>
      </c>
      <c r="BX98" s="678">
        <f t="shared" si="389"/>
        <v>567.75493269233118</v>
      </c>
      <c r="BY98" s="18">
        <f t="shared" si="389"/>
        <v>0</v>
      </c>
      <c r="BZ98" s="18">
        <f t="shared" si="389"/>
        <v>0</v>
      </c>
      <c r="CA98" s="18">
        <f t="shared" si="389"/>
        <v>0</v>
      </c>
      <c r="CB98" s="18">
        <f t="shared" si="389"/>
        <v>0</v>
      </c>
      <c r="CC98" s="1997">
        <f t="shared" si="389"/>
        <v>648.28336590886556</v>
      </c>
      <c r="CD98" s="191"/>
      <c r="CE98" s="111"/>
      <c r="CF98" s="334">
        <f>+BI98-125</f>
        <v>234.70000000000005</v>
      </c>
      <c r="CG98" s="173"/>
      <c r="CH98" s="173"/>
      <c r="CI98" s="239"/>
      <c r="CJ98" s="177"/>
      <c r="CK98" s="2070"/>
      <c r="CL98" s="429">
        <f t="shared" si="319"/>
        <v>113.79999999999998</v>
      </c>
      <c r="CM98" s="429">
        <f t="shared" si="375"/>
        <v>77.099999999999994</v>
      </c>
      <c r="CN98" s="429">
        <v>87.334951040862776</v>
      </c>
      <c r="CO98" s="2090">
        <f>IFERROR(($CL98/CM98)-1,"")</f>
        <v>0.47600518806744474</v>
      </c>
      <c r="CP98" s="2090">
        <f>IFERROR(($CL98/CN98)-1,"")</f>
        <v>0.30302929862243344</v>
      </c>
      <c r="CQ98" s="374"/>
      <c r="CR98" s="40"/>
      <c r="CS98" s="2149"/>
      <c r="CT98" s="40"/>
      <c r="CU98" s="40"/>
      <c r="CV98" s="40"/>
      <c r="CW98" s="40"/>
      <c r="CX98" s="40"/>
      <c r="CY98" s="139"/>
      <c r="CZ98"/>
      <c r="DA98"/>
      <c r="DB98"/>
      <c r="DC98"/>
      <c r="DD98"/>
      <c r="DE98"/>
      <c r="DF98" s="3"/>
      <c r="DG98" s="3"/>
      <c r="DH98" s="3"/>
      <c r="DI98" s="3"/>
      <c r="DJ98" s="3"/>
    </row>
    <row r="99" spans="1:114" s="154" customFormat="1" ht="12.75" customHeight="1">
      <c r="A99" s="2236" t="s">
        <v>588</v>
      </c>
      <c r="B99" s="583"/>
      <c r="C99" s="388"/>
      <c r="D99" s="388"/>
      <c r="E99" s="388"/>
      <c r="F99" s="389"/>
      <c r="G99" s="416"/>
      <c r="H99" s="416"/>
      <c r="I99" s="416"/>
      <c r="J99" s="416"/>
      <c r="K99" s="389"/>
      <c r="L99" s="416"/>
      <c r="M99" s="416"/>
      <c r="N99" s="416"/>
      <c r="O99" s="416"/>
      <c r="P99" s="389"/>
      <c r="Q99" s="416"/>
      <c r="R99" s="416"/>
      <c r="S99" s="416"/>
      <c r="T99" s="416"/>
      <c r="U99" s="389"/>
      <c r="V99" s="416"/>
      <c r="W99" s="416"/>
      <c r="X99" s="416"/>
      <c r="Y99" s="416"/>
      <c r="Z99" s="389"/>
      <c r="AA99" s="416"/>
      <c r="AB99" s="416"/>
      <c r="AC99" s="416"/>
      <c r="AD99" s="416"/>
      <c r="AE99" s="389"/>
      <c r="AF99" s="416"/>
      <c r="AG99" s="416"/>
      <c r="AH99" s="416"/>
      <c r="AI99" s="416"/>
      <c r="AJ99" s="389"/>
      <c r="AK99" s="416"/>
      <c r="AL99" s="416"/>
      <c r="AM99" s="416"/>
      <c r="AN99" s="416"/>
      <c r="AO99" s="389"/>
      <c r="AP99" s="416"/>
      <c r="AQ99" s="416"/>
      <c r="AR99" s="416"/>
      <c r="AS99" s="416"/>
      <c r="AT99" s="389"/>
      <c r="AU99" s="416"/>
      <c r="AV99" s="416"/>
      <c r="AW99" s="416"/>
      <c r="AX99" s="416"/>
      <c r="AY99" s="583"/>
      <c r="AZ99" s="1983"/>
      <c r="BA99" s="416"/>
      <c r="BB99" s="416"/>
      <c r="BC99" s="416"/>
      <c r="BD99" s="1984"/>
      <c r="BE99" s="416">
        <f t="shared" ref="BE99:BJ99" si="390">+BE98/BE7</f>
        <v>6.0399481900606733E-2</v>
      </c>
      <c r="BF99" s="416">
        <f t="shared" si="390"/>
        <v>6.5200467107824039E-2</v>
      </c>
      <c r="BG99" s="416">
        <f t="shared" si="390"/>
        <v>6.1287362349239649E-2</v>
      </c>
      <c r="BH99" s="416">
        <f t="shared" si="390"/>
        <v>5.2161558757864809E-2</v>
      </c>
      <c r="BI99" s="2159">
        <f t="shared" si="390"/>
        <v>5.9830339321357305E-2</v>
      </c>
      <c r="BJ99" s="416">
        <f t="shared" si="390"/>
        <v>5.0071530758226047E-2</v>
      </c>
      <c r="BK99" s="416">
        <f t="shared" ref="BK99:BN99" si="391">+BK98/BK7</f>
        <v>5.3389075457473761E-2</v>
      </c>
      <c r="BL99" s="416">
        <f t="shared" si="391"/>
        <v>5.9430351002400586E-2</v>
      </c>
      <c r="BM99" s="416">
        <f t="shared" si="391"/>
        <v>6.3900275141782245E-2</v>
      </c>
      <c r="BN99" s="2159">
        <f t="shared" si="391"/>
        <v>5.7174760895247034E-2</v>
      </c>
      <c r="BO99" s="2351">
        <f>+BM99+0.1%</f>
        <v>6.4900275141782246E-2</v>
      </c>
      <c r="BP99" s="1990">
        <f>+BO99+1%</f>
        <v>7.4900275141782241E-2</v>
      </c>
      <c r="BQ99" s="1990">
        <f>+BP99+0.2%</f>
        <v>7.6900275141782243E-2</v>
      </c>
      <c r="BR99" s="1990">
        <f>+BQ99-0.5%</f>
        <v>7.1900275141782238E-2</v>
      </c>
      <c r="BS99" s="2382">
        <f>+BS98/BS7</f>
        <v>7.2230242602212155E-2</v>
      </c>
      <c r="BT99" s="1991"/>
      <c r="BU99" s="1991"/>
      <c r="BV99" s="1991"/>
      <c r="BW99" s="1991"/>
      <c r="BX99" s="1992">
        <f>+BS99+0.4%</f>
        <v>7.6230242602212159E-2</v>
      </c>
      <c r="BY99" s="1991"/>
      <c r="BZ99" s="1991"/>
      <c r="CA99" s="1991"/>
      <c r="CB99" s="1991"/>
      <c r="CC99" s="1993">
        <f>+BX99+0.4%</f>
        <v>8.0230242602212162E-2</v>
      </c>
      <c r="CD99" s="416"/>
      <c r="CE99" s="1985"/>
      <c r="CF99" s="1986"/>
      <c r="CG99" s="1986"/>
      <c r="CH99" s="1986"/>
      <c r="CI99" s="1987"/>
      <c r="CJ99" s="2204"/>
      <c r="CK99" s="2074"/>
      <c r="CL99" s="416">
        <f t="shared" si="319"/>
        <v>6.3900275141782245E-2</v>
      </c>
      <c r="CM99" s="416">
        <f t="shared" si="375"/>
        <v>5.2161558757864809E-2</v>
      </c>
      <c r="CN99" s="1990">
        <v>5.5E-2</v>
      </c>
      <c r="CO99" s="2112">
        <f>IFERROR(($CL99-CM99)*10000,"")</f>
        <v>117.38716383917436</v>
      </c>
      <c r="CP99" s="2112">
        <f>IFERROR(($CL99-CN99)*10000,"")</f>
        <v>89.002751417822452</v>
      </c>
      <c r="CQ99" s="1988"/>
      <c r="CR99" s="44"/>
      <c r="CS99" s="2150"/>
      <c r="CT99" s="423"/>
      <c r="CU99" s="423"/>
      <c r="CV99" s="423"/>
      <c r="CW99" s="423"/>
      <c r="CX99" s="423"/>
      <c r="CY99" s="424"/>
      <c r="CZ99"/>
      <c r="DA99"/>
      <c r="DB99"/>
      <c r="DC99"/>
      <c r="DD99"/>
      <c r="DE99"/>
      <c r="DF99" s="425"/>
      <c r="DG99" s="425"/>
      <c r="DH99" s="425"/>
      <c r="DI99" s="425"/>
      <c r="DJ99" s="425"/>
    </row>
    <row r="100" spans="1:114" s="1" customFormat="1" ht="12.75" customHeight="1">
      <c r="A100" s="2235" t="s">
        <v>585</v>
      </c>
      <c r="B100" s="368"/>
      <c r="C100" s="18"/>
      <c r="D100" s="18"/>
      <c r="E100" s="18"/>
      <c r="F100" s="60"/>
      <c r="G100" s="429"/>
      <c r="H100" s="429"/>
      <c r="I100" s="429"/>
      <c r="J100" s="429"/>
      <c r="K100" s="391"/>
      <c r="L100" s="429"/>
      <c r="M100" s="429"/>
      <c r="N100" s="429"/>
      <c r="O100" s="429"/>
      <c r="P100" s="391"/>
      <c r="Q100" s="429"/>
      <c r="R100" s="429"/>
      <c r="S100" s="429"/>
      <c r="T100" s="429"/>
      <c r="U100" s="391"/>
      <c r="V100" s="429"/>
      <c r="W100" s="429"/>
      <c r="X100" s="429"/>
      <c r="Y100" s="429"/>
      <c r="Z100" s="391"/>
      <c r="AA100" s="429"/>
      <c r="AB100" s="429"/>
      <c r="AC100" s="429"/>
      <c r="AD100" s="429"/>
      <c r="AE100" s="391"/>
      <c r="AF100" s="429"/>
      <c r="AG100" s="429"/>
      <c r="AH100" s="429"/>
      <c r="AI100" s="429"/>
      <c r="AJ100" s="391"/>
      <c r="AK100" s="429"/>
      <c r="AL100" s="429"/>
      <c r="AM100" s="429"/>
      <c r="AN100" s="429"/>
      <c r="AO100" s="391"/>
      <c r="AP100" s="429"/>
      <c r="AQ100" s="429"/>
      <c r="AR100" s="429"/>
      <c r="AS100" s="429"/>
      <c r="AT100" s="391"/>
      <c r="AU100" s="429"/>
      <c r="AV100" s="429"/>
      <c r="AW100" s="429"/>
      <c r="AX100" s="429"/>
      <c r="AY100" s="440"/>
      <c r="AZ100" s="677"/>
      <c r="BA100" s="429"/>
      <c r="BB100" s="429"/>
      <c r="BC100" s="429"/>
      <c r="BD100" s="391"/>
      <c r="BE100" s="429">
        <f>BE177+BE168</f>
        <v>107.39999999999998</v>
      </c>
      <c r="BF100" s="429">
        <f>BF177+BF168</f>
        <v>175.2</v>
      </c>
      <c r="BG100" s="2238">
        <f>BG177+BG168</f>
        <v>159.80000000000001</v>
      </c>
      <c r="BH100" s="2238">
        <f>BH177+BH168</f>
        <v>134.80000000000001</v>
      </c>
      <c r="BI100" s="1952">
        <f>SUM(BE100:BH100)</f>
        <v>577.20000000000005</v>
      </c>
      <c r="BJ100" s="429">
        <f>BJ177+BJ168</f>
        <v>152.30000000000001</v>
      </c>
      <c r="BK100" s="429">
        <f>BK177+BK168</f>
        <v>204.8</v>
      </c>
      <c r="BL100" s="429">
        <f>BL177+BL168</f>
        <v>173.4</v>
      </c>
      <c r="BM100" s="2238">
        <f>BM177+BM168</f>
        <v>144.6</v>
      </c>
      <c r="BN100" s="1952">
        <f>SUM(BJ100:BM100)</f>
        <v>675.1</v>
      </c>
      <c r="BO100" s="606">
        <f>+BO101*BO33</f>
        <v>159.49311131942318</v>
      </c>
      <c r="BP100" s="429">
        <f>+BP101*BP33</f>
        <v>227.164887065426</v>
      </c>
      <c r="BQ100" s="429">
        <f>+BQ101*BQ33</f>
        <v>217.189839827642</v>
      </c>
      <c r="BR100" s="2189">
        <f>+BR101*BR33</f>
        <v>210.93710264157207</v>
      </c>
      <c r="BS100" s="1952">
        <f>SUM(BO100:BR100)</f>
        <v>814.78494085406328</v>
      </c>
      <c r="BT100" s="18">
        <f t="shared" ref="BT100:CC100" si="392">+BT101*BT33</f>
        <v>0</v>
      </c>
      <c r="BU100" s="18">
        <f t="shared" si="392"/>
        <v>0</v>
      </c>
      <c r="BV100" s="18">
        <f t="shared" si="392"/>
        <v>0</v>
      </c>
      <c r="BW100" s="18">
        <f t="shared" si="392"/>
        <v>0</v>
      </c>
      <c r="BX100" s="678">
        <f t="shared" si="392"/>
        <v>883.62674360212998</v>
      </c>
      <c r="BY100" s="18">
        <f t="shared" si="392"/>
        <v>0</v>
      </c>
      <c r="BZ100" s="18">
        <f t="shared" si="392"/>
        <v>0</v>
      </c>
      <c r="CA100" s="18">
        <f t="shared" si="392"/>
        <v>0</v>
      </c>
      <c r="CB100" s="18">
        <f t="shared" si="392"/>
        <v>0</v>
      </c>
      <c r="CC100" s="1997">
        <f t="shared" si="392"/>
        <v>952.20406872388389</v>
      </c>
      <c r="CD100" s="191"/>
      <c r="CE100" s="111"/>
      <c r="CF100" s="2224">
        <f>+BN100/BN186</f>
        <v>0.49381903298954005</v>
      </c>
      <c r="CG100" s="2224">
        <f>+BI100/BI186</f>
        <v>0.4624999999999998</v>
      </c>
      <c r="CH100" s="173"/>
      <c r="CI100" s="239"/>
      <c r="CJ100" s="177"/>
      <c r="CK100" s="2070"/>
      <c r="CL100" s="429">
        <f t="shared" si="319"/>
        <v>144.6</v>
      </c>
      <c r="CM100" s="429">
        <f t="shared" si="375"/>
        <v>134.80000000000001</v>
      </c>
      <c r="CN100" s="429">
        <v>160.72781979292111</v>
      </c>
      <c r="CO100" s="2090">
        <f>IFERROR(($CL100/CM100)-1,"")</f>
        <v>7.2700296735904946E-2</v>
      </c>
      <c r="CP100" s="2090">
        <f>IFERROR(($CL100/CN100)-1,"")</f>
        <v>-0.10034242867040633</v>
      </c>
      <c r="CQ100" s="374"/>
      <c r="CR100" s="40"/>
      <c r="CS100" s="2149"/>
      <c r="CT100" s="40"/>
      <c r="CU100" s="40"/>
      <c r="CV100" s="40"/>
      <c r="CW100" s="40"/>
      <c r="CX100" s="40"/>
      <c r="CY100" s="139"/>
      <c r="CZ100"/>
      <c r="DA100"/>
      <c r="DB100"/>
      <c r="DC100"/>
      <c r="DD100"/>
      <c r="DE100"/>
      <c r="DF100" s="3"/>
      <c r="DG100" s="3"/>
      <c r="DH100" s="3"/>
      <c r="DI100" s="3"/>
      <c r="DJ100" s="3"/>
    </row>
    <row r="101" spans="1:114" s="154" customFormat="1" ht="12.75" customHeight="1">
      <c r="A101" s="2236" t="s">
        <v>586</v>
      </c>
      <c r="B101" s="583"/>
      <c r="C101" s="388"/>
      <c r="D101" s="388"/>
      <c r="E101" s="388"/>
      <c r="F101" s="389"/>
      <c r="G101" s="416"/>
      <c r="H101" s="416"/>
      <c r="I101" s="416"/>
      <c r="J101" s="416"/>
      <c r="K101" s="389"/>
      <c r="L101" s="416"/>
      <c r="M101" s="416"/>
      <c r="N101" s="416"/>
      <c r="O101" s="416"/>
      <c r="P101" s="389"/>
      <c r="Q101" s="416"/>
      <c r="R101" s="416"/>
      <c r="S101" s="416"/>
      <c r="T101" s="416"/>
      <c r="U101" s="389"/>
      <c r="V101" s="416"/>
      <c r="W101" s="416"/>
      <c r="X101" s="416"/>
      <c r="Y101" s="416"/>
      <c r="Z101" s="389"/>
      <c r="AA101" s="416"/>
      <c r="AB101" s="416"/>
      <c r="AC101" s="416"/>
      <c r="AD101" s="416"/>
      <c r="AE101" s="389"/>
      <c r="AF101" s="416"/>
      <c r="AG101" s="416"/>
      <c r="AH101" s="416"/>
      <c r="AI101" s="416"/>
      <c r="AJ101" s="389"/>
      <c r="AK101" s="416"/>
      <c r="AL101" s="416"/>
      <c r="AM101" s="416"/>
      <c r="AN101" s="416"/>
      <c r="AO101" s="389"/>
      <c r="AP101" s="416"/>
      <c r="AQ101" s="416"/>
      <c r="AR101" s="416"/>
      <c r="AS101" s="416"/>
      <c r="AT101" s="389"/>
      <c r="AU101" s="416"/>
      <c r="AV101" s="416"/>
      <c r="AW101" s="416"/>
      <c r="AX101" s="416"/>
      <c r="AY101" s="583"/>
      <c r="AZ101" s="1983"/>
      <c r="BA101" s="416"/>
      <c r="BB101" s="416"/>
      <c r="BC101" s="416"/>
      <c r="BD101" s="1984"/>
      <c r="BE101" s="416">
        <f t="shared" ref="BE101:BH101" si="393">+BE100/BE33</f>
        <v>0.12931968693558094</v>
      </c>
      <c r="BF101" s="416">
        <f t="shared" si="393"/>
        <v>0.19965811965811964</v>
      </c>
      <c r="BG101" s="416">
        <f t="shared" si="393"/>
        <v>0.18087153367289191</v>
      </c>
      <c r="BH101" s="416">
        <f t="shared" si="393"/>
        <v>0.15788240805809325</v>
      </c>
      <c r="BI101" s="2159">
        <f>+BI100/BI33</f>
        <v>0.16753258061707255</v>
      </c>
      <c r="BJ101" s="416">
        <f>+BJ100/BJ33</f>
        <v>0.17322565969062784</v>
      </c>
      <c r="BK101" s="416">
        <f t="shared" ref="BK101:BM101" si="394">+BK100/BK33</f>
        <v>0.21646760384737343</v>
      </c>
      <c r="BL101" s="416">
        <f t="shared" si="394"/>
        <v>0.18675282714054928</v>
      </c>
      <c r="BM101" s="416">
        <f t="shared" si="394"/>
        <v>0.16294793779580799</v>
      </c>
      <c r="BN101" s="2159">
        <f>+BN100/BN33</f>
        <v>0.18540591013951443</v>
      </c>
      <c r="BO101" s="2351">
        <f>+BM101+1.1%</f>
        <v>0.173947937795808</v>
      </c>
      <c r="BP101" s="1990">
        <f>+BO101+5.5%</f>
        <v>0.22894793779580799</v>
      </c>
      <c r="BQ101" s="1990">
        <f>+BP101-0.5%</f>
        <v>0.22394793779580799</v>
      </c>
      <c r="BR101" s="1990">
        <f>+BQ101-0.4%</f>
        <v>0.21994793779580799</v>
      </c>
      <c r="BS101" s="2382">
        <f>+BS100/BS33</f>
        <v>0.21229590322477221</v>
      </c>
      <c r="BT101" s="1991"/>
      <c r="BU101" s="1991"/>
      <c r="BV101" s="1991"/>
      <c r="BW101" s="1991"/>
      <c r="BX101" s="1992">
        <f>+BS101+0.5%</f>
        <v>0.21729590322477221</v>
      </c>
      <c r="BY101" s="1991">
        <f t="shared" ref="BY101:CB101" si="395">+BT101+0.8%</f>
        <v>8.0000000000000002E-3</v>
      </c>
      <c r="BZ101" s="1991">
        <f t="shared" si="395"/>
        <v>8.0000000000000002E-3</v>
      </c>
      <c r="CA101" s="1991">
        <f t="shared" si="395"/>
        <v>8.0000000000000002E-3</v>
      </c>
      <c r="CB101" s="1991">
        <f t="shared" si="395"/>
        <v>8.0000000000000002E-3</v>
      </c>
      <c r="CC101" s="1993">
        <f>+BX101+0.4%</f>
        <v>0.22129590322477222</v>
      </c>
      <c r="CD101" s="416"/>
      <c r="CE101" s="1985"/>
      <c r="CF101" s="2248">
        <f>CNW!FH163</f>
        <v>0.34404608269834774</v>
      </c>
      <c r="CG101" s="2248">
        <f>CNW!FI163</f>
        <v>2.3615545072342279</v>
      </c>
      <c r="CH101" s="2248">
        <f>CNW!FJ163</f>
        <v>-1.0159947780905614</v>
      </c>
      <c r="CI101" s="2248">
        <f>CNW!FK163</f>
        <v>-1.4606255768991492</v>
      </c>
      <c r="CJ101" s="2204"/>
      <c r="CK101" s="2074"/>
      <c r="CL101" s="416">
        <f t="shared" si="319"/>
        <v>0.16294793779580799</v>
      </c>
      <c r="CM101" s="416">
        <f t="shared" si="375"/>
        <v>0.15788240805809325</v>
      </c>
      <c r="CN101" s="1990">
        <v>0.17399999999999999</v>
      </c>
      <c r="CO101" s="2112">
        <f>IFERROR(($CL101-CM101)*10000,"")</f>
        <v>50.655297377147356</v>
      </c>
      <c r="CP101" s="2112">
        <f>IFERROR(($CL101-CN101)*10000,"")</f>
        <v>-110.52062204191998</v>
      </c>
      <c r="CQ101" s="1988"/>
      <c r="CR101" s="44"/>
      <c r="CS101" s="2150"/>
      <c r="CT101" s="423"/>
      <c r="CU101" s="423"/>
      <c r="CV101" s="423"/>
      <c r="CW101" s="423"/>
      <c r="CX101" s="423"/>
      <c r="CY101" s="424"/>
      <c r="CZ101"/>
      <c r="DA101"/>
      <c r="DB101"/>
      <c r="DC101"/>
      <c r="DD101"/>
      <c r="DE101"/>
      <c r="DF101" s="425"/>
      <c r="DG101" s="425"/>
      <c r="DH101" s="425"/>
      <c r="DI101" s="425"/>
      <c r="DJ101" s="425"/>
    </row>
    <row r="102" spans="1:114" s="176" customFormat="1" ht="12.75" hidden="1" customHeight="1" outlineLevel="1">
      <c r="A102" s="501" t="s">
        <v>218</v>
      </c>
      <c r="B102" s="546" t="str">
        <f>IF(ISERROR(B105/#REF!),"",B105/#REF!)</f>
        <v/>
      </c>
      <c r="C102" s="374" t="str">
        <f>IF(ISERROR(C105/#REF!),"",C105/#REF!)</f>
        <v/>
      </c>
      <c r="D102" s="374" t="str">
        <f>IF(ISERROR(D105/#REF!),"",D105/#REF!)</f>
        <v/>
      </c>
      <c r="E102" s="374" t="str">
        <f>IF(ISERROR(E105/#REF!),"",E105/#REF!)</f>
        <v/>
      </c>
      <c r="F102" s="376" t="str">
        <f>IF(ISERROR(F105/#REF!),"",F105/#REF!)</f>
        <v/>
      </c>
      <c r="G102" s="374"/>
      <c r="H102" s="374"/>
      <c r="I102" s="374"/>
      <c r="J102" s="374"/>
      <c r="K102" s="376"/>
      <c r="L102" s="374"/>
      <c r="M102" s="374"/>
      <c r="N102" s="374"/>
      <c r="O102" s="374"/>
      <c r="P102" s="376"/>
      <c r="Q102" s="374"/>
      <c r="R102" s="374"/>
      <c r="S102" s="374"/>
      <c r="T102" s="374"/>
      <c r="U102" s="376"/>
      <c r="V102" s="374"/>
      <c r="W102" s="374"/>
      <c r="X102" s="374"/>
      <c r="Y102" s="374"/>
      <c r="Z102" s="376"/>
      <c r="AA102" s="374"/>
      <c r="AB102" s="374"/>
      <c r="AC102" s="374"/>
      <c r="AD102" s="374"/>
      <c r="AE102" s="376"/>
      <c r="AF102" s="374"/>
      <c r="AG102" s="374"/>
      <c r="AH102" s="374"/>
      <c r="AI102" s="374"/>
      <c r="AJ102" s="376"/>
      <c r="AK102" s="374"/>
      <c r="AL102" s="374"/>
      <c r="AM102" s="374"/>
      <c r="AN102" s="374"/>
      <c r="AO102" s="376"/>
      <c r="AP102" s="374"/>
      <c r="AQ102" s="374"/>
      <c r="AR102" s="374"/>
      <c r="AS102" s="374"/>
      <c r="AT102" s="376"/>
      <c r="AU102" s="374"/>
      <c r="AV102" s="374"/>
      <c r="AW102" s="374"/>
      <c r="AX102" s="374"/>
      <c r="AY102" s="546"/>
      <c r="AZ102" s="546"/>
      <c r="BA102" s="374">
        <f>+BA105/BA40</f>
        <v>0.99341383095499458</v>
      </c>
      <c r="BB102" s="374">
        <f>+BB105/BB40</f>
        <v>0.98288257446080107</v>
      </c>
      <c r="BC102" s="374">
        <f>+BC105/BC40</f>
        <v>0.79361932227829857</v>
      </c>
      <c r="BD102" s="1944"/>
      <c r="BE102" s="2129"/>
      <c r="BF102" s="374"/>
      <c r="BG102" s="374"/>
      <c r="BH102" s="374"/>
      <c r="BI102" s="1944"/>
      <c r="BJ102" s="2129"/>
      <c r="BK102" s="374"/>
      <c r="BL102" s="374"/>
      <c r="BM102" s="374"/>
      <c r="BN102" s="1944"/>
      <c r="BO102" s="2347"/>
      <c r="BP102" s="377"/>
      <c r="BQ102" s="377"/>
      <c r="BR102" s="2164"/>
      <c r="BS102" s="1944"/>
      <c r="BT102" s="377"/>
      <c r="BU102" s="377"/>
      <c r="BV102" s="377"/>
      <c r="BW102" s="377"/>
      <c r="BX102" s="378"/>
      <c r="BY102" s="377"/>
      <c r="BZ102" s="377"/>
      <c r="CA102" s="377"/>
      <c r="CB102" s="377"/>
      <c r="CC102" s="378"/>
      <c r="CD102" s="193"/>
      <c r="CE102" s="113"/>
      <c r="CF102" s="173"/>
      <c r="CG102" s="173"/>
      <c r="CH102" s="173"/>
      <c r="CI102" s="239"/>
      <c r="CJ102" s="177"/>
      <c r="CK102" s="2070"/>
      <c r="CL102" s="374"/>
      <c r="CM102" s="374"/>
      <c r="CN102" s="377"/>
      <c r="CO102" s="374"/>
      <c r="CP102" s="374"/>
      <c r="CQ102" s="374"/>
      <c r="CR102" s="40"/>
      <c r="CS102" s="2151"/>
      <c r="CT102" s="16"/>
      <c r="CU102" s="16"/>
      <c r="CV102" s="16"/>
      <c r="CW102" s="16"/>
      <c r="CX102" s="16"/>
      <c r="CY102" s="141"/>
      <c r="CZ102"/>
      <c r="DA102"/>
      <c r="DB102"/>
      <c r="DC102"/>
      <c r="DD102"/>
      <c r="DE102"/>
      <c r="DF102" s="8"/>
      <c r="DG102" s="8"/>
      <c r="DH102" s="8"/>
      <c r="DI102" s="8"/>
      <c r="DJ102" s="8"/>
    </row>
    <row r="103" spans="1:114" s="179" customFormat="1" ht="12.75" hidden="1" customHeight="1" outlineLevel="1">
      <c r="A103" s="502" t="s">
        <v>86</v>
      </c>
      <c r="B103" s="547" t="str">
        <f>IF(ISERROR((B102-#REF!)*100),"",(B102-#REF!)*100)</f>
        <v/>
      </c>
      <c r="C103" s="91" t="str">
        <f>IF(ISERROR((C102-#REF!)*100),"",(C102-#REF!)*100)</f>
        <v/>
      </c>
      <c r="D103" s="91" t="str">
        <f>IF(ISERROR((D102-#REF!)*100),"",(D102-#REF!)*100)</f>
        <v/>
      </c>
      <c r="E103" s="91" t="str">
        <f>IF(ISERROR((E102-#REF!)*100),"",(E102-#REF!)*100)</f>
        <v/>
      </c>
      <c r="F103" s="92"/>
      <c r="G103" s="91"/>
      <c r="H103" s="91"/>
      <c r="I103" s="91"/>
      <c r="J103" s="91"/>
      <c r="K103" s="92"/>
      <c r="L103" s="91"/>
      <c r="M103" s="91"/>
      <c r="N103" s="91"/>
      <c r="O103" s="91"/>
      <c r="P103" s="92"/>
      <c r="Q103" s="91"/>
      <c r="R103" s="91"/>
      <c r="S103" s="91"/>
      <c r="T103" s="91"/>
      <c r="U103" s="92"/>
      <c r="V103" s="91"/>
      <c r="W103" s="91"/>
      <c r="X103" s="91"/>
      <c r="Y103" s="91"/>
      <c r="Z103" s="92"/>
      <c r="AA103" s="91"/>
      <c r="AB103" s="91"/>
      <c r="AC103" s="91"/>
      <c r="AD103" s="91"/>
      <c r="AE103" s="92"/>
      <c r="AF103" s="91"/>
      <c r="AG103" s="91"/>
      <c r="AH103" s="91"/>
      <c r="AI103" s="91"/>
      <c r="AJ103" s="92"/>
      <c r="AK103" s="91"/>
      <c r="AL103" s="91"/>
      <c r="AM103" s="91"/>
      <c r="AN103" s="91"/>
      <c r="AO103" s="92"/>
      <c r="AP103" s="91"/>
      <c r="AQ103" s="91"/>
      <c r="AR103" s="91"/>
      <c r="AS103" s="91"/>
      <c r="AT103" s="92"/>
      <c r="AU103" s="91"/>
      <c r="AV103" s="197"/>
      <c r="AW103" s="197"/>
      <c r="AX103" s="91"/>
      <c r="AY103" s="547"/>
      <c r="AZ103" s="2051"/>
      <c r="BA103" s="2052"/>
      <c r="BB103" s="2052"/>
      <c r="BC103" s="2052"/>
      <c r="BD103" s="2053"/>
      <c r="BE103" s="2051"/>
      <c r="BF103" s="2052"/>
      <c r="BG103" s="2052"/>
      <c r="BH103" s="2052"/>
      <c r="BI103" s="2053"/>
      <c r="BJ103" s="2051"/>
      <c r="BK103" s="2052"/>
      <c r="BL103" s="2052"/>
      <c r="BM103" s="2052"/>
      <c r="BN103" s="2053"/>
      <c r="BO103" s="2051"/>
      <c r="BP103" s="2052"/>
      <c r="BQ103" s="2052"/>
      <c r="BR103" s="2054"/>
      <c r="BS103" s="2053"/>
      <c r="BT103" s="90"/>
      <c r="BU103" s="90"/>
      <c r="BV103" s="90"/>
      <c r="BW103" s="90"/>
      <c r="BX103" s="461"/>
      <c r="BY103" s="90"/>
      <c r="BZ103" s="90"/>
      <c r="CA103" s="90"/>
      <c r="CB103" s="90"/>
      <c r="CC103" s="461"/>
      <c r="CD103" s="197"/>
      <c r="CE103" s="117"/>
      <c r="CF103" s="173"/>
      <c r="CG103" s="173"/>
      <c r="CH103" s="173"/>
      <c r="CI103" s="239"/>
      <c r="CJ103" s="177"/>
      <c r="CK103" s="2070"/>
      <c r="CL103" s="2052"/>
      <c r="CM103" s="2052"/>
      <c r="CN103" s="2052"/>
      <c r="CO103" s="2052"/>
      <c r="CP103" s="2052"/>
      <c r="CQ103" s="44"/>
      <c r="CR103" s="258"/>
      <c r="CS103" s="2149"/>
      <c r="CT103" s="93"/>
      <c r="CU103" s="93"/>
      <c r="CV103" s="93"/>
      <c r="CW103" s="93"/>
      <c r="CX103" s="93"/>
      <c r="CY103" s="119"/>
      <c r="CZ103"/>
      <c r="DA103"/>
      <c r="DB103"/>
      <c r="DC103"/>
      <c r="DD103"/>
      <c r="DE103"/>
      <c r="DF103" s="90"/>
      <c r="DG103" s="90"/>
      <c r="DH103" s="90"/>
      <c r="DI103" s="90"/>
      <c r="DJ103" s="90"/>
    </row>
    <row r="104" spans="1:114" s="1" customFormat="1" ht="12.75" hidden="1" customHeight="1" outlineLevel="1">
      <c r="A104" s="76" t="s">
        <v>88</v>
      </c>
      <c r="B104" s="190" t="str">
        <f>IF(ISERROR((B102-#REF!)*100),"",(B102-#REF!)*100)</f>
        <v/>
      </c>
      <c r="C104" s="6" t="str">
        <f>IF(ISERROR((C102-#REF!)*100),"",(C102-#REF!)*100)</f>
        <v/>
      </c>
      <c r="D104" s="6" t="str">
        <f>IF(ISERROR((D102-B102)*100),"",(D102-B102)*100)</f>
        <v/>
      </c>
      <c r="E104" s="6" t="str">
        <f>IF(ISERROR((E102-C102)*100),"",(E102-C102)*100)</f>
        <v/>
      </c>
      <c r="F104" s="61"/>
      <c r="G104" s="6"/>
      <c r="H104" s="6"/>
      <c r="I104" s="6"/>
      <c r="J104" s="6"/>
      <c r="K104" s="61"/>
      <c r="L104" s="6"/>
      <c r="M104" s="6"/>
      <c r="N104" s="6"/>
      <c r="O104" s="6"/>
      <c r="P104" s="61"/>
      <c r="Q104" s="6"/>
      <c r="R104" s="6"/>
      <c r="S104" s="6"/>
      <c r="T104" s="6"/>
      <c r="U104" s="61"/>
      <c r="V104" s="6"/>
      <c r="W104" s="6"/>
      <c r="X104" s="6"/>
      <c r="Y104" s="6"/>
      <c r="Z104" s="61"/>
      <c r="AA104" s="6"/>
      <c r="AB104" s="6"/>
      <c r="AC104" s="6"/>
      <c r="AD104" s="6"/>
      <c r="AE104" s="61"/>
      <c r="AF104" s="6"/>
      <c r="AG104" s="6"/>
      <c r="AH104" s="6"/>
      <c r="AI104" s="6"/>
      <c r="AJ104" s="61"/>
      <c r="AK104" s="6"/>
      <c r="AL104" s="6"/>
      <c r="AM104" s="6"/>
      <c r="AN104" s="6"/>
      <c r="AO104" s="61"/>
      <c r="AP104" s="6"/>
      <c r="AQ104" s="6"/>
      <c r="AR104" s="6"/>
      <c r="AS104" s="6"/>
      <c r="AT104" s="61"/>
      <c r="AU104" s="194"/>
      <c r="AV104" s="194"/>
      <c r="AW104" s="194"/>
      <c r="AX104" s="6"/>
      <c r="AY104" s="190"/>
      <c r="AZ104" s="2055"/>
      <c r="BA104" s="2056"/>
      <c r="BB104" s="2056"/>
      <c r="BC104" s="2056"/>
      <c r="BD104" s="2057"/>
      <c r="BE104" s="2055"/>
      <c r="BF104" s="2056"/>
      <c r="BG104" s="2056"/>
      <c r="BH104" s="2056"/>
      <c r="BI104" s="2057"/>
      <c r="BJ104" s="2055"/>
      <c r="BK104" s="2056"/>
      <c r="BL104" s="2056"/>
      <c r="BM104" s="2056"/>
      <c r="BN104" s="2057"/>
      <c r="BO104" s="2055"/>
      <c r="BP104" s="2056"/>
      <c r="BQ104" s="2056"/>
      <c r="BR104" s="2185"/>
      <c r="BS104" s="2057"/>
      <c r="BT104" s="6"/>
      <c r="BU104" s="6"/>
      <c r="BV104" s="6"/>
      <c r="BW104" s="6"/>
      <c r="BX104" s="462"/>
      <c r="BY104" s="6"/>
      <c r="BZ104" s="6"/>
      <c r="CA104" s="6"/>
      <c r="CB104" s="6"/>
      <c r="CC104" s="462"/>
      <c r="CD104" s="194"/>
      <c r="CE104" s="114"/>
      <c r="CF104" s="447"/>
      <c r="CG104" s="447"/>
      <c r="CH104" s="447"/>
      <c r="CI104" s="447"/>
      <c r="CJ104" s="2203"/>
      <c r="CK104" s="2073"/>
      <c r="CL104" s="2056"/>
      <c r="CM104" s="2056"/>
      <c r="CN104" s="2056"/>
      <c r="CO104" s="2056"/>
      <c r="CP104" s="2056"/>
      <c r="CQ104" s="44"/>
      <c r="CR104" s="40"/>
      <c r="CS104" s="2149"/>
      <c r="CT104" s="40"/>
      <c r="CU104" s="40"/>
      <c r="CV104" s="40"/>
      <c r="CW104" s="40"/>
      <c r="CX104" s="40"/>
      <c r="CY104" s="139"/>
      <c r="CZ104"/>
      <c r="DA104"/>
      <c r="DB104"/>
      <c r="DC104"/>
      <c r="DD104"/>
      <c r="DE104"/>
      <c r="DF104" s="3"/>
      <c r="DG104" s="3"/>
      <c r="DH104" s="3"/>
      <c r="DI104" s="3"/>
      <c r="DJ104" s="3"/>
    </row>
    <row r="105" spans="1:114" s="262" customFormat="1" ht="12.75" hidden="1" customHeight="1" outlineLevel="1" collapsed="1">
      <c r="A105" s="503" t="s">
        <v>219</v>
      </c>
      <c r="B105" s="543"/>
      <c r="F105" s="265"/>
      <c r="K105" s="265"/>
      <c r="P105" s="265"/>
      <c r="U105" s="265"/>
      <c r="Z105" s="265"/>
      <c r="AE105" s="265"/>
      <c r="AJ105" s="265"/>
      <c r="AO105" s="265"/>
      <c r="AT105" s="265"/>
      <c r="AY105" s="543"/>
      <c r="AZ105" s="603"/>
      <c r="BA105" s="2058">
        <v>181</v>
      </c>
      <c r="BB105" s="2058">
        <v>287.10000000000002</v>
      </c>
      <c r="BC105" s="2058">
        <v>440.3</v>
      </c>
      <c r="BD105" s="2059"/>
      <c r="BE105" s="543"/>
      <c r="BF105" s="2058"/>
      <c r="BG105" s="2058"/>
      <c r="BH105" s="2058"/>
      <c r="BI105" s="2059"/>
      <c r="BJ105" s="543"/>
      <c r="BK105" s="2058"/>
      <c r="BL105" s="2058"/>
      <c r="BM105" s="2058"/>
      <c r="BN105" s="2059"/>
      <c r="BO105" s="603"/>
      <c r="BP105" s="2058"/>
      <c r="BQ105" s="2058"/>
      <c r="BR105" s="2190"/>
      <c r="BS105" s="2059"/>
      <c r="BT105" s="269"/>
      <c r="BU105" s="269"/>
      <c r="BV105" s="269"/>
      <c r="BW105" s="269"/>
      <c r="BX105" s="515"/>
      <c r="BY105" s="269"/>
      <c r="BZ105" s="269"/>
      <c r="CA105" s="269"/>
      <c r="CB105" s="269"/>
      <c r="CC105" s="515"/>
      <c r="CE105" s="263"/>
      <c r="CF105" s="264"/>
      <c r="CG105" s="264"/>
      <c r="CH105" s="264"/>
      <c r="CI105" s="265"/>
      <c r="CK105" s="2072"/>
      <c r="CL105" s="2058"/>
      <c r="CM105" s="2058"/>
      <c r="CN105" s="2058"/>
      <c r="CO105" s="2089" t="str">
        <f>IFERROR(($CL105/CM105)-1,"")</f>
        <v/>
      </c>
      <c r="CP105" s="2089"/>
      <c r="CQ105" s="452"/>
      <c r="CR105" s="453"/>
      <c r="CS105" s="2151"/>
      <c r="CT105" s="258"/>
      <c r="CU105" s="258"/>
      <c r="CV105" s="258"/>
      <c r="CW105" s="258"/>
      <c r="CX105" s="258"/>
      <c r="CY105" s="263"/>
      <c r="CZ105"/>
      <c r="DA105"/>
      <c r="DB105"/>
      <c r="DC105"/>
      <c r="DD105"/>
      <c r="DE105"/>
      <c r="DF105" s="266"/>
      <c r="DG105" s="266"/>
      <c r="DH105" s="266"/>
      <c r="DI105" s="266"/>
      <c r="DJ105" s="266"/>
    </row>
    <row r="106" spans="1:114" s="1" customFormat="1" ht="12.75" hidden="1" customHeight="1" outlineLevel="1">
      <c r="A106" s="504" t="s">
        <v>85</v>
      </c>
      <c r="B106" s="368" t="str">
        <f>IF(ISERROR((B105-#REF!)/#REF!),"",(B105-#REF!)/#REF!)</f>
        <v/>
      </c>
      <c r="C106" s="18" t="str">
        <f>IF(ISERROR((C105-#REF!)/#REF!),"",(C105-#REF!)/#REF!)</f>
        <v/>
      </c>
      <c r="D106" s="18" t="str">
        <f>IF(ISERROR((D105-#REF!)/#REF!),"",(D105-#REF!)/#REF!)</f>
        <v/>
      </c>
      <c r="E106" s="18" t="str">
        <f>IF(ISERROR((E105-#REF!)/#REF!),"",(E105-#REF!)/#REF!)</f>
        <v/>
      </c>
      <c r="F106" s="60"/>
      <c r="G106" s="18" t="str">
        <f t="shared" ref="G106" si="396">IF(ISERROR((G105-B105)/B105),"",(G105-B105)/B105)</f>
        <v/>
      </c>
      <c r="H106" s="18" t="str">
        <f t="shared" ref="H106" si="397">IF(ISERROR((H105-C105)/C105),"",(H105-C105)/C105)</f>
        <v/>
      </c>
      <c r="I106" s="18" t="str">
        <f t="shared" ref="I106" si="398">IF(ISERROR((I105-D105)/D105),"",(I105-D105)/D105)</f>
        <v/>
      </c>
      <c r="J106" s="18" t="str">
        <f t="shared" ref="J106" si="399">IF(ISERROR((J105-E105)/E105),"",(J105-E105)/E105)</f>
        <v/>
      </c>
      <c r="K106" s="60" t="str">
        <f t="shared" ref="K106" si="400">IF(ISERROR((K105-F105)/F105),"",(K105-F105)/F105)</f>
        <v/>
      </c>
      <c r="L106" s="18" t="str">
        <f t="shared" ref="L106" si="401">IF(ISERROR((L105-G105)/G105),"",(L105-G105)/G105)</f>
        <v/>
      </c>
      <c r="M106" s="18"/>
      <c r="N106" s="18"/>
      <c r="O106" s="18"/>
      <c r="P106" s="60"/>
      <c r="Q106" s="18"/>
      <c r="R106" s="18"/>
      <c r="S106" s="18"/>
      <c r="T106" s="18"/>
      <c r="U106" s="60"/>
      <c r="V106" s="18"/>
      <c r="W106" s="18"/>
      <c r="X106" s="18"/>
      <c r="Y106" s="18"/>
      <c r="Z106" s="60"/>
      <c r="AA106" s="18"/>
      <c r="AB106" s="18"/>
      <c r="AC106" s="18"/>
      <c r="AD106" s="18"/>
      <c r="AE106" s="60"/>
      <c r="AF106" s="18"/>
      <c r="AG106" s="18"/>
      <c r="AH106" s="18"/>
      <c r="AI106" s="18"/>
      <c r="AJ106" s="60"/>
      <c r="AK106" s="18"/>
      <c r="AL106" s="18"/>
      <c r="AM106" s="18"/>
      <c r="AN106" s="18"/>
      <c r="AO106" s="60"/>
      <c r="AP106" s="18"/>
      <c r="AQ106" s="18"/>
      <c r="AR106" s="18"/>
      <c r="AS106" s="18"/>
      <c r="AT106" s="60"/>
      <c r="AU106" s="18"/>
      <c r="AV106" s="191"/>
      <c r="AW106" s="191"/>
      <c r="AX106" s="191"/>
      <c r="AY106" s="368"/>
      <c r="AZ106" s="2060"/>
      <c r="BA106" s="2061"/>
      <c r="BB106" s="2061"/>
      <c r="BC106" s="2061"/>
      <c r="BD106" s="2062"/>
      <c r="BE106" s="2060"/>
      <c r="BF106" s="2061"/>
      <c r="BG106" s="2061"/>
      <c r="BH106" s="2061"/>
      <c r="BI106" s="2062"/>
      <c r="BJ106" s="2060"/>
      <c r="BK106" s="2061"/>
      <c r="BL106" s="2061"/>
      <c r="BM106" s="2061"/>
      <c r="BN106" s="2062"/>
      <c r="BO106" s="2060"/>
      <c r="BP106" s="2061"/>
      <c r="BQ106" s="2061"/>
      <c r="BR106" s="2168"/>
      <c r="BS106" s="2062"/>
      <c r="BT106" s="18"/>
      <c r="BU106" s="18"/>
      <c r="BV106" s="18"/>
      <c r="BW106" s="18"/>
      <c r="BX106" s="60"/>
      <c r="BY106" s="18"/>
      <c r="BZ106" s="18"/>
      <c r="CA106" s="18"/>
      <c r="CB106" s="18"/>
      <c r="CC106" s="60"/>
      <c r="CD106" s="191"/>
      <c r="CE106" s="111"/>
      <c r="CF106" s="173"/>
      <c r="CG106" s="173"/>
      <c r="CH106" s="173"/>
      <c r="CI106" s="239"/>
      <c r="CJ106" s="177"/>
      <c r="CK106" s="2070"/>
      <c r="CL106" s="2061"/>
      <c r="CM106" s="2061"/>
      <c r="CN106" s="2061"/>
      <c r="CO106" s="2061"/>
      <c r="CP106" s="2061"/>
      <c r="CQ106" s="44"/>
      <c r="CR106" s="40"/>
      <c r="CS106" s="2149"/>
      <c r="CT106" s="40"/>
      <c r="CU106" s="40"/>
      <c r="CV106" s="40"/>
      <c r="CW106" s="40"/>
      <c r="CX106" s="40"/>
      <c r="CY106" s="139"/>
      <c r="CZ106"/>
      <c r="DA106"/>
      <c r="DB106"/>
      <c r="DC106"/>
      <c r="DD106"/>
      <c r="DE106"/>
      <c r="DF106" s="3"/>
      <c r="DG106" s="3"/>
      <c r="DH106" s="3"/>
      <c r="DI106" s="3"/>
      <c r="DJ106" s="3"/>
    </row>
    <row r="107" spans="1:114" s="176" customFormat="1" ht="12.75" hidden="1" customHeight="1" outlineLevel="1">
      <c r="A107" s="501" t="s">
        <v>220</v>
      </c>
      <c r="B107" s="546" t="str">
        <f>IF(ISERROR(B110/#REF!),"",B110/#REF!)</f>
        <v/>
      </c>
      <c r="C107" s="374" t="str">
        <f>IF(ISERROR(C110/#REF!),"",C110/#REF!)</f>
        <v/>
      </c>
      <c r="D107" s="374" t="str">
        <f>IF(ISERROR(D110/#REF!),"",D110/#REF!)</f>
        <v/>
      </c>
      <c r="E107" s="374" t="str">
        <f>IF(ISERROR(E110/#REF!),"",E110/#REF!)</f>
        <v/>
      </c>
      <c r="F107" s="376" t="str">
        <f>IF(ISERROR(F110/#REF!),"",F110/#REF!)</f>
        <v/>
      </c>
      <c r="G107" s="374"/>
      <c r="H107" s="374"/>
      <c r="I107" s="374"/>
      <c r="J107" s="374"/>
      <c r="K107" s="376"/>
      <c r="L107" s="374"/>
      <c r="M107" s="374"/>
      <c r="N107" s="374"/>
      <c r="O107" s="374"/>
      <c r="P107" s="376"/>
      <c r="Q107" s="374"/>
      <c r="R107" s="374"/>
      <c r="S107" s="374"/>
      <c r="T107" s="374"/>
      <c r="U107" s="376"/>
      <c r="V107" s="374"/>
      <c r="W107" s="374"/>
      <c r="X107" s="374"/>
      <c r="Y107" s="374"/>
      <c r="Z107" s="376"/>
      <c r="AA107" s="374"/>
      <c r="AB107" s="374"/>
      <c r="AC107" s="374"/>
      <c r="AD107" s="374"/>
      <c r="AE107" s="376"/>
      <c r="AF107" s="374"/>
      <c r="AG107" s="374"/>
      <c r="AH107" s="374"/>
      <c r="AI107" s="374"/>
      <c r="AJ107" s="376"/>
      <c r="AK107" s="374"/>
      <c r="AL107" s="374"/>
      <c r="AM107" s="374"/>
      <c r="AN107" s="374"/>
      <c r="AO107" s="376"/>
      <c r="AP107" s="374"/>
      <c r="AQ107" s="374"/>
      <c r="AR107" s="374"/>
      <c r="AS107" s="374"/>
      <c r="AT107" s="376"/>
      <c r="AU107" s="374"/>
      <c r="AV107" s="374"/>
      <c r="AW107" s="374"/>
      <c r="AX107" s="374"/>
      <c r="AY107" s="546"/>
      <c r="AZ107" s="546"/>
      <c r="BA107" s="374">
        <f>+BA110/BA42</f>
        <v>0.74971815107102591</v>
      </c>
      <c r="BB107" s="374">
        <f>+BB110/BB42</f>
        <v>0.74572162007986298</v>
      </c>
      <c r="BC107" s="374">
        <f>+BC110/BC42</f>
        <v>0.75232671204333945</v>
      </c>
      <c r="BD107" s="1944"/>
      <c r="BE107" s="546"/>
      <c r="BF107" s="374"/>
      <c r="BG107" s="374"/>
      <c r="BH107" s="374"/>
      <c r="BI107" s="1944"/>
      <c r="BJ107" s="546"/>
      <c r="BK107" s="374"/>
      <c r="BL107" s="374"/>
      <c r="BM107" s="374"/>
      <c r="BN107" s="1944"/>
      <c r="BO107" s="2347"/>
      <c r="BP107" s="377"/>
      <c r="BQ107" s="377"/>
      <c r="BR107" s="2164"/>
      <c r="BS107" s="1944"/>
      <c r="BT107" s="377"/>
      <c r="BU107" s="377"/>
      <c r="BV107" s="377"/>
      <c r="BW107" s="377"/>
      <c r="BX107" s="378"/>
      <c r="BY107" s="377"/>
      <c r="BZ107" s="377"/>
      <c r="CA107" s="377"/>
      <c r="CB107" s="377"/>
      <c r="CC107" s="378"/>
      <c r="CD107" s="193"/>
      <c r="CE107" s="113"/>
      <c r="CF107" s="173"/>
      <c r="CG107" s="173"/>
      <c r="CH107" s="173"/>
      <c r="CI107" s="239"/>
      <c r="CJ107" s="177"/>
      <c r="CK107" s="2070"/>
      <c r="CL107" s="374"/>
      <c r="CM107" s="374"/>
      <c r="CN107" s="377"/>
      <c r="CO107" s="374"/>
      <c r="CP107" s="374"/>
      <c r="CQ107" s="374"/>
      <c r="CR107" s="40"/>
      <c r="CS107" s="2151"/>
      <c r="CT107" s="16"/>
      <c r="CU107" s="16"/>
      <c r="CV107" s="16"/>
      <c r="CW107" s="16"/>
      <c r="CX107" s="16"/>
      <c r="CY107" s="141"/>
      <c r="CZ107"/>
      <c r="DA107"/>
      <c r="DB107"/>
      <c r="DC107"/>
      <c r="DD107"/>
      <c r="DE107"/>
      <c r="DF107" s="8"/>
      <c r="DG107" s="8"/>
      <c r="DH107" s="8"/>
      <c r="DI107" s="8"/>
      <c r="DJ107" s="8"/>
    </row>
    <row r="108" spans="1:114" s="179" customFormat="1" ht="12.75" hidden="1" customHeight="1" outlineLevel="1">
      <c r="A108" s="502" t="s">
        <v>86</v>
      </c>
      <c r="B108" s="547" t="str">
        <f>IF(ISERROR((B107-#REF!)*100),"",(B107-#REF!)*100)</f>
        <v/>
      </c>
      <c r="C108" s="91" t="str">
        <f>IF(ISERROR((C107-#REF!)*100),"",(C107-#REF!)*100)</f>
        <v/>
      </c>
      <c r="D108" s="91" t="str">
        <f>IF(ISERROR((D107-#REF!)*100),"",(D107-#REF!)*100)</f>
        <v/>
      </c>
      <c r="E108" s="91" t="str">
        <f>IF(ISERROR((E107-#REF!)*100),"",(E107-#REF!)*100)</f>
        <v/>
      </c>
      <c r="F108" s="92"/>
      <c r="G108" s="91"/>
      <c r="H108" s="91"/>
      <c r="I108" s="91"/>
      <c r="J108" s="91"/>
      <c r="K108" s="92"/>
      <c r="L108" s="91"/>
      <c r="M108" s="91"/>
      <c r="N108" s="91"/>
      <c r="O108" s="91"/>
      <c r="P108" s="92"/>
      <c r="Q108" s="91"/>
      <c r="R108" s="91"/>
      <c r="S108" s="91"/>
      <c r="T108" s="91"/>
      <c r="U108" s="92"/>
      <c r="V108" s="91"/>
      <c r="W108" s="91"/>
      <c r="X108" s="91"/>
      <c r="Y108" s="91"/>
      <c r="Z108" s="92"/>
      <c r="AA108" s="91"/>
      <c r="AB108" s="91"/>
      <c r="AC108" s="91"/>
      <c r="AD108" s="91"/>
      <c r="AE108" s="92"/>
      <c r="AF108" s="91"/>
      <c r="AG108" s="91"/>
      <c r="AH108" s="91"/>
      <c r="AI108" s="91"/>
      <c r="AJ108" s="92"/>
      <c r="AK108" s="91"/>
      <c r="AL108" s="91"/>
      <c r="AM108" s="91"/>
      <c r="AN108" s="91"/>
      <c r="AO108" s="92"/>
      <c r="AP108" s="91"/>
      <c r="AQ108" s="91"/>
      <c r="AR108" s="91"/>
      <c r="AS108" s="91"/>
      <c r="AT108" s="92"/>
      <c r="AU108" s="91"/>
      <c r="AV108" s="197"/>
      <c r="AW108" s="197"/>
      <c r="AX108" s="91"/>
      <c r="AY108" s="547"/>
      <c r="AZ108" s="2051"/>
      <c r="BA108" s="2052"/>
      <c r="BB108" s="2052"/>
      <c r="BC108" s="2052"/>
      <c r="BD108" s="2053"/>
      <c r="BE108" s="2051"/>
      <c r="BF108" s="2052"/>
      <c r="BG108" s="2052"/>
      <c r="BH108" s="2052"/>
      <c r="BI108" s="2053"/>
      <c r="BJ108" s="2051"/>
      <c r="BK108" s="2052"/>
      <c r="BL108" s="2052"/>
      <c r="BM108" s="2052"/>
      <c r="BN108" s="2053"/>
      <c r="BO108" s="2051"/>
      <c r="BP108" s="2052"/>
      <c r="BQ108" s="2052"/>
      <c r="BR108" s="2054"/>
      <c r="BS108" s="2053"/>
      <c r="BT108" s="90"/>
      <c r="BU108" s="90"/>
      <c r="BV108" s="90"/>
      <c r="BW108" s="90"/>
      <c r="BX108" s="461"/>
      <c r="BY108" s="90"/>
      <c r="BZ108" s="90"/>
      <c r="CA108" s="90"/>
      <c r="CB108" s="90"/>
      <c r="CC108" s="461"/>
      <c r="CD108" s="197"/>
      <c r="CE108" s="117"/>
      <c r="CF108" s="173"/>
      <c r="CG108" s="173"/>
      <c r="CH108" s="173"/>
      <c r="CI108" s="239"/>
      <c r="CJ108" s="177"/>
      <c r="CK108" s="2070"/>
      <c r="CL108" s="2052"/>
      <c r="CM108" s="2052"/>
      <c r="CN108" s="2052"/>
      <c r="CO108" s="2052"/>
      <c r="CP108" s="2052"/>
      <c r="CQ108" s="44"/>
      <c r="CR108" s="258"/>
      <c r="CS108" s="2149"/>
      <c r="CT108" s="93"/>
      <c r="CU108" s="93"/>
      <c r="CV108" s="93"/>
      <c r="CW108" s="93"/>
      <c r="CX108" s="93"/>
      <c r="CY108" s="119"/>
      <c r="CZ108"/>
      <c r="DA108"/>
      <c r="DB108"/>
      <c r="DC108"/>
      <c r="DD108"/>
      <c r="DE108"/>
      <c r="DF108" s="90"/>
      <c r="DG108" s="90"/>
      <c r="DH108" s="90"/>
      <c r="DI108" s="90"/>
      <c r="DJ108" s="90"/>
    </row>
    <row r="109" spans="1:114" s="1" customFormat="1" ht="12.75" hidden="1" customHeight="1" outlineLevel="1">
      <c r="A109" s="76" t="s">
        <v>88</v>
      </c>
      <c r="B109" s="190" t="str">
        <f>IF(ISERROR((B107-#REF!)*100),"",(B107-#REF!)*100)</f>
        <v/>
      </c>
      <c r="C109" s="6" t="str">
        <f>IF(ISERROR((C107-#REF!)*100),"",(C107-#REF!)*100)</f>
        <v/>
      </c>
      <c r="D109" s="6" t="str">
        <f>IF(ISERROR((D107-B107)*100),"",(D107-B107)*100)</f>
        <v/>
      </c>
      <c r="E109" s="6" t="str">
        <f>IF(ISERROR((E107-C107)*100),"",(E107-C107)*100)</f>
        <v/>
      </c>
      <c r="F109" s="61"/>
      <c r="G109" s="6"/>
      <c r="H109" s="6"/>
      <c r="I109" s="6"/>
      <c r="J109" s="6"/>
      <c r="K109" s="61"/>
      <c r="L109" s="6"/>
      <c r="M109" s="6"/>
      <c r="N109" s="6"/>
      <c r="O109" s="6"/>
      <c r="P109" s="61"/>
      <c r="Q109" s="6"/>
      <c r="R109" s="6"/>
      <c r="S109" s="6"/>
      <c r="T109" s="6"/>
      <c r="U109" s="61"/>
      <c r="V109" s="6"/>
      <c r="W109" s="6"/>
      <c r="X109" s="6"/>
      <c r="Y109" s="6"/>
      <c r="Z109" s="61"/>
      <c r="AA109" s="6"/>
      <c r="AB109" s="6"/>
      <c r="AC109" s="6"/>
      <c r="AD109" s="6"/>
      <c r="AE109" s="61"/>
      <c r="AF109" s="6"/>
      <c r="AG109" s="6"/>
      <c r="AH109" s="6"/>
      <c r="AI109" s="6"/>
      <c r="AJ109" s="61"/>
      <c r="AK109" s="6"/>
      <c r="AL109" s="6"/>
      <c r="AM109" s="6"/>
      <c r="AN109" s="6"/>
      <c r="AO109" s="61"/>
      <c r="AP109" s="6"/>
      <c r="AQ109" s="6"/>
      <c r="AR109" s="6"/>
      <c r="AS109" s="6"/>
      <c r="AT109" s="61"/>
      <c r="AU109" s="194"/>
      <c r="AV109" s="194"/>
      <c r="AW109" s="194"/>
      <c r="AX109" s="6"/>
      <c r="AY109" s="190"/>
      <c r="AZ109" s="2055"/>
      <c r="BA109" s="2056"/>
      <c r="BB109" s="2056"/>
      <c r="BC109" s="2056"/>
      <c r="BD109" s="2057"/>
      <c r="BE109" s="2055"/>
      <c r="BF109" s="2056"/>
      <c r="BG109" s="2056"/>
      <c r="BH109" s="2056"/>
      <c r="BI109" s="2057"/>
      <c r="BJ109" s="2055"/>
      <c r="BK109" s="2056"/>
      <c r="BL109" s="2056"/>
      <c r="BM109" s="2056"/>
      <c r="BN109" s="2057"/>
      <c r="BO109" s="2055"/>
      <c r="BP109" s="2056"/>
      <c r="BQ109" s="2056"/>
      <c r="BR109" s="2185"/>
      <c r="BS109" s="2057"/>
      <c r="BT109" s="6"/>
      <c r="BU109" s="6"/>
      <c r="BV109" s="6"/>
      <c r="BW109" s="6"/>
      <c r="BX109" s="462"/>
      <c r="BY109" s="6"/>
      <c r="BZ109" s="6"/>
      <c r="CA109" s="6"/>
      <c r="CB109" s="6"/>
      <c r="CC109" s="462"/>
      <c r="CD109" s="194"/>
      <c r="CE109" s="114"/>
      <c r="CF109" s="447"/>
      <c r="CG109" s="447"/>
      <c r="CH109" s="447"/>
      <c r="CI109" s="447"/>
      <c r="CJ109" s="2203"/>
      <c r="CK109" s="2073"/>
      <c r="CL109" s="2056"/>
      <c r="CM109" s="2056"/>
      <c r="CN109" s="2056"/>
      <c r="CO109" s="2056"/>
      <c r="CP109" s="2056"/>
      <c r="CQ109" s="44"/>
      <c r="CR109" s="40"/>
      <c r="CS109" s="2149"/>
      <c r="CT109" s="40"/>
      <c r="CU109" s="40"/>
      <c r="CV109" s="40"/>
      <c r="CW109" s="40"/>
      <c r="CX109" s="40"/>
      <c r="CY109" s="139"/>
      <c r="CZ109"/>
      <c r="DA109"/>
      <c r="DB109"/>
      <c r="DC109"/>
      <c r="DD109"/>
      <c r="DE109"/>
      <c r="DF109" s="3"/>
      <c r="DG109" s="3"/>
      <c r="DH109" s="3"/>
      <c r="DI109" s="3"/>
      <c r="DJ109" s="3"/>
    </row>
    <row r="110" spans="1:114" s="262" customFormat="1" ht="12.75" hidden="1" customHeight="1" outlineLevel="1" collapsed="1">
      <c r="A110" s="503" t="s">
        <v>221</v>
      </c>
      <c r="B110" s="543"/>
      <c r="F110" s="265"/>
      <c r="K110" s="265"/>
      <c r="P110" s="265"/>
      <c r="U110" s="265"/>
      <c r="Z110" s="265"/>
      <c r="AE110" s="265"/>
      <c r="AJ110" s="265"/>
      <c r="AO110" s="265"/>
      <c r="AT110" s="265"/>
      <c r="AY110" s="543"/>
      <c r="AZ110" s="603"/>
      <c r="BA110" s="2058">
        <v>133</v>
      </c>
      <c r="BB110" s="2058">
        <v>522.9</v>
      </c>
      <c r="BC110" s="2058">
        <v>541.6</v>
      </c>
      <c r="BD110" s="2059"/>
      <c r="BE110" s="543"/>
      <c r="BF110" s="2058"/>
      <c r="BG110" s="2058"/>
      <c r="BH110" s="2058"/>
      <c r="BI110" s="2059"/>
      <c r="BJ110" s="543"/>
      <c r="BK110" s="2058"/>
      <c r="BL110" s="2058"/>
      <c r="BM110" s="2058"/>
      <c r="BN110" s="2059"/>
      <c r="BO110" s="603"/>
      <c r="BP110" s="2058"/>
      <c r="BQ110" s="2058"/>
      <c r="BR110" s="2190"/>
      <c r="BS110" s="2059"/>
      <c r="BT110" s="269"/>
      <c r="BU110" s="269"/>
      <c r="BV110" s="269"/>
      <c r="BW110" s="269"/>
      <c r="BX110" s="515"/>
      <c r="BY110" s="269"/>
      <c r="BZ110" s="269"/>
      <c r="CA110" s="269"/>
      <c r="CB110" s="269"/>
      <c r="CC110" s="515"/>
      <c r="CE110" s="263"/>
      <c r="CF110" s="264"/>
      <c r="CG110" s="264"/>
      <c r="CH110" s="264"/>
      <c r="CI110" s="265"/>
      <c r="CK110" s="2072"/>
      <c r="CL110" s="2058"/>
      <c r="CM110" s="2058"/>
      <c r="CN110" s="2058"/>
      <c r="CO110" s="2089" t="str">
        <f>IFERROR(($CL110/CM110)-1,"")</f>
        <v/>
      </c>
      <c r="CP110" s="2089"/>
      <c r="CQ110" s="452"/>
      <c r="CR110" s="453"/>
      <c r="CS110" s="2151"/>
      <c r="CT110" s="258"/>
      <c r="CU110" s="258"/>
      <c r="CV110" s="258"/>
      <c r="CW110" s="258"/>
      <c r="CX110" s="258"/>
      <c r="CY110" s="263"/>
      <c r="CZ110"/>
      <c r="DA110"/>
      <c r="DB110"/>
      <c r="DC110"/>
      <c r="DD110"/>
      <c r="DE110"/>
      <c r="DF110" s="266"/>
      <c r="DG110" s="266"/>
      <c r="DH110" s="266"/>
      <c r="DI110" s="266"/>
      <c r="DJ110" s="266"/>
    </row>
    <row r="111" spans="1:114" s="1" customFormat="1" ht="12.75" hidden="1" customHeight="1" outlineLevel="1">
      <c r="A111" s="504" t="s">
        <v>85</v>
      </c>
      <c r="B111" s="368" t="str">
        <f>IF(ISERROR((B110-#REF!)/#REF!),"",(B110-#REF!)/#REF!)</f>
        <v/>
      </c>
      <c r="C111" s="18" t="str">
        <f>IF(ISERROR((C110-#REF!)/#REF!),"",(C110-#REF!)/#REF!)</f>
        <v/>
      </c>
      <c r="D111" s="18" t="str">
        <f>IF(ISERROR((D110-#REF!)/#REF!),"",(D110-#REF!)/#REF!)</f>
        <v/>
      </c>
      <c r="E111" s="18" t="str">
        <f>IF(ISERROR((E110-#REF!)/#REF!),"",(E110-#REF!)/#REF!)</f>
        <v/>
      </c>
      <c r="F111" s="60"/>
      <c r="G111" s="18" t="str">
        <f t="shared" ref="G111" si="402">IF(ISERROR((G110-B110)/B110),"",(G110-B110)/B110)</f>
        <v/>
      </c>
      <c r="H111" s="18" t="str">
        <f t="shared" ref="H111" si="403">IF(ISERROR((H110-C110)/C110),"",(H110-C110)/C110)</f>
        <v/>
      </c>
      <c r="I111" s="18" t="str">
        <f t="shared" ref="I111" si="404">IF(ISERROR((I110-D110)/D110),"",(I110-D110)/D110)</f>
        <v/>
      </c>
      <c r="J111" s="18" t="str">
        <f t="shared" ref="J111" si="405">IF(ISERROR((J110-E110)/E110),"",(J110-E110)/E110)</f>
        <v/>
      </c>
      <c r="K111" s="60" t="str">
        <f t="shared" ref="K111" si="406">IF(ISERROR((K110-F110)/F110),"",(K110-F110)/F110)</f>
        <v/>
      </c>
      <c r="L111" s="18" t="str">
        <f t="shared" ref="L111" si="407">IF(ISERROR((L110-G110)/G110),"",(L110-G110)/G110)</f>
        <v/>
      </c>
      <c r="M111" s="18"/>
      <c r="N111" s="18"/>
      <c r="O111" s="18"/>
      <c r="P111" s="60"/>
      <c r="Q111" s="18"/>
      <c r="R111" s="18"/>
      <c r="S111" s="18"/>
      <c r="T111" s="18"/>
      <c r="U111" s="60"/>
      <c r="V111" s="18"/>
      <c r="W111" s="18"/>
      <c r="X111" s="18"/>
      <c r="Y111" s="18"/>
      <c r="Z111" s="60"/>
      <c r="AA111" s="18"/>
      <c r="AB111" s="18"/>
      <c r="AC111" s="18"/>
      <c r="AD111" s="18"/>
      <c r="AE111" s="60"/>
      <c r="AF111" s="18"/>
      <c r="AG111" s="18"/>
      <c r="AH111" s="18"/>
      <c r="AI111" s="18"/>
      <c r="AJ111" s="60"/>
      <c r="AK111" s="18"/>
      <c r="AL111" s="18"/>
      <c r="AM111" s="18"/>
      <c r="AN111" s="18"/>
      <c r="AO111" s="60"/>
      <c r="AP111" s="18"/>
      <c r="AQ111" s="18"/>
      <c r="AR111" s="18"/>
      <c r="AS111" s="18"/>
      <c r="AT111" s="60"/>
      <c r="AU111" s="18"/>
      <c r="AV111" s="191"/>
      <c r="AW111" s="191"/>
      <c r="AX111" s="191"/>
      <c r="AY111" s="368"/>
      <c r="AZ111" s="2060"/>
      <c r="BA111" s="2061"/>
      <c r="BB111" s="2061"/>
      <c r="BC111" s="2061"/>
      <c r="BD111" s="2062"/>
      <c r="BE111" s="2060"/>
      <c r="BF111" s="2061"/>
      <c r="BG111" s="2061"/>
      <c r="BH111" s="2061"/>
      <c r="BI111" s="2062"/>
      <c r="BJ111" s="2060"/>
      <c r="BK111" s="2061"/>
      <c r="BL111" s="2061"/>
      <c r="BM111" s="2061"/>
      <c r="BN111" s="2062"/>
      <c r="BO111" s="2060"/>
      <c r="BP111" s="2061"/>
      <c r="BQ111" s="2061"/>
      <c r="BR111" s="2168"/>
      <c r="BS111" s="2062"/>
      <c r="BT111" s="18"/>
      <c r="BU111" s="18"/>
      <c r="BV111" s="18"/>
      <c r="BW111" s="18"/>
      <c r="BX111" s="60"/>
      <c r="BY111" s="18"/>
      <c r="BZ111" s="18"/>
      <c r="CA111" s="18"/>
      <c r="CB111" s="18"/>
      <c r="CC111" s="60"/>
      <c r="CD111" s="191"/>
      <c r="CE111" s="111"/>
      <c r="CF111" s="173"/>
      <c r="CG111" s="173"/>
      <c r="CH111" s="173"/>
      <c r="CI111" s="239"/>
      <c r="CJ111" s="177"/>
      <c r="CK111" s="2070"/>
      <c r="CL111" s="2061"/>
      <c r="CM111" s="2061"/>
      <c r="CN111" s="2061"/>
      <c r="CO111" s="2061"/>
      <c r="CP111" s="2061"/>
      <c r="CQ111" s="44"/>
      <c r="CR111" s="40"/>
      <c r="CS111" s="2149"/>
      <c r="CT111" s="40"/>
      <c r="CU111" s="40"/>
      <c r="CV111" s="40"/>
      <c r="CW111" s="40"/>
      <c r="CX111" s="40"/>
      <c r="CY111" s="139"/>
      <c r="CZ111"/>
      <c r="DA111"/>
      <c r="DB111"/>
      <c r="DC111"/>
      <c r="DD111"/>
      <c r="DE111"/>
      <c r="DF111" s="3"/>
      <c r="DG111" s="3"/>
      <c r="DH111" s="3"/>
      <c r="DI111" s="3"/>
      <c r="DJ111" s="3"/>
    </row>
    <row r="112" spans="1:114" s="262" customFormat="1" ht="12.75" hidden="1" customHeight="1" outlineLevel="1" collapsed="1">
      <c r="A112" s="257" t="s">
        <v>193</v>
      </c>
      <c r="B112" s="542"/>
      <c r="C112" s="258"/>
      <c r="D112" s="258"/>
      <c r="E112" s="258"/>
      <c r="F112" s="261"/>
      <c r="G112" s="258"/>
      <c r="H112" s="258"/>
      <c r="I112" s="258"/>
      <c r="J112" s="258"/>
      <c r="K112" s="261"/>
      <c r="L112" s="258"/>
      <c r="M112" s="258"/>
      <c r="N112" s="258"/>
      <c r="O112" s="258"/>
      <c r="P112" s="261"/>
      <c r="Q112" s="258"/>
      <c r="R112" s="258"/>
      <c r="S112" s="258"/>
      <c r="T112" s="258"/>
      <c r="U112" s="261"/>
      <c r="V112" s="258"/>
      <c r="W112" s="258"/>
      <c r="X112" s="258"/>
      <c r="Y112" s="258"/>
      <c r="Z112" s="261"/>
      <c r="AA112" s="258"/>
      <c r="AB112" s="258"/>
      <c r="AC112" s="258"/>
      <c r="AD112" s="258"/>
      <c r="AE112" s="261"/>
      <c r="AF112" s="258"/>
      <c r="AG112" s="258"/>
      <c r="AH112" s="258"/>
      <c r="AI112" s="258"/>
      <c r="AJ112" s="261"/>
      <c r="AK112" s="258"/>
      <c r="AL112" s="258"/>
      <c r="AM112" s="258"/>
      <c r="AN112" s="258"/>
      <c r="AO112" s="261"/>
      <c r="AP112" s="258"/>
      <c r="AQ112" s="258"/>
      <c r="AR112" s="258"/>
      <c r="AS112" s="258"/>
      <c r="AT112" s="261"/>
      <c r="AU112" s="258"/>
      <c r="AV112" s="258"/>
      <c r="AW112" s="258">
        <f>+AW38</f>
        <v>50.12</v>
      </c>
      <c r="AX112" s="258">
        <f>+AX38</f>
        <v>166.5</v>
      </c>
      <c r="AY112" s="542">
        <f>SUM(AU112:AX112)</f>
        <v>216.62</v>
      </c>
      <c r="AZ112" s="542">
        <f>AZ38</f>
        <v>140.80000000000001</v>
      </c>
      <c r="BA112" s="258">
        <f>+BA110+BA105</f>
        <v>314</v>
      </c>
      <c r="BB112" s="258">
        <f>+BB110+BB105</f>
        <v>810</v>
      </c>
      <c r="BC112" s="258">
        <f>+BC110+BC105</f>
        <v>981.90000000000009</v>
      </c>
      <c r="BD112" s="1942">
        <f>SUM(AZ112:BC112)</f>
        <v>2246.6999999999998</v>
      </c>
      <c r="BE112" s="542">
        <v>950.5</v>
      </c>
      <c r="BF112" s="258">
        <v>1008.8</v>
      </c>
      <c r="BG112" s="258">
        <v>1030.3</v>
      </c>
      <c r="BH112" s="258">
        <v>1087.5</v>
      </c>
      <c r="BI112" s="1942">
        <f>SUM(BE112:BH112)</f>
        <v>4077.1</v>
      </c>
      <c r="BJ112" s="542">
        <v>1017.6</v>
      </c>
      <c r="BK112" s="258">
        <v>1088.2</v>
      </c>
      <c r="BL112" s="258">
        <v>1153.5999999999999</v>
      </c>
      <c r="BM112" s="258">
        <v>1252.3</v>
      </c>
      <c r="BN112" s="1942">
        <f>SUM(BJ112:BM112)</f>
        <v>4511.7</v>
      </c>
      <c r="BO112" s="542"/>
      <c r="BP112" s="258"/>
      <c r="BQ112" s="258"/>
      <c r="BR112" s="2191"/>
      <c r="BS112" s="1942"/>
      <c r="BT112" s="260"/>
      <c r="BU112" s="260"/>
      <c r="BV112" s="260"/>
      <c r="BW112" s="260"/>
      <c r="BX112" s="505"/>
      <c r="BY112" s="260"/>
      <c r="BZ112" s="260"/>
      <c r="CA112" s="260"/>
      <c r="CB112" s="260"/>
      <c r="CC112" s="506"/>
      <c r="CE112" s="263"/>
      <c r="CF112" s="264"/>
      <c r="CG112" s="264"/>
      <c r="CH112" s="264"/>
      <c r="CI112" s="265"/>
      <c r="CK112" s="2072"/>
      <c r="CL112" s="258">
        <f t="shared" ref="CL112:CL123" si="408">BM112</f>
        <v>1252.3</v>
      </c>
      <c r="CM112" s="258">
        <f t="shared" ref="CM112:CM123" si="409">BH112</f>
        <v>1087.5</v>
      </c>
      <c r="CN112" s="258"/>
      <c r="CO112" s="2091">
        <f>IFERROR(($CL112/CM112)-1,"")</f>
        <v>0.15154022988505744</v>
      </c>
      <c r="CP112" s="2091" t="str">
        <f>IFERROR(($CL112/CN112)-1,"")</f>
        <v/>
      </c>
      <c r="CQ112" s="452"/>
      <c r="CR112" s="453"/>
      <c r="CS112" s="2151"/>
      <c r="CT112" s="258"/>
      <c r="CU112" s="258"/>
      <c r="CV112" s="258"/>
      <c r="CW112" s="258"/>
      <c r="CX112" s="258"/>
      <c r="CY112" s="263"/>
      <c r="CZ112"/>
      <c r="DA112"/>
      <c r="DB112"/>
      <c r="DC112"/>
      <c r="DD112"/>
      <c r="DE112"/>
      <c r="DF112" s="266"/>
      <c r="DG112" s="266"/>
      <c r="DH112" s="266"/>
      <c r="DI112" s="266"/>
      <c r="DJ112" s="266"/>
    </row>
    <row r="113" spans="1:114" s="1" customFormat="1" ht="12.75" hidden="1" customHeight="1" outlineLevel="1">
      <c r="A113" s="76" t="s">
        <v>85</v>
      </c>
      <c r="B113" s="368" t="str">
        <f>IF(ISERROR((B112-#REF!)/#REF!),"",(B112-#REF!)/#REF!)</f>
        <v/>
      </c>
      <c r="C113" s="18" t="str">
        <f>IF(ISERROR((C112-#REF!)/#REF!),"",(C112-#REF!)/#REF!)</f>
        <v/>
      </c>
      <c r="D113" s="18" t="str">
        <f>IF(ISERROR((D112-#REF!)/#REF!),"",(D112-#REF!)/#REF!)</f>
        <v/>
      </c>
      <c r="E113" s="18" t="str">
        <f>IF(ISERROR((E112-#REF!)/#REF!),"",(E112-#REF!)/#REF!)</f>
        <v/>
      </c>
      <c r="F113" s="60"/>
      <c r="G113" s="18"/>
      <c r="H113" s="18"/>
      <c r="I113" s="18"/>
      <c r="J113" s="18"/>
      <c r="K113" s="60"/>
      <c r="L113" s="18"/>
      <c r="M113" s="18"/>
      <c r="N113" s="18"/>
      <c r="O113" s="18"/>
      <c r="P113" s="60"/>
      <c r="Q113" s="18"/>
      <c r="R113" s="18"/>
      <c r="S113" s="18"/>
      <c r="T113" s="18"/>
      <c r="U113" s="60"/>
      <c r="V113" s="18"/>
      <c r="W113" s="18"/>
      <c r="X113" s="18"/>
      <c r="Y113" s="18"/>
      <c r="Z113" s="60"/>
      <c r="AA113" s="18"/>
      <c r="AB113" s="18"/>
      <c r="AC113" s="18"/>
      <c r="AD113" s="18"/>
      <c r="AE113" s="60"/>
      <c r="AF113" s="18"/>
      <c r="AG113" s="18"/>
      <c r="AH113" s="18"/>
      <c r="AI113" s="18"/>
      <c r="AJ113" s="60"/>
      <c r="AK113" s="18"/>
      <c r="AL113" s="18"/>
      <c r="AM113" s="18"/>
      <c r="AN113" s="18"/>
      <c r="AO113" s="60"/>
      <c r="AP113" s="18"/>
      <c r="AQ113" s="18"/>
      <c r="AR113" s="18"/>
      <c r="AS113" s="18"/>
      <c r="AT113" s="60"/>
      <c r="AU113" s="18"/>
      <c r="AV113" s="18"/>
      <c r="AW113" s="18"/>
      <c r="AX113" s="18"/>
      <c r="AY113" s="368"/>
      <c r="AZ113" s="368"/>
      <c r="BA113" s="18"/>
      <c r="BB113" s="18"/>
      <c r="BC113" s="18">
        <f t="shared" ref="BC113" si="410">IF(ISERROR((BC112-AX112)/AX112),"",(BC112-AX112)/AX112)</f>
        <v>4.8972972972972979</v>
      </c>
      <c r="BD113" s="1936">
        <f t="shared" ref="BD113:BL113" si="411">IF(ISERROR((BD112-AY112)/AY112),"",(BD112-AY112)/AY112)</f>
        <v>9.3716185024466796</v>
      </c>
      <c r="BE113" s="368">
        <f t="shared" si="411"/>
        <v>5.7507102272727275</v>
      </c>
      <c r="BF113" s="18">
        <f t="shared" si="411"/>
        <v>2.2127388535031844</v>
      </c>
      <c r="BG113" s="18">
        <f t="shared" si="411"/>
        <v>0.27197530864197528</v>
      </c>
      <c r="BH113" s="18">
        <f t="shared" si="411"/>
        <v>0.10754659333944383</v>
      </c>
      <c r="BI113" s="1936">
        <f t="shared" ref="BI113" si="412">IF(ISERROR((BI112-BD112)/BD112),"",(BI112-BD112)/BD112)</f>
        <v>0.81470601326389824</v>
      </c>
      <c r="BJ113" s="368">
        <f t="shared" si="411"/>
        <v>7.0594423987375088E-2</v>
      </c>
      <c r="BK113" s="18">
        <f t="shared" si="411"/>
        <v>7.8707375099127772E-2</v>
      </c>
      <c r="BL113" s="18">
        <f t="shared" si="411"/>
        <v>0.11967388139376876</v>
      </c>
      <c r="BM113" s="18">
        <f t="shared" ref="BM113" si="413">IF(ISERROR((BM112-BH112)/BH112),"",(BM112-BH112)/BH112)</f>
        <v>0.15154022988505744</v>
      </c>
      <c r="BN113" s="1936">
        <f t="shared" ref="BN113" si="414">IF(ISERROR((BN112-BI112)/BI112),"",(BN112-BI112)/BI112)</f>
        <v>0.106595374163008</v>
      </c>
      <c r="BO113" s="368"/>
      <c r="BP113" s="18"/>
      <c r="BQ113" s="18"/>
      <c r="BR113" s="2162"/>
      <c r="BS113" s="1936"/>
      <c r="BT113" s="18"/>
      <c r="BU113" s="18"/>
      <c r="BV113" s="18"/>
      <c r="BW113" s="18"/>
      <c r="BX113" s="60"/>
      <c r="BY113" s="18"/>
      <c r="BZ113" s="18"/>
      <c r="CA113" s="18"/>
      <c r="CB113" s="18"/>
      <c r="CC113" s="60"/>
      <c r="CD113" s="191"/>
      <c r="CE113" s="111"/>
      <c r="CF113" s="173"/>
      <c r="CG113" s="173"/>
      <c r="CH113" s="173"/>
      <c r="CI113" s="239"/>
      <c r="CJ113" s="177"/>
      <c r="CK113" s="2070"/>
      <c r="CL113" s="18">
        <f t="shared" si="408"/>
        <v>0.15154022988505744</v>
      </c>
      <c r="CM113" s="18">
        <f t="shared" si="409"/>
        <v>0.10754659333944383</v>
      </c>
      <c r="CN113" s="18"/>
      <c r="CO113" s="2107">
        <f>IFERROR(($CL113-CM113)*10000,"")</f>
        <v>439.93636545613612</v>
      </c>
      <c r="CP113" s="2107"/>
      <c r="CQ113" s="44"/>
      <c r="CR113" s="40"/>
      <c r="CS113" s="2149"/>
      <c r="CT113" s="40"/>
      <c r="CU113" s="40"/>
      <c r="CV113" s="40"/>
      <c r="CW113" s="40"/>
      <c r="CX113" s="40"/>
      <c r="CY113" s="139"/>
      <c r="CZ113"/>
      <c r="DA113"/>
      <c r="DB113"/>
      <c r="DC113"/>
      <c r="DD113"/>
      <c r="DE113"/>
      <c r="DF113" s="3"/>
      <c r="DG113" s="3"/>
      <c r="DH113" s="3"/>
      <c r="DI113" s="3"/>
      <c r="DJ113" s="3"/>
    </row>
    <row r="114" spans="1:114" s="1" customFormat="1" ht="12.75" hidden="1" customHeight="1" outlineLevel="1">
      <c r="A114" s="383" t="s">
        <v>195</v>
      </c>
      <c r="B114" s="368"/>
      <c r="C114" s="18"/>
      <c r="D114" s="18"/>
      <c r="E114" s="18"/>
      <c r="F114" s="60"/>
      <c r="G114" s="18"/>
      <c r="H114" s="18"/>
      <c r="I114" s="18"/>
      <c r="J114" s="18"/>
      <c r="K114" s="60"/>
      <c r="L114" s="18"/>
      <c r="M114" s="18"/>
      <c r="N114" s="18"/>
      <c r="O114" s="18"/>
      <c r="P114" s="60"/>
      <c r="Q114" s="386"/>
      <c r="R114" s="386"/>
      <c r="S114" s="386"/>
      <c r="T114" s="386"/>
      <c r="U114" s="387"/>
      <c r="V114" s="386"/>
      <c r="W114" s="386"/>
      <c r="X114" s="386"/>
      <c r="Y114" s="386"/>
      <c r="Z114" s="387"/>
      <c r="AA114" s="386"/>
      <c r="AB114" s="386"/>
      <c r="AC114" s="386"/>
      <c r="AD114" s="386"/>
      <c r="AE114" s="387"/>
      <c r="AF114" s="386"/>
      <c r="AG114" s="386"/>
      <c r="AH114" s="386"/>
      <c r="AI114" s="386"/>
      <c r="AJ114" s="387"/>
      <c r="AK114" s="386"/>
      <c r="AL114" s="386"/>
      <c r="AM114" s="386"/>
      <c r="AN114" s="386"/>
      <c r="AO114" s="387"/>
      <c r="AP114" s="195"/>
      <c r="AQ114" s="386"/>
      <c r="AR114" s="386"/>
      <c r="AS114" s="386"/>
      <c r="AT114" s="387"/>
      <c r="AU114" s="195"/>
      <c r="AV114" s="386"/>
      <c r="AW114" s="485">
        <f t="shared" ref="AW114:BB114" si="415">+AW118/AW112</f>
        <v>8.9864325618515525E-2</v>
      </c>
      <c r="AX114" s="386">
        <f t="shared" si="415"/>
        <v>7.8678678678678643E-2</v>
      </c>
      <c r="AY114" s="582">
        <f t="shared" si="415"/>
        <v>8.1266734373557345E-2</v>
      </c>
      <c r="AZ114" s="608">
        <f t="shared" si="415"/>
        <v>4.8295454545454544E-2</v>
      </c>
      <c r="BA114" s="386">
        <f t="shared" si="415"/>
        <v>1.8789808917197455E-2</v>
      </c>
      <c r="BB114" s="386">
        <f t="shared" si="415"/>
        <v>5.08641975308642E-2</v>
      </c>
      <c r="BC114" s="386">
        <f t="shared" ref="BC114:BE114" si="416">+BC118/BC112</f>
        <v>4.9801405438435677E-2</v>
      </c>
      <c r="BD114" s="1950">
        <f t="shared" si="416"/>
        <v>4.5755997685494286E-2</v>
      </c>
      <c r="BE114" s="608">
        <f t="shared" si="416"/>
        <v>4.2819568648079953E-2</v>
      </c>
      <c r="BF114" s="386">
        <f t="shared" ref="BF114:BJ114" si="417">+BF118/BF112</f>
        <v>5.7791435368754959E-2</v>
      </c>
      <c r="BG114" s="386">
        <f t="shared" si="417"/>
        <v>7.6870814325924491E-2</v>
      </c>
      <c r="BH114" s="386">
        <f t="shared" si="417"/>
        <v>5.3793103448275856E-2</v>
      </c>
      <c r="BI114" s="1950">
        <f t="shared" si="417"/>
        <v>5.8055971155968701E-2</v>
      </c>
      <c r="BJ114" s="608">
        <f t="shared" si="417"/>
        <v>4.9233490566037728E-2</v>
      </c>
      <c r="BK114" s="386">
        <f t="shared" ref="BK114:BN114" si="418">+BK118/BK112</f>
        <v>6.5704833670281196E-2</v>
      </c>
      <c r="BL114" s="386">
        <f t="shared" si="418"/>
        <v>6.9434812760055475E-2</v>
      </c>
      <c r="BM114" s="386">
        <f t="shared" si="418"/>
        <v>5.1265671165056287E-2</v>
      </c>
      <c r="BN114" s="1950">
        <f t="shared" si="418"/>
        <v>5.8935656182813573E-2</v>
      </c>
      <c r="BO114" s="2349"/>
      <c r="BP114" s="393"/>
      <c r="BQ114" s="393"/>
      <c r="BR114" s="2169"/>
      <c r="BS114" s="1950"/>
      <c r="BT114" s="386"/>
      <c r="BU114" s="386"/>
      <c r="BV114" s="386"/>
      <c r="BW114" s="386"/>
      <c r="BX114" s="394"/>
      <c r="BY114" s="386"/>
      <c r="BZ114" s="386"/>
      <c r="CA114" s="386"/>
      <c r="CB114" s="386"/>
      <c r="CC114" s="394"/>
      <c r="CD114" s="191"/>
      <c r="CE114" s="111"/>
      <c r="CF114" s="173"/>
      <c r="CG114" s="173"/>
      <c r="CH114" s="173"/>
      <c r="CI114" s="239"/>
      <c r="CJ114" s="177"/>
      <c r="CK114" s="2070"/>
      <c r="CL114" s="386">
        <f t="shared" si="408"/>
        <v>5.1265671165056287E-2</v>
      </c>
      <c r="CM114" s="386">
        <f t="shared" si="409"/>
        <v>5.3793103448275856E-2</v>
      </c>
      <c r="CN114" s="393"/>
      <c r="CO114" s="2111">
        <f>IFERROR(($CL114-CM114)*10000,"")</f>
        <v>-25.27432283219569</v>
      </c>
      <c r="CP114" s="2111">
        <f>IFERROR(($CL114-CN114)*10000,"")</f>
        <v>512.6567116505629</v>
      </c>
      <c r="CQ114" s="475"/>
      <c r="CR114" s="40"/>
      <c r="CS114" s="2149"/>
      <c r="CT114" s="40"/>
      <c r="CU114" s="40"/>
      <c r="CV114" s="40"/>
      <c r="CW114" s="40"/>
      <c r="CX114" s="40"/>
      <c r="CY114" s="139"/>
      <c r="CZ114"/>
      <c r="DA114"/>
      <c r="DB114"/>
      <c r="DC114"/>
      <c r="DD114"/>
      <c r="DE114"/>
      <c r="DF114" s="3"/>
      <c r="DG114" s="3"/>
      <c r="DH114" s="3"/>
      <c r="DI114" s="3"/>
      <c r="DJ114" s="3"/>
    </row>
    <row r="115" spans="1:114" s="1" customFormat="1" ht="12.75" hidden="1" customHeight="1" outlineLevel="1">
      <c r="A115" s="76" t="s">
        <v>86</v>
      </c>
      <c r="B115" s="368"/>
      <c r="C115" s="18"/>
      <c r="D115" s="18"/>
      <c r="E115" s="18"/>
      <c r="F115" s="60"/>
      <c r="G115" s="18"/>
      <c r="H115" s="18"/>
      <c r="I115" s="18"/>
      <c r="J115" s="18"/>
      <c r="K115" s="60"/>
      <c r="L115" s="18"/>
      <c r="M115" s="18"/>
      <c r="N115" s="18"/>
      <c r="O115" s="18"/>
      <c r="P115" s="60"/>
      <c r="Q115" s="91"/>
      <c r="R115" s="91"/>
      <c r="S115" s="91"/>
      <c r="T115" s="91"/>
      <c r="U115" s="92"/>
      <c r="V115" s="91"/>
      <c r="W115" s="91"/>
      <c r="X115" s="91"/>
      <c r="Y115" s="91"/>
      <c r="Z115" s="92"/>
      <c r="AA115" s="91"/>
      <c r="AB115" s="91"/>
      <c r="AC115" s="91"/>
      <c r="AD115" s="91"/>
      <c r="AE115" s="92"/>
      <c r="AF115" s="91"/>
      <c r="AG115" s="91"/>
      <c r="AH115" s="91"/>
      <c r="AI115" s="91"/>
      <c r="AJ115" s="92"/>
      <c r="AK115" s="197"/>
      <c r="AL115" s="197"/>
      <c r="AM115" s="197"/>
      <c r="AN115" s="197"/>
      <c r="AO115" s="430"/>
      <c r="AP115" s="197"/>
      <c r="AQ115" s="197"/>
      <c r="AR115" s="197"/>
      <c r="AS115" s="197"/>
      <c r="AT115" s="92"/>
      <c r="AU115" s="197"/>
      <c r="AV115" s="197"/>
      <c r="AW115" s="197"/>
      <c r="AX115" s="197"/>
      <c r="AY115" s="547"/>
      <c r="AZ115" s="548"/>
      <c r="BA115" s="197"/>
      <c r="BB115" s="197"/>
      <c r="BC115" s="197">
        <f t="shared" ref="BC115:BG115" si="419">(BC114-AX114)*100</f>
        <v>-2.8877273240242967</v>
      </c>
      <c r="BD115" s="1945">
        <f t="shared" ref="BD115" si="420">(BD114-AY114)*100</f>
        <v>-3.551073668806306</v>
      </c>
      <c r="BE115" s="548">
        <f t="shared" si="419"/>
        <v>-0.54758858973745905</v>
      </c>
      <c r="BF115" s="197">
        <f>(BF114-BA114)*100</f>
        <v>3.9001626451557505</v>
      </c>
      <c r="BG115" s="197">
        <f t="shared" si="419"/>
        <v>2.6006616795060293</v>
      </c>
      <c r="BH115" s="197">
        <f t="shared" ref="BH115" si="421">(BH114-BC114)*100</f>
        <v>0.39916980098401789</v>
      </c>
      <c r="BI115" s="1945">
        <f t="shared" ref="BI115:BJ115" si="422">(BI114-BD114)*100</f>
        <v>1.2299973470474415</v>
      </c>
      <c r="BJ115" s="548">
        <f t="shared" si="422"/>
        <v>0.64139219179577756</v>
      </c>
      <c r="BK115" s="197">
        <f>(BK114-BF114)*100</f>
        <v>0.79133983015262366</v>
      </c>
      <c r="BL115" s="197">
        <f t="shared" ref="BL115" si="423">(BL114-BG114)*100</f>
        <v>-0.7436001565869016</v>
      </c>
      <c r="BM115" s="197">
        <f t="shared" ref="BM115" si="424">(BM114-BH114)*100</f>
        <v>-0.25274322832195689</v>
      </c>
      <c r="BN115" s="1945">
        <f t="shared" ref="BN115" si="425">(BN114-BI114)*100</f>
        <v>8.7968502684487165E-2</v>
      </c>
      <c r="BO115" s="547"/>
      <c r="BP115" s="91"/>
      <c r="BQ115" s="91"/>
      <c r="BR115" s="2165"/>
      <c r="BS115" s="1945"/>
      <c r="BT115" s="90"/>
      <c r="BU115" s="90"/>
      <c r="BV115" s="90"/>
      <c r="BW115" s="90"/>
      <c r="BX115" s="92"/>
      <c r="BY115" s="90"/>
      <c r="BZ115" s="90"/>
      <c r="CA115" s="90"/>
      <c r="CB115" s="90"/>
      <c r="CC115" s="92"/>
      <c r="CD115" s="191"/>
      <c r="CE115" s="111"/>
      <c r="CF115" s="173"/>
      <c r="CG115" s="173"/>
      <c r="CH115" s="173"/>
      <c r="CI115" s="239"/>
      <c r="CJ115" s="177"/>
      <c r="CK115" s="2070"/>
      <c r="CL115" s="197">
        <f t="shared" si="408"/>
        <v>-0.25274322832195689</v>
      </c>
      <c r="CM115" s="197">
        <f t="shared" si="409"/>
        <v>0.39916980098401789</v>
      </c>
      <c r="CN115" s="91"/>
      <c r="CO115" s="197"/>
      <c r="CP115" s="197"/>
      <c r="CQ115" s="44"/>
      <c r="CR115" s="40"/>
      <c r="CS115" s="2149"/>
      <c r="CT115" s="40"/>
      <c r="CU115" s="40"/>
      <c r="CV115" s="40"/>
      <c r="CW115" s="40"/>
      <c r="CX115" s="40"/>
      <c r="CY115" s="139"/>
      <c r="CZ115"/>
      <c r="DA115"/>
      <c r="DB115"/>
      <c r="DC115"/>
      <c r="DD115"/>
      <c r="DE115"/>
      <c r="DF115" s="3"/>
      <c r="DG115" s="3"/>
      <c r="DH115" s="3"/>
      <c r="DI115" s="3"/>
      <c r="DJ115" s="3"/>
    </row>
    <row r="116" spans="1:114" s="1" customFormat="1" ht="12.75" hidden="1" customHeight="1" outlineLevel="1">
      <c r="A116" s="76" t="s">
        <v>88</v>
      </c>
      <c r="B116" s="368"/>
      <c r="C116" s="18"/>
      <c r="D116" s="18"/>
      <c r="E116" s="18"/>
      <c r="F116" s="60"/>
      <c r="G116" s="18"/>
      <c r="H116" s="18"/>
      <c r="I116" s="18"/>
      <c r="J116" s="18"/>
      <c r="K116" s="60"/>
      <c r="L116" s="18"/>
      <c r="M116" s="18"/>
      <c r="N116" s="18"/>
      <c r="O116" s="18"/>
      <c r="P116" s="60"/>
      <c r="Q116" s="6"/>
      <c r="R116" s="6"/>
      <c r="S116" s="6"/>
      <c r="T116" s="6"/>
      <c r="U116" s="61"/>
      <c r="V116" s="6"/>
      <c r="W116" s="6"/>
      <c r="X116" s="6"/>
      <c r="Y116" s="6"/>
      <c r="Z116" s="61"/>
      <c r="AA116" s="6"/>
      <c r="AB116" s="6"/>
      <c r="AC116" s="6"/>
      <c r="AD116" s="6"/>
      <c r="AE116" s="61"/>
      <c r="AF116" s="6"/>
      <c r="AG116" s="6"/>
      <c r="AH116" s="6"/>
      <c r="AI116" s="6"/>
      <c r="AJ116" s="61"/>
      <c r="AK116" s="194"/>
      <c r="AL116" s="194"/>
      <c r="AM116" s="194"/>
      <c r="AN116" s="194"/>
      <c r="AO116" s="431"/>
      <c r="AP116" s="194"/>
      <c r="AQ116" s="194"/>
      <c r="AR116" s="194"/>
      <c r="AS116" s="194"/>
      <c r="AT116" s="61"/>
      <c r="AU116" s="194"/>
      <c r="AV116" s="194"/>
      <c r="AW116" s="194"/>
      <c r="AX116" s="194"/>
      <c r="AY116" s="190"/>
      <c r="AZ116" s="190">
        <f>(AZ114-AX114)*100</f>
        <v>-3.03832241332241</v>
      </c>
      <c r="BA116" s="194">
        <f>(BA114-AZ114)*100</f>
        <v>-2.9505645628257091</v>
      </c>
      <c r="BB116" s="194">
        <f>(BB114-BA114)*100</f>
        <v>3.2074388613666747</v>
      </c>
      <c r="BC116" s="194">
        <f>(BC114-BB114)*100</f>
        <v>-0.10627920924285231</v>
      </c>
      <c r="BD116" s="1946"/>
      <c r="BE116" s="190">
        <f>(BE114-BC114)*100</f>
        <v>-0.69818367903557232</v>
      </c>
      <c r="BF116" s="194">
        <f>(BF114-BE114)*100</f>
        <v>1.4971866720675007</v>
      </c>
      <c r="BG116" s="194">
        <f>(BG114-BF114)*100</f>
        <v>1.9079378957169533</v>
      </c>
      <c r="BH116" s="194">
        <f>(BH114-BG114)*100</f>
        <v>-2.3077710877648636</v>
      </c>
      <c r="BI116" s="1946"/>
      <c r="BJ116" s="190">
        <f>(BJ114-BH114)*100</f>
        <v>-0.45596128822381277</v>
      </c>
      <c r="BK116" s="194">
        <f>(BK114-BJ114)*100</f>
        <v>1.6471343104243468</v>
      </c>
      <c r="BL116" s="194">
        <f>(BL114-BK114)*100</f>
        <v>0.37299790897742796</v>
      </c>
      <c r="BM116" s="194">
        <f>(BM114-BL114)*100</f>
        <v>-1.8169141594999187</v>
      </c>
      <c r="BN116" s="1946"/>
      <c r="BO116" s="190"/>
      <c r="BP116" s="6"/>
      <c r="BQ116" s="6"/>
      <c r="BR116" s="2166"/>
      <c r="BS116" s="1946"/>
      <c r="BT116" s="6"/>
      <c r="BU116" s="6"/>
      <c r="BV116" s="6"/>
      <c r="BW116" s="6"/>
      <c r="BX116" s="61"/>
      <c r="BY116" s="6"/>
      <c r="BZ116" s="6"/>
      <c r="CA116" s="6"/>
      <c r="CB116" s="6"/>
      <c r="CC116" s="61"/>
      <c r="CD116" s="191"/>
      <c r="CE116" s="111"/>
      <c r="CF116" s="447"/>
      <c r="CG116" s="447"/>
      <c r="CH116" s="447"/>
      <c r="CI116" s="447"/>
      <c r="CJ116" s="2203"/>
      <c r="CK116" s="2073"/>
      <c r="CL116" s="194">
        <f t="shared" si="408"/>
        <v>-1.8169141594999187</v>
      </c>
      <c r="CM116" s="194">
        <f t="shared" si="409"/>
        <v>-2.3077710877648636</v>
      </c>
      <c r="CN116" s="6"/>
      <c r="CO116" s="194"/>
      <c r="CP116" s="194"/>
      <c r="CQ116" s="44"/>
      <c r="CR116" s="40"/>
      <c r="CS116" s="2149"/>
      <c r="CT116" s="40"/>
      <c r="CU116" s="40"/>
      <c r="CV116" s="40"/>
      <c r="CW116" s="40"/>
      <c r="CX116" s="40"/>
      <c r="CY116" s="139"/>
      <c r="CZ116"/>
      <c r="DA116"/>
      <c r="DB116"/>
      <c r="DC116"/>
      <c r="DD116"/>
      <c r="DE116"/>
      <c r="DF116" s="3"/>
      <c r="DG116" s="3"/>
      <c r="DH116" s="3"/>
      <c r="DI116" s="3"/>
      <c r="DJ116" s="3"/>
    </row>
    <row r="117" spans="1:114" s="1" customFormat="1" ht="12.75" hidden="1" customHeight="1" outlineLevel="1">
      <c r="A117" s="384" t="s">
        <v>105</v>
      </c>
      <c r="B117" s="368"/>
      <c r="C117" s="18"/>
      <c r="D117" s="18"/>
      <c r="E117" s="18"/>
      <c r="F117" s="60"/>
      <c r="G117" s="18"/>
      <c r="H117" s="18"/>
      <c r="I117" s="18"/>
      <c r="J117" s="18"/>
      <c r="K117" s="60"/>
      <c r="L117" s="18"/>
      <c r="M117" s="18"/>
      <c r="N117" s="18"/>
      <c r="O117" s="18"/>
      <c r="P117" s="60"/>
      <c r="Q117" s="388"/>
      <c r="R117" s="388"/>
      <c r="S117" s="388"/>
      <c r="T117" s="388"/>
      <c r="U117" s="389"/>
      <c r="V117" s="388"/>
      <c r="W117" s="388"/>
      <c r="X117" s="388"/>
      <c r="Y117" s="388"/>
      <c r="Z117" s="389"/>
      <c r="AA117" s="388"/>
      <c r="AB117" s="388"/>
      <c r="AC117" s="388"/>
      <c r="AD117" s="388"/>
      <c r="AE117" s="389"/>
      <c r="AF117" s="388"/>
      <c r="AG117" s="388"/>
      <c r="AH117" s="388"/>
      <c r="AI117" s="388"/>
      <c r="AJ117" s="389"/>
      <c r="AK117" s="416"/>
      <c r="AL117" s="416"/>
      <c r="AM117" s="416"/>
      <c r="AN117" s="416"/>
      <c r="AO117" s="432"/>
      <c r="AP117" s="416"/>
      <c r="AQ117" s="416"/>
      <c r="AR117" s="416"/>
      <c r="AS117" s="416"/>
      <c r="AT117" s="389"/>
      <c r="AU117" s="416"/>
      <c r="AV117" s="416"/>
      <c r="AW117" s="388"/>
      <c r="AX117" s="416"/>
      <c r="AY117" s="583"/>
      <c r="AZ117" s="605"/>
      <c r="BA117" s="416"/>
      <c r="BB117" s="416"/>
      <c r="BC117" s="416">
        <f t="shared" ref="BC117" si="426">(BC118-AX118)/(BC112-AX112)</f>
        <v>4.3904831984302187E-2</v>
      </c>
      <c r="BD117" s="1951">
        <f t="shared" ref="BD117" si="427">(BD118-AY118)/(BD112-AY112)</f>
        <v>4.1966819041614138E-2</v>
      </c>
      <c r="BE117" s="416">
        <f>IFERROR((BE118-AZ118)/(BE112-AZ112),"")</f>
        <v>4.1867358280844744E-2</v>
      </c>
      <c r="BF117" s="416">
        <f>IFERROR((BF118-BA118)/(BF112-BA112),"")</f>
        <v>7.5417386298215316E-2</v>
      </c>
      <c r="BG117" s="416">
        <f>IFERROR((BG118-BB118)/(BG112-BB112),"")</f>
        <v>0.17249205628688155</v>
      </c>
      <c r="BH117" s="416">
        <f t="shared" ref="BH117" si="428">(BH118-BC118)/(BH112-BC112)</f>
        <v>9.0909090909090939E-2</v>
      </c>
      <c r="BI117" s="1951">
        <f t="shared" ref="BI117" si="429">(BI118-BD118)/(BI112-BD112)</f>
        <v>7.3153409090909075E-2</v>
      </c>
      <c r="BJ117" s="416">
        <f>(BJ118-BE118)/(BJ112-BE112)</f>
        <v>0.14008941877794329</v>
      </c>
      <c r="BK117" s="416">
        <f>IFERROR((BK118-BF118)/(BK112-BF112),"")</f>
        <v>0.16624685138539028</v>
      </c>
      <c r="BL117" s="416">
        <f>IFERROR((BL118-BG118)/(BL112-BG112),"")</f>
        <v>7.2992700729926346E-3</v>
      </c>
      <c r="BM117" s="416">
        <f t="shared" ref="BM117" si="430">(BM118-BH118)/(BM112-BH112)</f>
        <v>3.4587378640776684E-2</v>
      </c>
      <c r="BN117" s="1951">
        <f t="shared" ref="BN117" si="431">(BN118-BI118)/(BN112-BI112)</f>
        <v>6.7188219052001827E-2</v>
      </c>
      <c r="BO117" s="583"/>
      <c r="BP117" s="388"/>
      <c r="BQ117" s="388"/>
      <c r="BR117" s="478"/>
      <c r="BS117" s="1951"/>
      <c r="BT117" s="388"/>
      <c r="BU117" s="388"/>
      <c r="BV117" s="388"/>
      <c r="BW117" s="388"/>
      <c r="BX117" s="389"/>
      <c r="BY117" s="388"/>
      <c r="BZ117" s="388"/>
      <c r="CA117" s="388"/>
      <c r="CB117" s="388"/>
      <c r="CC117" s="389"/>
      <c r="CD117" s="191"/>
      <c r="CE117" s="111"/>
      <c r="CF117" s="173"/>
      <c r="CG117" s="173"/>
      <c r="CH117" s="173"/>
      <c r="CI117" s="239"/>
      <c r="CJ117" s="177"/>
      <c r="CK117" s="2070"/>
      <c r="CL117" s="416">
        <f t="shared" si="408"/>
        <v>3.4587378640776684E-2</v>
      </c>
      <c r="CM117" s="416">
        <f t="shared" si="409"/>
        <v>9.0909090909090939E-2</v>
      </c>
      <c r="CN117" s="388"/>
      <c r="CO117" s="2112">
        <f>IFERROR(($CL117-CM117)*10000,"")</f>
        <v>-563.21712268314252</v>
      </c>
      <c r="CP117" s="2112"/>
      <c r="CQ117" s="44"/>
      <c r="CR117" s="40"/>
      <c r="CS117" s="2149"/>
      <c r="CT117" s="40"/>
      <c r="CU117" s="40"/>
      <c r="CV117" s="40"/>
      <c r="CW117" s="40"/>
      <c r="CX117" s="40"/>
      <c r="CY117" s="139"/>
      <c r="CZ117"/>
      <c r="DA117"/>
      <c r="DB117"/>
      <c r="DC117"/>
      <c r="DD117"/>
      <c r="DE117"/>
      <c r="DF117" s="3"/>
      <c r="DG117" s="3"/>
      <c r="DH117" s="3"/>
      <c r="DI117" s="3"/>
      <c r="DJ117" s="3"/>
    </row>
    <row r="118" spans="1:114" s="1" customFormat="1" ht="12.75" customHeight="1" collapsed="1">
      <c r="A118" s="385" t="s">
        <v>194</v>
      </c>
      <c r="B118" s="368"/>
      <c r="C118" s="18"/>
      <c r="D118" s="18"/>
      <c r="E118" s="18"/>
      <c r="F118" s="60"/>
      <c r="G118" s="18"/>
      <c r="H118" s="18"/>
      <c r="I118" s="18"/>
      <c r="J118" s="18"/>
      <c r="K118" s="60"/>
      <c r="L118" s="18"/>
      <c r="M118" s="18"/>
      <c r="N118" s="18"/>
      <c r="O118" s="18"/>
      <c r="P118" s="60"/>
      <c r="Q118" s="390"/>
      <c r="R118" s="390"/>
      <c r="S118" s="390"/>
      <c r="T118" s="390"/>
      <c r="U118" s="265"/>
      <c r="V118" s="390"/>
      <c r="W118" s="390"/>
      <c r="X118" s="390"/>
      <c r="Y118" s="390"/>
      <c r="Z118" s="265"/>
      <c r="AA118" s="390"/>
      <c r="AB118" s="390"/>
      <c r="AC118" s="390"/>
      <c r="AD118" s="390"/>
      <c r="AE118" s="265"/>
      <c r="AF118" s="390"/>
      <c r="AG118" s="390"/>
      <c r="AH118" s="390"/>
      <c r="AI118" s="390"/>
      <c r="AJ118" s="265"/>
      <c r="AK118" s="429"/>
      <c r="AL118" s="429"/>
      <c r="AM118" s="429"/>
      <c r="AN118" s="429"/>
      <c r="AO118" s="391"/>
      <c r="AP118" s="429"/>
      <c r="AQ118" s="429"/>
      <c r="AR118" s="429"/>
      <c r="AS118" s="429"/>
      <c r="AT118" s="391"/>
      <c r="AU118" s="429"/>
      <c r="AV118" s="429"/>
      <c r="AW118" s="429">
        <v>4.5039999999999978</v>
      </c>
      <c r="AX118" s="429">
        <f>AX112-AX159</f>
        <v>13.099999999999994</v>
      </c>
      <c r="AY118" s="440">
        <f>SUM(AU118:AX118)</f>
        <v>17.603999999999992</v>
      </c>
      <c r="AZ118" s="606">
        <v>6.8000000000000007</v>
      </c>
      <c r="BA118" s="429">
        <f>4.3+1.6</f>
        <v>5.9</v>
      </c>
      <c r="BB118" s="429">
        <f>36+5.2</f>
        <v>41.2</v>
      </c>
      <c r="BC118" s="429">
        <v>48.9</v>
      </c>
      <c r="BD118" s="1952">
        <f>SUM(AZ118:BC118)</f>
        <v>102.80000000000001</v>
      </c>
      <c r="BE118" s="606">
        <v>40.699999999999996</v>
      </c>
      <c r="BF118" s="429">
        <v>58.3</v>
      </c>
      <c r="BG118" s="429">
        <f>75.3+3.4+0.5</f>
        <v>79.2</v>
      </c>
      <c r="BH118" s="429">
        <v>58.499999999999993</v>
      </c>
      <c r="BI118" s="1952">
        <f>SUM(BE118:BH118)</f>
        <v>236.7</v>
      </c>
      <c r="BJ118" s="606">
        <v>50.099999999999994</v>
      </c>
      <c r="BK118" s="429">
        <v>71.5</v>
      </c>
      <c r="BL118" s="429">
        <v>80.099999999999994</v>
      </c>
      <c r="BM118" s="429">
        <v>64.199999999999989</v>
      </c>
      <c r="BN118" s="1952">
        <f>SUM(BJ118:BM118)</f>
        <v>265.89999999999998</v>
      </c>
      <c r="BO118" s="2350">
        <f>+BO120-BO169</f>
        <v>44.421805971694504</v>
      </c>
      <c r="BP118" s="390">
        <f t="shared" ref="BP118:BR118" si="432">+BP120-BP169</f>
        <v>71.017589689404545</v>
      </c>
      <c r="BQ118" s="390">
        <f>+BQ120-BQ169</f>
        <v>81.148525482085944</v>
      </c>
      <c r="BR118" s="2188">
        <f t="shared" si="432"/>
        <v>80.731468912023445</v>
      </c>
      <c r="BS118" s="1952">
        <f>SUM(BO118:BR118)</f>
        <v>277.31939005520843</v>
      </c>
      <c r="BT118" s="18"/>
      <c r="BU118" s="18"/>
      <c r="BV118" s="18"/>
      <c r="BW118" s="18"/>
      <c r="BX118" s="1994">
        <f>+BX120-BX169</f>
        <v>309.38941277010832</v>
      </c>
      <c r="BY118" s="18"/>
      <c r="BZ118" s="18"/>
      <c r="CA118" s="18"/>
      <c r="CB118" s="18"/>
      <c r="CC118" s="1995">
        <f>+CC120-CC169</f>
        <v>337.83095806041814</v>
      </c>
      <c r="CD118" s="191"/>
      <c r="CE118" s="111"/>
      <c r="CF118" s="173"/>
      <c r="CG118" s="173"/>
      <c r="CH118" s="173"/>
      <c r="CI118" s="239"/>
      <c r="CJ118" s="177"/>
      <c r="CK118" s="2070"/>
      <c r="CL118" s="429">
        <f t="shared" si="408"/>
        <v>64.199999999999989</v>
      </c>
      <c r="CM118" s="429">
        <f t="shared" si="409"/>
        <v>58.499999999999993</v>
      </c>
      <c r="CN118" s="390">
        <v>72.431050178228674</v>
      </c>
      <c r="CO118" s="2090">
        <f>IFERROR(($CL118/CM118)-1,"")</f>
        <v>9.7435897435897312E-2</v>
      </c>
      <c r="CP118" s="2090">
        <f>IFERROR(($CL118/CN118)-1,"")</f>
        <v>-0.11363980168691212</v>
      </c>
      <c r="CQ118" s="44" t="s">
        <v>200</v>
      </c>
      <c r="CR118" s="40"/>
      <c r="CS118" s="2149"/>
      <c r="CT118" s="40"/>
      <c r="CU118" s="40"/>
      <c r="CV118" s="40"/>
      <c r="CW118" s="40"/>
      <c r="CX118" s="40"/>
      <c r="CY118" s="139"/>
      <c r="CZ118"/>
      <c r="DA118"/>
      <c r="DB118"/>
      <c r="DC118"/>
      <c r="DD118"/>
      <c r="DE118"/>
      <c r="DF118" s="3"/>
      <c r="DG118" s="3"/>
      <c r="DH118" s="3"/>
      <c r="DI118" s="3"/>
      <c r="DJ118" s="3"/>
    </row>
    <row r="119" spans="1:114" s="1" customFormat="1" ht="12.75" customHeight="1">
      <c r="A119" s="76" t="s">
        <v>85</v>
      </c>
      <c r="B119" s="368"/>
      <c r="C119" s="18"/>
      <c r="D119" s="18"/>
      <c r="E119" s="18"/>
      <c r="F119" s="60"/>
      <c r="G119" s="18"/>
      <c r="H119" s="18"/>
      <c r="I119" s="18"/>
      <c r="J119" s="18"/>
      <c r="K119" s="60"/>
      <c r="L119" s="18"/>
      <c r="M119" s="18"/>
      <c r="N119" s="18"/>
      <c r="O119" s="18"/>
      <c r="P119" s="60"/>
      <c r="Q119" s="18"/>
      <c r="R119" s="18"/>
      <c r="S119" s="18"/>
      <c r="T119" s="18"/>
      <c r="U119" s="60"/>
      <c r="V119" s="18"/>
      <c r="W119" s="18"/>
      <c r="X119" s="18"/>
      <c r="Y119" s="18"/>
      <c r="Z119" s="60"/>
      <c r="AA119" s="18"/>
      <c r="AB119" s="18"/>
      <c r="AC119" s="18"/>
      <c r="AD119" s="18"/>
      <c r="AE119" s="60"/>
      <c r="AF119" s="18"/>
      <c r="AG119" s="18"/>
      <c r="AH119" s="18"/>
      <c r="AI119" s="18"/>
      <c r="AJ119" s="60"/>
      <c r="AK119" s="191"/>
      <c r="AL119" s="191"/>
      <c r="AM119" s="191"/>
      <c r="AN119" s="191"/>
      <c r="AO119" s="411"/>
      <c r="AP119" s="191"/>
      <c r="AQ119" s="191"/>
      <c r="AR119" s="191"/>
      <c r="AS119" s="191"/>
      <c r="AT119" s="60"/>
      <c r="AU119" s="191"/>
      <c r="AV119" s="191"/>
      <c r="AW119" s="18" t="str">
        <f>IF(ISERROR((AW118-AR118)/AR118),"",(AW118-AR118)/AR118)</f>
        <v/>
      </c>
      <c r="AX119" s="191" t="str">
        <f>IF(ISERROR((AX118-AS118)/AS118),"",(AX118-AS118)/AS118)</f>
        <v/>
      </c>
      <c r="AY119" s="368"/>
      <c r="AZ119" s="439"/>
      <c r="BA119" s="191"/>
      <c r="BB119" s="191"/>
      <c r="BC119" s="191">
        <f t="shared" ref="BC119:BL119" si="433">IF(ISERROR((BC118-AX118)/AX118),"",(BC118-AX118)/AX118)</f>
        <v>2.7328244274809177</v>
      </c>
      <c r="BD119" s="1936">
        <f t="shared" si="433"/>
        <v>4.839581913201549</v>
      </c>
      <c r="BE119" s="439">
        <f t="shared" si="433"/>
        <v>4.9852941176470571</v>
      </c>
      <c r="BF119" s="191">
        <f t="shared" si="433"/>
        <v>8.8813559322033893</v>
      </c>
      <c r="BG119" s="191">
        <f t="shared" si="433"/>
        <v>0.92233009708737856</v>
      </c>
      <c r="BH119" s="191">
        <f t="shared" si="433"/>
        <v>0.19631901840490787</v>
      </c>
      <c r="BI119" s="1936">
        <f t="shared" si="433"/>
        <v>1.302529182879377</v>
      </c>
      <c r="BJ119" s="439">
        <f t="shared" si="433"/>
        <v>0.23095823095823095</v>
      </c>
      <c r="BK119" s="191">
        <f t="shared" si="433"/>
        <v>0.2264150943396227</v>
      </c>
      <c r="BL119" s="191">
        <f t="shared" si="433"/>
        <v>1.1363636363636256E-2</v>
      </c>
      <c r="BM119" s="191">
        <f t="shared" ref="BM119" si="434">IF(ISERROR((BM118-BH118)/BH118),"",(BM118-BH118)/BH118)</f>
        <v>9.7435897435897381E-2</v>
      </c>
      <c r="BN119" s="1936">
        <f t="shared" ref="BN119" si="435">IF(ISERROR((BN118-BI118)/BI118),"",(BN118-BI118)/BI118)</f>
        <v>0.12336290663286857</v>
      </c>
      <c r="BO119" s="368">
        <f t="shared" ref="BO119" si="436">IF(ISERROR((BO118-BJ118)/BJ118),"",(BO118-BJ118)/BJ118)</f>
        <v>-0.11333720615380223</v>
      </c>
      <c r="BP119" s="18">
        <f t="shared" ref="BP119" si="437">IF(ISERROR((BP118-BK118)/BK118),"",(BP118-BK118)/BK118)</f>
        <v>-6.7469973509853834E-3</v>
      </c>
      <c r="BQ119" s="18">
        <f t="shared" ref="BQ119:BS119" si="438">IF(ISERROR((BQ118-BL118)/BL118),"",(BQ118-BL118)/BL118)</f>
        <v>1.3090205768863291E-2</v>
      </c>
      <c r="BR119" s="2162">
        <f t="shared" si="438"/>
        <v>0.2574995157636053</v>
      </c>
      <c r="BS119" s="1936">
        <f t="shared" si="438"/>
        <v>4.2946182983108136E-2</v>
      </c>
      <c r="BT119" s="18"/>
      <c r="BU119" s="18"/>
      <c r="BV119" s="18"/>
      <c r="BW119" s="18"/>
      <c r="BX119" s="60">
        <f>IF(ISERROR((BX118-BS118)/BS118),"",(BX118-BS118)/BS118)</f>
        <v>0.11564291522679113</v>
      </c>
      <c r="BY119" s="18"/>
      <c r="BZ119" s="18"/>
      <c r="CA119" s="18"/>
      <c r="CB119" s="18"/>
      <c r="CC119" s="60">
        <f>IF(ISERROR((CC118-BX118)/BX118),"",(CC118-BX118)/BX118)</f>
        <v>9.19279849806732E-2</v>
      </c>
      <c r="CD119" s="191"/>
      <c r="CE119" s="111"/>
      <c r="CF119" s="173"/>
      <c r="CG119" s="173"/>
      <c r="CH119" s="173"/>
      <c r="CI119" s="239"/>
      <c r="CJ119" s="177"/>
      <c r="CK119" s="2070"/>
      <c r="CL119" s="191">
        <f t="shared" si="408"/>
        <v>9.7435897435897381E-2</v>
      </c>
      <c r="CM119" s="191">
        <f t="shared" si="409"/>
        <v>0.19631901840490787</v>
      </c>
      <c r="CN119" s="18">
        <v>0.23813760988425098</v>
      </c>
      <c r="CO119" s="2110">
        <f>IFERROR(($CL119-CM119)*10000,"")</f>
        <v>-988.83120969010486</v>
      </c>
      <c r="CP119" s="2110">
        <f>IFERROR(($CL119-CN119)*10000,"")</f>
        <v>-1407.017124483536</v>
      </c>
      <c r="CQ119" s="44"/>
      <c r="CR119" s="44"/>
      <c r="CS119" s="2149"/>
      <c r="CT119" s="40"/>
      <c r="CU119" s="40"/>
      <c r="CV119" s="40"/>
      <c r="CW119" s="40"/>
      <c r="CX119" s="40"/>
      <c r="CY119" s="139"/>
      <c r="CZ119"/>
      <c r="DA119"/>
      <c r="DB119"/>
      <c r="DC119"/>
      <c r="DD119"/>
      <c r="DE119"/>
      <c r="DF119" s="3"/>
      <c r="DG119" s="3"/>
      <c r="DH119" s="3"/>
      <c r="DI119" s="3"/>
      <c r="DJ119" s="3"/>
    </row>
    <row r="120" spans="1:114" s="1" customFormat="1" ht="12.75" customHeight="1">
      <c r="A120" s="383" t="s">
        <v>590</v>
      </c>
      <c r="B120" s="368"/>
      <c r="C120" s="18"/>
      <c r="D120" s="18"/>
      <c r="E120" s="18"/>
      <c r="F120" s="60"/>
      <c r="G120" s="429"/>
      <c r="H120" s="429"/>
      <c r="I120" s="429"/>
      <c r="J120" s="429"/>
      <c r="K120" s="391"/>
      <c r="L120" s="429"/>
      <c r="M120" s="429"/>
      <c r="N120" s="429"/>
      <c r="O120" s="429"/>
      <c r="P120" s="391"/>
      <c r="Q120" s="429"/>
      <c r="R120" s="429"/>
      <c r="S120" s="429"/>
      <c r="T120" s="429"/>
      <c r="U120" s="391"/>
      <c r="V120" s="429"/>
      <c r="W120" s="429"/>
      <c r="X120" s="429"/>
      <c r="Y120" s="429"/>
      <c r="Z120" s="391"/>
      <c r="AA120" s="429"/>
      <c r="AB120" s="429"/>
      <c r="AC120" s="429"/>
      <c r="AD120" s="429"/>
      <c r="AE120" s="391"/>
      <c r="AF120" s="429"/>
      <c r="AG120" s="429"/>
      <c r="AH120" s="429"/>
      <c r="AI120" s="429"/>
      <c r="AJ120" s="391"/>
      <c r="AK120" s="429"/>
      <c r="AL120" s="429"/>
      <c r="AM120" s="429"/>
      <c r="AN120" s="429"/>
      <c r="AO120" s="391"/>
      <c r="AP120" s="429"/>
      <c r="AQ120" s="429"/>
      <c r="AR120" s="429"/>
      <c r="AS120" s="429"/>
      <c r="AT120" s="391"/>
      <c r="AU120" s="429"/>
      <c r="AV120" s="429"/>
      <c r="AW120" s="429">
        <f>+AW118+AW169</f>
        <v>8.0039999999999978</v>
      </c>
      <c r="AX120" s="429">
        <f>+AX118+AX169</f>
        <v>25.999999999999993</v>
      </c>
      <c r="AY120" s="440"/>
      <c r="AZ120" s="677">
        <f>+AZ118+AZ169</f>
        <v>20.100000000000001</v>
      </c>
      <c r="BA120" s="429">
        <f>+BA118+BA169</f>
        <v>30.9</v>
      </c>
      <c r="BB120" s="429">
        <f>+BB118+BB169</f>
        <v>88.1</v>
      </c>
      <c r="BC120" s="429">
        <f>+BC118+BC169</f>
        <v>98.5</v>
      </c>
      <c r="BD120" s="391">
        <f>SUM(AZ120:BC120)</f>
        <v>237.6</v>
      </c>
      <c r="BE120" s="677">
        <f>+BE118+BE169</f>
        <v>87.8</v>
      </c>
      <c r="BF120" s="429">
        <f>+BF118+BF169</f>
        <v>106.8</v>
      </c>
      <c r="BG120" s="429">
        <f>+BG118+BG169</f>
        <v>125.80000000000001</v>
      </c>
      <c r="BH120" s="429">
        <f>+BH118+BH169</f>
        <v>108.6</v>
      </c>
      <c r="BI120" s="391">
        <f>SUM(BE120:BH120)</f>
        <v>429</v>
      </c>
      <c r="BJ120" s="677">
        <f>+BJ118+BJ169</f>
        <v>98.8</v>
      </c>
      <c r="BK120" s="429">
        <f>+BK118+BK169</f>
        <v>123</v>
      </c>
      <c r="BL120" s="429">
        <f>+BL118+BL169</f>
        <v>135</v>
      </c>
      <c r="BM120" s="429">
        <f>+BM118+BM169</f>
        <v>120.1</v>
      </c>
      <c r="BN120" s="391">
        <f>SUM(BJ120:BM120)</f>
        <v>476.9</v>
      </c>
      <c r="BO120" s="606">
        <f t="shared" ref="BO120:BP120" si="439">+BO121*BO38</f>
        <v>100.3218059716945</v>
      </c>
      <c r="BP120" s="429">
        <f t="shared" si="439"/>
        <v>125.01758968940455</v>
      </c>
      <c r="BQ120" s="429">
        <f t="shared" ref="BQ120:BR120" si="440">+BQ121*BQ38</f>
        <v>136.14852548208594</v>
      </c>
      <c r="BR120" s="2189">
        <f t="shared" si="440"/>
        <v>134.23146891202344</v>
      </c>
      <c r="BS120" s="1952">
        <f>SUM(BO120:BR120)</f>
        <v>495.71939005520841</v>
      </c>
      <c r="BT120" s="18"/>
      <c r="BU120" s="18"/>
      <c r="BV120" s="18"/>
      <c r="BW120" s="18"/>
      <c r="BX120" s="678">
        <f>+BX121*BX38</f>
        <v>543.20922397852098</v>
      </c>
      <c r="BY120" s="18"/>
      <c r="BZ120" s="18"/>
      <c r="CA120" s="18"/>
      <c r="CB120" s="18"/>
      <c r="CC120" s="1997">
        <f>+CC121*CC38</f>
        <v>588.34275791803225</v>
      </c>
      <c r="CD120" s="191"/>
      <c r="CE120" s="111"/>
      <c r="CF120" s="173"/>
      <c r="CG120" s="173"/>
      <c r="CH120" s="173"/>
      <c r="CI120" s="239"/>
      <c r="CJ120" s="177"/>
      <c r="CK120" s="2070"/>
      <c r="CL120" s="429">
        <f t="shared" si="408"/>
        <v>120.1</v>
      </c>
      <c r="CM120" s="429">
        <f t="shared" si="409"/>
        <v>108.6</v>
      </c>
      <c r="CN120" s="429">
        <v>123.43105017822867</v>
      </c>
      <c r="CO120" s="2090">
        <f>IFERROR(($CL120/CM120)-1,"")</f>
        <v>0.10589318600368314</v>
      </c>
      <c r="CP120" s="2090">
        <f>IFERROR(($CL120/CN120)-1,"")</f>
        <v>-2.6987133087005288E-2</v>
      </c>
      <c r="CQ120" s="374"/>
      <c r="CR120" s="40"/>
      <c r="CS120" s="2149"/>
      <c r="CT120" s="2149"/>
      <c r="CU120" s="40"/>
      <c r="CV120" s="40"/>
      <c r="CW120" s="40"/>
      <c r="CX120" s="40"/>
      <c r="CY120" s="139"/>
      <c r="CZ120"/>
      <c r="DA120"/>
      <c r="DB120"/>
      <c r="DC120"/>
      <c r="DD120"/>
      <c r="DE120"/>
      <c r="DF120" s="3"/>
      <c r="DG120" s="3"/>
      <c r="DH120" s="3"/>
      <c r="DI120" s="3"/>
      <c r="DJ120" s="3"/>
    </row>
    <row r="121" spans="1:114" s="1" customFormat="1" ht="12.75" customHeight="1">
      <c r="A121" s="1981" t="s">
        <v>591</v>
      </c>
      <c r="B121" s="368"/>
      <c r="C121" s="18"/>
      <c r="D121" s="18"/>
      <c r="E121" s="18"/>
      <c r="F121" s="60"/>
      <c r="G121" s="191"/>
      <c r="H121" s="191"/>
      <c r="I121" s="191"/>
      <c r="J121" s="191"/>
      <c r="K121" s="60"/>
      <c r="L121" s="191"/>
      <c r="M121" s="191"/>
      <c r="N121" s="191"/>
      <c r="O121" s="191"/>
      <c r="P121" s="60"/>
      <c r="Q121" s="191"/>
      <c r="R121" s="191"/>
      <c r="S121" s="191"/>
      <c r="T121" s="191"/>
      <c r="U121" s="60"/>
      <c r="V121" s="191"/>
      <c r="W121" s="191"/>
      <c r="X121" s="191"/>
      <c r="Y121" s="191"/>
      <c r="Z121" s="60"/>
      <c r="AA121" s="191"/>
      <c r="AB121" s="191"/>
      <c r="AC121" s="191"/>
      <c r="AD121" s="191"/>
      <c r="AE121" s="60"/>
      <c r="AF121" s="191"/>
      <c r="AG121" s="191"/>
      <c r="AH121" s="191"/>
      <c r="AI121" s="191"/>
      <c r="AJ121" s="60"/>
      <c r="AK121" s="191"/>
      <c r="AL121" s="191"/>
      <c r="AM121" s="191"/>
      <c r="AN121" s="191"/>
      <c r="AO121" s="60"/>
      <c r="AP121" s="191"/>
      <c r="AQ121" s="191"/>
      <c r="AR121" s="191"/>
      <c r="AS121" s="191"/>
      <c r="AT121" s="60"/>
      <c r="AU121" s="191"/>
      <c r="AV121" s="191"/>
      <c r="AW121" s="191">
        <f>+AW120/AW38</f>
        <v>0.15969672785315239</v>
      </c>
      <c r="AX121" s="191">
        <f>+AX120/AX38</f>
        <v>0.15615615615615611</v>
      </c>
      <c r="AY121" s="1998"/>
      <c r="AZ121" s="191">
        <f t="shared" ref="AZ121:BE121" si="441">+AZ120/AZ38</f>
        <v>0.14275568181818182</v>
      </c>
      <c r="BA121" s="191">
        <f t="shared" si="441"/>
        <v>8.5928809788654054E-2</v>
      </c>
      <c r="BB121" s="191">
        <f t="shared" si="441"/>
        <v>8.8694251484949152E-2</v>
      </c>
      <c r="BC121" s="191">
        <f t="shared" si="441"/>
        <v>7.7273083862869713E-2</v>
      </c>
      <c r="BD121" s="1936">
        <f t="shared" si="441"/>
        <v>8.5825747724317308E-2</v>
      </c>
      <c r="BE121" s="191">
        <f t="shared" si="441"/>
        <v>6.964384865550885E-2</v>
      </c>
      <c r="BF121" s="191">
        <f t="shared" ref="BF121:BJ121" si="442">+BF120/BF38</f>
        <v>8.018018018018018E-2</v>
      </c>
      <c r="BG121" s="191">
        <f t="shared" si="442"/>
        <v>9.3392724573125474E-2</v>
      </c>
      <c r="BH121" s="191">
        <f t="shared" si="442"/>
        <v>7.8456870394451664E-2</v>
      </c>
      <c r="BI121" s="1936">
        <f t="shared" si="442"/>
        <v>8.0580025920847509E-2</v>
      </c>
      <c r="BJ121" s="191">
        <f t="shared" si="442"/>
        <v>7.5994154295823402E-2</v>
      </c>
      <c r="BK121" s="191">
        <f t="shared" ref="BK121:BN121" si="443">+BK120/BK38</f>
        <v>8.8159403669724773E-2</v>
      </c>
      <c r="BL121" s="191">
        <f t="shared" si="443"/>
        <v>9.2541815190567589E-2</v>
      </c>
      <c r="BM121" s="191">
        <f t="shared" si="443"/>
        <v>7.6565089889073054E-2</v>
      </c>
      <c r="BN121" s="1936">
        <f t="shared" si="443"/>
        <v>8.3334789522428204E-2</v>
      </c>
      <c r="BO121" s="2352">
        <f>+BM121+0.2%</f>
        <v>7.8565089889073056E-2</v>
      </c>
      <c r="BP121" s="1999">
        <f>+BO121+1.2%</f>
        <v>9.0565089889073053E-2</v>
      </c>
      <c r="BQ121" s="1999">
        <f>+BP121+0.5%</f>
        <v>9.5565089889073057E-2</v>
      </c>
      <c r="BR121" s="2192">
        <f>+BQ121-0.6%</f>
        <v>8.9565089889073052E-2</v>
      </c>
      <c r="BS121" s="2154">
        <f>+BS120/BS38</f>
        <v>8.8827234302852359E-2</v>
      </c>
      <c r="BT121" s="653"/>
      <c r="BU121" s="653"/>
      <c r="BV121" s="653"/>
      <c r="BW121" s="653"/>
      <c r="BX121" s="2010">
        <f>+BS121+0.3%</f>
        <v>9.1827234302852362E-2</v>
      </c>
      <c r="BY121" s="653"/>
      <c r="BZ121" s="653"/>
      <c r="CA121" s="653"/>
      <c r="CB121" s="653"/>
      <c r="CC121" s="2010">
        <f>+BX121+0.2%</f>
        <v>9.3827234302852364E-2</v>
      </c>
      <c r="CD121" s="191"/>
      <c r="CE121" s="111"/>
      <c r="CF121" s="334"/>
      <c r="CG121" s="334"/>
      <c r="CH121" s="334"/>
      <c r="CI121" s="335"/>
      <c r="CJ121" s="2205"/>
      <c r="CK121" s="2075"/>
      <c r="CL121" s="191">
        <f t="shared" si="408"/>
        <v>7.6565089889073054E-2</v>
      </c>
      <c r="CM121" s="191">
        <f t="shared" si="409"/>
        <v>7.8456870394451664E-2</v>
      </c>
      <c r="CN121" s="1999">
        <v>8.4541815190567582E-2</v>
      </c>
      <c r="CO121" s="2110">
        <f>IFERROR(($CL121-CM121)*10000,"")</f>
        <v>-18.917805053786097</v>
      </c>
      <c r="CP121" s="2110">
        <f>IFERROR(($CL121-CN121)*10000,"")</f>
        <v>-79.767253014945283</v>
      </c>
      <c r="CQ121" s="374" t="s">
        <v>611</v>
      </c>
      <c r="CR121" s="40"/>
      <c r="CS121" s="2149"/>
      <c r="CT121" s="2149"/>
      <c r="CU121" s="40"/>
      <c r="CV121" s="40"/>
      <c r="CW121" s="40"/>
      <c r="CX121" s="40"/>
      <c r="CY121" s="139"/>
      <c r="CZ121"/>
      <c r="DA121"/>
      <c r="DB121"/>
      <c r="DC121"/>
      <c r="DD121"/>
      <c r="DE121"/>
      <c r="DF121" s="3"/>
      <c r="DG121" s="3"/>
      <c r="DH121" s="3"/>
      <c r="DI121" s="3"/>
      <c r="DJ121" s="3"/>
    </row>
    <row r="122" spans="1:114" s="262" customFormat="1" ht="12.75" customHeight="1" collapsed="1">
      <c r="A122" s="257" t="s">
        <v>149</v>
      </c>
      <c r="B122" s="542"/>
      <c r="C122" s="258"/>
      <c r="D122" s="258"/>
      <c r="E122" s="258"/>
      <c r="F122" s="261">
        <f t="shared" ref="F122:AY122" si="444">+F61+F51+F66+F71+F112</f>
        <v>8.9960000000000004</v>
      </c>
      <c r="G122" s="258">
        <f t="shared" si="444"/>
        <v>2.4260000000000002</v>
      </c>
      <c r="H122" s="258">
        <f t="shared" si="444"/>
        <v>2.8630000000000013</v>
      </c>
      <c r="I122" s="258">
        <f t="shared" si="444"/>
        <v>2.8460000000000001</v>
      </c>
      <c r="J122" s="258">
        <f t="shared" si="444"/>
        <v>2.6599999999999895</v>
      </c>
      <c r="K122" s="261">
        <f t="shared" si="444"/>
        <v>10.794999999999991</v>
      </c>
      <c r="L122" s="258">
        <f t="shared" si="444"/>
        <v>3.0200000000000014</v>
      </c>
      <c r="M122" s="258">
        <f t="shared" si="444"/>
        <v>3.5139999999999993</v>
      </c>
      <c r="N122" s="258">
        <f t="shared" si="444"/>
        <v>3.0489999999999995</v>
      </c>
      <c r="O122" s="258">
        <f t="shared" si="444"/>
        <v>2.9979999999999993</v>
      </c>
      <c r="P122" s="261">
        <f t="shared" si="444"/>
        <v>12.581</v>
      </c>
      <c r="Q122" s="258">
        <f t="shared" si="444"/>
        <v>4.0999999999999996</v>
      </c>
      <c r="R122" s="258">
        <f t="shared" si="444"/>
        <v>4.6190000000000015</v>
      </c>
      <c r="S122" s="258">
        <f t="shared" si="444"/>
        <v>4.5609999999999982</v>
      </c>
      <c r="T122" s="258">
        <f t="shared" si="444"/>
        <v>3.5090000000000021</v>
      </c>
      <c r="U122" s="261">
        <f t="shared" si="444"/>
        <v>16.789000000000001</v>
      </c>
      <c r="V122" s="258">
        <f t="shared" si="444"/>
        <v>2.8989999999999982</v>
      </c>
      <c r="W122" s="258">
        <f t="shared" si="444"/>
        <v>3.2779999999999996</v>
      </c>
      <c r="X122" s="258">
        <f t="shared" si="444"/>
        <v>4.1930000000000014</v>
      </c>
      <c r="Y122" s="258">
        <f t="shared" si="444"/>
        <v>4.5810000000000013</v>
      </c>
      <c r="Z122" s="261">
        <f t="shared" si="444"/>
        <v>14.951000000000001</v>
      </c>
      <c r="AA122" s="258">
        <f t="shared" si="444"/>
        <v>5.08</v>
      </c>
      <c r="AB122" s="258">
        <f t="shared" si="444"/>
        <v>6.4849999999999994</v>
      </c>
      <c r="AC122" s="258">
        <f t="shared" si="444"/>
        <v>7.1979999999999968</v>
      </c>
      <c r="AD122" s="258">
        <f t="shared" si="444"/>
        <v>5.3279999999999976</v>
      </c>
      <c r="AE122" s="261">
        <f t="shared" si="444"/>
        <v>24.090999999999994</v>
      </c>
      <c r="AF122" s="258">
        <f t="shared" si="444"/>
        <v>6.2790000000000017</v>
      </c>
      <c r="AG122" s="258">
        <f t="shared" si="444"/>
        <v>6.1579999999999977</v>
      </c>
      <c r="AH122" s="258">
        <f t="shared" si="444"/>
        <v>6.8619999999999983</v>
      </c>
      <c r="AI122" s="258">
        <f t="shared" si="444"/>
        <v>5.782</v>
      </c>
      <c r="AJ122" s="261">
        <f t="shared" si="444"/>
        <v>25.080999999999996</v>
      </c>
      <c r="AK122" s="258">
        <f t="shared" si="444"/>
        <v>6.7730000000000032</v>
      </c>
      <c r="AL122" s="258">
        <f t="shared" si="444"/>
        <v>8.4650000000000016</v>
      </c>
      <c r="AM122" s="258">
        <f t="shared" si="444"/>
        <v>9.9239999999999959</v>
      </c>
      <c r="AN122" s="258">
        <f t="shared" si="444"/>
        <v>15.662999999999998</v>
      </c>
      <c r="AO122" s="261">
        <f t="shared" si="444"/>
        <v>40.825000000000003</v>
      </c>
      <c r="AP122" s="258">
        <f t="shared" si="444"/>
        <v>16.260000000000005</v>
      </c>
      <c r="AQ122" s="258">
        <f t="shared" si="444"/>
        <v>19.339999999999996</v>
      </c>
      <c r="AR122" s="258">
        <f t="shared" si="444"/>
        <v>34.83600000000002</v>
      </c>
      <c r="AS122" s="258">
        <f t="shared" si="444"/>
        <v>53.071999999999974</v>
      </c>
      <c r="AT122" s="261">
        <f t="shared" si="444"/>
        <v>123.508</v>
      </c>
      <c r="AU122" s="258">
        <f t="shared" si="444"/>
        <v>58.397999999999982</v>
      </c>
      <c r="AV122" s="258">
        <f t="shared" si="444"/>
        <v>121.87</v>
      </c>
      <c r="AW122" s="258">
        <f t="shared" si="444"/>
        <v>175.10599999999997</v>
      </c>
      <c r="AX122" s="258">
        <f t="shared" si="444"/>
        <v>299.3</v>
      </c>
      <c r="AY122" s="542">
        <f t="shared" si="444"/>
        <v>654.67399999999998</v>
      </c>
      <c r="AZ122" s="505">
        <f>+AZ45-AZ140</f>
        <v>262.2</v>
      </c>
      <c r="BA122" s="258">
        <f>+BA45-BA140</f>
        <v>508.60000000000014</v>
      </c>
      <c r="BB122" s="258">
        <f>+BB45-BB140</f>
        <v>1124.8</v>
      </c>
      <c r="BC122" s="258">
        <f>+BC45-BC140</f>
        <v>1556.3000000000002</v>
      </c>
      <c r="BD122" s="1942">
        <f>+SUM(AZ122:BC122)</f>
        <v>3451.9000000000005</v>
      </c>
      <c r="BE122" s="505">
        <f>+BE45-BE140</f>
        <v>1600.6</v>
      </c>
      <c r="BF122" s="258">
        <f>+BF45-BF140</f>
        <v>1710.0000000000002</v>
      </c>
      <c r="BG122" s="258">
        <f>+BG45-BG140</f>
        <v>1705.4</v>
      </c>
      <c r="BH122" s="258">
        <f>+BH45-BH140</f>
        <v>1717.3999999999999</v>
      </c>
      <c r="BI122" s="1942">
        <f>+SUM(BE122:BH122)</f>
        <v>6733.4</v>
      </c>
      <c r="BJ122" s="505">
        <f>+BJ45-BJ140</f>
        <v>1652.2</v>
      </c>
      <c r="BK122" s="258">
        <f>+BK45-BK140</f>
        <v>1790.7000000000003</v>
      </c>
      <c r="BL122" s="258">
        <f>+BL45-BL140</f>
        <v>1844.3999999999999</v>
      </c>
      <c r="BM122" s="258">
        <f>+BM45-BM140</f>
        <v>1964.6999999999998</v>
      </c>
      <c r="BN122" s="1942">
        <f>+SUM(BJ122:BM122)</f>
        <v>7252</v>
      </c>
      <c r="BO122" s="542">
        <f>+BO45-BO140</f>
        <v>1744.1323844067829</v>
      </c>
      <c r="BP122" s="258">
        <f>+BP45-BP140</f>
        <v>1945.2676667462779</v>
      </c>
      <c r="BQ122" s="258">
        <f>+BQ45-BQ140</f>
        <v>1976.9239259255232</v>
      </c>
      <c r="BR122" s="2191">
        <f>+BR45-BR140</f>
        <v>2048.7245773180171</v>
      </c>
      <c r="BS122" s="1942">
        <f>+SUM(BO122:BR122)</f>
        <v>7715.0485543966006</v>
      </c>
      <c r="BT122" s="260"/>
      <c r="BU122" s="260"/>
      <c r="BV122" s="260"/>
      <c r="BW122" s="260"/>
      <c r="BX122" s="1895">
        <f>+BX45-BX140</f>
        <v>8243.3105089815581</v>
      </c>
      <c r="BY122" s="260"/>
      <c r="BZ122" s="260"/>
      <c r="CA122" s="260"/>
      <c r="CB122" s="260"/>
      <c r="CC122" s="1895">
        <f>+CC45-CC140</f>
        <v>8815.1555484932178</v>
      </c>
      <c r="CE122" s="263"/>
      <c r="CF122" s="264"/>
      <c r="CG122" s="264"/>
      <c r="CH122" s="264"/>
      <c r="CI122" s="265"/>
      <c r="CK122" s="2072"/>
      <c r="CL122" s="258">
        <f t="shared" si="408"/>
        <v>1964.6999999999998</v>
      </c>
      <c r="CM122" s="258">
        <f t="shared" si="409"/>
        <v>1717.3999999999999</v>
      </c>
      <c r="CN122" s="258">
        <v>1827.5110558955239</v>
      </c>
      <c r="CO122" s="2091">
        <f>IFERROR(($CL122/CM122)-1,"")</f>
        <v>0.1439967392570165</v>
      </c>
      <c r="CP122" s="2091">
        <f>IFERROR(($CL122/CN122)-1,"")</f>
        <v>7.5068735514297602E-2</v>
      </c>
      <c r="CQ122" s="454"/>
      <c r="CR122" s="453"/>
      <c r="CS122" s="2149"/>
      <c r="CT122" s="2149"/>
      <c r="CU122" s="258"/>
      <c r="CV122" s="258"/>
      <c r="CW122" s="258"/>
      <c r="CX122" s="258"/>
      <c r="CY122" s="263"/>
      <c r="CZ122"/>
      <c r="DA122"/>
      <c r="DB122"/>
      <c r="DC122"/>
      <c r="DD122"/>
      <c r="DE122"/>
      <c r="DF122" s="266"/>
      <c r="DG122" s="266"/>
      <c r="DH122" s="266"/>
      <c r="DI122" s="266"/>
      <c r="DJ122" s="266"/>
    </row>
    <row r="123" spans="1:114" s="1" customFormat="1" ht="12.75" customHeight="1">
      <c r="A123" s="76" t="s">
        <v>85</v>
      </c>
      <c r="B123" s="368" t="str">
        <f>IF(ISERROR((B122-#REF!)/#REF!),"",(B122-#REF!)/#REF!)</f>
        <v/>
      </c>
      <c r="C123" s="18" t="str">
        <f>IF(ISERROR((C122-#REF!)/#REF!),"",(C122-#REF!)/#REF!)</f>
        <v/>
      </c>
      <c r="D123" s="18" t="str">
        <f>IF(ISERROR((D122-#REF!)/#REF!),"",(D122-#REF!)/#REF!)</f>
        <v/>
      </c>
      <c r="E123" s="18" t="str">
        <f>IF(ISERROR((E122-#REF!)/#REF!),"",(E122-#REF!)/#REF!)</f>
        <v/>
      </c>
      <c r="F123" s="60" t="str">
        <f>IF(ISERROR((F122-#REF!)/#REF!),"",(F122-#REF!)/#REF!)</f>
        <v/>
      </c>
      <c r="G123" s="18" t="str">
        <f t="shared" ref="G123:T123" si="445">IF(ISERROR((G122-B122)/B122),"",(G122-B122)/B122)</f>
        <v/>
      </c>
      <c r="H123" s="18" t="str">
        <f t="shared" si="445"/>
        <v/>
      </c>
      <c r="I123" s="18" t="str">
        <f t="shared" si="445"/>
        <v/>
      </c>
      <c r="J123" s="18" t="str">
        <f t="shared" si="445"/>
        <v/>
      </c>
      <c r="K123" s="60">
        <f t="shared" si="445"/>
        <v>0.19997776789684199</v>
      </c>
      <c r="L123" s="18">
        <f t="shared" si="445"/>
        <v>0.24484748557296007</v>
      </c>
      <c r="M123" s="18">
        <f t="shared" si="445"/>
        <v>0.22738386308068381</v>
      </c>
      <c r="N123" s="18">
        <f t="shared" si="445"/>
        <v>7.1328179901616093E-2</v>
      </c>
      <c r="O123" s="18">
        <f t="shared" si="445"/>
        <v>0.12706766917293655</v>
      </c>
      <c r="P123" s="60">
        <f t="shared" si="445"/>
        <v>0.16544696618805094</v>
      </c>
      <c r="Q123" s="18">
        <f t="shared" si="445"/>
        <v>0.35761589403973437</v>
      </c>
      <c r="R123" s="18">
        <f t="shared" si="445"/>
        <v>0.31445645987478726</v>
      </c>
      <c r="S123" s="18">
        <f t="shared" si="445"/>
        <v>0.49590029517874679</v>
      </c>
      <c r="T123" s="18">
        <f t="shared" si="445"/>
        <v>0.17044696464309636</v>
      </c>
      <c r="U123" s="60">
        <f t="shared" ref="U123:AS123" si="446">(U122-P122)/P122</f>
        <v>0.33447261743899548</v>
      </c>
      <c r="V123" s="18">
        <f t="shared" si="446"/>
        <v>-0.29292682926829305</v>
      </c>
      <c r="W123" s="18">
        <f t="shared" si="446"/>
        <v>-0.29032258064516164</v>
      </c>
      <c r="X123" s="18">
        <f t="shared" si="446"/>
        <v>-8.0684060513044706E-2</v>
      </c>
      <c r="Y123" s="18">
        <f t="shared" si="446"/>
        <v>0.3055001424907377</v>
      </c>
      <c r="Z123" s="60">
        <f t="shared" si="446"/>
        <v>-0.10947644290904764</v>
      </c>
      <c r="AA123" s="18">
        <f t="shared" si="446"/>
        <v>0.75232838909969069</v>
      </c>
      <c r="AB123" s="18">
        <f t="shared" si="446"/>
        <v>0.97834045149481397</v>
      </c>
      <c r="AC123" s="18">
        <f t="shared" si="446"/>
        <v>0.71667064154543159</v>
      </c>
      <c r="AD123" s="18">
        <f t="shared" si="446"/>
        <v>0.16306483300589306</v>
      </c>
      <c r="AE123" s="60">
        <f t="shared" si="446"/>
        <v>0.61133034579626733</v>
      </c>
      <c r="AF123" s="18">
        <f t="shared" si="446"/>
        <v>0.23602362204724442</v>
      </c>
      <c r="AG123" s="18">
        <f t="shared" si="446"/>
        <v>-5.0424055512721937E-2</v>
      </c>
      <c r="AH123" s="18">
        <f t="shared" si="446"/>
        <v>-4.6679633231452994E-2</v>
      </c>
      <c r="AI123" s="18">
        <f t="shared" si="446"/>
        <v>8.5210210210210705E-2</v>
      </c>
      <c r="AJ123" s="60">
        <f t="shared" si="446"/>
        <v>4.1094184550247076E-2</v>
      </c>
      <c r="AK123" s="18">
        <f t="shared" si="446"/>
        <v>7.8674948240165854E-2</v>
      </c>
      <c r="AL123" s="18">
        <f t="shared" si="446"/>
        <v>0.37463462163040023</v>
      </c>
      <c r="AM123" s="18">
        <f t="shared" si="446"/>
        <v>0.44622559020693653</v>
      </c>
      <c r="AN123" s="18">
        <f t="shared" si="446"/>
        <v>1.7089242476651676</v>
      </c>
      <c r="AO123" s="60">
        <f t="shared" si="446"/>
        <v>0.62772616721821339</v>
      </c>
      <c r="AP123" s="18">
        <f>(AP122-AK122)/AK122</f>
        <v>1.4007086962941087</v>
      </c>
      <c r="AQ123" s="18">
        <f t="shared" si="446"/>
        <v>1.2847017129356164</v>
      </c>
      <c r="AR123" s="18">
        <f t="shared" si="446"/>
        <v>2.5102781136638486</v>
      </c>
      <c r="AS123" s="18">
        <f t="shared" si="446"/>
        <v>2.3883674902636773</v>
      </c>
      <c r="AT123" s="60">
        <f t="shared" ref="AT123:BB123" si="447">(AT122-AO122)/AO122</f>
        <v>2.0253031230863439</v>
      </c>
      <c r="AU123" s="18">
        <f t="shared" si="447"/>
        <v>2.5915129151291492</v>
      </c>
      <c r="AV123" s="18">
        <f t="shared" si="447"/>
        <v>5.3014477766287502</v>
      </c>
      <c r="AW123" s="18">
        <f t="shared" si="447"/>
        <v>4.0265816970949553</v>
      </c>
      <c r="AX123" s="18">
        <f t="shared" si="447"/>
        <v>4.6395085921012997</v>
      </c>
      <c r="AY123" s="368">
        <f t="shared" si="447"/>
        <v>4.3006606859474683</v>
      </c>
      <c r="AZ123" s="368">
        <f t="shared" si="447"/>
        <v>3.4898797904037826</v>
      </c>
      <c r="BA123" s="18">
        <f t="shared" si="447"/>
        <v>3.1732994174119975</v>
      </c>
      <c r="BB123" s="18">
        <f t="shared" si="447"/>
        <v>5.4235377428529015</v>
      </c>
      <c r="BC123" s="18">
        <f t="shared" ref="BC123" si="448">(BC122-AX122)/AX122</f>
        <v>4.1997995322418982</v>
      </c>
      <c r="BD123" s="1936">
        <f t="shared" ref="BD123:BG123" si="449">(BD122-AY122)/AY122</f>
        <v>4.2727006112966155</v>
      </c>
      <c r="BE123" s="368">
        <f t="shared" si="449"/>
        <v>5.1045003813882532</v>
      </c>
      <c r="BF123" s="18">
        <f t="shared" si="449"/>
        <v>2.3621706645694056</v>
      </c>
      <c r="BG123" s="18">
        <f t="shared" si="449"/>
        <v>0.51618065433854921</v>
      </c>
      <c r="BH123" s="18">
        <f t="shared" ref="BH123" si="450">(BH122-BC122)/BC122</f>
        <v>0.103514746514168</v>
      </c>
      <c r="BI123" s="1936">
        <f t="shared" ref="BI123:BL123" si="451">(BI122-BD122)/BD122</f>
        <v>0.95063588168834512</v>
      </c>
      <c r="BJ123" s="368">
        <f t="shared" si="451"/>
        <v>3.2237910783456288E-2</v>
      </c>
      <c r="BK123" s="18">
        <f t="shared" si="451"/>
        <v>4.719298245614037E-2</v>
      </c>
      <c r="BL123" s="18">
        <f t="shared" si="451"/>
        <v>8.1505805089714889E-2</v>
      </c>
      <c r="BM123" s="18">
        <f t="shared" ref="BM123" si="452">(BM122-BH122)/BH122</f>
        <v>0.14399673925701639</v>
      </c>
      <c r="BN123" s="1936">
        <f t="shared" ref="BN123" si="453">(BN122-BI122)/BI122</f>
        <v>7.7019039415451393E-2</v>
      </c>
      <c r="BO123" s="368">
        <f t="shared" ref="BO123" si="454">(BO122-BJ122)/BJ122</f>
        <v>5.5642406734525376E-2</v>
      </c>
      <c r="BP123" s="18">
        <f t="shared" ref="BP123" si="455">(BP122-BK122)/BK122</f>
        <v>8.6316896602600987E-2</v>
      </c>
      <c r="BQ123" s="18">
        <f t="shared" ref="BQ123:BS123" si="456">(BQ122-BL122)/BL122</f>
        <v>7.1852052659685195E-2</v>
      </c>
      <c r="BR123" s="2162">
        <f t="shared" si="456"/>
        <v>4.276712847662098E-2</v>
      </c>
      <c r="BS123" s="1936">
        <f t="shared" si="456"/>
        <v>6.3851152012768975E-2</v>
      </c>
      <c r="BT123" s="18"/>
      <c r="BU123" s="18"/>
      <c r="BV123" s="18"/>
      <c r="BW123" s="18"/>
      <c r="BX123" s="60">
        <f>(BX122-BS122)/BS122</f>
        <v>6.8471630587977964E-2</v>
      </c>
      <c r="BY123" s="18"/>
      <c r="BZ123" s="18"/>
      <c r="CA123" s="18"/>
      <c r="CB123" s="18"/>
      <c r="CC123" s="60">
        <f>(CC122-BX122)/BX122</f>
        <v>6.9370799375882031E-2</v>
      </c>
      <c r="CD123" s="191"/>
      <c r="CE123" s="111"/>
      <c r="CF123" s="173"/>
      <c r="CG123" s="173"/>
      <c r="CH123" s="173"/>
      <c r="CI123" s="239"/>
      <c r="CJ123" s="177"/>
      <c r="CK123" s="2070"/>
      <c r="CL123" s="18">
        <f t="shared" si="408"/>
        <v>0.14399673925701639</v>
      </c>
      <c r="CM123" s="18">
        <f t="shared" si="409"/>
        <v>0.103514746514168</v>
      </c>
      <c r="CN123" s="18">
        <v>6.4114973736767236E-2</v>
      </c>
      <c r="CO123" s="2107">
        <f>IFERROR(($CL123-CM123)*10000,"")</f>
        <v>404.81992742848388</v>
      </c>
      <c r="CP123" s="2107">
        <f>IFERROR(($CL123-CN123)*10000,"")</f>
        <v>798.81765520249155</v>
      </c>
      <c r="CQ123" s="44"/>
      <c r="CR123" s="40"/>
      <c r="CS123" s="40"/>
      <c r="CT123" s="40"/>
      <c r="CU123" s="40"/>
      <c r="CV123" s="40"/>
      <c r="CW123" s="40"/>
      <c r="CX123" s="40"/>
      <c r="CY123" s="139"/>
      <c r="CZ123"/>
      <c r="DA123"/>
      <c r="DB123"/>
      <c r="DC123"/>
      <c r="DD123"/>
      <c r="DE123"/>
      <c r="DF123" s="3"/>
      <c r="DG123" s="3"/>
      <c r="DH123" s="3"/>
      <c r="DI123" s="3"/>
      <c r="DJ123" s="3"/>
    </row>
    <row r="124" spans="1:114" s="176" customFormat="1" ht="12.75" customHeight="1">
      <c r="A124" s="54" t="s">
        <v>148</v>
      </c>
      <c r="B124" s="545"/>
      <c r="C124" s="221"/>
      <c r="D124" s="221"/>
      <c r="E124" s="221"/>
      <c r="F124" s="222"/>
      <c r="G124" s="221"/>
      <c r="H124" s="221"/>
      <c r="I124" s="221"/>
      <c r="J124" s="221"/>
      <c r="K124" s="222"/>
      <c r="L124" s="221"/>
      <c r="M124" s="221"/>
      <c r="N124" s="221"/>
      <c r="O124" s="221"/>
      <c r="P124" s="222"/>
      <c r="Q124" s="221"/>
      <c r="R124" s="221"/>
      <c r="S124" s="221"/>
      <c r="T124" s="221"/>
      <c r="U124" s="222"/>
      <c r="V124" s="221"/>
      <c r="W124" s="221"/>
      <c r="X124" s="221"/>
      <c r="Y124" s="221"/>
      <c r="Z124" s="222"/>
      <c r="AA124" s="221"/>
      <c r="AB124" s="221"/>
      <c r="AC124" s="221"/>
      <c r="AD124" s="221"/>
      <c r="AE124" s="222"/>
      <c r="AF124" s="221"/>
      <c r="AG124" s="221"/>
      <c r="AH124" s="96"/>
      <c r="AI124" s="254"/>
      <c r="AJ124" s="222"/>
      <c r="AK124" s="254"/>
      <c r="AL124" s="96"/>
      <c r="AM124" s="96"/>
      <c r="AN124" s="254"/>
      <c r="AO124" s="222"/>
      <c r="AP124" s="254"/>
      <c r="AQ124" s="96"/>
      <c r="AR124" s="96"/>
      <c r="AS124" s="254"/>
      <c r="AT124" s="222"/>
      <c r="AU124" s="254"/>
      <c r="AV124" s="96"/>
      <c r="AW124" s="96"/>
      <c r="AX124" s="254"/>
      <c r="AY124" s="545"/>
      <c r="AZ124" s="579"/>
      <c r="BA124" s="96"/>
      <c r="BB124" s="684"/>
      <c r="BC124" s="2005">
        <f>+BC112+BC86</f>
        <v>1557.1000000000001</v>
      </c>
      <c r="BD124" s="2006"/>
      <c r="BE124" s="579"/>
      <c r="BF124" s="96"/>
      <c r="BG124" s="684"/>
      <c r="BH124" s="2005"/>
      <c r="BI124" s="2006"/>
      <c r="BJ124" s="579"/>
      <c r="BK124" s="96"/>
      <c r="BL124" s="684"/>
      <c r="BM124" s="2005"/>
      <c r="BN124" s="2006"/>
      <c r="BO124" s="2353"/>
      <c r="BP124" s="96"/>
      <c r="BQ124" s="96"/>
      <c r="BR124" s="2193"/>
      <c r="BS124" s="1943"/>
      <c r="BT124" s="221"/>
      <c r="BU124" s="221"/>
      <c r="BV124" s="221"/>
      <c r="BW124" s="221"/>
      <c r="BX124" s="222"/>
      <c r="BY124" s="221"/>
      <c r="BZ124" s="221"/>
      <c r="CA124" s="221"/>
      <c r="CB124" s="221"/>
      <c r="CC124" s="222"/>
      <c r="CD124" s="223"/>
      <c r="CE124" s="224"/>
      <c r="CF124" s="173"/>
      <c r="CG124" s="173"/>
      <c r="CH124" s="173"/>
      <c r="CI124" s="239"/>
      <c r="CJ124" s="177"/>
      <c r="CK124" s="2070"/>
      <c r="CL124" s="96"/>
      <c r="CM124" s="96"/>
      <c r="CN124" s="96"/>
      <c r="CO124" s="96"/>
      <c r="CP124" s="96"/>
      <c r="CQ124" s="44"/>
      <c r="CR124" s="40"/>
      <c r="CS124" s="16"/>
      <c r="CT124" s="16"/>
      <c r="CU124" s="16"/>
      <c r="CV124" s="16"/>
      <c r="CW124" s="16"/>
      <c r="CX124" s="16"/>
      <c r="CY124" s="141"/>
      <c r="CZ124"/>
      <c r="DA124"/>
      <c r="DB124"/>
      <c r="DC124"/>
      <c r="DD124"/>
      <c r="DE124"/>
      <c r="DF124" s="8"/>
      <c r="DG124" s="8"/>
      <c r="DH124" s="8"/>
      <c r="DI124" s="8"/>
      <c r="DJ124" s="8"/>
    </row>
    <row r="125" spans="1:114" s="185" customFormat="1" ht="12.75" customHeight="1">
      <c r="A125" s="94" t="s">
        <v>102</v>
      </c>
      <c r="B125" s="550"/>
      <c r="C125" s="98"/>
      <c r="D125" s="98"/>
      <c r="E125" s="98"/>
      <c r="F125" s="97"/>
      <c r="G125" s="98">
        <f t="shared" ref="G125:AL125" si="457">G122/G45</f>
        <v>0.25389848246991109</v>
      </c>
      <c r="H125" s="98">
        <f t="shared" si="457"/>
        <v>0.25746402877697849</v>
      </c>
      <c r="I125" s="98">
        <f t="shared" si="457"/>
        <v>0.26227997419592669</v>
      </c>
      <c r="J125" s="98">
        <f t="shared" si="457"/>
        <v>0.24941397093295739</v>
      </c>
      <c r="K125" s="97">
        <f t="shared" si="457"/>
        <v>0.25586025455665884</v>
      </c>
      <c r="L125" s="98">
        <f t="shared" si="457"/>
        <v>0.26276864178195436</v>
      </c>
      <c r="M125" s="98">
        <f t="shared" si="457"/>
        <v>0.2538650484034099</v>
      </c>
      <c r="N125" s="98">
        <f t="shared" si="457"/>
        <v>0.22823564638071708</v>
      </c>
      <c r="O125" s="98">
        <f t="shared" si="457"/>
        <v>0.23401764108968851</v>
      </c>
      <c r="P125" s="97">
        <f t="shared" si="457"/>
        <v>0.24426754684011259</v>
      </c>
      <c r="Q125" s="98">
        <f t="shared" si="457"/>
        <v>0.17287906898296507</v>
      </c>
      <c r="R125" s="98">
        <f t="shared" si="457"/>
        <v>0.15565290648694191</v>
      </c>
      <c r="S125" s="98">
        <f t="shared" si="457"/>
        <v>0.14657582671851396</v>
      </c>
      <c r="T125" s="98">
        <f t="shared" si="457"/>
        <v>0.14061873847880108</v>
      </c>
      <c r="U125" s="97">
        <f t="shared" si="457"/>
        <v>0.15337742778315763</v>
      </c>
      <c r="V125" s="98">
        <f t="shared" si="457"/>
        <v>0.14443005181347141</v>
      </c>
      <c r="W125" s="98">
        <f t="shared" si="457"/>
        <v>0.14737220698646766</v>
      </c>
      <c r="X125" s="98">
        <f t="shared" si="457"/>
        <v>0.15997100454007865</v>
      </c>
      <c r="Y125" s="98">
        <f t="shared" si="457"/>
        <v>0.1449224928819994</v>
      </c>
      <c r="Z125" s="97">
        <f t="shared" si="457"/>
        <v>0.14930694255812096</v>
      </c>
      <c r="AA125" s="98">
        <f t="shared" si="457"/>
        <v>0.16054610960116303</v>
      </c>
      <c r="AB125" s="98">
        <f t="shared" si="457"/>
        <v>0.16075855230540403</v>
      </c>
      <c r="AC125" s="98">
        <f t="shared" si="457"/>
        <v>0.16194204463642903</v>
      </c>
      <c r="AD125" s="98">
        <f t="shared" si="457"/>
        <v>0.12820944726520195</v>
      </c>
      <c r="AE125" s="97">
        <f t="shared" si="457"/>
        <v>0.15248722996195888</v>
      </c>
      <c r="AF125" s="98">
        <f t="shared" si="457"/>
        <v>0.15127204394333627</v>
      </c>
      <c r="AG125" s="98">
        <f t="shared" si="457"/>
        <v>0.13965618905066446</v>
      </c>
      <c r="AH125" s="98">
        <f t="shared" si="457"/>
        <v>0.14480153622148592</v>
      </c>
      <c r="AI125" s="98">
        <f t="shared" si="457"/>
        <v>0.13115572190087332</v>
      </c>
      <c r="AJ125" s="97">
        <f t="shared" si="457"/>
        <v>0.14163974790485437</v>
      </c>
      <c r="AK125" s="98">
        <f t="shared" si="457"/>
        <v>0.1519973070017954</v>
      </c>
      <c r="AL125" s="98">
        <f t="shared" si="457"/>
        <v>0.15520718738540523</v>
      </c>
      <c r="AM125" s="98">
        <f t="shared" ref="AM125:BE125" si="458">AM122/AM45</f>
        <v>0.13979827576491796</v>
      </c>
      <c r="AN125" s="98">
        <f t="shared" si="458"/>
        <v>0.14435545560952232</v>
      </c>
      <c r="AO125" s="97">
        <f t="shared" si="458"/>
        <v>0.14654098660760753</v>
      </c>
      <c r="AP125" s="98">
        <f t="shared" si="458"/>
        <v>0.14263283011254491</v>
      </c>
      <c r="AQ125" s="98">
        <f t="shared" si="458"/>
        <v>0.1410741770065139</v>
      </c>
      <c r="AR125" s="98">
        <f t="shared" si="458"/>
        <v>0.17958367271190118</v>
      </c>
      <c r="AS125" s="98">
        <f t="shared" si="458"/>
        <v>0.20632038906663649</v>
      </c>
      <c r="AT125" s="97">
        <f t="shared" si="458"/>
        <v>0.17586141594155225</v>
      </c>
      <c r="AU125" s="98">
        <f t="shared" si="458"/>
        <v>0.20678958792930663</v>
      </c>
      <c r="AV125" s="98">
        <f t="shared" si="458"/>
        <v>0.2097557869155211</v>
      </c>
      <c r="AW125" s="98">
        <f t="shared" si="458"/>
        <v>0.26432291273567099</v>
      </c>
      <c r="AX125" s="98">
        <f t="shared" si="458"/>
        <v>0.36029854339713496</v>
      </c>
      <c r="AY125" s="550">
        <f t="shared" si="458"/>
        <v>0.27780658597918512</v>
      </c>
      <c r="AZ125" s="550">
        <f t="shared" si="458"/>
        <v>0.37297297297297294</v>
      </c>
      <c r="BA125" s="98">
        <f t="shared" si="458"/>
        <v>0.41829097787647018</v>
      </c>
      <c r="BB125" s="98">
        <f t="shared" si="458"/>
        <v>0.47618644426569579</v>
      </c>
      <c r="BC125" s="98">
        <f t="shared" si="458"/>
        <v>0.46563743529904561</v>
      </c>
      <c r="BD125" s="1954">
        <f t="shared" si="458"/>
        <v>0.45280915089265816</v>
      </c>
      <c r="BE125" s="550">
        <f t="shared" si="458"/>
        <v>0.45142002989536623</v>
      </c>
      <c r="BF125" s="98">
        <f t="shared" ref="BF125:BJ125" si="459">BF122/BF45</f>
        <v>0.46425759509135833</v>
      </c>
      <c r="BG125" s="98">
        <f t="shared" si="459"/>
        <v>0.45920620388820077</v>
      </c>
      <c r="BH125" s="98">
        <f t="shared" si="459"/>
        <v>0.46711635750421582</v>
      </c>
      <c r="BI125" s="1954">
        <f t="shared" si="459"/>
        <v>0.46057977755585044</v>
      </c>
      <c r="BJ125" s="550">
        <f t="shared" si="459"/>
        <v>0.4667890945048736</v>
      </c>
      <c r="BK125" s="199">
        <f t="shared" ref="BK125:BN125" si="460">BK122/BK45</f>
        <v>0.47621200436135419</v>
      </c>
      <c r="BL125" s="98">
        <f t="shared" si="460"/>
        <v>0.47449255228833831</v>
      </c>
      <c r="BM125" s="98">
        <f t="shared" si="460"/>
        <v>0.46846610553422829</v>
      </c>
      <c r="BN125" s="1954">
        <f t="shared" si="460"/>
        <v>0.4714969312389472</v>
      </c>
      <c r="BO125" s="2316">
        <f>BO122/BO45</f>
        <v>0.44500000000000001</v>
      </c>
      <c r="BP125" s="98">
        <f t="shared" ref="BP125:BS125" si="461">BP122/BP45</f>
        <v>0.46699999999999997</v>
      </c>
      <c r="BQ125" s="199">
        <f>BQ122/BQ45</f>
        <v>0.46999999999999992</v>
      </c>
      <c r="BR125" s="2171">
        <f t="shared" si="461"/>
        <v>0.46999999999999992</v>
      </c>
      <c r="BS125" s="1954">
        <f t="shared" si="461"/>
        <v>0.46336450993084288</v>
      </c>
      <c r="BT125" s="98"/>
      <c r="BU125" s="98"/>
      <c r="BV125" s="98"/>
      <c r="BW125" s="98"/>
      <c r="BX125" s="97">
        <f>BX122/BX45</f>
        <v>0.46336450993084283</v>
      </c>
      <c r="BY125" s="98"/>
      <c r="BZ125" s="98"/>
      <c r="CA125" s="98"/>
      <c r="CB125" s="98"/>
      <c r="CC125" s="97">
        <f>CC122/CC45</f>
        <v>0.46336450993084294</v>
      </c>
      <c r="CD125" s="198"/>
      <c r="CE125" s="120"/>
      <c r="CF125" s="173"/>
      <c r="CG125" s="173"/>
      <c r="CH125" s="173"/>
      <c r="CI125" s="239"/>
      <c r="CJ125" s="177"/>
      <c r="CK125" s="2070"/>
      <c r="CL125" s="98">
        <f t="shared" ref="CL125:CL138" si="462">BM125</f>
        <v>0.46846610553422829</v>
      </c>
      <c r="CM125" s="98">
        <f t="shared" ref="CM125:CM138" si="463">BH125</f>
        <v>0.46711635750421582</v>
      </c>
      <c r="CN125" s="98">
        <v>0.46500000000000002</v>
      </c>
      <c r="CO125" s="2115">
        <f>IFERROR(($CL125-CM125)*10000,"")</f>
        <v>13.497480300124764</v>
      </c>
      <c r="CP125" s="2115">
        <f>IFERROR(($CL125-CN125)*10000,"")</f>
        <v>34.661055342282701</v>
      </c>
      <c r="CQ125" s="44"/>
      <c r="CR125" s="41"/>
      <c r="CS125" s="24"/>
      <c r="CT125" s="24"/>
      <c r="CU125" s="24"/>
      <c r="CV125" s="24"/>
      <c r="CW125" s="24"/>
      <c r="CX125" s="24"/>
      <c r="CY125" s="138"/>
      <c r="CZ125"/>
      <c r="DA125"/>
      <c r="DB125"/>
      <c r="DC125"/>
      <c r="DD125"/>
      <c r="DE125"/>
      <c r="DF125" s="25"/>
      <c r="DG125" s="25"/>
      <c r="DH125" s="25"/>
      <c r="DI125" s="25"/>
      <c r="DJ125" s="25"/>
    </row>
    <row r="126" spans="1:114" s="1" customFormat="1" ht="12.75" customHeight="1">
      <c r="A126" s="58" t="s">
        <v>86</v>
      </c>
      <c r="B126" s="547"/>
      <c r="C126" s="91"/>
      <c r="D126" s="91"/>
      <c r="E126" s="91"/>
      <c r="F126" s="61"/>
      <c r="G126" s="91"/>
      <c r="H126" s="91"/>
      <c r="I126" s="91"/>
      <c r="J126" s="91"/>
      <c r="K126" s="61"/>
      <c r="L126" s="91">
        <f>IF(ISERROR((L125-G125)*100),"",(L125-G125)*100)</f>
        <v>0.88701593120432687</v>
      </c>
      <c r="M126" s="91">
        <f>IF(ISERROR((M125-H125)*100),"",(M125-H125)*100)</f>
        <v>-0.35989803735685943</v>
      </c>
      <c r="N126" s="91">
        <f>IF(ISERROR((N125-I125)*100),"",(N125-I125)*100)</f>
        <v>-3.4044327815209607</v>
      </c>
      <c r="O126" s="91">
        <f>IF(ISERROR((O125-J125)*100),"",(O125-J125)*100)</f>
        <v>-1.5396329843268886</v>
      </c>
      <c r="P126" s="92">
        <f>IF(ISERROR((P125-K125)*100),"",(P125-K125)*100)</f>
        <v>-1.1592707716546247</v>
      </c>
      <c r="Q126" s="6">
        <f t="shared" ref="Q126:BA126" si="464">(Q125-L125)*100</f>
        <v>-8.9889572798989299</v>
      </c>
      <c r="R126" s="6">
        <f t="shared" si="464"/>
        <v>-9.8212141916467992</v>
      </c>
      <c r="S126" s="6">
        <f t="shared" si="464"/>
        <v>-8.1659819662203113</v>
      </c>
      <c r="T126" s="6">
        <f t="shared" si="464"/>
        <v>-9.3398902610887422</v>
      </c>
      <c r="U126" s="61">
        <f t="shared" si="464"/>
        <v>-9.0890119056954966</v>
      </c>
      <c r="V126" s="6">
        <f t="shared" si="464"/>
        <v>-2.8449017169493662</v>
      </c>
      <c r="W126" s="6">
        <f t="shared" si="464"/>
        <v>-0.82806995004742479</v>
      </c>
      <c r="X126" s="6">
        <f t="shared" si="464"/>
        <v>1.3395177821564686</v>
      </c>
      <c r="Y126" s="6">
        <f t="shared" si="464"/>
        <v>0.43037544031983288</v>
      </c>
      <c r="Z126" s="61">
        <f t="shared" si="464"/>
        <v>-0.40704852250366685</v>
      </c>
      <c r="AA126" s="6">
        <f t="shared" si="464"/>
        <v>1.6116057787691624</v>
      </c>
      <c r="AB126" s="6">
        <f t="shared" si="464"/>
        <v>1.338634531893637</v>
      </c>
      <c r="AC126" s="6">
        <f t="shared" si="464"/>
        <v>0.19710400963503794</v>
      </c>
      <c r="AD126" s="6">
        <f t="shared" si="464"/>
        <v>-1.6713045616797455</v>
      </c>
      <c r="AE126" s="61">
        <f t="shared" si="464"/>
        <v>0.31802874038379114</v>
      </c>
      <c r="AF126" s="6">
        <f t="shared" si="464"/>
        <v>-0.92740656578267633</v>
      </c>
      <c r="AG126" s="6">
        <f t="shared" si="464"/>
        <v>-2.1102363254739576</v>
      </c>
      <c r="AH126" s="6">
        <f t="shared" si="464"/>
        <v>-1.7140508414943105</v>
      </c>
      <c r="AI126" s="6">
        <f t="shared" si="464"/>
        <v>0.29462746356713754</v>
      </c>
      <c r="AJ126" s="61">
        <f t="shared" si="464"/>
        <v>-1.0847482057104507</v>
      </c>
      <c r="AK126" s="6">
        <f t="shared" si="464"/>
        <v>7.2526305845913019E-2</v>
      </c>
      <c r="AL126" s="6">
        <f t="shared" si="464"/>
        <v>1.5550998334740773</v>
      </c>
      <c r="AM126" s="6">
        <f t="shared" si="464"/>
        <v>-0.50032604565679595</v>
      </c>
      <c r="AN126" s="6">
        <f t="shared" si="464"/>
        <v>1.3199733708648993</v>
      </c>
      <c r="AO126" s="61">
        <f t="shared" si="464"/>
        <v>0.49012387027531634</v>
      </c>
      <c r="AP126" s="6">
        <f t="shared" si="464"/>
        <v>-0.93644768892504893</v>
      </c>
      <c r="AQ126" s="6">
        <f t="shared" si="464"/>
        <v>-1.4133010378891337</v>
      </c>
      <c r="AR126" s="6">
        <f t="shared" si="464"/>
        <v>3.9785396946983216</v>
      </c>
      <c r="AS126" s="6">
        <f t="shared" si="464"/>
        <v>6.196493345711418</v>
      </c>
      <c r="AT126" s="61">
        <f t="shared" si="464"/>
        <v>2.9320429333944715</v>
      </c>
      <c r="AU126" s="6">
        <f t="shared" si="464"/>
        <v>6.415675781676172</v>
      </c>
      <c r="AV126" s="6">
        <f t="shared" si="464"/>
        <v>6.8681609909007211</v>
      </c>
      <c r="AW126" s="6">
        <f t="shared" si="464"/>
        <v>8.4739240023769806</v>
      </c>
      <c r="AX126" s="6">
        <f t="shared" si="464"/>
        <v>15.397815433049846</v>
      </c>
      <c r="AY126" s="190">
        <f t="shared" si="464"/>
        <v>10.194517003763288</v>
      </c>
      <c r="AZ126" s="190">
        <f t="shared" si="464"/>
        <v>16.61833850436663</v>
      </c>
      <c r="BA126" s="6">
        <f t="shared" si="464"/>
        <v>20.853519096094907</v>
      </c>
      <c r="BB126" s="6">
        <f t="shared" ref="BB126:BG126" si="465">(BB125-AW125)*100</f>
        <v>21.186353153002479</v>
      </c>
      <c r="BC126" s="6">
        <f t="shared" ref="BC126" si="466">(BC125-AX125)*100</f>
        <v>10.533889190191065</v>
      </c>
      <c r="BD126" s="1946">
        <f t="shared" ref="BD126:BF126" si="467">(BD125-AY125)*100</f>
        <v>17.500256491347304</v>
      </c>
      <c r="BE126" s="190">
        <f t="shared" si="467"/>
        <v>7.8447056922393283</v>
      </c>
      <c r="BF126" s="6">
        <f t="shared" si="467"/>
        <v>4.5966617214888146</v>
      </c>
      <c r="BG126" s="6">
        <f t="shared" si="465"/>
        <v>-1.6980240377495015</v>
      </c>
      <c r="BH126" s="6">
        <f t="shared" ref="BH126" si="468">(BH125-BC125)*100</f>
        <v>0.14789222051702078</v>
      </c>
      <c r="BI126" s="1946">
        <f t="shared" ref="BI126:BL126" si="469">(BI125-BD125)*100</f>
        <v>0.77706266631922816</v>
      </c>
      <c r="BJ126" s="190">
        <f t="shared" si="469"/>
        <v>1.5369064609507377</v>
      </c>
      <c r="BK126" s="6">
        <f t="shared" si="469"/>
        <v>1.1954409269995858</v>
      </c>
      <c r="BL126" s="6">
        <f t="shared" si="469"/>
        <v>1.5286348400137539</v>
      </c>
      <c r="BM126" s="6">
        <f t="shared" ref="BM126" si="470">(BM125-BH125)*100</f>
        <v>0.13497480300124765</v>
      </c>
      <c r="BN126" s="1946">
        <f t="shared" ref="BN126" si="471">(BN125-BI125)*100</f>
        <v>1.0917153683096759</v>
      </c>
      <c r="BO126" s="190">
        <f t="shared" ref="BO126" si="472">(BO125-BJ125)*100</f>
        <v>-2.1789094504873594</v>
      </c>
      <c r="BP126" s="6">
        <f t="shared" ref="BP126" si="473">(BP125-BK125)*100</f>
        <v>-0.92120043613542202</v>
      </c>
      <c r="BQ126" s="6">
        <f t="shared" ref="BQ126:BS126" si="474">(BQ125-BL125)*100</f>
        <v>-0.44925522883383917</v>
      </c>
      <c r="BR126" s="2166">
        <f t="shared" si="474"/>
        <v>0.15338944657716236</v>
      </c>
      <c r="BS126" s="1946">
        <f t="shared" si="474"/>
        <v>-0.81324213081043206</v>
      </c>
      <c r="BT126" s="6"/>
      <c r="BU126" s="6"/>
      <c r="BV126" s="6"/>
      <c r="BW126" s="6"/>
      <c r="BX126" s="61">
        <f>(BX125-BS125)*100</f>
        <v>-5.5511151231257827E-15</v>
      </c>
      <c r="BY126" s="6"/>
      <c r="BZ126" s="6"/>
      <c r="CA126" s="6"/>
      <c r="CB126" s="6"/>
      <c r="CC126" s="61">
        <f>(CC125-BX125)*100</f>
        <v>1.1102230246251565E-14</v>
      </c>
      <c r="CD126" s="194"/>
      <c r="CE126" s="114"/>
      <c r="CF126" s="173"/>
      <c r="CG126" s="173"/>
      <c r="CH126" s="173"/>
      <c r="CI126" s="239"/>
      <c r="CJ126" s="177"/>
      <c r="CK126" s="2070"/>
      <c r="CL126" s="6">
        <f t="shared" si="462"/>
        <v>0.13497480300124765</v>
      </c>
      <c r="CM126" s="6">
        <f t="shared" si="463"/>
        <v>0.14789222051702078</v>
      </c>
      <c r="CN126" s="6">
        <v>-0.21163575042157934</v>
      </c>
      <c r="CO126" s="6"/>
      <c r="CP126" s="6"/>
      <c r="CQ126" s="44"/>
      <c r="CR126" s="40"/>
      <c r="CS126" s="40"/>
      <c r="CT126" s="40"/>
      <c r="CU126" s="40"/>
      <c r="CV126" s="24"/>
      <c r="CW126" s="40"/>
      <c r="CX126" s="40"/>
      <c r="CY126" s="139"/>
      <c r="CZ126"/>
      <c r="DA126"/>
      <c r="DB126"/>
      <c r="DC126"/>
      <c r="DD126"/>
      <c r="DE126"/>
      <c r="DF126" s="3"/>
      <c r="DG126" s="3"/>
      <c r="DH126" s="3"/>
      <c r="DI126" s="3"/>
      <c r="DJ126" s="3"/>
    </row>
    <row r="127" spans="1:114" s="1" customFormat="1" ht="12.75" customHeight="1">
      <c r="A127" s="58" t="s">
        <v>88</v>
      </c>
      <c r="B127" s="190"/>
      <c r="C127" s="6"/>
      <c r="D127" s="6"/>
      <c r="E127" s="6"/>
      <c r="F127" s="61"/>
      <c r="G127" s="6"/>
      <c r="H127" s="6">
        <f>IF(ISERROR((H125-G125)*100),"",(H125-G125)*100)</f>
        <v>0.35655463070674021</v>
      </c>
      <c r="I127" s="6">
        <f>IF(ISERROR((I125-H125)*100),"",(I125-H125)*100)</f>
        <v>0.48159454189481976</v>
      </c>
      <c r="J127" s="6">
        <f>IF(ISERROR((J125-I125)*100),"",(J125-I125)*100)</f>
        <v>-1.2866003262969299</v>
      </c>
      <c r="K127" s="61"/>
      <c r="L127" s="6">
        <f>IF(ISERROR((L125-J125)*100),"",(L125-J125)*100)</f>
        <v>1.335467084899697</v>
      </c>
      <c r="M127" s="6">
        <f>IF(ISERROR((M125-L125)*100),"",(M125-L125)*100)</f>
        <v>-0.8903593378544461</v>
      </c>
      <c r="N127" s="6">
        <f>IF(ISERROR((N125-M125)*100),"",(N125-M125)*100)</f>
        <v>-2.5629402022692815</v>
      </c>
      <c r="O127" s="6">
        <f>IF(ISERROR((O125-N125)*100),"",(O125-N125)*100)</f>
        <v>0.57819947089714219</v>
      </c>
      <c r="P127" s="61"/>
      <c r="Q127" s="6">
        <f>(Q125-O125)*100</f>
        <v>-6.1138572106723439</v>
      </c>
      <c r="R127" s="6">
        <f>(R125-Q125)*100</f>
        <v>-1.7226162496023156</v>
      </c>
      <c r="S127" s="6">
        <f>(S125-R125)*100</f>
        <v>-0.90770797684279481</v>
      </c>
      <c r="T127" s="6">
        <f>(T125-S125)*100</f>
        <v>-0.59570882397128877</v>
      </c>
      <c r="U127" s="61"/>
      <c r="V127" s="6">
        <f>(V125-T125)*100</f>
        <v>0.38113133346703298</v>
      </c>
      <c r="W127" s="6">
        <f>(W125-V125)*100</f>
        <v>0.29421551729962581</v>
      </c>
      <c r="X127" s="6">
        <f>(X125-W125)*100</f>
        <v>1.2598797553610985</v>
      </c>
      <c r="Y127" s="6">
        <f>(Y125-X125)*100</f>
        <v>-1.5048511658079244</v>
      </c>
      <c r="Z127" s="61"/>
      <c r="AA127" s="6">
        <f>(AA125-Y125)*100</f>
        <v>1.5623616719163624</v>
      </c>
      <c r="AB127" s="6">
        <f>(AB125-AA125)*100</f>
        <v>2.1244270424100598E-2</v>
      </c>
      <c r="AC127" s="6">
        <f>(AC125-AB125)*100</f>
        <v>0.11834923310249934</v>
      </c>
      <c r="AD127" s="6">
        <f>(AD125-AC125)*100</f>
        <v>-3.3732597371227078</v>
      </c>
      <c r="AE127" s="61"/>
      <c r="AF127" s="6">
        <f>(AF125-AD125)*100</f>
        <v>2.3062596678134319</v>
      </c>
      <c r="AG127" s="6">
        <f>(AG125-AF125)*100</f>
        <v>-1.1615854892671806</v>
      </c>
      <c r="AH127" s="6">
        <f>(AH125-AG125)*100</f>
        <v>0.51453471708214626</v>
      </c>
      <c r="AI127" s="6">
        <f>(AI125-AH125)*100</f>
        <v>-1.3645814320612599</v>
      </c>
      <c r="AJ127" s="61"/>
      <c r="AK127" s="6">
        <f>(AK125-AI125)*100</f>
        <v>2.0841585100922071</v>
      </c>
      <c r="AL127" s="6">
        <f>(AL125-AK125)*100</f>
        <v>0.32098803836098366</v>
      </c>
      <c r="AM127" s="6">
        <f>(AM125-AL125)*100</f>
        <v>-1.5408911620487271</v>
      </c>
      <c r="AN127" s="6">
        <f>(AN125-AM125)*100</f>
        <v>0.45571798446043532</v>
      </c>
      <c r="AO127" s="61"/>
      <c r="AP127" s="6">
        <f>(AP125-AN125)*100</f>
        <v>-0.17226254969774091</v>
      </c>
      <c r="AQ127" s="6">
        <f>(AQ125-AP125)*100</f>
        <v>-0.15586531060310105</v>
      </c>
      <c r="AR127" s="6">
        <f>(AR125-AQ125)*100</f>
        <v>3.8509495705387282</v>
      </c>
      <c r="AS127" s="6">
        <f>(AS125-AR125)*100</f>
        <v>2.6736716354735317</v>
      </c>
      <c r="AT127" s="61"/>
      <c r="AU127" s="6">
        <f>(AU125-AS125)*100</f>
        <v>4.6919886267013378E-2</v>
      </c>
      <c r="AV127" s="6">
        <f>(AV125-AU125)*100</f>
        <v>0.29661989862144744</v>
      </c>
      <c r="AW127" s="6">
        <f>(AW125-AV125)*100</f>
        <v>5.4567125820149887</v>
      </c>
      <c r="AX127" s="6">
        <f>(AX125-AW125)*100</f>
        <v>9.5975630661463978</v>
      </c>
      <c r="AY127" s="190"/>
      <c r="AZ127" s="190">
        <f>(AZ125-AX125)*100</f>
        <v>1.2674429575837975</v>
      </c>
      <c r="BA127" s="6">
        <f>(BA125-AZ125)*100</f>
        <v>4.531800490349724</v>
      </c>
      <c r="BB127" s="6">
        <f>(BB125-BA125)*100</f>
        <v>5.7895466389225607</v>
      </c>
      <c r="BC127" s="6">
        <f>(BC125-BB125)*100</f>
        <v>-1.0549008966650175</v>
      </c>
      <c r="BD127" s="1946"/>
      <c r="BE127" s="190">
        <f>(BE125-BC125)*100</f>
        <v>-1.4217405403679384</v>
      </c>
      <c r="BF127" s="6">
        <f>(BF125-BE125)*100</f>
        <v>1.2837565195992107</v>
      </c>
      <c r="BG127" s="6">
        <f>(BG125-BF125)*100</f>
        <v>-0.50513912031575625</v>
      </c>
      <c r="BH127" s="6">
        <f>(BH125-BG125)*100</f>
        <v>0.79101536160150476</v>
      </c>
      <c r="BI127" s="1946"/>
      <c r="BJ127" s="190">
        <f>(BJ125-BH125)*100</f>
        <v>-3.2726299934221492E-2</v>
      </c>
      <c r="BK127" s="6">
        <f>(BK125-BJ125)*100</f>
        <v>0.9422909856480588</v>
      </c>
      <c r="BL127" s="6">
        <f>(BL125-BK125)*100</f>
        <v>-0.17194520730158813</v>
      </c>
      <c r="BM127" s="6">
        <f>(BM125-BL125)*100</f>
        <v>-0.60264467541100153</v>
      </c>
      <c r="BN127" s="1946"/>
      <c r="BO127" s="190">
        <f>(BO125-BM125)*100</f>
        <v>-2.3466105534228285</v>
      </c>
      <c r="BP127" s="6">
        <f t="shared" ref="BP127" si="475">(BP125-BO125)*100</f>
        <v>2.1999999999999966</v>
      </c>
      <c r="BQ127" s="6">
        <f t="shared" ref="BQ127:BR127" si="476">(BQ125-BP125)*100</f>
        <v>0.29999999999999472</v>
      </c>
      <c r="BR127" s="2166">
        <f t="shared" si="476"/>
        <v>0</v>
      </c>
      <c r="BS127" s="1946"/>
      <c r="BT127" s="6"/>
      <c r="BU127" s="6"/>
      <c r="BV127" s="6"/>
      <c r="BW127" s="6"/>
      <c r="BX127" s="61"/>
      <c r="BY127" s="6"/>
      <c r="BZ127" s="6"/>
      <c r="CA127" s="6"/>
      <c r="CB127" s="6"/>
      <c r="CC127" s="61"/>
      <c r="CD127" s="194"/>
      <c r="CE127" s="114"/>
      <c r="CF127" s="447">
        <f>AVERAGE(B127,G127,L127,Q127,V127,AA127,AF127,AK127,AP127,AU127,AZ127,BE127,BJ127)</f>
        <v>0.11301404648793617</v>
      </c>
      <c r="CG127" s="447">
        <f>AVERAGE(C127,H127,M127,R127,W127,AB127,AG127,AL127,AQ127,AV127,BA127,BF127,BK127)</f>
        <v>0.34308699697357059</v>
      </c>
      <c r="CH127" s="447">
        <f>AVERAGE(D127,I127,N127,S127,X127,AC127,AH127,AM127,AR127,AW127,BB18,BG127,BL127)</f>
        <v>0.55035169954867735</v>
      </c>
      <c r="CI127" s="447">
        <f>AVERAGE(E127,J127,O127,T127,Y127,AD127,AI127,AN127,AS127,BM127)</f>
        <v>-0.55778411887111135</v>
      </c>
      <c r="CJ127" s="2203"/>
      <c r="CK127" s="2073"/>
      <c r="CL127" s="6">
        <f t="shared" si="462"/>
        <v>-0.60264467541100153</v>
      </c>
      <c r="CM127" s="6">
        <f t="shared" si="463"/>
        <v>0.79101536160150476</v>
      </c>
      <c r="CN127" s="6">
        <v>-0.94925522883382851</v>
      </c>
      <c r="CO127" s="6"/>
      <c r="CP127" s="6"/>
      <c r="CQ127" s="44"/>
      <c r="CR127" s="40"/>
      <c r="CS127" s="40"/>
      <c r="CT127" s="40"/>
      <c r="CU127" s="40"/>
      <c r="CV127" s="24"/>
      <c r="CW127" s="40"/>
      <c r="CX127" s="40"/>
      <c r="CY127" s="139"/>
      <c r="CZ127"/>
      <c r="DA127"/>
      <c r="DB127"/>
      <c r="DC127"/>
      <c r="DD127"/>
      <c r="DE127"/>
      <c r="DF127" s="3"/>
      <c r="DG127" s="3"/>
      <c r="DH127" s="3"/>
      <c r="DI127" s="3"/>
      <c r="DJ127" s="3"/>
    </row>
    <row r="128" spans="1:114" s="185" customFormat="1" ht="12.75" hidden="1" customHeight="1" outlineLevel="1">
      <c r="A128" s="94" t="s">
        <v>151</v>
      </c>
      <c r="B128" s="550"/>
      <c r="C128" s="98"/>
      <c r="D128" s="98"/>
      <c r="E128" s="98"/>
      <c r="F128" s="97">
        <f t="shared" ref="F128:AK128" si="477">F173/F184</f>
        <v>-5.0551356158292569</v>
      </c>
      <c r="G128" s="98">
        <f t="shared" si="477"/>
        <v>0.29060181368507831</v>
      </c>
      <c r="H128" s="98">
        <f t="shared" si="477"/>
        <v>0.32832692979392275</v>
      </c>
      <c r="I128" s="98">
        <f t="shared" si="477"/>
        <v>0.31799016163035754</v>
      </c>
      <c r="J128" s="98">
        <f t="shared" si="477"/>
        <v>0.20939849624060047</v>
      </c>
      <c r="K128" s="97">
        <f t="shared" si="477"/>
        <v>0.28781843446039784</v>
      </c>
      <c r="L128" s="98">
        <f t="shared" si="477"/>
        <v>0.24470198675496643</v>
      </c>
      <c r="M128" s="98">
        <f t="shared" si="477"/>
        <v>0.36198064883323811</v>
      </c>
      <c r="N128" s="98">
        <f t="shared" si="477"/>
        <v>0.25516562807477883</v>
      </c>
      <c r="O128" s="98">
        <f t="shared" si="477"/>
        <v>0.18979319546364215</v>
      </c>
      <c r="P128" s="97">
        <f t="shared" si="477"/>
        <v>0.26691042047531971</v>
      </c>
      <c r="Q128" s="98">
        <f t="shared" si="477"/>
        <v>0.23414634146341487</v>
      </c>
      <c r="R128" s="98">
        <f t="shared" si="477"/>
        <v>0.29465252219095045</v>
      </c>
      <c r="S128" s="98">
        <f t="shared" si="477"/>
        <v>0.39574654680990945</v>
      </c>
      <c r="T128" s="98">
        <f t="shared" si="477"/>
        <v>0.29752066115702475</v>
      </c>
      <c r="U128" s="97">
        <f t="shared" si="477"/>
        <v>0.30793972243730938</v>
      </c>
      <c r="V128" s="98">
        <f t="shared" si="477"/>
        <v>-9.3135563987585511E-3</v>
      </c>
      <c r="W128" s="98">
        <f t="shared" si="477"/>
        <v>0.19249542403904613</v>
      </c>
      <c r="X128" s="98">
        <f t="shared" si="477"/>
        <v>0.34462198902933455</v>
      </c>
      <c r="Y128" s="98">
        <f t="shared" si="477"/>
        <v>0.2449246889325466</v>
      </c>
      <c r="Z128" s="97">
        <f t="shared" si="477"/>
        <v>0.21209283659955802</v>
      </c>
      <c r="AA128" s="98">
        <f t="shared" si="477"/>
        <v>0.29999999999999949</v>
      </c>
      <c r="AB128" s="98">
        <f t="shared" si="477"/>
        <v>0.40724749421742568</v>
      </c>
      <c r="AC128" s="98">
        <f t="shared" si="477"/>
        <v>0.40566824117810446</v>
      </c>
      <c r="AD128" s="98">
        <f t="shared" si="477"/>
        <v>0.25544294294294384</v>
      </c>
      <c r="AE128" s="97">
        <f t="shared" si="477"/>
        <v>0.35058735627412729</v>
      </c>
      <c r="AF128" s="98">
        <f t="shared" si="477"/>
        <v>0.31852205765249236</v>
      </c>
      <c r="AG128" s="98">
        <f t="shared" si="477"/>
        <v>0.26680740500162298</v>
      </c>
      <c r="AH128" s="98">
        <f t="shared" si="477"/>
        <v>6.8493150684933432E-2</v>
      </c>
      <c r="AI128" s="98">
        <f t="shared" si="477"/>
        <v>-0.41317883085437612</v>
      </c>
      <c r="AJ128" s="97">
        <f t="shared" si="477"/>
        <v>6.8737291176589721E-2</v>
      </c>
      <c r="AK128" s="98">
        <f t="shared" si="477"/>
        <v>-0.62365273881588579</v>
      </c>
      <c r="AL128" s="98">
        <f t="shared" ref="AL128:BD128" si="478">AL173/AL184</f>
        <v>-0.39775546367395115</v>
      </c>
      <c r="AM128" s="98">
        <f t="shared" si="478"/>
        <v>-0.93540910923014964</v>
      </c>
      <c r="AN128" s="98">
        <f t="shared" si="478"/>
        <v>-0.70810189618847019</v>
      </c>
      <c r="AO128" s="97">
        <f t="shared" si="478"/>
        <v>-0.68499693815064089</v>
      </c>
      <c r="AP128" s="98">
        <f t="shared" si="478"/>
        <v>-0.69907749077490866</v>
      </c>
      <c r="AQ128" s="98">
        <f t="shared" si="478"/>
        <v>-0.72466390899689703</v>
      </c>
      <c r="AR128" s="98">
        <f t="shared" si="478"/>
        <v>-0.43974623952233183</v>
      </c>
      <c r="AS128" s="98">
        <f t="shared" si="478"/>
        <v>-0.16061199879409113</v>
      </c>
      <c r="AT128" s="97">
        <f t="shared" si="478"/>
        <v>-0.39855717848236477</v>
      </c>
      <c r="AU128" s="98">
        <f t="shared" si="478"/>
        <v>-0.18084523442583716</v>
      </c>
      <c r="AV128" s="98">
        <f t="shared" si="478"/>
        <v>-9.1343234594239334E-2</v>
      </c>
      <c r="AW128" s="98">
        <f t="shared" si="478"/>
        <v>-1.5921784519090709E-2</v>
      </c>
      <c r="AX128" s="98">
        <f t="shared" si="478"/>
        <v>2.50584697627802E-2</v>
      </c>
      <c r="AY128" s="550">
        <f t="shared" si="478"/>
        <v>-2.5938100489709723E-2</v>
      </c>
      <c r="AZ128" s="550">
        <f t="shared" si="478"/>
        <v>-1.4111365369946612E-2</v>
      </c>
      <c r="BA128" s="98">
        <f t="shared" si="478"/>
        <v>5.0137632717263146E-2</v>
      </c>
      <c r="BB128" s="98">
        <f t="shared" si="478"/>
        <v>5.6899004267425335E-2</v>
      </c>
      <c r="BC128" s="98">
        <f t="shared" si="478"/>
        <v>2.6408790079033646E-2</v>
      </c>
      <c r="BD128" s="1954">
        <f t="shared" si="478"/>
        <v>3.6762362756742717E-2</v>
      </c>
      <c r="BE128" s="550">
        <f t="shared" ref="BE128" si="479">BE173/BE184</f>
        <v>5.2292890166187753E-2</v>
      </c>
      <c r="BF128" s="2135">
        <f>BF173/BF184</f>
        <v>0.11216374269005876</v>
      </c>
      <c r="BG128" s="2135">
        <f t="shared" ref="BG128:BJ128" si="480">BG173/BG184</f>
        <v>0.11058989093467812</v>
      </c>
      <c r="BH128" s="98">
        <f t="shared" si="480"/>
        <v>7.0688249679748336E-2</v>
      </c>
      <c r="BI128" s="1954">
        <f t="shared" si="480"/>
        <v>8.6954584608073288E-2</v>
      </c>
      <c r="BJ128" s="550">
        <f t="shared" si="480"/>
        <v>8.1467134729451773E-2</v>
      </c>
      <c r="BK128" s="2135">
        <f>BK173/BK184</f>
        <v>0.11442452672139394</v>
      </c>
      <c r="BL128" s="2135">
        <f t="shared" ref="BL128:BN128" si="481">BL173/BL184</f>
        <v>0.10897852960312283</v>
      </c>
      <c r="BM128" s="98">
        <f t="shared" si="481"/>
        <v>8.1946353132793665E-2</v>
      </c>
      <c r="BN128" s="1954">
        <f t="shared" si="481"/>
        <v>9.6731936017650247E-2</v>
      </c>
      <c r="BO128" s="550">
        <f t="shared" ref="BO128:BP128" si="482">BO173/BO184</f>
        <v>9.2611197431983275E-2</v>
      </c>
      <c r="BP128" s="98">
        <f t="shared" si="482"/>
        <v>0.13685103517251848</v>
      </c>
      <c r="BQ128" s="98">
        <f t="shared" ref="BQ128:BS128" si="483">BQ173/BQ184</f>
        <v>0.1354286523546967</v>
      </c>
      <c r="BR128" s="2171">
        <f t="shared" si="483"/>
        <v>0.12196756456785503</v>
      </c>
      <c r="BS128" s="1954">
        <f t="shared" si="483"/>
        <v>0.12253301662043048</v>
      </c>
      <c r="BT128" s="98"/>
      <c r="BU128" s="98"/>
      <c r="BV128" s="98"/>
      <c r="BW128" s="98"/>
      <c r="BX128" s="97">
        <f>BX173/BX184</f>
        <v>0.13225272192329918</v>
      </c>
      <c r="BY128" s="98"/>
      <c r="BZ128" s="98"/>
      <c r="CA128" s="98"/>
      <c r="CB128" s="98"/>
      <c r="CC128" s="97">
        <f>CC173/CC184</f>
        <v>0.13991307698132119</v>
      </c>
      <c r="CD128" s="198"/>
      <c r="CE128" s="120"/>
      <c r="CF128" s="173"/>
      <c r="CG128" s="173"/>
      <c r="CH128" s="173"/>
      <c r="CI128" s="239"/>
      <c r="CJ128" s="177"/>
      <c r="CK128" s="2070"/>
      <c r="CL128" s="98">
        <f t="shared" si="462"/>
        <v>8.1946353132793665E-2</v>
      </c>
      <c r="CM128" s="98">
        <f t="shared" si="463"/>
        <v>7.0688249679748336E-2</v>
      </c>
      <c r="CN128" s="98">
        <v>9.613830813511462E-2</v>
      </c>
      <c r="CO128" s="2115">
        <f>IFERROR(($CL128-CM128)*10000,"")</f>
        <v>112.58103453045329</v>
      </c>
      <c r="CP128" s="2115">
        <f>IFERROR(($CL128-CN128)*10000,"")</f>
        <v>-141.91955002320955</v>
      </c>
      <c r="CQ128" s="44"/>
      <c r="CR128" s="41"/>
      <c r="CS128" s="24"/>
      <c r="CT128" s="24"/>
      <c r="CU128" s="24"/>
      <c r="CV128" s="24"/>
      <c r="CW128" s="24"/>
      <c r="CX128" s="24"/>
      <c r="CY128" s="138"/>
      <c r="CZ128"/>
      <c r="DA128"/>
      <c r="DB128"/>
      <c r="DC128"/>
      <c r="DD128"/>
      <c r="DE128"/>
      <c r="DF128" s="25"/>
      <c r="DG128" s="25"/>
      <c r="DH128" s="25"/>
      <c r="DI128" s="25"/>
      <c r="DJ128" s="25"/>
    </row>
    <row r="129" spans="1:114" s="1" customFormat="1" ht="12.75" hidden="1" customHeight="1" outlineLevel="1">
      <c r="A129" s="58" t="s">
        <v>86</v>
      </c>
      <c r="B129" s="547"/>
      <c r="C129" s="91"/>
      <c r="D129" s="91"/>
      <c r="E129" s="91"/>
      <c r="F129" s="61"/>
      <c r="G129" s="91"/>
      <c r="H129" s="91"/>
      <c r="I129" s="91"/>
      <c r="J129" s="91"/>
      <c r="K129" s="61">
        <f>(K128-F128)*100</f>
        <v>534.29540502896543</v>
      </c>
      <c r="L129" s="91">
        <f>IF(ISERROR((L128-G128)*100),"",(L128-G128)*100)</f>
        <v>-4.589982693011188</v>
      </c>
      <c r="M129" s="91">
        <f>IF(ISERROR((M128-H128)*100),"",(M128-H128)*100)</f>
        <v>3.3653719039315355</v>
      </c>
      <c r="N129" s="91">
        <f>IF(ISERROR((N128-I128)*100),"",(N128-I128)*100)</f>
        <v>-6.2824533555578714</v>
      </c>
      <c r="O129" s="91">
        <f>IF(ISERROR((O128-J128)*100),"",(O128-J128)*100)</f>
        <v>-1.9605300776958323</v>
      </c>
      <c r="P129" s="92">
        <f>IF(ISERROR((P128-K128)*100),"",(P128-K128)*100)</f>
        <v>-2.0908013985078133</v>
      </c>
      <c r="Q129" s="6">
        <f t="shared" ref="Q129:BA129" si="484">(Q128-L128)*100</f>
        <v>-1.0555645291551563</v>
      </c>
      <c r="R129" s="6">
        <f t="shared" si="484"/>
        <v>-6.7328126642287653</v>
      </c>
      <c r="S129" s="6">
        <f t="shared" si="484"/>
        <v>14.058091873513062</v>
      </c>
      <c r="T129" s="6">
        <f t="shared" si="484"/>
        <v>10.77274656933826</v>
      </c>
      <c r="U129" s="61">
        <f t="shared" si="484"/>
        <v>4.102930196198967</v>
      </c>
      <c r="V129" s="6">
        <f t="shared" si="484"/>
        <v>-24.345989786217341</v>
      </c>
      <c r="W129" s="6">
        <f t="shared" si="484"/>
        <v>-10.215709815190433</v>
      </c>
      <c r="X129" s="6">
        <f t="shared" si="484"/>
        <v>-5.1124557780574893</v>
      </c>
      <c r="Y129" s="6">
        <f t="shared" si="484"/>
        <v>-5.2595972224478151</v>
      </c>
      <c r="Z129" s="61">
        <f t="shared" si="484"/>
        <v>-9.5846885837751366</v>
      </c>
      <c r="AA129" s="6">
        <f t="shared" si="484"/>
        <v>30.9313556398758</v>
      </c>
      <c r="AB129" s="6">
        <f t="shared" si="484"/>
        <v>21.475207017837956</v>
      </c>
      <c r="AC129" s="6">
        <f t="shared" si="484"/>
        <v>6.1046252148769913</v>
      </c>
      <c r="AD129" s="6">
        <f t="shared" si="484"/>
        <v>1.0518254010397243</v>
      </c>
      <c r="AE129" s="61">
        <f t="shared" si="484"/>
        <v>13.849451967456927</v>
      </c>
      <c r="AF129" s="6">
        <f t="shared" si="484"/>
        <v>1.8522057652492874</v>
      </c>
      <c r="AG129" s="6">
        <f t="shared" si="484"/>
        <v>-14.04400892158027</v>
      </c>
      <c r="AH129" s="6">
        <f t="shared" si="484"/>
        <v>-33.717509049317101</v>
      </c>
      <c r="AI129" s="6">
        <f t="shared" si="484"/>
        <v>-66.862177379731989</v>
      </c>
      <c r="AJ129" s="61">
        <f t="shared" si="484"/>
        <v>-28.185006509753759</v>
      </c>
      <c r="AK129" s="6">
        <f t="shared" si="484"/>
        <v>-94.217479646837816</v>
      </c>
      <c r="AL129" s="6">
        <f t="shared" si="484"/>
        <v>-66.456286867557409</v>
      </c>
      <c r="AM129" s="6">
        <f t="shared" si="484"/>
        <v>-100.3902259915083</v>
      </c>
      <c r="AN129" s="6">
        <f t="shared" si="484"/>
        <v>-29.492306533409408</v>
      </c>
      <c r="AO129" s="61">
        <f t="shared" si="484"/>
        <v>-75.373422932723059</v>
      </c>
      <c r="AP129" s="6">
        <f t="shared" si="484"/>
        <v>-7.5424751959022878</v>
      </c>
      <c r="AQ129" s="6">
        <f t="shared" si="484"/>
        <v>-32.690844532294591</v>
      </c>
      <c r="AR129" s="6">
        <f t="shared" si="484"/>
        <v>49.566286970781782</v>
      </c>
      <c r="AS129" s="6">
        <f t="shared" si="484"/>
        <v>54.748989739437903</v>
      </c>
      <c r="AT129" s="61">
        <f t="shared" si="484"/>
        <v>28.643975966827611</v>
      </c>
      <c r="AU129" s="6">
        <f t="shared" si="484"/>
        <v>51.823225634907153</v>
      </c>
      <c r="AV129" s="6">
        <f t="shared" si="484"/>
        <v>63.332067440265774</v>
      </c>
      <c r="AW129" s="6">
        <f t="shared" si="484"/>
        <v>42.38244550032411</v>
      </c>
      <c r="AX129" s="6">
        <f t="shared" si="484"/>
        <v>18.567046855687135</v>
      </c>
      <c r="AY129" s="190">
        <f t="shared" si="484"/>
        <v>37.261907799265501</v>
      </c>
      <c r="AZ129" s="190">
        <f t="shared" si="484"/>
        <v>16.673386905589055</v>
      </c>
      <c r="BA129" s="6">
        <f t="shared" si="484"/>
        <v>14.148086731150247</v>
      </c>
      <c r="BB129" s="6">
        <f t="shared" ref="BB129:BG129" si="485">(BB128-AW128)*100</f>
        <v>7.2820788786516042</v>
      </c>
      <c r="BC129" s="6">
        <f t="shared" ref="BC129" si="486">(BC128-AX128)*100</f>
        <v>0.13503203162534455</v>
      </c>
      <c r="BD129" s="1946">
        <f t="shared" ref="BD129:BF129" si="487">(BD128-AY128)*100</f>
        <v>6.2700463246452438</v>
      </c>
      <c r="BE129" s="190">
        <f t="shared" si="487"/>
        <v>6.6404255536134364</v>
      </c>
      <c r="BF129" s="6">
        <f t="shared" si="487"/>
        <v>6.2026109972795611</v>
      </c>
      <c r="BG129" s="2056">
        <f t="shared" si="485"/>
        <v>5.3690886667252791</v>
      </c>
      <c r="BH129" s="6">
        <f t="shared" ref="BH129" si="488">(BH128-BC128)*100</f>
        <v>4.4279459600714697</v>
      </c>
      <c r="BI129" s="1946">
        <f t="shared" ref="BI129:BL129" si="489">(BI128-BD128)*100</f>
        <v>5.0192221851330574</v>
      </c>
      <c r="BJ129" s="190">
        <f t="shared" si="489"/>
        <v>2.917424456326402</v>
      </c>
      <c r="BK129" s="6">
        <f t="shared" si="489"/>
        <v>0.22607840313351862</v>
      </c>
      <c r="BL129" s="2056">
        <f t="shared" si="489"/>
        <v>-0.16113613315552888</v>
      </c>
      <c r="BM129" s="6">
        <f t="shared" ref="BM129" si="490">(BM128-BH128)*100</f>
        <v>1.1258103453045329</v>
      </c>
      <c r="BN129" s="1946">
        <f t="shared" ref="BN129" si="491">(BN128-BI128)*100</f>
        <v>0.97773514095769598</v>
      </c>
      <c r="BO129" s="190">
        <f t="shared" ref="BO129" si="492">(BO128-BJ128)*100</f>
        <v>1.1144062702531501</v>
      </c>
      <c r="BP129" s="6">
        <f t="shared" ref="BP129" si="493">(BP128-BK128)*100</f>
        <v>2.242650845112454</v>
      </c>
      <c r="BQ129" s="6">
        <f t="shared" ref="BQ129:BS129" si="494">(BQ128-BL128)*100</f>
        <v>2.6450122751573866</v>
      </c>
      <c r="BR129" s="2166">
        <f t="shared" si="494"/>
        <v>4.0021211435061366</v>
      </c>
      <c r="BS129" s="1946">
        <f t="shared" si="494"/>
        <v>2.5801080602780231</v>
      </c>
      <c r="BT129" s="6"/>
      <c r="BU129" s="6"/>
      <c r="BV129" s="6"/>
      <c r="BW129" s="6"/>
      <c r="BX129" s="61">
        <f>(BX128-BS128)*100</f>
        <v>0.97197053028686975</v>
      </c>
      <c r="BY129" s="6"/>
      <c r="BZ129" s="6"/>
      <c r="CA129" s="6"/>
      <c r="CB129" s="6"/>
      <c r="CC129" s="61">
        <f>(CC128-BX128)*100</f>
        <v>0.76603550580220114</v>
      </c>
      <c r="CD129" s="194"/>
      <c r="CE129" s="114"/>
      <c r="CF129" s="173"/>
      <c r="CG129" s="173"/>
      <c r="CH129" s="173"/>
      <c r="CI129" s="239"/>
      <c r="CJ129" s="177"/>
      <c r="CK129" s="2070"/>
      <c r="CL129" s="6">
        <f t="shared" si="462"/>
        <v>1.1258103453045329</v>
      </c>
      <c r="CM129" s="6">
        <f t="shared" si="463"/>
        <v>4.4279459600714697</v>
      </c>
      <c r="CN129" s="6">
        <v>2.5450058455366285</v>
      </c>
      <c r="CO129" s="6"/>
      <c r="CP129" s="6"/>
      <c r="CQ129" s="44"/>
      <c r="CR129" s="40"/>
      <c r="CS129" s="40"/>
      <c r="CT129" s="40"/>
      <c r="CU129" s="40"/>
      <c r="CV129" s="24"/>
      <c r="CW129" s="40"/>
      <c r="CX129" s="40"/>
      <c r="CY129" s="139"/>
      <c r="CZ129"/>
      <c r="DA129"/>
      <c r="DB129"/>
      <c r="DC129"/>
      <c r="DD129"/>
      <c r="DE129"/>
      <c r="DF129" s="3"/>
      <c r="DG129" s="3"/>
      <c r="DH129" s="3"/>
      <c r="DI129" s="3"/>
      <c r="DJ129" s="3"/>
    </row>
    <row r="130" spans="1:114" s="1" customFormat="1" ht="12.75" hidden="1" customHeight="1" outlineLevel="1">
      <c r="A130" s="58" t="s">
        <v>88</v>
      </c>
      <c r="B130" s="190"/>
      <c r="C130" s="6"/>
      <c r="D130" s="6"/>
      <c r="E130" s="6"/>
      <c r="F130" s="61"/>
      <c r="G130" s="6"/>
      <c r="H130" s="6">
        <f>IF(ISERROR((H128-G128)*100),"",(H128-G128)*100)</f>
        <v>3.7725116108844436</v>
      </c>
      <c r="I130" s="6">
        <f>IF(ISERROR((I128-H128)*100),"",(I128-H128)*100)</f>
        <v>-1.0336768163565213</v>
      </c>
      <c r="J130" s="6">
        <f>IF(ISERROR((J128-I128)*100),"",(J128-I128)*100)</f>
        <v>-10.859166538975707</v>
      </c>
      <c r="K130" s="61"/>
      <c r="L130" s="6">
        <f>IF(ISERROR((L128-J128)*100),"",(L128-J128)*100)</f>
        <v>3.5303490514365961</v>
      </c>
      <c r="M130" s="6">
        <f>IF(ISERROR((M128-L128)*100),"",(M128-L128)*100)</f>
        <v>11.727866207827168</v>
      </c>
      <c r="N130" s="6">
        <f>IF(ISERROR((N128-M128)*100),"",(N128-M128)*100)</f>
        <v>-10.681502075845927</v>
      </c>
      <c r="O130" s="6">
        <f>IF(ISERROR((O128-N128)*100),"",(O128-N128)*100)</f>
        <v>-6.5372432611136677</v>
      </c>
      <c r="P130" s="61"/>
      <c r="Q130" s="6">
        <f>(Q128-O128)*100</f>
        <v>4.4353145999772723</v>
      </c>
      <c r="R130" s="6">
        <f>(R128-Q128)*100</f>
        <v>6.0506180727535579</v>
      </c>
      <c r="S130" s="6">
        <f>(S128-R128)*100</f>
        <v>10.1094024618959</v>
      </c>
      <c r="T130" s="6">
        <f>(T128-S128)*100</f>
        <v>-9.8225885652884699</v>
      </c>
      <c r="U130" s="61"/>
      <c r="V130" s="6">
        <f>(V128-T128)*100</f>
        <v>-30.683421755578326</v>
      </c>
      <c r="W130" s="6">
        <f>(W128-V128)*100</f>
        <v>20.180898043780466</v>
      </c>
      <c r="X130" s="6">
        <f>(X128-W128)*100</f>
        <v>15.212656499028842</v>
      </c>
      <c r="Y130" s="6">
        <f>(Y128-X128)*100</f>
        <v>-9.9697300096787949</v>
      </c>
      <c r="Z130" s="61"/>
      <c r="AA130" s="6">
        <f>(AA128-Y128)*100</f>
        <v>5.5075311067452892</v>
      </c>
      <c r="AB130" s="6">
        <f>(AB128-AA128)*100</f>
        <v>10.724749421742619</v>
      </c>
      <c r="AC130" s="6">
        <f>(AC128-AB128)*100</f>
        <v>-0.15792530393212156</v>
      </c>
      <c r="AD130" s="6">
        <f>(AD128-AC128)*100</f>
        <v>-15.022529823516063</v>
      </c>
      <c r="AE130" s="61"/>
      <c r="AF130" s="6">
        <f>(AF128-AD128)*100</f>
        <v>6.3079114709548527</v>
      </c>
      <c r="AG130" s="6">
        <f>(AG128-AF128)*100</f>
        <v>-5.1714652650869386</v>
      </c>
      <c r="AH130" s="6">
        <f>(AH128-AG128)*100</f>
        <v>-19.831425431668954</v>
      </c>
      <c r="AI130" s="6">
        <f>(AI128-AH128)*100</f>
        <v>-48.167198153930954</v>
      </c>
      <c r="AJ130" s="61"/>
      <c r="AK130" s="6">
        <f>(AK128-AI128)*100</f>
        <v>-21.047390796150967</v>
      </c>
      <c r="AL130" s="6">
        <f>(AL128-AK128)*100</f>
        <v>22.589727514193463</v>
      </c>
      <c r="AM130" s="6">
        <f>(AM128-AL128)*100</f>
        <v>-53.76536455561984</v>
      </c>
      <c r="AN130" s="6">
        <f>(AN128-AM128)*100</f>
        <v>22.730721304167943</v>
      </c>
      <c r="AO130" s="61"/>
      <c r="AP130" s="6">
        <f>(AP128-AN128)*100</f>
        <v>0.90244054135615315</v>
      </c>
      <c r="AQ130" s="6">
        <f>(AQ128-AP128)*100</f>
        <v>-2.5586418221988372</v>
      </c>
      <c r="AR130" s="6">
        <f>(AR128-AQ128)*100</f>
        <v>28.491766947456519</v>
      </c>
      <c r="AS130" s="6">
        <f>(AS128-AR128)*100</f>
        <v>27.913424072824068</v>
      </c>
      <c r="AT130" s="61"/>
      <c r="AU130" s="6">
        <f>(AU128-AS128)*100</f>
        <v>-2.0233235631746034</v>
      </c>
      <c r="AV130" s="6">
        <f>(AV128-AU128)*100</f>
        <v>8.9501999831597825</v>
      </c>
      <c r="AW130" s="6">
        <f>(AW128-AV128)*100</f>
        <v>7.5421450075148622</v>
      </c>
      <c r="AX130" s="6">
        <f>(AX128-AW128)*100</f>
        <v>4.0980254281870909</v>
      </c>
      <c r="AY130" s="190"/>
      <c r="AZ130" s="190">
        <f>(AZ128-AX128)*100</f>
        <v>-3.9169835132726813</v>
      </c>
      <c r="BA130" s="6">
        <f>(BA128-AZ128)*100</f>
        <v>6.4248998087209754</v>
      </c>
      <c r="BB130" s="6">
        <f>(BB128-BA128)*100</f>
        <v>0.67613715501621885</v>
      </c>
      <c r="BC130" s="6">
        <f>(BC128-BB128)*100</f>
        <v>-3.0490214188391689</v>
      </c>
      <c r="BD130" s="1946"/>
      <c r="BE130" s="190">
        <f>(BE128-BC128)*100</f>
        <v>2.5884100087154107</v>
      </c>
      <c r="BF130" s="6">
        <f>(BF128-BE128)*100</f>
        <v>5.9870852523871001</v>
      </c>
      <c r="BG130" s="2056">
        <f>(BG128-BF128)*100</f>
        <v>-0.15738517553806342</v>
      </c>
      <c r="BH130" s="6">
        <f>(BH128-BG128)*100</f>
        <v>-3.9901641254929787</v>
      </c>
      <c r="BI130" s="1946"/>
      <c r="BJ130" s="190">
        <f>(BJ128-BH128)*100</f>
        <v>1.0778885049703437</v>
      </c>
      <c r="BK130" s="6">
        <f>(BK128-BJ128)*100</f>
        <v>3.2957391991942169</v>
      </c>
      <c r="BL130" s="2056">
        <f>(BL128-BK128)*100</f>
        <v>-0.54459971182711087</v>
      </c>
      <c r="BM130" s="6">
        <f>(BM128-BL128)*100</f>
        <v>-2.703217647032917</v>
      </c>
      <c r="BN130" s="1946"/>
      <c r="BO130" s="190">
        <f t="shared" ref="BO130" si="495">(BO128-BN128)*100</f>
        <v>-0.4120738585666972</v>
      </c>
      <c r="BP130" s="6">
        <f t="shared" ref="BP130" si="496">(BP128-BO128)*100</f>
        <v>4.4239837740535206</v>
      </c>
      <c r="BQ130" s="6">
        <f t="shared" ref="BQ130:BR130" si="497">(BQ128-BP128)*100</f>
        <v>-0.14223828178217823</v>
      </c>
      <c r="BR130" s="2166">
        <f t="shared" si="497"/>
        <v>-1.3461087786841672</v>
      </c>
      <c r="BS130" s="1946"/>
      <c r="BT130" s="6"/>
      <c r="BU130" s="6"/>
      <c r="BV130" s="6"/>
      <c r="BW130" s="6"/>
      <c r="BX130" s="61"/>
      <c r="BY130" s="6"/>
      <c r="BZ130" s="6"/>
      <c r="CA130" s="6"/>
      <c r="CB130" s="6"/>
      <c r="CC130" s="61"/>
      <c r="CD130" s="194"/>
      <c r="CE130" s="114"/>
      <c r="CF130" s="173"/>
      <c r="CG130" s="173"/>
      <c r="CH130" s="173"/>
      <c r="CI130" s="239"/>
      <c r="CJ130" s="177"/>
      <c r="CK130" s="2070"/>
      <c r="CL130" s="6">
        <f t="shared" si="462"/>
        <v>-2.703217647032917</v>
      </c>
      <c r="CM130" s="6">
        <f t="shared" si="463"/>
        <v>-3.9901641254929787</v>
      </c>
      <c r="CN130" s="6">
        <v>-1.2840221468008215</v>
      </c>
      <c r="CO130" s="6"/>
      <c r="CP130" s="6"/>
      <c r="CQ130" s="44"/>
      <c r="CR130" s="40"/>
      <c r="CS130" s="40"/>
      <c r="CT130" s="40"/>
      <c r="CU130" s="40"/>
      <c r="CV130" s="24"/>
      <c r="CW130" s="40"/>
      <c r="CX130" s="40"/>
      <c r="CY130" s="139"/>
      <c r="CZ130"/>
      <c r="DA130"/>
      <c r="DB130"/>
      <c r="DC130"/>
      <c r="DD130"/>
      <c r="DE130"/>
      <c r="DF130" s="3"/>
      <c r="DG130" s="3"/>
      <c r="DH130" s="3"/>
      <c r="DI130" s="3"/>
      <c r="DJ130" s="3"/>
    </row>
    <row r="131" spans="1:114" s="186" customFormat="1" ht="12.75" hidden="1" customHeight="1" outlineLevel="1">
      <c r="A131" s="95" t="s">
        <v>105</v>
      </c>
      <c r="B131" s="551"/>
      <c r="C131" s="100"/>
      <c r="D131" s="100"/>
      <c r="E131" s="100"/>
      <c r="F131" s="99"/>
      <c r="G131" s="100"/>
      <c r="H131" s="100"/>
      <c r="I131" s="100"/>
      <c r="J131" s="100"/>
      <c r="K131" s="99">
        <f t="shared" ref="K131:AP131" si="498">(K173-F173)/(K184-F184)</f>
        <v>27.005558643691074</v>
      </c>
      <c r="L131" s="100">
        <f t="shared" si="498"/>
        <v>5.7239057239055306E-2</v>
      </c>
      <c r="M131" s="100">
        <f t="shared" si="498"/>
        <v>0.50998463901689428</v>
      </c>
      <c r="N131" s="100">
        <f t="shared" si="498"/>
        <v>-0.62561576354678561</v>
      </c>
      <c r="O131" s="100">
        <f t="shared" si="498"/>
        <v>3.5502958579892475E-2</v>
      </c>
      <c r="P131" s="99">
        <f t="shared" si="498"/>
        <v>0.14053751399776238</v>
      </c>
      <c r="Q131" s="100">
        <f t="shared" si="498"/>
        <v>0.20462962962963169</v>
      </c>
      <c r="R131" s="100">
        <f t="shared" si="498"/>
        <v>8.054298642534119E-2</v>
      </c>
      <c r="S131" s="100">
        <f t="shared" si="498"/>
        <v>0.67923280423280197</v>
      </c>
      <c r="T131" s="100">
        <f t="shared" si="498"/>
        <v>0.92954990215263955</v>
      </c>
      <c r="U131" s="99">
        <f t="shared" si="498"/>
        <v>0.43060836501900895</v>
      </c>
      <c r="V131" s="100">
        <f t="shared" si="498"/>
        <v>0.82181515403830196</v>
      </c>
      <c r="W131" s="100">
        <f t="shared" si="498"/>
        <v>0.54436987322893848</v>
      </c>
      <c r="X131" s="100">
        <f t="shared" si="498"/>
        <v>0.97826086956521474</v>
      </c>
      <c r="Y131" s="100">
        <f t="shared" si="498"/>
        <v>7.2761194029846932E-2</v>
      </c>
      <c r="Z131" s="99">
        <f t="shared" si="498"/>
        <v>1.0875952121871568</v>
      </c>
      <c r="AA131" s="100">
        <f t="shared" si="498"/>
        <v>0.71114167812929718</v>
      </c>
      <c r="AB131" s="100">
        <f t="shared" si="498"/>
        <v>0.62675397567820779</v>
      </c>
      <c r="AC131" s="100">
        <f t="shared" si="498"/>
        <v>0.49084858569051465</v>
      </c>
      <c r="AD131" s="100">
        <f t="shared" si="498"/>
        <v>0.31994645247658504</v>
      </c>
      <c r="AE131" s="99">
        <f t="shared" si="498"/>
        <v>0.57713347921225489</v>
      </c>
      <c r="AF131" s="100">
        <f t="shared" si="498"/>
        <v>0.39699749791493077</v>
      </c>
      <c r="AG131" s="100">
        <f t="shared" si="498"/>
        <v>3.0519877675841176</v>
      </c>
      <c r="AH131" s="100">
        <f t="shared" si="498"/>
        <v>7.2916666666666439</v>
      </c>
      <c r="AI131" s="100">
        <f t="shared" si="498"/>
        <v>-8.2599118942730989</v>
      </c>
      <c r="AJ131" s="99">
        <f t="shared" si="498"/>
        <v>-6.7898989898989273</v>
      </c>
      <c r="AK131" s="100">
        <f t="shared" si="498"/>
        <v>-12.599190283400764</v>
      </c>
      <c r="AL131" s="100">
        <f t="shared" si="498"/>
        <v>-2.1716514954486268</v>
      </c>
      <c r="AM131" s="100">
        <f t="shared" si="498"/>
        <v>-3.1851730894840045</v>
      </c>
      <c r="AN131" s="100">
        <f t="shared" si="498"/>
        <v>-0.88068009310798567</v>
      </c>
      <c r="AO131" s="99">
        <f t="shared" si="498"/>
        <v>-1.8857342479674766</v>
      </c>
      <c r="AP131" s="100">
        <f t="shared" si="498"/>
        <v>-0.75292505533888698</v>
      </c>
      <c r="AQ131" s="100">
        <f t="shared" ref="AQ131:BG131" si="499">(AQ173-AL173)/(AQ184-AL184)</f>
        <v>-0.97912643678160871</v>
      </c>
      <c r="AR131" s="100">
        <f t="shared" si="499"/>
        <v>-0.24229287090558577</v>
      </c>
      <c r="AS131" s="100">
        <f t="shared" si="499"/>
        <v>6.8619850838033861E-2</v>
      </c>
      <c r="AT131" s="99">
        <f t="shared" si="499"/>
        <v>-0.25712661611213905</v>
      </c>
      <c r="AU131" s="100">
        <f t="shared" si="499"/>
        <v>1.9127628269020449E-2</v>
      </c>
      <c r="AV131" s="100">
        <f t="shared" si="499"/>
        <v>2.8118599434312282E-2</v>
      </c>
      <c r="AW131" s="100">
        <f t="shared" si="499"/>
        <v>8.9334854209738843E-2</v>
      </c>
      <c r="AX131" s="100">
        <f t="shared" si="499"/>
        <v>6.5077895284046131E-2</v>
      </c>
      <c r="AY131" s="551">
        <f t="shared" si="499"/>
        <v>6.0704186638451424E-2</v>
      </c>
      <c r="AZ131" s="551">
        <f t="shared" si="499"/>
        <v>3.3665027821120665E-2</v>
      </c>
      <c r="BA131" s="100">
        <f t="shared" si="499"/>
        <v>9.472241615597439E-2</v>
      </c>
      <c r="BB131" s="100">
        <f t="shared" si="499"/>
        <v>7.0325810208340708E-2</v>
      </c>
      <c r="BC131" s="100">
        <f t="shared" si="499"/>
        <v>2.673031026252979E-2</v>
      </c>
      <c r="BD131" s="1955">
        <f t="shared" si="499"/>
        <v>5.1437030829829408E-2</v>
      </c>
      <c r="BE131" s="551">
        <f t="shared" si="499"/>
        <v>6.5301852958756818E-2</v>
      </c>
      <c r="BF131" s="100">
        <f t="shared" si="499"/>
        <v>0.13842184118528422</v>
      </c>
      <c r="BG131" s="2152">
        <f t="shared" si="499"/>
        <v>0.21460558043403383</v>
      </c>
      <c r="BH131" s="100">
        <f t="shared" ref="BH131" si="500">(BH173-BC173)/(BH184-BC184)</f>
        <v>0.49844816883922949</v>
      </c>
      <c r="BI131" s="1955">
        <f t="shared" ref="BI131:BL131" si="501">(BI173-BD173)/(BI184-BD184)</f>
        <v>0.13975316166387342</v>
      </c>
      <c r="BJ131" s="551">
        <f t="shared" si="501"/>
        <v>0.9864341085271312</v>
      </c>
      <c r="BK131" s="100">
        <f t="shared" si="501"/>
        <v>0.16232961586121034</v>
      </c>
      <c r="BL131" s="2152">
        <f t="shared" si="501"/>
        <v>8.9208633093522907E-2</v>
      </c>
      <c r="BM131" s="100">
        <f t="shared" ref="BM131" si="502">(BM173-BH173)/(BM184-BH184)</f>
        <v>0.16012939749292324</v>
      </c>
      <c r="BN131" s="1955">
        <f t="shared" ref="BN131" si="503">(BN173-BI173)/(BN184-BI184)</f>
        <v>0.22367913613574775</v>
      </c>
      <c r="BO131" s="551">
        <f t="shared" ref="BO131" si="504">(BO173-BJ173)/(BO184-BJ184)</f>
        <v>0.29289122406168616</v>
      </c>
      <c r="BP131" s="100">
        <f t="shared" ref="BP131" si="505">(BP173-BK173)/(BP184-BK184)</f>
        <v>0.3966670078710639</v>
      </c>
      <c r="BQ131" s="100">
        <f t="shared" ref="BQ131:BS131" si="506">(BQ173-BL173)/(BQ184-BL184)</f>
        <v>0.50354788865334887</v>
      </c>
      <c r="BR131" s="2172">
        <f t="shared" si="506"/>
        <v>1.0577613122574925</v>
      </c>
      <c r="BS131" s="1955">
        <f t="shared" si="506"/>
        <v>0.52661469391922899</v>
      </c>
      <c r="BT131" s="100"/>
      <c r="BU131" s="100"/>
      <c r="BV131" s="100"/>
      <c r="BW131" s="100"/>
      <c r="BX131" s="99">
        <f>(BX173-BS173)/(BX184-BS184)</f>
        <v>0.27420501982250012</v>
      </c>
      <c r="BY131" s="100"/>
      <c r="BZ131" s="100"/>
      <c r="CA131" s="100"/>
      <c r="CB131" s="100"/>
      <c r="CC131" s="99">
        <f>(CC173-BX173)/(CC184-BX184)</f>
        <v>0.25033929560559831</v>
      </c>
      <c r="CD131" s="200"/>
      <c r="CE131" s="122"/>
      <c r="CF131" s="173"/>
      <c r="CG131" s="173"/>
      <c r="CH131" s="173"/>
      <c r="CI131" s="239"/>
      <c r="CJ131" s="177"/>
      <c r="CK131" s="2070"/>
      <c r="CL131" s="100">
        <f t="shared" si="462"/>
        <v>0.16012939749292324</v>
      </c>
      <c r="CM131" s="100">
        <f t="shared" si="463"/>
        <v>0.49844816883922949</v>
      </c>
      <c r="CN131" s="100">
        <v>0.49308237552029327</v>
      </c>
      <c r="CO131" s="2116">
        <f>IFERROR(($CL131-CM131)*10000,"")</f>
        <v>-3383.1877134630627</v>
      </c>
      <c r="CP131" s="2116">
        <f>IFERROR(($CL131-CN131)*10000,"")</f>
        <v>-3329.5297802737</v>
      </c>
      <c r="CQ131" s="44"/>
      <c r="CR131" s="101"/>
      <c r="CS131" s="101"/>
      <c r="CT131" s="101"/>
      <c r="CU131" s="101"/>
      <c r="CV131" s="24"/>
      <c r="CW131" s="101"/>
      <c r="CX131" s="101"/>
      <c r="CY131" s="147"/>
      <c r="CZ131"/>
      <c r="DA131"/>
      <c r="DB131"/>
      <c r="DC131"/>
      <c r="DD131"/>
      <c r="DE131"/>
      <c r="DF131" s="148"/>
      <c r="DG131" s="148"/>
      <c r="DH131" s="148"/>
      <c r="DI131" s="148"/>
      <c r="DJ131" s="148"/>
    </row>
    <row r="132" spans="1:114" s="185" customFormat="1" ht="12.75" customHeight="1" collapsed="1">
      <c r="A132" s="94" t="s">
        <v>159</v>
      </c>
      <c r="B132" s="550"/>
      <c r="C132" s="98"/>
      <c r="D132" s="98"/>
      <c r="E132" s="98"/>
      <c r="F132" s="97"/>
      <c r="G132" s="98">
        <f t="shared" ref="G132:AL132" si="507">G173/G182</f>
        <v>7.3783359497645223E-2</v>
      </c>
      <c r="H132" s="98">
        <f t="shared" si="507"/>
        <v>8.4532374100719537E-2</v>
      </c>
      <c r="I132" s="98">
        <f t="shared" si="507"/>
        <v>8.3402451386968723E-2</v>
      </c>
      <c r="J132" s="98">
        <f t="shared" si="507"/>
        <v>5.2226910454758114E-2</v>
      </c>
      <c r="K132" s="97">
        <f t="shared" si="507"/>
        <v>7.3641297907136416E-2</v>
      </c>
      <c r="L132" s="98">
        <f t="shared" si="507"/>
        <v>6.4300008700948319E-2</v>
      </c>
      <c r="M132" s="98">
        <f t="shared" si="507"/>
        <v>9.1894234937147712E-2</v>
      </c>
      <c r="N132" s="98">
        <f t="shared" si="507"/>
        <v>5.8237892057788794E-2</v>
      </c>
      <c r="O132" s="98">
        <f t="shared" si="507"/>
        <v>4.4414955897275704E-2</v>
      </c>
      <c r="P132" s="97">
        <f t="shared" si="507"/>
        <v>6.5197553635569297E-2</v>
      </c>
      <c r="Q132" s="98">
        <f t="shared" si="507"/>
        <v>4.047900151796259E-2</v>
      </c>
      <c r="R132" s="98">
        <f t="shared" si="507"/>
        <v>4.586352148272959E-2</v>
      </c>
      <c r="S132" s="98">
        <f t="shared" si="507"/>
        <v>5.800687726965955E-2</v>
      </c>
      <c r="T132" s="98">
        <f t="shared" si="507"/>
        <v>4.1836980043279653E-2</v>
      </c>
      <c r="U132" s="97">
        <f t="shared" si="507"/>
        <v>4.7231002539694027E-2</v>
      </c>
      <c r="V132" s="98">
        <f t="shared" si="507"/>
        <v>-1.3451574332403857E-3</v>
      </c>
      <c r="W132" s="98">
        <f t="shared" si="507"/>
        <v>2.8368475475430168E-2</v>
      </c>
      <c r="X132" s="98">
        <f t="shared" si="507"/>
        <v>5.5129525771622612E-2</v>
      </c>
      <c r="Y132" s="98">
        <f t="shared" si="507"/>
        <v>3.5495096488452907E-2</v>
      </c>
      <c r="Z132" s="97">
        <f t="shared" si="507"/>
        <v>3.1666932971159148E-2</v>
      </c>
      <c r="AA132" s="98">
        <f t="shared" si="507"/>
        <v>4.8163832880348825E-2</v>
      </c>
      <c r="AB132" s="98">
        <f t="shared" si="507"/>
        <v>6.546851760039675E-2</v>
      </c>
      <c r="AC132" s="98">
        <f t="shared" si="507"/>
        <v>6.5694744420446247E-2</v>
      </c>
      <c r="AD132" s="98">
        <f t="shared" si="507"/>
        <v>3.2750198522511348E-2</v>
      </c>
      <c r="AE132" s="97">
        <f t="shared" si="507"/>
        <v>5.3460094817928044E-2</v>
      </c>
      <c r="AF132" s="98">
        <f t="shared" si="507"/>
        <v>4.8183482702129708E-2</v>
      </c>
      <c r="AG132" s="98">
        <f t="shared" si="507"/>
        <v>3.7261305393023851E-2</v>
      </c>
      <c r="AH132" s="98">
        <f t="shared" si="507"/>
        <v>9.9179134398280824E-3</v>
      </c>
      <c r="AI132" s="98">
        <f t="shared" si="507"/>
        <v>-5.4190767834864539E-2</v>
      </c>
      <c r="AJ132" s="97">
        <f t="shared" si="507"/>
        <v>9.7359325939147378E-3</v>
      </c>
      <c r="AK132" s="98">
        <f t="shared" si="507"/>
        <v>-9.4793536804308715E-2</v>
      </c>
      <c r="AL132" s="98">
        <f t="shared" si="507"/>
        <v>-6.1734506784011683E-2</v>
      </c>
      <c r="AM132" s="98">
        <f t="shared" ref="AM132:BD132" si="508">AM173/AM182</f>
        <v>-0.13076858060517271</v>
      </c>
      <c r="AN132" s="98">
        <f t="shared" si="508"/>
        <v>-0.1022183718422533</v>
      </c>
      <c r="AO132" s="97">
        <f t="shared" si="508"/>
        <v>-0.10038012713978525</v>
      </c>
      <c r="AP132" s="98">
        <f t="shared" si="508"/>
        <v>-9.9711400977201728E-2</v>
      </c>
      <c r="AQ132" s="98">
        <f t="shared" si="508"/>
        <v>-0.10223136456806052</v>
      </c>
      <c r="AR132" s="98">
        <f t="shared" si="508"/>
        <v>-7.8971244754667741E-2</v>
      </c>
      <c r="AS132" s="98">
        <f t="shared" si="508"/>
        <v>-3.3137530079967038E-2</v>
      </c>
      <c r="AT132" s="97">
        <f t="shared" si="508"/>
        <v>-7.0090829741578639E-2</v>
      </c>
      <c r="AU132" s="98">
        <f t="shared" si="508"/>
        <v>-3.7396911505897724E-2</v>
      </c>
      <c r="AV132" s="98">
        <f t="shared" si="508"/>
        <v>-1.9159772051723721E-2</v>
      </c>
      <c r="AW132" s="98">
        <f t="shared" si="508"/>
        <v>-4.2084924600357711E-3</v>
      </c>
      <c r="AX132" s="98">
        <f t="shared" si="508"/>
        <v>9.0285301552908547E-3</v>
      </c>
      <c r="AY132" s="550">
        <f t="shared" si="508"/>
        <v>-7.2057751438312874E-3</v>
      </c>
      <c r="AZ132" s="550">
        <f t="shared" si="508"/>
        <v>-5.2631578947368446E-3</v>
      </c>
      <c r="BA132" s="98">
        <f t="shared" si="508"/>
        <v>2.0972119417715308E-2</v>
      </c>
      <c r="BB132" s="98">
        <f t="shared" si="508"/>
        <v>2.709453452436392E-2</v>
      </c>
      <c r="BC132" s="98">
        <f t="shared" si="508"/>
        <v>1.2296921281752107E-2</v>
      </c>
      <c r="BD132" s="1954">
        <f t="shared" si="508"/>
        <v>1.6646334264688548E-2</v>
      </c>
      <c r="BE132" s="550">
        <f t="shared" ref="BE132:BI132" si="509">BE173/BE182</f>
        <v>2.3606058042135579E-2</v>
      </c>
      <c r="BF132" s="98">
        <f t="shared" si="509"/>
        <v>5.2072869437732601E-2</v>
      </c>
      <c r="BG132" s="2135">
        <f t="shared" si="509"/>
        <v>5.078356400452369E-2</v>
      </c>
      <c r="BH132" s="98">
        <f t="shared" si="509"/>
        <v>3.3019637708752596E-2</v>
      </c>
      <c r="BI132" s="1954">
        <f t="shared" si="509"/>
        <v>4.0049523236247775E-2</v>
      </c>
      <c r="BJ132" s="550">
        <f t="shared" ref="BJ132:BN132" si="510">BJ173/BJ182</f>
        <v>3.8027970052267331E-2</v>
      </c>
      <c r="BK132" s="98">
        <f t="shared" si="510"/>
        <v>5.4490333218094343E-2</v>
      </c>
      <c r="BL132" s="2135">
        <f t="shared" si="510"/>
        <v>5.170950065601599E-2</v>
      </c>
      <c r="BM132" s="98">
        <f t="shared" si="510"/>
        <v>3.8389088914852453E-2</v>
      </c>
      <c r="BN132" s="1954">
        <f t="shared" si="510"/>
        <v>4.560881098512428E-2</v>
      </c>
      <c r="BO132" s="550">
        <f>BO173/BO182</f>
        <v>4.1211982857232557E-2</v>
      </c>
      <c r="BP132" s="98">
        <f t="shared" ref="BP132" si="511">BP173/BP182</f>
        <v>6.3909433425566139E-2</v>
      </c>
      <c r="BQ132" s="98">
        <f t="shared" ref="BQ132:BS132" si="512">BQ173/BQ182</f>
        <v>6.3651466606707438E-2</v>
      </c>
      <c r="BR132" s="2171">
        <f t="shared" si="512"/>
        <v>5.7324755346891854E-2</v>
      </c>
      <c r="BS132" s="1954">
        <f t="shared" si="512"/>
        <v>5.6777451196673594E-2</v>
      </c>
      <c r="BT132" s="98"/>
      <c r="BU132" s="98"/>
      <c r="BV132" s="98"/>
      <c r="BW132" s="98"/>
      <c r="BX132" s="97">
        <f>BX173/BX182</f>
        <v>6.1281217681009553E-2</v>
      </c>
      <c r="BY132" s="98"/>
      <c r="BZ132" s="98"/>
      <c r="CA132" s="98"/>
      <c r="CB132" s="98"/>
      <c r="CC132" s="97">
        <f>CC173/CC182</f>
        <v>6.4830754348366187E-2</v>
      </c>
      <c r="CD132" s="199"/>
      <c r="CE132" s="121"/>
      <c r="CF132" s="173"/>
      <c r="CG132" s="173"/>
      <c r="CH132" s="173"/>
      <c r="CI132" s="239"/>
      <c r="CJ132" s="177"/>
      <c r="CK132" s="2070"/>
      <c r="CL132" s="98">
        <f t="shared" si="462"/>
        <v>3.8389088914852453E-2</v>
      </c>
      <c r="CM132" s="98">
        <f t="shared" si="463"/>
        <v>3.3019637708752596E-2</v>
      </c>
      <c r="CN132" s="98">
        <v>4.4704313282828305E-2</v>
      </c>
      <c r="CO132" s="2115">
        <f>IFERROR(($CL132-CM132)*10000,"")</f>
        <v>53.694512060998569</v>
      </c>
      <c r="CP132" s="2115">
        <f>IFERROR(($CL132-CN132)*10000,"")</f>
        <v>-63.152243679758527</v>
      </c>
      <c r="CQ132" s="44"/>
      <c r="CR132" s="41"/>
      <c r="CS132" s="24"/>
      <c r="CT132" s="24"/>
      <c r="CU132" s="24"/>
      <c r="CV132" s="24"/>
      <c r="CW132" s="24"/>
      <c r="CX132" s="24"/>
      <c r="CY132" s="138"/>
      <c r="CZ132"/>
      <c r="DA132"/>
      <c r="DB132"/>
      <c r="DC132"/>
      <c r="DD132"/>
      <c r="DE132"/>
      <c r="DF132" s="25"/>
      <c r="DG132" s="25"/>
      <c r="DH132" s="25"/>
      <c r="DI132" s="25"/>
      <c r="DJ132" s="25"/>
    </row>
    <row r="133" spans="1:114" s="1" customFormat="1" ht="12.75" customHeight="1">
      <c r="A133" s="58" t="s">
        <v>86</v>
      </c>
      <c r="B133" s="547"/>
      <c r="C133" s="91"/>
      <c r="D133" s="91"/>
      <c r="E133" s="91"/>
      <c r="F133" s="61"/>
      <c r="G133" s="91"/>
      <c r="H133" s="91"/>
      <c r="I133" s="91"/>
      <c r="J133" s="91"/>
      <c r="K133" s="61"/>
      <c r="L133" s="91">
        <f>IF(ISERROR((L132-G132)*100),"",(L132-G132)*100)</f>
        <v>-0.94833507966969044</v>
      </c>
      <c r="M133" s="91">
        <f>IF(ISERROR((M132-H132)*100),"",(M132-H132)*100)</f>
        <v>0.73618608364281746</v>
      </c>
      <c r="N133" s="91">
        <f>IF(ISERROR((N132-I132)*100),"",(N132-I132)*100)</f>
        <v>-2.5164559329179927</v>
      </c>
      <c r="O133" s="91">
        <f>IF(ISERROR((O132-J132)*100),"",(O132-J132)*100)</f>
        <v>-0.78119545574824101</v>
      </c>
      <c r="P133" s="92">
        <f>IF(ISERROR((P132-K132)*100),"",(P132-K132)*100)</f>
        <v>-0.84437442715671196</v>
      </c>
      <c r="Q133" s="6">
        <f t="shared" ref="Q133:BA133" si="513">(Q132-L132)*100</f>
        <v>-2.382100718298573</v>
      </c>
      <c r="R133" s="6">
        <f t="shared" si="513"/>
        <v>-4.603071345441812</v>
      </c>
      <c r="S133" s="6">
        <f t="shared" si="513"/>
        <v>-2.3101478812924403E-2</v>
      </c>
      <c r="T133" s="6">
        <f t="shared" si="513"/>
        <v>-0.25779758539960507</v>
      </c>
      <c r="U133" s="61">
        <f t="shared" si="513"/>
        <v>-1.7966551095875269</v>
      </c>
      <c r="V133" s="6">
        <f t="shared" si="513"/>
        <v>-4.1824158951202977</v>
      </c>
      <c r="W133" s="6">
        <f t="shared" si="513"/>
        <v>-1.7495046007299422</v>
      </c>
      <c r="X133" s="6">
        <f t="shared" si="513"/>
        <v>-0.28773514980369386</v>
      </c>
      <c r="Y133" s="6">
        <f t="shared" si="513"/>
        <v>-0.6341883554826746</v>
      </c>
      <c r="Z133" s="61">
        <f t="shared" si="513"/>
        <v>-1.556406956853488</v>
      </c>
      <c r="AA133" s="6">
        <f t="shared" si="513"/>
        <v>4.9508990313589214</v>
      </c>
      <c r="AB133" s="6">
        <f t="shared" si="513"/>
        <v>3.7100042124966577</v>
      </c>
      <c r="AC133" s="6">
        <f t="shared" si="513"/>
        <v>1.0565218648823635</v>
      </c>
      <c r="AD133" s="6">
        <f t="shared" si="513"/>
        <v>-0.2744897965941559</v>
      </c>
      <c r="AE133" s="61">
        <f t="shared" si="513"/>
        <v>2.1793161846768898</v>
      </c>
      <c r="AF133" s="6">
        <f t="shared" si="513"/>
        <v>1.9649821780882981E-3</v>
      </c>
      <c r="AG133" s="6">
        <f t="shared" si="513"/>
        <v>-2.82072122073729</v>
      </c>
      <c r="AH133" s="6">
        <f t="shared" si="513"/>
        <v>-5.5776830980618159</v>
      </c>
      <c r="AI133" s="6">
        <f t="shared" si="513"/>
        <v>-8.6940966357375888</v>
      </c>
      <c r="AJ133" s="61">
        <f t="shared" si="513"/>
        <v>-4.3724162224013305</v>
      </c>
      <c r="AK133" s="6">
        <f t="shared" si="513"/>
        <v>-14.297701950643843</v>
      </c>
      <c r="AL133" s="6">
        <f t="shared" si="513"/>
        <v>-9.8995812177035543</v>
      </c>
      <c r="AM133" s="6">
        <f t="shared" si="513"/>
        <v>-14.06864940450008</v>
      </c>
      <c r="AN133" s="6">
        <f t="shared" si="513"/>
        <v>-4.802760400738876</v>
      </c>
      <c r="AO133" s="61">
        <f t="shared" si="513"/>
        <v>-11.011605973369999</v>
      </c>
      <c r="AP133" s="6">
        <f t="shared" si="513"/>
        <v>-0.49178641728930134</v>
      </c>
      <c r="AQ133" s="6">
        <f t="shared" si="513"/>
        <v>-4.0496857784048839</v>
      </c>
      <c r="AR133" s="6">
        <f t="shared" si="513"/>
        <v>5.1797335850504975</v>
      </c>
      <c r="AS133" s="6">
        <f t="shared" si="513"/>
        <v>6.9080841762286269</v>
      </c>
      <c r="AT133" s="61">
        <f t="shared" si="513"/>
        <v>3.0289297398206614</v>
      </c>
      <c r="AU133" s="6">
        <f t="shared" si="513"/>
        <v>6.2314489471304002</v>
      </c>
      <c r="AV133" s="6">
        <f t="shared" si="513"/>
        <v>8.3071592516336814</v>
      </c>
      <c r="AW133" s="6">
        <f t="shared" si="513"/>
        <v>7.4762752294631971</v>
      </c>
      <c r="AX133" s="6">
        <f t="shared" si="513"/>
        <v>4.2166060235257898</v>
      </c>
      <c r="AY133" s="190">
        <f t="shared" si="513"/>
        <v>6.2885054597747345</v>
      </c>
      <c r="AZ133" s="190">
        <f t="shared" si="513"/>
        <v>3.2133753611160878</v>
      </c>
      <c r="BA133" s="6">
        <f t="shared" si="513"/>
        <v>4.0131891469439029</v>
      </c>
      <c r="BB133" s="6">
        <f t="shared" ref="BB133:BG133" si="514">(BB132-AW132)*100</f>
        <v>3.1303026984399693</v>
      </c>
      <c r="BC133" s="6">
        <f t="shared" ref="BC133" si="515">(BC132-AX132)*100</f>
        <v>0.3268391126461252</v>
      </c>
      <c r="BD133" s="1946">
        <f t="shared" ref="BD133:BF133" si="516">(BD132-AY132)*100</f>
        <v>2.3852109408519837</v>
      </c>
      <c r="BE133" s="190">
        <f t="shared" si="516"/>
        <v>2.8869215936872425</v>
      </c>
      <c r="BF133" s="6">
        <f t="shared" si="516"/>
        <v>3.1100750020017291</v>
      </c>
      <c r="BG133" s="2056">
        <f t="shared" si="514"/>
        <v>2.3689029480159771</v>
      </c>
      <c r="BH133" s="6">
        <f t="shared" ref="BH133" si="517">(BH132-BC132)*100</f>
        <v>2.0722716427000489</v>
      </c>
      <c r="BI133" s="1946">
        <f t="shared" ref="BI133:BL133" si="518">(BI132-BD132)*100</f>
        <v>2.3403188971559228</v>
      </c>
      <c r="BJ133" s="190">
        <f t="shared" si="518"/>
        <v>1.4421912010131752</v>
      </c>
      <c r="BK133" s="6">
        <f t="shared" si="518"/>
        <v>0.24174637803617421</v>
      </c>
      <c r="BL133" s="2056">
        <f t="shared" si="518"/>
        <v>9.2593665149229981E-2</v>
      </c>
      <c r="BM133" s="6">
        <f t="shared" ref="BM133" si="519">(BM132-BH132)*100</f>
        <v>0.53694512060998567</v>
      </c>
      <c r="BN133" s="1946">
        <f t="shared" ref="BN133" si="520">(BN132-BI132)*100</f>
        <v>0.55592877488765058</v>
      </c>
      <c r="BO133" s="190">
        <f t="shared" ref="BO133" si="521">(BO132-BJ132)*100</f>
        <v>0.31840128049652261</v>
      </c>
      <c r="BP133" s="6">
        <f t="shared" ref="BP133" si="522">(BP132-BK132)*100</f>
        <v>0.94191002074717967</v>
      </c>
      <c r="BQ133" s="6">
        <f t="shared" ref="BQ133:BS133" si="523">(BQ132-BL132)*100</f>
        <v>1.1941965950691449</v>
      </c>
      <c r="BR133" s="2166">
        <f t="shared" si="523"/>
        <v>1.8935666432039402</v>
      </c>
      <c r="BS133" s="1946">
        <f t="shared" si="523"/>
        <v>1.1168640211549312</v>
      </c>
      <c r="BT133" s="6"/>
      <c r="BU133" s="6"/>
      <c r="BV133" s="6"/>
      <c r="BW133" s="6"/>
      <c r="BX133" s="61">
        <f>(BX132-BS132)*100</f>
        <v>0.45037664843359593</v>
      </c>
      <c r="BY133" s="6"/>
      <c r="BZ133" s="6"/>
      <c r="CA133" s="6"/>
      <c r="CB133" s="6"/>
      <c r="CC133" s="61">
        <f>(CC132-BX132)*100</f>
        <v>0.35495366673566342</v>
      </c>
      <c r="CD133" s="194"/>
      <c r="CE133" s="114"/>
      <c r="CF133" s="173"/>
      <c r="CG133" s="173"/>
      <c r="CH133" s="173"/>
      <c r="CI133" s="239"/>
      <c r="CJ133" s="177"/>
      <c r="CK133" s="2070"/>
      <c r="CL133" s="6">
        <f t="shared" si="462"/>
        <v>0.53694512060998567</v>
      </c>
      <c r="CM133" s="6">
        <f t="shared" si="463"/>
        <v>2.0722716427000489</v>
      </c>
      <c r="CN133" s="6">
        <v>1.1684675574075709</v>
      </c>
      <c r="CO133" s="6"/>
      <c r="CP133" s="6"/>
      <c r="CQ133" s="44"/>
      <c r="CR133" s="40"/>
      <c r="CS133" s="40"/>
      <c r="CT133" s="40"/>
      <c r="CU133" s="40"/>
      <c r="CV133" s="24"/>
      <c r="CW133" s="40"/>
      <c r="CX133" s="40"/>
      <c r="CY133" s="139"/>
      <c r="CZ133"/>
      <c r="DA133"/>
      <c r="DB133"/>
      <c r="DC133"/>
      <c r="DD133"/>
      <c r="DE133"/>
      <c r="DF133" s="3"/>
      <c r="DG133" s="3"/>
      <c r="DH133" s="3"/>
      <c r="DI133" s="3"/>
      <c r="DJ133" s="3"/>
    </row>
    <row r="134" spans="1:114" s="1" customFormat="1" ht="12.75" customHeight="1">
      <c r="A134" s="58" t="s">
        <v>88</v>
      </c>
      <c r="B134" s="190"/>
      <c r="C134" s="6"/>
      <c r="D134" s="6"/>
      <c r="E134" s="6"/>
      <c r="F134" s="61"/>
      <c r="G134" s="6"/>
      <c r="H134" s="6">
        <f>IF(ISERROR((H132-G132)*100),"",(H132-G132)*100)</f>
        <v>1.0749014603074314</v>
      </c>
      <c r="I134" s="6">
        <f>IF(ISERROR((I132-H132)*100),"",(I132-H132)*100)</f>
        <v>-0.11299227137508139</v>
      </c>
      <c r="J134" s="6">
        <f>IF(ISERROR((J132-I132)*100),"",(J132-I132)*100)</f>
        <v>-3.1175540932210608</v>
      </c>
      <c r="K134" s="61"/>
      <c r="L134" s="6">
        <f>IF(ISERROR((L132-J132)*100),"",(L132-J132)*100)</f>
        <v>1.2073098246190204</v>
      </c>
      <c r="M134" s="6">
        <f>IF(ISERROR((M132-L132)*100),"",(M132-L132)*100)</f>
        <v>2.7594226236199395</v>
      </c>
      <c r="N134" s="6">
        <f>IF(ISERROR((N132-M132)*100),"",(N132-M132)*100)</f>
        <v>-3.3656342879358916</v>
      </c>
      <c r="O134" s="6">
        <f>IF(ISERROR((O132-N132)*100),"",(O132-N132)*100)</f>
        <v>-1.3822936160513091</v>
      </c>
      <c r="P134" s="61"/>
      <c r="Q134" s="6">
        <f>(Q132-O132)*100</f>
        <v>-0.39359543793131141</v>
      </c>
      <c r="R134" s="6">
        <f>(R132-Q132)*100</f>
        <v>0.53845199647669995</v>
      </c>
      <c r="S134" s="6">
        <f>(S132-R132)*100</f>
        <v>1.2143355786929959</v>
      </c>
      <c r="T134" s="6">
        <f>(T132-S132)*100</f>
        <v>-1.6169897226379897</v>
      </c>
      <c r="U134" s="61"/>
      <c r="V134" s="6">
        <f>(V132-T132)*100</f>
        <v>-4.3182137476520044</v>
      </c>
      <c r="W134" s="6">
        <f>(W132-V132)*100</f>
        <v>2.9713632908670551</v>
      </c>
      <c r="X134" s="6">
        <f>(X132-W132)*100</f>
        <v>2.6761050296192446</v>
      </c>
      <c r="Y134" s="6">
        <f>(Y132-X132)*100</f>
        <v>-1.9634429283169705</v>
      </c>
      <c r="Z134" s="61"/>
      <c r="AA134" s="6">
        <f>(AA132-Y132)*100</f>
        <v>1.2668736391895918</v>
      </c>
      <c r="AB134" s="6">
        <f>(AB132-AA132)*100</f>
        <v>1.7304684720047925</v>
      </c>
      <c r="AC134" s="6">
        <f>(AC132-AB132)*100</f>
        <v>2.2622682004949657E-2</v>
      </c>
      <c r="AD134" s="6">
        <f>(AD132-AC132)*100</f>
        <v>-3.29445458979349</v>
      </c>
      <c r="AE134" s="61"/>
      <c r="AF134" s="6">
        <f>(AF132-AD132)*100</f>
        <v>1.5433284179618361</v>
      </c>
      <c r="AG134" s="6">
        <f>(AG132-AF132)*100</f>
        <v>-1.0922177309105856</v>
      </c>
      <c r="AH134" s="6">
        <f>(AH132-AG132)*100</f>
        <v>-2.7343391953195768</v>
      </c>
      <c r="AI134" s="6">
        <f>(AI132-AH132)*100</f>
        <v>-6.4108681274692616</v>
      </c>
      <c r="AJ134" s="61"/>
      <c r="AK134" s="6">
        <f>(AK132-AI132)*100</f>
        <v>-4.0602768969444174</v>
      </c>
      <c r="AL134" s="6">
        <f>(AL132-AK132)*100</f>
        <v>3.3059030020297033</v>
      </c>
      <c r="AM134" s="6">
        <f>(AM132-AL132)*100</f>
        <v>-6.9034073821161028</v>
      </c>
      <c r="AN134" s="6">
        <f>(AN132-AM132)*100</f>
        <v>2.8550208762919418</v>
      </c>
      <c r="AO134" s="61"/>
      <c r="AP134" s="6">
        <f>(AP132-AN132)*100</f>
        <v>0.25069708650515693</v>
      </c>
      <c r="AQ134" s="6">
        <f>(AQ132-AP132)*100</f>
        <v>-0.25199635908587925</v>
      </c>
      <c r="AR134" s="6">
        <f>(AR132-AQ132)*100</f>
        <v>2.3260119813392781</v>
      </c>
      <c r="AS134" s="6">
        <f>(AS132-AR132)*100</f>
        <v>4.5833714674700703</v>
      </c>
      <c r="AT134" s="61"/>
      <c r="AU134" s="6">
        <f>(AU132-AS132)*100</f>
        <v>-0.42593814259306861</v>
      </c>
      <c r="AV134" s="6">
        <f>(AV132-AU132)*100</f>
        <v>1.8237139454174003</v>
      </c>
      <c r="AW134" s="6">
        <f>(AW132-AV132)*100</f>
        <v>1.4951279591687949</v>
      </c>
      <c r="AX134" s="6">
        <f>(AX132-AW132)*100</f>
        <v>1.3237022615326626</v>
      </c>
      <c r="AY134" s="190"/>
      <c r="AZ134" s="190">
        <f>(AZ132-AX132)*100</f>
        <v>-1.42916880500277</v>
      </c>
      <c r="BA134" s="6">
        <f>(BA132-AZ132)*100</f>
        <v>2.6235277312452152</v>
      </c>
      <c r="BB134" s="6">
        <f>(BB132-BA132)*100</f>
        <v>0.61224151066486132</v>
      </c>
      <c r="BC134" s="6">
        <f>(BC132-BB132)*100</f>
        <v>-1.4797613242611813</v>
      </c>
      <c r="BD134" s="1946"/>
      <c r="BE134" s="190">
        <f>(BE132-BC132)*100</f>
        <v>1.1309136760383471</v>
      </c>
      <c r="BF134" s="6">
        <f>(BF132-BE132)*100</f>
        <v>2.8466811395597023</v>
      </c>
      <c r="BG134" s="2056">
        <f>(BG132-BF132)*100</f>
        <v>-0.12893054332089107</v>
      </c>
      <c r="BH134" s="6">
        <f>(BH132-BG132)*100</f>
        <v>-1.7763926295771095</v>
      </c>
      <c r="BI134" s="1946"/>
      <c r="BJ134" s="190">
        <f>(BJ132-BH132)*100</f>
        <v>0.50083323435147342</v>
      </c>
      <c r="BK134" s="6">
        <f>(BK132-BJ132)*100</f>
        <v>1.6462363165827012</v>
      </c>
      <c r="BL134" s="2056">
        <f>(BL132-BK132)*100</f>
        <v>-0.27808325620783531</v>
      </c>
      <c r="BM134" s="6">
        <f>(BM132-BL132)*100</f>
        <v>-1.3320411741163538</v>
      </c>
      <c r="BN134" s="1946"/>
      <c r="BO134" s="190">
        <f>(BO132-BM132)*100</f>
        <v>0.28228939423801047</v>
      </c>
      <c r="BP134" s="6">
        <f t="shared" ref="BP134" si="524">(BP132-BO132)*100</f>
        <v>2.2697450568333584</v>
      </c>
      <c r="BQ134" s="6">
        <f t="shared" ref="BQ134" si="525">(BQ132-BP132)*100</f>
        <v>-2.5796681885870143E-2</v>
      </c>
      <c r="BR134" s="2166">
        <f t="shared" ref="BR134" si="526">(BR132-BQ132)*100</f>
        <v>-0.6326711259815585</v>
      </c>
      <c r="BS134" s="1946"/>
      <c r="BT134" s="6"/>
      <c r="BU134" s="6"/>
      <c r="BV134" s="6"/>
      <c r="BW134" s="6"/>
      <c r="BX134" s="61"/>
      <c r="BY134" s="6"/>
      <c r="BZ134" s="6"/>
      <c r="CA134" s="6"/>
      <c r="CB134" s="6"/>
      <c r="CC134" s="61"/>
      <c r="CD134" s="194"/>
      <c r="CE134" s="114"/>
      <c r="CF134" s="173"/>
      <c r="CG134" s="173"/>
      <c r="CH134" s="173"/>
      <c r="CI134" s="239"/>
      <c r="CJ134" s="177"/>
      <c r="CK134" s="2070"/>
      <c r="CL134" s="6">
        <f t="shared" si="462"/>
        <v>-1.3320411741163538</v>
      </c>
      <c r="CM134" s="6">
        <f t="shared" si="463"/>
        <v>-1.7763926295771095</v>
      </c>
      <c r="CN134" s="6">
        <v>-0.70051873731876846</v>
      </c>
      <c r="CO134" s="6"/>
      <c r="CP134" s="6"/>
      <c r="CQ134" s="44"/>
      <c r="CR134" s="40"/>
      <c r="CS134" s="40"/>
      <c r="CT134" s="40"/>
      <c r="CU134" s="40"/>
      <c r="CV134" s="24"/>
      <c r="CW134" s="40"/>
      <c r="CX134" s="40"/>
      <c r="CY134" s="139"/>
      <c r="CZ134"/>
      <c r="DA134"/>
      <c r="DB134"/>
      <c r="DC134"/>
      <c r="DD134"/>
      <c r="DE134"/>
      <c r="DF134" s="3"/>
      <c r="DG134" s="3"/>
      <c r="DH134" s="3"/>
      <c r="DI134" s="3"/>
      <c r="DJ134" s="3"/>
    </row>
    <row r="135" spans="1:114" s="186" customFormat="1" ht="12.75" customHeight="1">
      <c r="A135" s="95" t="s">
        <v>104</v>
      </c>
      <c r="B135" s="551"/>
      <c r="C135" s="100"/>
      <c r="D135" s="100"/>
      <c r="E135" s="100"/>
      <c r="F135" s="99"/>
      <c r="G135" s="100"/>
      <c r="H135" s="100">
        <f t="shared" ref="H135:AM135" si="527">(H173-C173)/(H182-C182)</f>
        <v>8.4532374100719537E-2</v>
      </c>
      <c r="I135" s="100">
        <f t="shared" si="527"/>
        <v>8.3402451386968723E-2</v>
      </c>
      <c r="J135" s="100">
        <f t="shared" si="527"/>
        <v>5.2226910454758114E-2</v>
      </c>
      <c r="K135" s="99">
        <f t="shared" si="527"/>
        <v>1.1515015050603208</v>
      </c>
      <c r="L135" s="100">
        <f t="shared" si="527"/>
        <v>1.7543859649122244E-2</v>
      </c>
      <c r="M135" s="100">
        <f t="shared" si="527"/>
        <v>0.12196914033798584</v>
      </c>
      <c r="N135" s="100">
        <f t="shared" si="527"/>
        <v>-5.0637958532694205E-2</v>
      </c>
      <c r="O135" s="100">
        <f t="shared" si="527"/>
        <v>5.5917986952488275E-3</v>
      </c>
      <c r="P135" s="99">
        <f t="shared" si="527"/>
        <v>2.6948679407344276E-2</v>
      </c>
      <c r="Q135" s="100">
        <f t="shared" si="527"/>
        <v>1.808066759388054E-2</v>
      </c>
      <c r="R135" s="100">
        <f t="shared" si="527"/>
        <v>5.6211709720206011E-3</v>
      </c>
      <c r="S135" s="100">
        <f t="shared" si="527"/>
        <v>5.7833089311859216E-2</v>
      </c>
      <c r="T135" s="100">
        <f t="shared" si="527"/>
        <v>3.9117186856625331E-2</v>
      </c>
      <c r="U135" s="99">
        <f t="shared" si="527"/>
        <v>3.1264558206946368E-2</v>
      </c>
      <c r="V135" s="100">
        <f t="shared" si="527"/>
        <v>0.27085620197585136</v>
      </c>
      <c r="W135" s="100">
        <f t="shared" si="527"/>
        <v>9.8223896663079513E-2</v>
      </c>
      <c r="X135" s="100">
        <f t="shared" si="527"/>
        <v>7.3379535262942511E-2</v>
      </c>
      <c r="Y135" s="100">
        <f t="shared" si="527"/>
        <v>1.1718749999999379E-2</v>
      </c>
      <c r="Z135" s="99">
        <f t="shared" si="527"/>
        <v>0.21434698691829226</v>
      </c>
      <c r="AA135" s="100">
        <f t="shared" si="527"/>
        <v>0.13405358686257557</v>
      </c>
      <c r="AB135" s="100">
        <f t="shared" si="527"/>
        <v>0.11106813283969781</v>
      </c>
      <c r="AC135" s="100">
        <f t="shared" si="527"/>
        <v>8.0879530624554191E-2</v>
      </c>
      <c r="AD135" s="100">
        <f t="shared" si="527"/>
        <v>2.4027344928119816E-2</v>
      </c>
      <c r="AE135" s="99">
        <f t="shared" si="527"/>
        <v>9.1182520613299789E-2</v>
      </c>
      <c r="AF135" s="100">
        <f t="shared" si="527"/>
        <v>4.8246503142104429E-2</v>
      </c>
      <c r="AG135" s="100">
        <f t="shared" si="527"/>
        <v>-0.26584976025573104</v>
      </c>
      <c r="AH135" s="100">
        <f t="shared" si="527"/>
        <v>-0.83304998299896893</v>
      </c>
      <c r="AI135" s="100">
        <f t="shared" si="527"/>
        <v>-1.4833860759493749</v>
      </c>
      <c r="AJ135" s="99">
        <f t="shared" si="527"/>
        <v>-0.35213997590234908</v>
      </c>
      <c r="AK135" s="100">
        <f t="shared" si="527"/>
        <v>-2.0393184796854515</v>
      </c>
      <c r="AL135" s="100">
        <f t="shared" si="527"/>
        <v>-0.47960941987363476</v>
      </c>
      <c r="AM135" s="100">
        <f t="shared" si="527"/>
        <v>-0.41328022373829476</v>
      </c>
      <c r="AN135" s="100">
        <f t="shared" ref="AN135:BG135" si="528">(AN173-AI173)/(AN182-AI182)</f>
        <v>-0.13508646651557027</v>
      </c>
      <c r="AO135" s="99">
        <f t="shared" si="528"/>
        <v>-0.29245924247648081</v>
      </c>
      <c r="AP135" s="100">
        <f t="shared" si="528"/>
        <v>-0.10286726479356015</v>
      </c>
      <c r="AQ135" s="100">
        <f t="shared" si="528"/>
        <v>-0.12898692929219496</v>
      </c>
      <c r="AR135" s="100">
        <f t="shared" si="528"/>
        <v>-4.9075564661690468E-2</v>
      </c>
      <c r="AS135" s="100">
        <f t="shared" si="528"/>
        <v>1.7259695551611044E-2</v>
      </c>
      <c r="AT135" s="99">
        <f t="shared" si="528"/>
        <v>-5.0175590967449564E-2</v>
      </c>
      <c r="AU135" s="100">
        <f t="shared" si="528"/>
        <v>4.7861095935962513E-3</v>
      </c>
      <c r="AV135" s="100">
        <f t="shared" si="528"/>
        <v>6.4944426673395495E-3</v>
      </c>
      <c r="AW135" s="100">
        <f t="shared" si="528"/>
        <v>2.674775020918372E-2</v>
      </c>
      <c r="AX135" s="100">
        <f t="shared" si="528"/>
        <v>2.7942225299013745E-2</v>
      </c>
      <c r="AY135" s="551">
        <f t="shared" si="528"/>
        <v>1.9491270819492777E-2</v>
      </c>
      <c r="AZ135" s="551">
        <f t="shared" si="528"/>
        <v>1.6312527193489336E-2</v>
      </c>
      <c r="BA135" s="100">
        <f t="shared" si="528"/>
        <v>5.7698093058493487E-2</v>
      </c>
      <c r="BB135" s="100">
        <f t="shared" si="528"/>
        <v>3.9295611397774759E-2</v>
      </c>
      <c r="BC135" s="100">
        <f t="shared" si="528"/>
        <v>1.3377926421404661E-2</v>
      </c>
      <c r="BD135" s="1955">
        <f t="shared" si="528"/>
        <v>2.7318910942260521E-2</v>
      </c>
      <c r="BE135" s="551">
        <f t="shared" si="528"/>
        <v>3.0745418088437095E-2</v>
      </c>
      <c r="BF135" s="100">
        <f t="shared" si="528"/>
        <v>6.7398881413633968E-2</v>
      </c>
      <c r="BG135" s="2152">
        <f t="shared" si="528"/>
        <v>9.2180217503884027E-2</v>
      </c>
      <c r="BH135" s="100">
        <f t="shared" ref="BH135" si="529">(BH173-BC173)/(BH182-BC182)</f>
        <v>0.24020341011067836</v>
      </c>
      <c r="BI135" s="1955">
        <f t="shared" ref="BI135:BL135" si="530">(BI173-BD173)/(BI182-BD182)</f>
        <v>6.5550806878117873E-2</v>
      </c>
      <c r="BJ135" s="551">
        <f t="shared" si="530"/>
        <v>-8.2096774193550957</v>
      </c>
      <c r="BK135" s="100">
        <f t="shared" si="530"/>
        <v>0.170129870129866</v>
      </c>
      <c r="BL135" s="2152">
        <f t="shared" si="530"/>
        <v>7.1552221581071454E-2</v>
      </c>
      <c r="BM135" s="100">
        <f t="shared" ref="BM135" si="531">(BM173-BH173)/(BM182-BH182)</f>
        <v>7.6551324183259092E-2</v>
      </c>
      <c r="BN135" s="1955">
        <f t="shared" ref="BN135" si="532">(BN173-BI173)/(BN182-BI182)</f>
        <v>0.15235093249277468</v>
      </c>
      <c r="BO135" s="551">
        <f t="shared" ref="BO135" si="533">(BO173-BJ173)/(BO182-BJ182)</f>
        <v>7.0877300995839332E-2</v>
      </c>
      <c r="BP135" s="100">
        <f t="shared" ref="BP135" si="534">(BP173-BK173)/(BP182-BK182)</f>
        <v>0.15132933071975471</v>
      </c>
      <c r="BQ135" s="100">
        <f t="shared" ref="BQ135:BS135" si="535">(BQ173-BL173)/(BQ182-BL182)</f>
        <v>0.20911227469668575</v>
      </c>
      <c r="BR135" s="2172">
        <f t="shared" si="535"/>
        <v>0.53836558827397263</v>
      </c>
      <c r="BS135" s="1955">
        <f t="shared" si="535"/>
        <v>0.19211783525813669</v>
      </c>
      <c r="BT135" s="100"/>
      <c r="BU135" s="100"/>
      <c r="BV135" s="100"/>
      <c r="BW135" s="100"/>
      <c r="BX135" s="99">
        <f>(BX173-BS173)/(BX182-BS182)</f>
        <v>0.1270568746306297</v>
      </c>
      <c r="BY135" s="100"/>
      <c r="BZ135" s="100"/>
      <c r="CA135" s="100"/>
      <c r="CB135" s="100"/>
      <c r="CC135" s="99">
        <f>(CC173-BX173)/(CC182-BX182)</f>
        <v>0.11599834502472071</v>
      </c>
      <c r="CD135" s="200"/>
      <c r="CE135" s="122"/>
      <c r="CF135" s="173"/>
      <c r="CG135" s="173"/>
      <c r="CH135" s="173"/>
      <c r="CI135" s="239"/>
      <c r="CJ135" s="177"/>
      <c r="CK135" s="2070"/>
      <c r="CL135" s="100">
        <f t="shared" si="462"/>
        <v>7.6551324183259092E-2</v>
      </c>
      <c r="CM135" s="100">
        <f t="shared" si="463"/>
        <v>0.24020341011067836</v>
      </c>
      <c r="CN135" s="100">
        <v>0.21415036474518304</v>
      </c>
      <c r="CO135" s="2116">
        <f>IFERROR(($CL135-CM135)*10000,"")</f>
        <v>-1636.5208592741926</v>
      </c>
      <c r="CP135" s="2116">
        <f>IFERROR(($CL135-CN135)*10000,"")</f>
        <v>-1375.9904056192395</v>
      </c>
      <c r="CQ135" s="44"/>
      <c r="CR135" s="101"/>
      <c r="CS135" s="101"/>
      <c r="CT135" s="101"/>
      <c r="CU135" s="101"/>
      <c r="CV135" s="24"/>
      <c r="CW135" s="101"/>
      <c r="CX135" s="101"/>
      <c r="CY135" s="147"/>
      <c r="CZ135"/>
      <c r="DA135"/>
      <c r="DB135"/>
      <c r="DC135"/>
      <c r="DD135"/>
      <c r="DE135"/>
      <c r="DF135" s="148"/>
      <c r="DG135" s="148"/>
      <c r="DH135" s="148"/>
      <c r="DI135" s="148"/>
      <c r="DJ135" s="148"/>
    </row>
    <row r="136" spans="1:114" s="185" customFormat="1" ht="12.75" customHeight="1">
      <c r="A136" s="94" t="s">
        <v>103</v>
      </c>
      <c r="B136" s="550"/>
      <c r="C136" s="98"/>
      <c r="D136" s="98"/>
      <c r="E136" s="98"/>
      <c r="F136" s="97"/>
      <c r="G136" s="98">
        <f t="shared" ref="G136:AL136" si="536">G186/G182</f>
        <v>7.3783359497645223E-2</v>
      </c>
      <c r="H136" s="98">
        <f t="shared" si="536"/>
        <v>8.4532374100719537E-2</v>
      </c>
      <c r="I136" s="98">
        <f t="shared" si="536"/>
        <v>8.3402451386968973E-2</v>
      </c>
      <c r="J136" s="98">
        <f t="shared" si="536"/>
        <v>5.2226910454757573E-2</v>
      </c>
      <c r="K136" s="97">
        <f t="shared" si="536"/>
        <v>7.3641297907136374E-2</v>
      </c>
      <c r="L136" s="98">
        <f t="shared" si="536"/>
        <v>6.4300008700948513E-2</v>
      </c>
      <c r="M136" s="98">
        <f t="shared" si="536"/>
        <v>9.1894234937147767E-2</v>
      </c>
      <c r="N136" s="98">
        <f t="shared" si="536"/>
        <v>5.8237892057788725E-2</v>
      </c>
      <c r="O136" s="98">
        <f t="shared" si="536"/>
        <v>4.4414955897275739E-2</v>
      </c>
      <c r="P136" s="97">
        <f t="shared" si="536"/>
        <v>6.5197553635569366E-2</v>
      </c>
      <c r="Q136" s="98">
        <f t="shared" si="536"/>
        <v>4.0057345252150434E-2</v>
      </c>
      <c r="R136" s="98">
        <f t="shared" si="536"/>
        <v>4.1449031171019432E-2</v>
      </c>
      <c r="S136" s="98">
        <f t="shared" si="536"/>
        <v>4.5409261818298623E-2</v>
      </c>
      <c r="T136" s="98">
        <f t="shared" si="536"/>
        <v>2.1319227378376285E-2</v>
      </c>
      <c r="U136" s="97">
        <f t="shared" si="536"/>
        <v>3.7684310536990021E-2</v>
      </c>
      <c r="V136" s="98">
        <f t="shared" si="536"/>
        <v>-1.7138302112395479E-2</v>
      </c>
      <c r="W136" s="98">
        <f t="shared" si="536"/>
        <v>1.2228566290518338E-2</v>
      </c>
      <c r="X136" s="98">
        <f t="shared" si="536"/>
        <v>3.4680096142840837E-2</v>
      </c>
      <c r="Y136" s="98">
        <f t="shared" si="536"/>
        <v>1.7241379310344855E-2</v>
      </c>
      <c r="Z136" s="97">
        <f t="shared" si="536"/>
        <v>1.3801230326755592E-2</v>
      </c>
      <c r="AA136" s="98">
        <f t="shared" si="536"/>
        <v>4.2285569812274833E-2</v>
      </c>
      <c r="AB136" s="98">
        <f t="shared" si="536"/>
        <v>5.356965790778382E-2</v>
      </c>
      <c r="AC136" s="98">
        <f t="shared" si="536"/>
        <v>5.0733441324693949E-2</v>
      </c>
      <c r="AD136" s="98">
        <f t="shared" si="536"/>
        <v>1.3379214091488735E-2</v>
      </c>
      <c r="AE136" s="97">
        <f t="shared" si="536"/>
        <v>3.9939995062884891E-2</v>
      </c>
      <c r="AF136" s="98">
        <f t="shared" si="536"/>
        <v>3.2282933410426942E-2</v>
      </c>
      <c r="AG136" s="98">
        <f t="shared" si="536"/>
        <v>2.0297546151403771E-2</v>
      </c>
      <c r="AH136" s="98">
        <f t="shared" si="536"/>
        <v>-1.3399734115512069E-2</v>
      </c>
      <c r="AI136" s="98">
        <f t="shared" si="536"/>
        <v>-8.0004536690484282E-2</v>
      </c>
      <c r="AJ136" s="97">
        <f t="shared" si="536"/>
        <v>-1.0882333009555215E-2</v>
      </c>
      <c r="AK136" s="98">
        <f t="shared" si="536"/>
        <v>-8.7679533213644439E-2</v>
      </c>
      <c r="AL136" s="98">
        <f t="shared" si="536"/>
        <v>-5.3978731206453932E-2</v>
      </c>
      <c r="AM136" s="98">
        <f t="shared" ref="AM136:BD136" si="537">AM186/AM182</f>
        <v>-0.12061193441144989</v>
      </c>
      <c r="AN136" s="98">
        <f t="shared" si="537"/>
        <v>-9.1177202473664329E-2</v>
      </c>
      <c r="AO136" s="97">
        <f t="shared" si="537"/>
        <v>-9.0835669493989371E-2</v>
      </c>
      <c r="AP136" s="98">
        <f t="shared" si="537"/>
        <v>-8.6079702453530263E-2</v>
      </c>
      <c r="AQ136" s="98">
        <f t="shared" si="537"/>
        <v>-8.9137871924488132E-2</v>
      </c>
      <c r="AR136" s="98">
        <f t="shared" si="537"/>
        <v>-5.166458743594754E-2</v>
      </c>
      <c r="AS136" s="98">
        <f t="shared" si="537"/>
        <v>2.0526297374732338E-3</v>
      </c>
      <c r="AT136" s="97">
        <f t="shared" si="537"/>
        <v>-4.4890880431950268E-2</v>
      </c>
      <c r="AU136" s="98">
        <f t="shared" si="537"/>
        <v>2.5247607142982885E-3</v>
      </c>
      <c r="AV136" s="98">
        <f t="shared" si="537"/>
        <v>2.425952093685298E-2</v>
      </c>
      <c r="AW136" s="98">
        <f t="shared" si="537"/>
        <v>3.6922426675924915E-2</v>
      </c>
      <c r="AX136" s="98">
        <f t="shared" si="537"/>
        <v>5.055976886962809E-2</v>
      </c>
      <c r="AY136" s="550">
        <f t="shared" si="537"/>
        <v>3.4485538801535459E-2</v>
      </c>
      <c r="AZ136" s="550">
        <f t="shared" si="537"/>
        <v>4.1536273115220478E-2</v>
      </c>
      <c r="BA136" s="98">
        <f t="shared" si="537"/>
        <v>6.554815363105522E-2</v>
      </c>
      <c r="BB136" s="98">
        <f t="shared" si="537"/>
        <v>7.0297616527666071E-2</v>
      </c>
      <c r="BC136" s="98">
        <f t="shared" si="537"/>
        <v>6.5104867905334665E-2</v>
      </c>
      <c r="BD136" s="1954">
        <f t="shared" si="537"/>
        <v>6.4611126415069622E-2</v>
      </c>
      <c r="BE136" s="550">
        <f t="shared" ref="BE136:BI136" si="538">BE186/BE182</f>
        <v>7.0310516964210215E-2</v>
      </c>
      <c r="BF136" s="98">
        <f t="shared" si="538"/>
        <v>9.6353813156680276E-2</v>
      </c>
      <c r="BG136" s="2135">
        <f t="shared" si="538"/>
        <v>9.4970111476116129E-2</v>
      </c>
      <c r="BH136" s="98">
        <f t="shared" si="538"/>
        <v>7.9176412990262693E-2</v>
      </c>
      <c r="BI136" s="1954">
        <f t="shared" si="538"/>
        <v>8.5366020493317152E-2</v>
      </c>
      <c r="BJ136" s="550">
        <f t="shared" ref="BJ136:BN136" si="539">BJ186/BJ182</f>
        <v>8.1932476338465954E-2</v>
      </c>
      <c r="BK136" s="98">
        <f t="shared" si="539"/>
        <v>9.8609153524984755E-2</v>
      </c>
      <c r="BL136" s="199">
        <f t="shared" si="539"/>
        <v>9.5083738519719005E-2</v>
      </c>
      <c r="BM136" s="98">
        <f t="shared" si="539"/>
        <v>8.0283268556713264E-2</v>
      </c>
      <c r="BN136" s="1954">
        <f t="shared" si="539"/>
        <v>8.8883543118693412E-2</v>
      </c>
      <c r="BO136" s="2316">
        <f t="shared" ref="BO136:BP136" si="540">BO186/BO182</f>
        <v>8.5249351056277692E-2</v>
      </c>
      <c r="BP136" s="199">
        <f t="shared" si="540"/>
        <v>0.10512941634653787</v>
      </c>
      <c r="BQ136" s="199">
        <f t="shared" ref="BQ136:BR136" si="541">BQ186/BQ182</f>
        <v>0.10494744108978205</v>
      </c>
      <c r="BR136" s="2410">
        <f t="shared" si="541"/>
        <v>9.6599922390250878E-2</v>
      </c>
      <c r="BS136" s="2428">
        <f>BS186/BS182</f>
        <v>9.8170686507208088E-2</v>
      </c>
      <c r="BT136" s="199"/>
      <c r="BU136" s="199"/>
      <c r="BV136" s="199"/>
      <c r="BW136" s="199"/>
      <c r="BX136" s="463">
        <f>BX186/BX182</f>
        <v>0.10267445299154387</v>
      </c>
      <c r="BY136" s="199"/>
      <c r="BZ136" s="199"/>
      <c r="CA136" s="199"/>
      <c r="CB136" s="199"/>
      <c r="CC136" s="463">
        <f>CC186/CC182</f>
        <v>0.10622398965890067</v>
      </c>
      <c r="CD136" s="199"/>
      <c r="CE136" s="121"/>
      <c r="CF136" s="173"/>
      <c r="CG136" s="173"/>
      <c r="CH136" s="173"/>
      <c r="CI136" s="239"/>
      <c r="CJ136" s="177"/>
      <c r="CK136" s="2070"/>
      <c r="CL136" s="98">
        <f t="shared" si="462"/>
        <v>8.0283268556713264E-2</v>
      </c>
      <c r="CM136" s="98">
        <f t="shared" si="463"/>
        <v>7.9176412990262693E-2</v>
      </c>
      <c r="CN136" s="98">
        <v>8.617875457580236E-2</v>
      </c>
      <c r="CO136" s="2115">
        <f>IFERROR(($CL136-CM136)*10000,"")</f>
        <v>11.068555664505709</v>
      </c>
      <c r="CP136" s="2115">
        <f>IFERROR(($CL136-CN136)*10000,"")</f>
        <v>-58.954860190890969</v>
      </c>
      <c r="CQ136" s="454" t="s">
        <v>596</v>
      </c>
      <c r="CR136" s="41"/>
      <c r="CS136" s="24"/>
      <c r="CT136" s="24"/>
      <c r="CU136" s="24"/>
      <c r="CV136" s="24"/>
      <c r="CW136" s="24"/>
      <c r="CX136" s="24"/>
      <c r="CY136" s="138"/>
      <c r="CZ136"/>
      <c r="DA136"/>
      <c r="DB136"/>
      <c r="DC136"/>
      <c r="DD136"/>
      <c r="DE136"/>
      <c r="DF136" s="25"/>
      <c r="DG136" s="25"/>
      <c r="DH136" s="25"/>
      <c r="DI136" s="25"/>
      <c r="DJ136" s="25"/>
    </row>
    <row r="137" spans="1:114" s="1" customFormat="1" ht="12.75" customHeight="1">
      <c r="A137" s="58" t="s">
        <v>86</v>
      </c>
      <c r="B137" s="547"/>
      <c r="C137" s="91"/>
      <c r="D137" s="91"/>
      <c r="E137" s="91"/>
      <c r="F137" s="61"/>
      <c r="G137" s="91"/>
      <c r="H137" s="91"/>
      <c r="I137" s="91"/>
      <c r="J137" s="91"/>
      <c r="K137" s="61"/>
      <c r="L137" s="91">
        <f>IF(ISERROR((L136-G136)*100),"",(L136-G136)*100)</f>
        <v>-0.94833507966967101</v>
      </c>
      <c r="M137" s="91">
        <f>IF(ISERROR((M136-H136)*100),"",(M136-H136)*100)</f>
        <v>0.73618608364282301</v>
      </c>
      <c r="N137" s="91">
        <f>IF(ISERROR((N136-I136)*100),"",(N136-I136)*100)</f>
        <v>-2.5164559329180247</v>
      </c>
      <c r="O137" s="91">
        <f>IF(ISERROR((O136-J136)*100),"",(O136-J136)*100)</f>
        <v>-0.7811954557481835</v>
      </c>
      <c r="P137" s="92">
        <f>IF(ISERROR((P136-K136)*100),"",(P136-K136)*100)</f>
        <v>-0.84437442715670086</v>
      </c>
      <c r="Q137" s="6">
        <f t="shared" ref="Q137:BA137" si="542">(Q136-L136)*100</f>
        <v>-2.4242663448798081</v>
      </c>
      <c r="R137" s="6">
        <f t="shared" si="542"/>
        <v>-5.0445203766128337</v>
      </c>
      <c r="S137" s="6">
        <f t="shared" si="542"/>
        <v>-1.2828630239490102</v>
      </c>
      <c r="T137" s="6">
        <f t="shared" si="542"/>
        <v>-2.3095728518899454</v>
      </c>
      <c r="U137" s="61">
        <f t="shared" si="542"/>
        <v>-2.7513243098579347</v>
      </c>
      <c r="V137" s="6">
        <f t="shared" si="542"/>
        <v>-5.7195647364545907</v>
      </c>
      <c r="W137" s="6">
        <f t="shared" si="542"/>
        <v>-2.9220464880501096</v>
      </c>
      <c r="X137" s="6">
        <f t="shared" si="542"/>
        <v>-1.0729165675457786</v>
      </c>
      <c r="Y137" s="6">
        <f t="shared" si="542"/>
        <v>-0.407784806803143</v>
      </c>
      <c r="Z137" s="61">
        <f t="shared" si="542"/>
        <v>-2.3883080210234429</v>
      </c>
      <c r="AA137" s="6">
        <f t="shared" si="542"/>
        <v>5.9423871924670317</v>
      </c>
      <c r="AB137" s="6">
        <f t="shared" si="542"/>
        <v>4.1341091617265482</v>
      </c>
      <c r="AC137" s="6">
        <f t="shared" si="542"/>
        <v>1.6053345181853111</v>
      </c>
      <c r="AD137" s="6">
        <f t="shared" si="542"/>
        <v>-0.38621652188561195</v>
      </c>
      <c r="AE137" s="61">
        <f t="shared" si="542"/>
        <v>2.6138764736129296</v>
      </c>
      <c r="AF137" s="6">
        <f t="shared" si="542"/>
        <v>-1.0002636401847891</v>
      </c>
      <c r="AG137" s="6">
        <f t="shared" si="542"/>
        <v>-3.3272111756380047</v>
      </c>
      <c r="AH137" s="6">
        <f t="shared" si="542"/>
        <v>-6.4133175440206021</v>
      </c>
      <c r="AI137" s="6">
        <f t="shared" si="542"/>
        <v>-9.3383750781973021</v>
      </c>
      <c r="AJ137" s="61">
        <f t="shared" si="542"/>
        <v>-5.0822328072440106</v>
      </c>
      <c r="AK137" s="6">
        <f t="shared" si="542"/>
        <v>-11.996246662407138</v>
      </c>
      <c r="AL137" s="6">
        <f t="shared" si="542"/>
        <v>-7.4276277357857703</v>
      </c>
      <c r="AM137" s="6">
        <f t="shared" si="542"/>
        <v>-10.721220029593782</v>
      </c>
      <c r="AN137" s="6">
        <f t="shared" si="542"/>
        <v>-1.1172665783180047</v>
      </c>
      <c r="AO137" s="61">
        <f t="shared" si="542"/>
        <v>-7.9953336484434159</v>
      </c>
      <c r="AP137" s="6">
        <f t="shared" si="542"/>
        <v>0.15998307601141765</v>
      </c>
      <c r="AQ137" s="6">
        <f t="shared" si="542"/>
        <v>-3.5159140718034201</v>
      </c>
      <c r="AR137" s="6">
        <f t="shared" si="542"/>
        <v>6.894734697550235</v>
      </c>
      <c r="AS137" s="6">
        <f t="shared" si="542"/>
        <v>9.3229832211137555</v>
      </c>
      <c r="AT137" s="61">
        <f t="shared" si="542"/>
        <v>4.5944789062039106</v>
      </c>
      <c r="AU137" s="6">
        <f t="shared" si="542"/>
        <v>8.8604463167828555</v>
      </c>
      <c r="AV137" s="6">
        <f t="shared" si="542"/>
        <v>11.339739286134112</v>
      </c>
      <c r="AW137" s="6">
        <f t="shared" si="542"/>
        <v>8.8587014111872442</v>
      </c>
      <c r="AX137" s="6">
        <f t="shared" si="542"/>
        <v>4.8507139132154853</v>
      </c>
      <c r="AY137" s="190">
        <f t="shared" si="542"/>
        <v>7.9376419233485738</v>
      </c>
      <c r="AZ137" s="190">
        <f t="shared" si="542"/>
        <v>3.901151240092219</v>
      </c>
      <c r="BA137" s="6">
        <f t="shared" si="542"/>
        <v>4.1288632694202239</v>
      </c>
      <c r="BB137" s="6">
        <f t="shared" ref="BB137:BG137" si="543">(BB136-AW136)*100</f>
        <v>3.3375189851741158</v>
      </c>
      <c r="BC137" s="6">
        <f t="shared" ref="BC137" si="544">(BC136-AX136)*100</f>
        <v>1.4545099035706575</v>
      </c>
      <c r="BD137" s="1946">
        <f t="shared" ref="BD137:BF137" si="545">(BD136-AY136)*100</f>
        <v>3.0125587613534162</v>
      </c>
      <c r="BE137" s="190">
        <f t="shared" si="545"/>
        <v>2.8774243848989736</v>
      </c>
      <c r="BF137" s="6">
        <f t="shared" si="545"/>
        <v>3.0805659525625058</v>
      </c>
      <c r="BG137" s="2056">
        <f t="shared" si="543"/>
        <v>2.4672494948450057</v>
      </c>
      <c r="BH137" s="6">
        <f t="shared" ref="BH137" si="546">(BH136-BC136)*100</f>
        <v>1.4071545084928028</v>
      </c>
      <c r="BI137" s="1946">
        <f t="shared" ref="BI137:BL137" si="547">(BI136-BD136)*100</f>
        <v>2.0754894078247528</v>
      </c>
      <c r="BJ137" s="190">
        <f t="shared" si="547"/>
        <v>1.1621959374255739</v>
      </c>
      <c r="BK137" s="6">
        <f t="shared" si="547"/>
        <v>0.22553403683044787</v>
      </c>
      <c r="BL137" s="2056">
        <f t="shared" si="547"/>
        <v>1.1362704360287634E-2</v>
      </c>
      <c r="BM137" s="6">
        <f t="shared" ref="BM137" si="548">(BM136-BH136)*100</f>
        <v>0.11068555664505708</v>
      </c>
      <c r="BN137" s="1946">
        <f t="shared" ref="BN137" si="549">(BN136-BI136)*100</f>
        <v>0.35175226253762598</v>
      </c>
      <c r="BO137" s="190">
        <f t="shared" ref="BO137" si="550">(BO136-BJ136)*100</f>
        <v>0.3316874717811738</v>
      </c>
      <c r="BP137" s="6">
        <f t="shared" ref="BP137" si="551">(BP136-BK136)*100</f>
        <v>0.65202628215531155</v>
      </c>
      <c r="BQ137" s="6">
        <f t="shared" ref="BQ137:BS137" si="552">(BQ136-BL136)*100</f>
        <v>0.98637025700630399</v>
      </c>
      <c r="BR137" s="2166">
        <f t="shared" si="552"/>
        <v>1.6316653833537615</v>
      </c>
      <c r="BS137" s="1949">
        <f t="shared" si="552"/>
        <v>0.92871433885146759</v>
      </c>
      <c r="BT137" s="194"/>
      <c r="BU137" s="194"/>
      <c r="BV137" s="194"/>
      <c r="BW137" s="194"/>
      <c r="BX137" s="431">
        <f>(BX136-BS136)*100</f>
        <v>0.45037664843357861</v>
      </c>
      <c r="BY137" s="194"/>
      <c r="BZ137" s="194"/>
      <c r="CA137" s="194"/>
      <c r="CB137" s="194"/>
      <c r="CC137" s="431">
        <f>(CC136-BX136)*100</f>
        <v>0.35495366673568007</v>
      </c>
      <c r="CD137" s="194"/>
      <c r="CE137" s="114"/>
      <c r="CF137" s="173"/>
      <c r="CG137" s="173"/>
      <c r="CH137" s="173"/>
      <c r="CI137" s="239"/>
      <c r="CJ137" s="177"/>
      <c r="CK137" s="2070"/>
      <c r="CL137" s="6">
        <f t="shared" si="462"/>
        <v>0.11068555664505708</v>
      </c>
      <c r="CM137" s="6">
        <f t="shared" si="463"/>
        <v>1.4071545084928028</v>
      </c>
      <c r="CN137" s="6">
        <v>0.70023415855396676</v>
      </c>
      <c r="CO137" s="6"/>
      <c r="CP137" s="6"/>
      <c r="CQ137" s="44"/>
      <c r="CR137" s="40"/>
      <c r="CS137" s="40"/>
      <c r="CT137" s="40"/>
      <c r="CU137" s="40"/>
      <c r="CV137" s="24"/>
      <c r="CW137" s="40"/>
      <c r="CX137" s="40"/>
      <c r="CY137" s="139"/>
      <c r="CZ137"/>
      <c r="DA137"/>
      <c r="DB137"/>
      <c r="DC137"/>
      <c r="DD137"/>
      <c r="DE137"/>
      <c r="DF137" s="3"/>
      <c r="DG137" s="3"/>
      <c r="DH137" s="3"/>
      <c r="DI137" s="3"/>
      <c r="DJ137" s="3"/>
    </row>
    <row r="138" spans="1:114" s="1" customFormat="1" ht="12.75" customHeight="1">
      <c r="A138" s="58" t="s">
        <v>88</v>
      </c>
      <c r="B138" s="190"/>
      <c r="C138" s="6"/>
      <c r="D138" s="6"/>
      <c r="E138" s="6"/>
      <c r="F138" s="61"/>
      <c r="G138" s="6"/>
      <c r="H138" s="6">
        <f>IF(ISERROR((H136-G136)*100),"",(H136-G136)*100)</f>
        <v>1.0749014603074314</v>
      </c>
      <c r="I138" s="6">
        <f>IF(ISERROR((I136-H136)*100),"",(I136-H136)*100)</f>
        <v>-0.11299227137505641</v>
      </c>
      <c r="J138" s="6">
        <f>IF(ISERROR((J136-I136)*100),"",(J136-I136)*100)</f>
        <v>-3.1175540932211399</v>
      </c>
      <c r="K138" s="61"/>
      <c r="L138" s="6">
        <f>IF(ISERROR((L136-J136)*100),"",(L136-J136)*100)</f>
        <v>1.2073098246190941</v>
      </c>
      <c r="M138" s="6">
        <f>IF(ISERROR((M136-L136)*100),"",(M136-L136)*100)</f>
        <v>2.7594226236199253</v>
      </c>
      <c r="N138" s="6">
        <f>IF(ISERROR((N136-M136)*100),"",(N136-M136)*100)</f>
        <v>-3.3656342879359045</v>
      </c>
      <c r="O138" s="6">
        <f>IF(ISERROR((O136-N136)*100),"",(O136-N136)*100)</f>
        <v>-1.3822936160512986</v>
      </c>
      <c r="P138" s="61"/>
      <c r="Q138" s="6">
        <f>(Q136-O136)*100</f>
        <v>-0.43576106451253049</v>
      </c>
      <c r="R138" s="6">
        <f>(R136-Q136)*100</f>
        <v>0.13916859188689984</v>
      </c>
      <c r="S138" s="6">
        <f>(S136-R136)*100</f>
        <v>0.39602306472791904</v>
      </c>
      <c r="T138" s="6">
        <f>(T136-S136)*100</f>
        <v>-2.4090034439922339</v>
      </c>
      <c r="U138" s="61"/>
      <c r="V138" s="6">
        <f>(V136-T136)*100</f>
        <v>-3.845752949077176</v>
      </c>
      <c r="W138" s="6">
        <f>(W136-V136)*100</f>
        <v>2.9366868402913817</v>
      </c>
      <c r="X138" s="6">
        <f>(X136-W136)*100</f>
        <v>2.24515298523225</v>
      </c>
      <c r="Y138" s="6">
        <f>(Y136-X136)*100</f>
        <v>-1.7438716832495982</v>
      </c>
      <c r="Z138" s="61"/>
      <c r="AA138" s="6">
        <f>(AA136-Y136)*100</f>
        <v>2.5044190501929977</v>
      </c>
      <c r="AB138" s="6">
        <f>(AB136-AA136)*100</f>
        <v>1.1284088095508986</v>
      </c>
      <c r="AC138" s="6">
        <f>(AC136-AB136)*100</f>
        <v>-0.28362165830898706</v>
      </c>
      <c r="AD138" s="6">
        <f>(AD136-AC136)*100</f>
        <v>-3.7354227233205215</v>
      </c>
      <c r="AE138" s="61"/>
      <c r="AF138" s="6">
        <f>(AF136-AD136)*100</f>
        <v>1.8903719318938208</v>
      </c>
      <c r="AG138" s="6">
        <f>(AG136-AF136)*100</f>
        <v>-1.198538725902317</v>
      </c>
      <c r="AH138" s="6">
        <f>(AH136-AG136)*100</f>
        <v>-3.3697280266915839</v>
      </c>
      <c r="AI138" s="6">
        <f>(AI136-AH136)*100</f>
        <v>-6.6604802574972215</v>
      </c>
      <c r="AJ138" s="61"/>
      <c r="AK138" s="6">
        <f>(AK136-AI136)*100</f>
        <v>-0.7674996523160158</v>
      </c>
      <c r="AL138" s="6">
        <f>(AL136-AK136)*100</f>
        <v>3.3700802007190509</v>
      </c>
      <c r="AM138" s="6">
        <f>(AM136-AL136)*100</f>
        <v>-6.6633203204995963</v>
      </c>
      <c r="AN138" s="6">
        <f>(AN136-AM136)*100</f>
        <v>2.9434731937785563</v>
      </c>
      <c r="AO138" s="61"/>
      <c r="AP138" s="6">
        <f>(AP136-AN136)*100</f>
        <v>0.50975000201340659</v>
      </c>
      <c r="AQ138" s="6">
        <f>(AQ136-AP136)*100</f>
        <v>-0.30581694709578694</v>
      </c>
      <c r="AR138" s="6">
        <f>(AR136-AQ136)*100</f>
        <v>3.7473284488540592</v>
      </c>
      <c r="AS138" s="6">
        <f>(AS136-AR136)*100</f>
        <v>5.3717217173420773</v>
      </c>
      <c r="AT138" s="61"/>
      <c r="AU138" s="6">
        <f>(AU136-AS136)*100</f>
        <v>4.7213097682505471E-2</v>
      </c>
      <c r="AV138" s="6">
        <f>(AV136-AU136)*100</f>
        <v>2.1734760222554694</v>
      </c>
      <c r="AW138" s="6">
        <f>(AW136-AV136)*100</f>
        <v>1.2662905739071935</v>
      </c>
      <c r="AX138" s="6">
        <f>(AX136-AW136)*100</f>
        <v>1.3637342193703175</v>
      </c>
      <c r="AY138" s="190"/>
      <c r="AZ138" s="190">
        <f>(AZ136-AX136)*100</f>
        <v>-0.90234957544076122</v>
      </c>
      <c r="BA138" s="6">
        <f>(BA136-AZ136)*100</f>
        <v>2.4011880515834743</v>
      </c>
      <c r="BB138" s="6">
        <f>(BB136-BA136)*100</f>
        <v>0.4749462896610851</v>
      </c>
      <c r="BC138" s="6">
        <f>(BC136-BB136)*100</f>
        <v>-0.51927486223314057</v>
      </c>
      <c r="BD138" s="1946"/>
      <c r="BE138" s="190">
        <f>(BE136-BC136)*100</f>
        <v>0.520564905887555</v>
      </c>
      <c r="BF138" s="6">
        <f>(BF136-BE136)*100</f>
        <v>2.604329619247006</v>
      </c>
      <c r="BG138" s="2056">
        <f>(BG136-BF136)*100</f>
        <v>-0.13837016805641478</v>
      </c>
      <c r="BH138" s="6">
        <f>(BH136-BG136)*100</f>
        <v>-1.5793698485853436</v>
      </c>
      <c r="BI138" s="1946"/>
      <c r="BJ138" s="190">
        <f>(BJ136-BH136)*100</f>
        <v>0.27560633482032609</v>
      </c>
      <c r="BK138" s="6">
        <f>(BK136-BJ136)*100</f>
        <v>1.66766771865188</v>
      </c>
      <c r="BL138" s="2056">
        <f>(BL136-BK136)*100</f>
        <v>-0.35254150052657501</v>
      </c>
      <c r="BM138" s="6">
        <f>(BM136-BL136)*100</f>
        <v>-1.4800469963005742</v>
      </c>
      <c r="BN138" s="1946"/>
      <c r="BO138" s="190">
        <f>(BO136-BM136)*100</f>
        <v>0.49660824995644282</v>
      </c>
      <c r="BP138" s="6">
        <f t="shared" ref="BP138" si="553">(BP136-BO136)*100</f>
        <v>1.988006529026018</v>
      </c>
      <c r="BQ138" s="6">
        <f t="shared" ref="BQ138" si="554">(BQ136-BP136)*100</f>
        <v>-1.8197525675582582E-2</v>
      </c>
      <c r="BR138" s="2166">
        <f t="shared" ref="BR138" si="555">(BR136-BQ136)*100</f>
        <v>-0.83475186995311668</v>
      </c>
      <c r="BS138" s="1946"/>
      <c r="BT138" s="6"/>
      <c r="BU138" s="6"/>
      <c r="BV138" s="6"/>
      <c r="BW138" s="6"/>
      <c r="BX138" s="61"/>
      <c r="BY138" s="6"/>
      <c r="BZ138" s="6"/>
      <c r="CA138" s="6"/>
      <c r="CB138" s="6"/>
      <c r="CC138" s="61"/>
      <c r="CD138" s="194"/>
      <c r="CE138" s="114"/>
      <c r="CF138" s="173"/>
      <c r="CG138" s="173"/>
      <c r="CH138" s="173"/>
      <c r="CI138" s="239"/>
      <c r="CJ138" s="177"/>
      <c r="CK138" s="2070"/>
      <c r="CL138" s="6">
        <f t="shared" si="462"/>
        <v>-1.4800469963005742</v>
      </c>
      <c r="CM138" s="6">
        <f t="shared" si="463"/>
        <v>-1.5793698485853436</v>
      </c>
      <c r="CN138" s="6">
        <v>-0.89049839439166445</v>
      </c>
      <c r="CO138" s="6"/>
      <c r="CP138" s="6"/>
      <c r="CQ138" s="44"/>
      <c r="CR138" s="40"/>
      <c r="CS138" s="40"/>
      <c r="CT138" s="40"/>
      <c r="CU138" s="40"/>
      <c r="CV138" s="24"/>
      <c r="CW138" s="40"/>
      <c r="CX138" s="40"/>
      <c r="CY138" s="139"/>
      <c r="CZ138"/>
      <c r="DA138"/>
      <c r="DB138"/>
      <c r="DC138"/>
      <c r="DD138"/>
      <c r="DE138"/>
      <c r="DF138" s="3"/>
      <c r="DG138" s="3"/>
      <c r="DH138" s="3"/>
      <c r="DI138" s="3"/>
      <c r="DJ138" s="3"/>
    </row>
    <row r="139" spans="1:114" s="176" customFormat="1" ht="12.75" customHeight="1">
      <c r="A139" s="54" t="s">
        <v>87</v>
      </c>
      <c r="B139" s="545"/>
      <c r="C139" s="221"/>
      <c r="D139" s="221"/>
      <c r="E139" s="221"/>
      <c r="F139" s="222"/>
      <c r="G139" s="221"/>
      <c r="H139" s="221"/>
      <c r="I139" s="221"/>
      <c r="J139" s="221"/>
      <c r="K139" s="222"/>
      <c r="L139" s="221"/>
      <c r="M139" s="221"/>
      <c r="N139" s="221"/>
      <c r="O139" s="221"/>
      <c r="P139" s="222"/>
      <c r="Q139" s="221"/>
      <c r="R139" s="221"/>
      <c r="S139" s="221"/>
      <c r="T139" s="221"/>
      <c r="U139" s="222"/>
      <c r="V139" s="221"/>
      <c r="W139" s="221"/>
      <c r="X139" s="221"/>
      <c r="Y139" s="221"/>
      <c r="Z139" s="222"/>
      <c r="AA139" s="221"/>
      <c r="AB139" s="221"/>
      <c r="AC139" s="221"/>
      <c r="AD139" s="221"/>
      <c r="AE139" s="222"/>
      <c r="AF139" s="221"/>
      <c r="AG139" s="221"/>
      <c r="AH139" s="221"/>
      <c r="AI139" s="221"/>
      <c r="AJ139" s="222"/>
      <c r="AK139" s="221"/>
      <c r="AL139" s="221"/>
      <c r="AM139" s="221"/>
      <c r="AN139" s="221"/>
      <c r="AO139" s="222"/>
      <c r="AP139" s="221"/>
      <c r="AQ139" s="221"/>
      <c r="AR139" s="221"/>
      <c r="AS139" s="221"/>
      <c r="AT139" s="222"/>
      <c r="AU139" s="221"/>
      <c r="AV139" s="221"/>
      <c r="AW139" s="221"/>
      <c r="AX139" s="226"/>
      <c r="AY139" s="545"/>
      <c r="AZ139" s="545"/>
      <c r="BA139" s="221"/>
      <c r="BB139" s="348"/>
      <c r="BC139" s="348"/>
      <c r="BD139" s="2007"/>
      <c r="BE139" s="545"/>
      <c r="BF139" s="221"/>
      <c r="BG139" s="348"/>
      <c r="BH139" s="348"/>
      <c r="BI139" s="2007"/>
      <c r="BJ139" s="545"/>
      <c r="BK139" s="221"/>
      <c r="BL139" s="348"/>
      <c r="BM139" s="348"/>
      <c r="BN139" s="2007"/>
      <c r="BO139" s="545"/>
      <c r="BP139" s="221"/>
      <c r="BQ139" s="221"/>
      <c r="BR139" s="2163"/>
      <c r="BS139" s="1943"/>
      <c r="BT139" s="221"/>
      <c r="BU139" s="221"/>
      <c r="BV139" s="221"/>
      <c r="BW139" s="221"/>
      <c r="BX139" s="222"/>
      <c r="BY139" s="221"/>
      <c r="BZ139" s="221"/>
      <c r="CA139" s="221"/>
      <c r="CB139" s="221"/>
      <c r="CC139" s="222"/>
      <c r="CD139" s="223"/>
      <c r="CE139" s="224"/>
      <c r="CF139" s="173"/>
      <c r="CG139" s="173"/>
      <c r="CH139" s="173"/>
      <c r="CI139" s="239"/>
      <c r="CJ139" s="177"/>
      <c r="CK139" s="2070"/>
      <c r="CL139" s="221"/>
      <c r="CM139" s="221"/>
      <c r="CN139" s="221"/>
      <c r="CO139" s="221"/>
      <c r="CP139" s="221"/>
      <c r="CQ139" s="44"/>
      <c r="CR139" s="40"/>
      <c r="CS139" s="16"/>
      <c r="CT139" s="16"/>
      <c r="CU139" s="16"/>
      <c r="CV139" s="16"/>
      <c r="CW139" s="16"/>
      <c r="CX139" s="16"/>
      <c r="CY139" s="141"/>
      <c r="CZ139"/>
      <c r="DA139"/>
      <c r="DB139"/>
      <c r="DC139"/>
      <c r="DD139"/>
      <c r="DE139"/>
      <c r="DF139" s="8"/>
      <c r="DG139" s="8"/>
      <c r="DH139" s="8"/>
      <c r="DI139" s="8"/>
      <c r="DJ139" s="8"/>
    </row>
    <row r="140" spans="1:114" s="262" customFormat="1" ht="12.75" customHeight="1">
      <c r="A140" s="296" t="s">
        <v>152</v>
      </c>
      <c r="B140" s="542"/>
      <c r="C140" s="258"/>
      <c r="D140" s="258"/>
      <c r="E140" s="258"/>
      <c r="F140" s="261">
        <v>30.852</v>
      </c>
      <c r="G140" s="258">
        <v>7.1289999999999996</v>
      </c>
      <c r="H140" s="258">
        <v>8.2569999999999997</v>
      </c>
      <c r="I140" s="258">
        <v>8.0050000000000008</v>
      </c>
      <c r="J140" s="258">
        <v>8.0050000000000008</v>
      </c>
      <c r="K140" s="261">
        <f>SUM(G140:J140)</f>
        <v>31.396000000000001</v>
      </c>
      <c r="L140" s="258">
        <v>8.4730000000000008</v>
      </c>
      <c r="M140" s="258">
        <v>10.327999999999999</v>
      </c>
      <c r="N140" s="258">
        <v>10.31</v>
      </c>
      <c r="O140" s="258">
        <v>9.8130000000000006</v>
      </c>
      <c r="P140" s="261">
        <f>SUM(L140:O140)</f>
        <v>38.924000000000007</v>
      </c>
      <c r="Q140" s="258">
        <v>19.606000000000002</v>
      </c>
      <c r="R140" s="258">
        <v>24.925000000000001</v>
      </c>
      <c r="S140" s="258">
        <v>26.164000000000001</v>
      </c>
      <c r="T140" s="258">
        <v>20.933</v>
      </c>
      <c r="U140" s="261">
        <f>SUM(Q140:T140)</f>
        <v>91.628000000000014</v>
      </c>
      <c r="V140" s="258">
        <v>16.856000000000002</v>
      </c>
      <c r="W140" s="258">
        <v>18.606000000000002</v>
      </c>
      <c r="X140" s="258">
        <v>21.481999999999999</v>
      </c>
      <c r="Y140" s="258">
        <v>26.452000000000002</v>
      </c>
      <c r="Z140" s="261">
        <f>SUM(V140:Y140)</f>
        <v>83.396000000000001</v>
      </c>
      <c r="AA140" s="258">
        <v>26.042999999999999</v>
      </c>
      <c r="AB140" s="258">
        <v>33.100999999999999</v>
      </c>
      <c r="AC140" s="258">
        <v>36.308999999999997</v>
      </c>
      <c r="AD140" s="258">
        <v>35.134</v>
      </c>
      <c r="AE140" s="261">
        <f>SUM(AA140:AD140)</f>
        <v>130.58699999999999</v>
      </c>
      <c r="AF140" s="258">
        <v>34.301000000000002</v>
      </c>
      <c r="AG140" s="258">
        <v>36.914000000000001</v>
      </c>
      <c r="AH140" s="258">
        <v>39.168999999999997</v>
      </c>
      <c r="AI140" s="258">
        <v>36.914000000000001</v>
      </c>
      <c r="AJ140" s="261">
        <f>SUM(AF140:AI140)</f>
        <v>147.298</v>
      </c>
      <c r="AK140" s="258">
        <v>37.786999999999999</v>
      </c>
      <c r="AL140" s="258">
        <v>46.073999999999998</v>
      </c>
      <c r="AM140" s="258">
        <v>61.064</v>
      </c>
      <c r="AN140" s="258">
        <v>92.84</v>
      </c>
      <c r="AO140" s="261">
        <f>SUM(AK140:AN140)</f>
        <v>237.76499999999999</v>
      </c>
      <c r="AP140" s="258">
        <v>97.739000000000004</v>
      </c>
      <c r="AQ140" s="258">
        <v>117.751</v>
      </c>
      <c r="AR140" s="258">
        <v>159.14699999999999</v>
      </c>
      <c r="AS140" s="258">
        <v>204.15899999999999</v>
      </c>
      <c r="AT140" s="261">
        <f>SUM(AP140:AS140)</f>
        <v>578.79600000000005</v>
      </c>
      <c r="AU140" s="258">
        <v>224.006</v>
      </c>
      <c r="AV140" s="258">
        <v>459.13900000000001</v>
      </c>
      <c r="AW140" s="258">
        <v>487.36500000000001</v>
      </c>
      <c r="AX140" s="258">
        <v>531.29999999999995</v>
      </c>
      <c r="AY140" s="542">
        <f>SUM(AU140:AX140)</f>
        <v>1701.81</v>
      </c>
      <c r="AZ140" s="542">
        <v>440.8</v>
      </c>
      <c r="BA140" s="258">
        <v>707.3</v>
      </c>
      <c r="BB140" s="258">
        <v>1237.3</v>
      </c>
      <c r="BC140" s="258">
        <v>1786</v>
      </c>
      <c r="BD140" s="1942">
        <f>SUM(AZ140:BC140)</f>
        <v>4171.3999999999996</v>
      </c>
      <c r="BE140" s="542">
        <v>1945.1</v>
      </c>
      <c r="BF140" s="258">
        <v>1973.3</v>
      </c>
      <c r="BG140" s="258">
        <v>2008.4</v>
      </c>
      <c r="BH140" s="258">
        <v>1959.2</v>
      </c>
      <c r="BI140" s="1942">
        <f>SUM(BE140:BH140)</f>
        <v>7885.9999999999991</v>
      </c>
      <c r="BJ140" s="542">
        <v>1887.3</v>
      </c>
      <c r="BK140" s="258">
        <v>1969.6</v>
      </c>
      <c r="BL140" s="258">
        <v>2042.7</v>
      </c>
      <c r="BM140" s="258">
        <v>2229.1999999999998</v>
      </c>
      <c r="BN140" s="1942">
        <f>SUM(BJ140:BM140)</f>
        <v>8128.7999999999993</v>
      </c>
      <c r="BO140" s="542">
        <f>+BO142*BO45</f>
        <v>2175.2662322376732</v>
      </c>
      <c r="BP140" s="258">
        <f t="shared" ref="BP140:BR140" si="556">+BP142*BP45</f>
        <v>2220.1877224320474</v>
      </c>
      <c r="BQ140" s="258">
        <f>+BQ142*BQ45</f>
        <v>2229.2971930649524</v>
      </c>
      <c r="BR140" s="2191">
        <f t="shared" si="556"/>
        <v>2310.2638850607432</v>
      </c>
      <c r="BS140" s="1942">
        <f>SUM(BO140:BR140)</f>
        <v>8935.0150327954161</v>
      </c>
      <c r="BT140" s="258"/>
      <c r="BU140" s="258"/>
      <c r="BV140" s="258"/>
      <c r="BW140" s="258"/>
      <c r="BX140" s="505">
        <f>+BX142*BX45</f>
        <v>9546.8100814190148</v>
      </c>
      <c r="BY140" s="505"/>
      <c r="BZ140" s="258"/>
      <c r="CA140" s="258"/>
      <c r="CB140" s="258"/>
      <c r="CC140" s="506">
        <f>+CC142*CC45</f>
        <v>10209.079928256779</v>
      </c>
      <c r="CE140" s="263"/>
      <c r="CF140" s="264"/>
      <c r="CG140" s="264"/>
      <c r="CH140" s="264"/>
      <c r="CI140" s="265"/>
      <c r="CK140" s="2072"/>
      <c r="CL140" s="258">
        <f>BM140</f>
        <v>2229.1999999999998</v>
      </c>
      <c r="CM140" s="258">
        <f>BH140</f>
        <v>1959.2</v>
      </c>
      <c r="CN140" s="258">
        <v>2102.6202471056026</v>
      </c>
      <c r="CO140" s="2091">
        <f>IFERROR(($CL140/CM140)-1,"")</f>
        <v>0.13781135157207003</v>
      </c>
      <c r="CP140" s="2091">
        <f>IFERROR(($CL140/CN140)-1,"")</f>
        <v>6.0200957861336502E-2</v>
      </c>
      <c r="CQ140" s="452"/>
      <c r="CR140" s="453"/>
      <c r="CS140" s="258"/>
      <c r="CT140" s="258"/>
      <c r="CU140" s="258"/>
      <c r="CV140" s="258"/>
      <c r="CW140" s="258"/>
      <c r="CX140" s="258"/>
      <c r="CY140" s="263"/>
      <c r="CZ140"/>
      <c r="DA140"/>
      <c r="DB140"/>
      <c r="DC140"/>
      <c r="DD140"/>
      <c r="DE140"/>
      <c r="DF140" s="266"/>
      <c r="DG140" s="266"/>
      <c r="DH140" s="266"/>
      <c r="DI140" s="266"/>
      <c r="DJ140" s="266"/>
    </row>
    <row r="141" spans="1:114" s="1" customFormat="1" ht="12.75" customHeight="1">
      <c r="A141" s="58" t="s">
        <v>85</v>
      </c>
      <c r="B141" s="368"/>
      <c r="C141" s="18"/>
      <c r="D141" s="18"/>
      <c r="E141" s="18"/>
      <c r="F141" s="60" t="str">
        <f>IF(ISERROR((F140-#REF!)/#REF!),"",(F140-#REF!)/#REF!)</f>
        <v/>
      </c>
      <c r="G141" s="18" t="str">
        <f t="shared" ref="G141:U141" si="557">IF(ISERROR((G140-B140)/B140),"",(G140-B140)/B140)</f>
        <v/>
      </c>
      <c r="H141" s="18" t="str">
        <f t="shared" si="557"/>
        <v/>
      </c>
      <c r="I141" s="18" t="str">
        <f t="shared" si="557"/>
        <v/>
      </c>
      <c r="J141" s="18" t="str">
        <f t="shared" si="557"/>
        <v/>
      </c>
      <c r="K141" s="60">
        <f t="shared" si="557"/>
        <v>1.7632568391028149E-2</v>
      </c>
      <c r="L141" s="18">
        <f t="shared" si="557"/>
        <v>0.188525739935475</v>
      </c>
      <c r="M141" s="18">
        <f t="shared" si="557"/>
        <v>0.25081748819183719</v>
      </c>
      <c r="N141" s="18">
        <f t="shared" si="557"/>
        <v>0.28794503435352897</v>
      </c>
      <c r="O141" s="18">
        <f t="shared" si="557"/>
        <v>0.22585883822610864</v>
      </c>
      <c r="P141" s="60">
        <f t="shared" si="557"/>
        <v>0.23977576761370892</v>
      </c>
      <c r="Q141" s="18">
        <f t="shared" si="557"/>
        <v>1.3139383925410126</v>
      </c>
      <c r="R141" s="18">
        <f t="shared" si="557"/>
        <v>1.413342370255616</v>
      </c>
      <c r="S141" s="18">
        <f t="shared" si="557"/>
        <v>1.5377303588748787</v>
      </c>
      <c r="T141" s="18">
        <f t="shared" si="557"/>
        <v>1.1331906654437989</v>
      </c>
      <c r="U141" s="60">
        <f t="shared" si="557"/>
        <v>1.3540232247456583</v>
      </c>
      <c r="V141" s="18">
        <f t="shared" ref="V141:AS141" si="558">(V140-Q140)/Q140</f>
        <v>-0.1402631847393655</v>
      </c>
      <c r="W141" s="18">
        <f t="shared" si="558"/>
        <v>-0.2535205616850551</v>
      </c>
      <c r="X141" s="18">
        <f t="shared" si="558"/>
        <v>-0.17894817306222296</v>
      </c>
      <c r="Y141" s="18">
        <f t="shared" si="558"/>
        <v>0.26365069507476241</v>
      </c>
      <c r="Z141" s="60">
        <f t="shared" si="558"/>
        <v>-8.9841533155804038E-2</v>
      </c>
      <c r="AA141" s="18">
        <f t="shared" si="558"/>
        <v>0.54502847650688158</v>
      </c>
      <c r="AB141" s="18">
        <f t="shared" si="558"/>
        <v>0.77904976889175515</v>
      </c>
      <c r="AC141" s="18">
        <f t="shared" si="558"/>
        <v>0.6902057536542221</v>
      </c>
      <c r="AD141" s="18">
        <f t="shared" si="558"/>
        <v>0.32821714804173591</v>
      </c>
      <c r="AE141" s="60">
        <f t="shared" si="558"/>
        <v>0.56586646841575117</v>
      </c>
      <c r="AF141" s="18">
        <f t="shared" si="558"/>
        <v>0.31709096494259503</v>
      </c>
      <c r="AG141" s="18">
        <f t="shared" si="558"/>
        <v>0.11519289447448725</v>
      </c>
      <c r="AH141" s="18">
        <f t="shared" si="558"/>
        <v>7.8768349445041158E-2</v>
      </c>
      <c r="AI141" s="18">
        <f t="shared" si="558"/>
        <v>5.0663175271816505E-2</v>
      </c>
      <c r="AJ141" s="60">
        <f t="shared" si="558"/>
        <v>0.12796832762832452</v>
      </c>
      <c r="AK141" s="18">
        <f t="shared" si="558"/>
        <v>0.10162969009649855</v>
      </c>
      <c r="AL141" s="18">
        <f t="shared" si="558"/>
        <v>0.24814433548247267</v>
      </c>
      <c r="AM141" s="18">
        <f t="shared" si="558"/>
        <v>0.5589879751844572</v>
      </c>
      <c r="AN141" s="18">
        <f t="shared" si="558"/>
        <v>1.515034946090914</v>
      </c>
      <c r="AO141" s="60">
        <f t="shared" si="558"/>
        <v>0.61417670301022409</v>
      </c>
      <c r="AP141" s="18">
        <f>(AP140-AK140)/AK140</f>
        <v>1.5865773943419696</v>
      </c>
      <c r="AQ141" s="18">
        <f t="shared" si="558"/>
        <v>1.5556930155836266</v>
      </c>
      <c r="AR141" s="18">
        <f t="shared" si="558"/>
        <v>1.6062328049259793</v>
      </c>
      <c r="AS141" s="18">
        <f t="shared" si="558"/>
        <v>1.1990413614821196</v>
      </c>
      <c r="AT141" s="60">
        <f t="shared" ref="AT141:BB141" si="559">(AT140-AO140)/AO140</f>
        <v>1.4343196012869854</v>
      </c>
      <c r="AU141" s="18">
        <f t="shared" si="559"/>
        <v>1.2918793930774817</v>
      </c>
      <c r="AV141" s="18">
        <f t="shared" si="559"/>
        <v>2.8992365245305773</v>
      </c>
      <c r="AW141" s="18">
        <f t="shared" si="559"/>
        <v>2.0623574431186262</v>
      </c>
      <c r="AX141" s="18">
        <f t="shared" si="559"/>
        <v>1.6023834364392457</v>
      </c>
      <c r="AY141" s="368">
        <f t="shared" si="559"/>
        <v>1.9402587440134345</v>
      </c>
      <c r="AZ141" s="368">
        <f t="shared" si="559"/>
        <v>0.96780443380980874</v>
      </c>
      <c r="BA141" s="18">
        <f t="shared" si="559"/>
        <v>0.54049209498648543</v>
      </c>
      <c r="BB141" s="18">
        <f t="shared" si="559"/>
        <v>1.5387543217096016</v>
      </c>
      <c r="BC141" s="18">
        <f t="shared" ref="BC141" si="560">(BC140-AX140)/AX140</f>
        <v>2.3615659702616227</v>
      </c>
      <c r="BD141" s="1936">
        <f t="shared" ref="BD141:BL141" si="561">(BD140-AY140)/AY140</f>
        <v>1.4511549467919449</v>
      </c>
      <c r="BE141" s="368">
        <f t="shared" si="561"/>
        <v>3.4126588021778583</v>
      </c>
      <c r="BF141" s="18">
        <f t="shared" si="561"/>
        <v>1.7899052735755692</v>
      </c>
      <c r="BG141" s="18">
        <f t="shared" si="561"/>
        <v>0.62321183221530763</v>
      </c>
      <c r="BH141" s="18">
        <f t="shared" si="561"/>
        <v>9.6976483762598015E-2</v>
      </c>
      <c r="BI141" s="1936">
        <f t="shared" ref="BI141" si="562">(BI140-BD140)/BD140</f>
        <v>0.89049240063288104</v>
      </c>
      <c r="BJ141" s="368">
        <f t="shared" si="561"/>
        <v>-2.9715695851113031E-2</v>
      </c>
      <c r="BK141" s="18">
        <f t="shared" si="561"/>
        <v>-1.8750316728323344E-3</v>
      </c>
      <c r="BL141" s="18">
        <f t="shared" si="561"/>
        <v>1.7078271260705016E-2</v>
      </c>
      <c r="BM141" s="18">
        <f t="shared" ref="BM141" si="563">(BM140-BH140)/BH140</f>
        <v>0.13781135157207011</v>
      </c>
      <c r="BN141" s="1936">
        <f t="shared" ref="BN141" si="564">(BN140-BI140)/BI140</f>
        <v>3.0788739538422549E-2</v>
      </c>
      <c r="BO141" s="439">
        <f t="shared" ref="BO141" si="565">(BO140-BJ140)/BJ140</f>
        <v>0.15258105878115469</v>
      </c>
      <c r="BP141" s="18">
        <f t="shared" ref="BP141" si="566">(BP140-BK140)/BK140</f>
        <v>0.12722772259953671</v>
      </c>
      <c r="BQ141" s="18">
        <f t="shared" ref="BQ141:BS141" si="567">(BQ140-BL140)/BL140</f>
        <v>9.1348310111593625E-2</v>
      </c>
      <c r="BR141" s="2162">
        <f t="shared" si="567"/>
        <v>3.6364563547794437E-2</v>
      </c>
      <c r="BS141" s="1936">
        <f t="shared" si="567"/>
        <v>9.9180079814415026E-2</v>
      </c>
      <c r="BT141" s="18"/>
      <c r="BU141" s="18"/>
      <c r="BV141" s="18"/>
      <c r="BW141" s="18"/>
      <c r="BX141" s="60">
        <f>(BX140-BS140)/BS140</f>
        <v>6.8471630587978088E-2</v>
      </c>
      <c r="BY141" s="18"/>
      <c r="BZ141" s="18"/>
      <c r="CA141" s="18"/>
      <c r="CB141" s="18"/>
      <c r="CC141" s="60">
        <f>(CC140-BX140)/BX140</f>
        <v>6.9370799375881767E-2</v>
      </c>
      <c r="CD141" s="191"/>
      <c r="CE141" s="111"/>
      <c r="CF141" s="173"/>
      <c r="CG141" s="173"/>
      <c r="CH141" s="173"/>
      <c r="CI141" s="239"/>
      <c r="CJ141" s="177"/>
      <c r="CK141" s="2070"/>
      <c r="CL141" s="18">
        <f>BM141</f>
        <v>0.13781135157207011</v>
      </c>
      <c r="CM141" s="18">
        <f>BH141</f>
        <v>9.6976483762598015E-2</v>
      </c>
      <c r="CN141" s="18">
        <v>7.3203474431197721E-2</v>
      </c>
      <c r="CO141" s="2107">
        <f>IFERROR(($CL141-CM141)*10000,"")</f>
        <v>408.34867809472098</v>
      </c>
      <c r="CP141" s="2107">
        <f>IFERROR(($CL141-CN141)*10000,"")</f>
        <v>646.07877140872392</v>
      </c>
      <c r="CQ141" s="44"/>
      <c r="CR141" s="40"/>
      <c r="CS141" s="40"/>
      <c r="CT141" s="40"/>
      <c r="CU141" s="40"/>
      <c r="CV141" s="40"/>
      <c r="CW141" s="40"/>
      <c r="CX141" s="40"/>
      <c r="CY141" s="139"/>
      <c r="CZ141"/>
      <c r="DA141"/>
      <c r="DB141"/>
      <c r="DC141"/>
      <c r="DD141"/>
      <c r="DE141"/>
      <c r="DF141" s="3"/>
      <c r="DG141" s="3"/>
      <c r="DH141" s="3"/>
      <c r="DI141" s="3"/>
      <c r="DJ141" s="3"/>
    </row>
    <row r="142" spans="1:114" s="1" customFormat="1" ht="12.75" customHeight="1">
      <c r="A142" s="58" t="s">
        <v>71</v>
      </c>
      <c r="B142" s="368"/>
      <c r="C142" s="18"/>
      <c r="D142" s="18"/>
      <c r="E142" s="18"/>
      <c r="F142" s="60"/>
      <c r="G142" s="18">
        <f t="shared" ref="G142:AO142" si="568">G140/G$45</f>
        <v>0.74610151753008891</v>
      </c>
      <c r="H142" s="18">
        <f t="shared" si="568"/>
        <v>0.74253597122302151</v>
      </c>
      <c r="I142" s="18">
        <f t="shared" si="568"/>
        <v>0.73772002580407348</v>
      </c>
      <c r="J142" s="18">
        <f t="shared" si="568"/>
        <v>0.75058602906704208</v>
      </c>
      <c r="K142" s="60">
        <f t="shared" si="568"/>
        <v>0.74413974544334105</v>
      </c>
      <c r="L142" s="18">
        <f t="shared" si="568"/>
        <v>0.73723135821804586</v>
      </c>
      <c r="M142" s="18">
        <f t="shared" si="568"/>
        <v>0.74613495159659016</v>
      </c>
      <c r="N142" s="18">
        <f t="shared" si="568"/>
        <v>0.77176435361928297</v>
      </c>
      <c r="O142" s="18">
        <f t="shared" si="568"/>
        <v>0.76598235891031152</v>
      </c>
      <c r="P142" s="60">
        <f t="shared" si="568"/>
        <v>0.75573245315988746</v>
      </c>
      <c r="Q142" s="18">
        <f t="shared" si="568"/>
        <v>0.82669927475122285</v>
      </c>
      <c r="R142" s="18">
        <f t="shared" si="568"/>
        <v>0.83993260320134799</v>
      </c>
      <c r="S142" s="18">
        <f t="shared" si="568"/>
        <v>0.84082655783012517</v>
      </c>
      <c r="T142" s="18">
        <f t="shared" si="568"/>
        <v>0.83886350885629557</v>
      </c>
      <c r="U142" s="60">
        <f t="shared" si="568"/>
        <v>0.83707588021413837</v>
      </c>
      <c r="V142" s="18">
        <f t="shared" si="568"/>
        <v>0.83977680350737338</v>
      </c>
      <c r="W142" s="18">
        <f t="shared" si="568"/>
        <v>0.83648788382862049</v>
      </c>
      <c r="X142" s="18">
        <f t="shared" si="568"/>
        <v>0.81957956583113967</v>
      </c>
      <c r="Y142" s="18">
        <f t="shared" si="568"/>
        <v>0.83682378993989248</v>
      </c>
      <c r="Z142" s="60">
        <f t="shared" si="568"/>
        <v>0.83282735479747549</v>
      </c>
      <c r="AA142" s="18">
        <f t="shared" si="568"/>
        <v>0.82305164022501742</v>
      </c>
      <c r="AB142" s="18">
        <f t="shared" si="568"/>
        <v>0.82055032226078328</v>
      </c>
      <c r="AC142" s="18">
        <f t="shared" si="568"/>
        <v>0.8168871490280778</v>
      </c>
      <c r="AD142" s="18">
        <f t="shared" si="568"/>
        <v>0.84544120124166799</v>
      </c>
      <c r="AE142" s="60">
        <f t="shared" si="568"/>
        <v>0.82656800876021441</v>
      </c>
      <c r="AF142" s="18">
        <f t="shared" si="568"/>
        <v>0.82637082008287555</v>
      </c>
      <c r="AG142" s="18">
        <f t="shared" si="568"/>
        <v>0.83716605433845892</v>
      </c>
      <c r="AH142" s="18">
        <f t="shared" si="568"/>
        <v>0.82654202452045811</v>
      </c>
      <c r="AI142" s="18">
        <f t="shared" si="568"/>
        <v>0.83733696268572089</v>
      </c>
      <c r="AJ142" s="60">
        <f t="shared" si="568"/>
        <v>0.83183491834014767</v>
      </c>
      <c r="AK142" s="18">
        <f t="shared" si="568"/>
        <v>0.84800269299820463</v>
      </c>
      <c r="AL142" s="18">
        <f t="shared" si="568"/>
        <v>0.8447744774477447</v>
      </c>
      <c r="AM142" s="18">
        <f>AM140/AM$45</f>
        <v>0.86020172423508201</v>
      </c>
      <c r="AN142" s="18">
        <f>AN140/AN$45</f>
        <v>0.85564454439047788</v>
      </c>
      <c r="AO142" s="60">
        <f t="shared" si="568"/>
        <v>0.85345542390098728</v>
      </c>
      <c r="AP142" s="191">
        <f>AP140/AP$45</f>
        <v>0.8573671698874552</v>
      </c>
      <c r="AQ142" s="191">
        <f>AQ140/AQ$45</f>
        <v>0.85892582299348608</v>
      </c>
      <c r="AR142" s="18">
        <f>AR140/AR$45</f>
        <v>0.82042148240558388</v>
      </c>
      <c r="AS142" s="18">
        <f>AS140/AS$45</f>
        <v>0.79367961093336337</v>
      </c>
      <c r="AT142" s="60">
        <f>AT140/AT$45</f>
        <v>0.82414000794528852</v>
      </c>
      <c r="AU142" s="191">
        <f t="shared" ref="AU142:AZ142" si="569">AU140/AU$45</f>
        <v>0.79321395310956322</v>
      </c>
      <c r="AV142" s="191">
        <f t="shared" si="569"/>
        <v>0.7902442130844789</v>
      </c>
      <c r="AW142" s="18">
        <f t="shared" si="569"/>
        <v>0.73567859676664604</v>
      </c>
      <c r="AX142" s="18">
        <f t="shared" si="569"/>
        <v>0.63958107620079441</v>
      </c>
      <c r="AY142" s="368">
        <f t="shared" si="569"/>
        <v>0.72215182836837422</v>
      </c>
      <c r="AZ142" s="439">
        <f t="shared" si="569"/>
        <v>0.62702702702702706</v>
      </c>
      <c r="BA142" s="191">
        <f t="shared" ref="BA142:BE142" si="570">BA140/BA$45</f>
        <v>0.58170902212352982</v>
      </c>
      <c r="BB142" s="191">
        <f t="shared" si="570"/>
        <v>0.52381355573430421</v>
      </c>
      <c r="BC142" s="18">
        <f t="shared" si="570"/>
        <v>0.53436256470095445</v>
      </c>
      <c r="BD142" s="1936">
        <f t="shared" si="570"/>
        <v>0.54719084910734195</v>
      </c>
      <c r="BE142" s="439">
        <f t="shared" si="570"/>
        <v>0.54857997010463377</v>
      </c>
      <c r="BF142" s="191">
        <f t="shared" ref="BF142:BJ142" si="571">BF140/BF$45</f>
        <v>0.53574240490864167</v>
      </c>
      <c r="BG142" s="191">
        <f t="shared" si="571"/>
        <v>0.54079379611179923</v>
      </c>
      <c r="BH142" s="18">
        <f t="shared" si="571"/>
        <v>0.53288364249578413</v>
      </c>
      <c r="BI142" s="1936">
        <f t="shared" si="571"/>
        <v>0.53942022244414956</v>
      </c>
      <c r="BJ142" s="439">
        <f t="shared" si="571"/>
        <v>0.5332109054951264</v>
      </c>
      <c r="BK142" s="191">
        <f t="shared" ref="BK142:BN142" si="572">BK140/BK$45</f>
        <v>0.52378799563864575</v>
      </c>
      <c r="BL142" s="191">
        <f t="shared" si="572"/>
        <v>0.52550744771166169</v>
      </c>
      <c r="BM142" s="18">
        <f t="shared" si="572"/>
        <v>0.53153389446577171</v>
      </c>
      <c r="BN142" s="1936">
        <f t="shared" si="572"/>
        <v>0.52850306876105269</v>
      </c>
      <c r="BO142" s="2339">
        <v>0.55500000000000005</v>
      </c>
      <c r="BP142" s="653">
        <v>0.53300000000000003</v>
      </c>
      <c r="BQ142" s="653">
        <v>0.53</v>
      </c>
      <c r="BR142" s="2161">
        <v>0.53</v>
      </c>
      <c r="BS142" s="1936">
        <f t="shared" ref="BS142" si="573">BS140/BS$45</f>
        <v>0.53663549006915712</v>
      </c>
      <c r="BT142" s="653"/>
      <c r="BU142" s="653"/>
      <c r="BV142" s="653"/>
      <c r="BW142" s="653"/>
      <c r="BX142" s="474">
        <f>+BS142</f>
        <v>0.53663549006915712</v>
      </c>
      <c r="BY142" s="653"/>
      <c r="BZ142" s="653"/>
      <c r="CA142" s="653"/>
      <c r="CB142" s="653"/>
      <c r="CC142" s="474">
        <f>+BX142</f>
        <v>0.53663549006915712</v>
      </c>
      <c r="CD142" s="191"/>
      <c r="CE142" s="111"/>
      <c r="CF142" s="173"/>
      <c r="CG142" s="173"/>
      <c r="CH142" s="173"/>
      <c r="CI142" s="239"/>
      <c r="CJ142" s="177"/>
      <c r="CK142" s="2070"/>
      <c r="CL142" s="191">
        <f>BM142</f>
        <v>0.53153389446577171</v>
      </c>
      <c r="CM142" s="191">
        <f>BH142</f>
        <v>0.53288364249578413</v>
      </c>
      <c r="CN142" s="2173">
        <v>0.53500000000000003</v>
      </c>
      <c r="CO142" s="2110">
        <f>IFERROR(($CL142-CM142)*10000,"")</f>
        <v>-13.497480300124209</v>
      </c>
      <c r="CP142" s="2110">
        <f>IFERROR(($CL142-CN142)*10000,"")</f>
        <v>-34.661055342283255</v>
      </c>
      <c r="CQ142" s="44"/>
      <c r="CR142" s="40"/>
      <c r="CS142" s="40"/>
      <c r="CT142" s="40"/>
      <c r="CU142" s="40"/>
      <c r="CV142" s="40"/>
      <c r="CW142" s="40"/>
      <c r="CX142" s="40"/>
      <c r="CY142" s="139"/>
      <c r="CZ142"/>
      <c r="DA142"/>
      <c r="DB142"/>
      <c r="DC142"/>
      <c r="DD142"/>
      <c r="DE142"/>
      <c r="DF142" s="3"/>
      <c r="DG142" s="3"/>
      <c r="DH142" s="3"/>
      <c r="DI142" s="3"/>
      <c r="DJ142" s="3"/>
    </row>
    <row r="143" spans="1:114" s="1" customFormat="1" ht="12.75" hidden="1" customHeight="1" outlineLevel="1">
      <c r="A143" s="152" t="s">
        <v>153</v>
      </c>
      <c r="B143" s="552"/>
      <c r="C143" s="56"/>
      <c r="D143" s="56"/>
      <c r="E143" s="56"/>
      <c r="F143" s="64"/>
      <c r="G143" s="56"/>
      <c r="H143" s="56"/>
      <c r="I143" s="56"/>
      <c r="J143" s="56"/>
      <c r="K143" s="64"/>
      <c r="L143" s="56"/>
      <c r="M143" s="56"/>
      <c r="N143" s="56"/>
      <c r="O143" s="56"/>
      <c r="P143" s="64"/>
      <c r="Q143" s="56"/>
      <c r="R143" s="56"/>
      <c r="S143" s="56"/>
      <c r="T143" s="56"/>
      <c r="U143" s="64"/>
      <c r="V143" s="56"/>
      <c r="W143" s="56"/>
      <c r="X143" s="56"/>
      <c r="Y143" s="56"/>
      <c r="Z143" s="64"/>
      <c r="AA143" s="56"/>
      <c r="AB143" s="56"/>
      <c r="AC143" s="56"/>
      <c r="AD143" s="56"/>
      <c r="AE143" s="64"/>
      <c r="AF143" s="56"/>
      <c r="AG143" s="56"/>
      <c r="AH143" s="56"/>
      <c r="AI143" s="56"/>
      <c r="AJ143" s="64"/>
      <c r="AK143" s="56"/>
      <c r="AL143" s="56"/>
      <c r="AM143" s="56"/>
      <c r="AN143" s="56"/>
      <c r="AO143" s="64"/>
      <c r="AP143" s="428"/>
      <c r="AQ143" s="428"/>
      <c r="AR143" s="56"/>
      <c r="AS143" s="56"/>
      <c r="AT143" s="64"/>
      <c r="AU143" s="428"/>
      <c r="AV143" s="428"/>
      <c r="AW143" s="56"/>
      <c r="AX143" s="56"/>
      <c r="AY143" s="552"/>
      <c r="AZ143" s="609"/>
      <c r="BA143" s="428"/>
      <c r="BB143" s="428"/>
      <c r="BC143" s="56"/>
      <c r="BD143" s="64"/>
      <c r="BE143" s="609"/>
      <c r="BF143" s="428"/>
      <c r="BG143" s="428"/>
      <c r="BH143" s="56"/>
      <c r="BI143" s="64"/>
      <c r="BJ143" s="609"/>
      <c r="BK143" s="428"/>
      <c r="BL143" s="428"/>
      <c r="BM143" s="56"/>
      <c r="BN143" s="64"/>
      <c r="BO143" s="609"/>
      <c r="BP143" s="428"/>
      <c r="BQ143" s="428"/>
      <c r="BR143" s="56"/>
      <c r="BS143" s="64"/>
      <c r="BT143" s="55"/>
      <c r="BU143" s="55"/>
      <c r="BV143" s="55"/>
      <c r="BW143" s="55"/>
      <c r="BX143" s="64"/>
      <c r="BY143" s="55"/>
      <c r="BZ143" s="55"/>
      <c r="CA143" s="55"/>
      <c r="CB143" s="55"/>
      <c r="CC143" s="64"/>
      <c r="CD143" s="194"/>
      <c r="CE143" s="114"/>
      <c r="CF143" s="173"/>
      <c r="CG143" s="173"/>
      <c r="CH143" s="173"/>
      <c r="CI143" s="239"/>
      <c r="CJ143" s="177"/>
      <c r="CK143" s="2070"/>
      <c r="CL143" s="428"/>
      <c r="CM143" s="428"/>
      <c r="CN143" s="56"/>
      <c r="CO143" s="428"/>
      <c r="CP143" s="428"/>
      <c r="CQ143" s="44"/>
      <c r="CR143" s="40"/>
      <c r="CS143" s="40"/>
      <c r="CT143" s="40"/>
      <c r="CU143" s="40"/>
      <c r="CV143" s="40"/>
      <c r="CW143" s="40"/>
      <c r="CX143" s="40"/>
      <c r="CY143" s="139"/>
      <c r="CZ143"/>
      <c r="DA143"/>
      <c r="DB143"/>
      <c r="DC143"/>
      <c r="DD143"/>
      <c r="DE143"/>
      <c r="DF143" s="3"/>
      <c r="DG143" s="3"/>
      <c r="DH143" s="3"/>
      <c r="DI143" s="3"/>
      <c r="DJ143" s="3"/>
    </row>
    <row r="144" spans="1:114" s="277" customFormat="1" ht="12.75" hidden="1" customHeight="1" outlineLevel="1">
      <c r="A144" s="380" t="s">
        <v>160</v>
      </c>
      <c r="B144" s="370"/>
      <c r="C144" s="4"/>
      <c r="D144" s="278"/>
      <c r="E144" s="278"/>
      <c r="F144" s="271">
        <v>30.852</v>
      </c>
      <c r="G144" s="4">
        <f>6.138+0.991</f>
        <v>7.1289999999999996</v>
      </c>
      <c r="H144" s="4">
        <f>7.268+0.989</f>
        <v>8.2569999999999997</v>
      </c>
      <c r="I144" s="278">
        <f>7.021+0.984</f>
        <v>8.004999999999999</v>
      </c>
      <c r="J144" s="278">
        <f>(27.438+3.958)-G144-H144-I144</f>
        <v>8.0050000000000061</v>
      </c>
      <c r="K144" s="271">
        <f>SUM(G144:J144)</f>
        <v>31.396000000000004</v>
      </c>
      <c r="L144" s="4">
        <f>7.55+0.923</f>
        <v>8.472999999999999</v>
      </c>
      <c r="M144" s="4">
        <f>9.29+1.038</f>
        <v>10.327999999999999</v>
      </c>
      <c r="N144" s="278">
        <f>9.298+1.012</f>
        <v>10.31</v>
      </c>
      <c r="O144" s="278">
        <v>9.8130000000000006</v>
      </c>
      <c r="P144" s="271">
        <f>SUM(L144:O144)</f>
        <v>38.923999999999999</v>
      </c>
      <c r="Q144" s="4">
        <v>10.055</v>
      </c>
      <c r="R144" s="4">
        <v>11.25</v>
      </c>
      <c r="S144" s="278">
        <v>10.84</v>
      </c>
      <c r="T144" s="278">
        <v>8.2629999999999999</v>
      </c>
      <c r="U144" s="271">
        <f>SUM(Q144:T144)</f>
        <v>40.407999999999994</v>
      </c>
      <c r="V144" s="4">
        <v>6.8760000000000003</v>
      </c>
      <c r="W144" s="4">
        <v>7.7930000000000001</v>
      </c>
      <c r="X144" s="278">
        <v>11.43</v>
      </c>
      <c r="Y144" s="278">
        <v>13.775</v>
      </c>
      <c r="Z144" s="271">
        <f>SUM(V144:Y144)</f>
        <v>39.874000000000002</v>
      </c>
      <c r="AA144" s="4">
        <v>12.542</v>
      </c>
      <c r="AB144" s="4">
        <v>15.72</v>
      </c>
      <c r="AC144" s="278">
        <v>16.096</v>
      </c>
      <c r="AD144" s="278">
        <v>14.868</v>
      </c>
      <c r="AE144" s="271">
        <f>SUM(AA144:AD144)</f>
        <v>59.226000000000006</v>
      </c>
      <c r="AF144" s="4">
        <v>16.189</v>
      </c>
      <c r="AG144" s="4">
        <v>18.573</v>
      </c>
      <c r="AH144" s="4">
        <v>18.411000000000001</v>
      </c>
      <c r="AI144" s="4">
        <v>16.091999999999999</v>
      </c>
      <c r="AJ144" s="271">
        <f>SUM(AF144:AI144)</f>
        <v>69.265000000000001</v>
      </c>
      <c r="AK144" s="4">
        <v>18.260999999999999</v>
      </c>
      <c r="AL144" s="4">
        <v>20.596</v>
      </c>
      <c r="AM144" s="4">
        <v>19.811</v>
      </c>
      <c r="AN144" s="4">
        <v>18.446000000000002</v>
      </c>
      <c r="AO144" s="271">
        <f>SUM(AK144:AN144)</f>
        <v>77.114000000000004</v>
      </c>
      <c r="AP144" s="250">
        <v>20.067</v>
      </c>
      <c r="AQ144" s="250">
        <v>22.234999999999999</v>
      </c>
      <c r="AR144" s="4">
        <v>20.562999999999999</v>
      </c>
      <c r="AS144" s="4">
        <v>21.777999999999999</v>
      </c>
      <c r="AT144" s="271">
        <f>SUM(AP144:AS144)</f>
        <v>84.643000000000001</v>
      </c>
      <c r="AU144" s="250">
        <v>22.442</v>
      </c>
      <c r="AV144" s="250">
        <v>25.067</v>
      </c>
      <c r="AW144" s="4">
        <v>25.478999999999999</v>
      </c>
      <c r="AX144" s="4">
        <v>30.2</v>
      </c>
      <c r="AY144" s="370">
        <f t="shared" ref="AY144:AY153" si="574">SUM(AU144:AX144)</f>
        <v>103.188</v>
      </c>
      <c r="AZ144" s="441">
        <f>+AZ12-AZ61</f>
        <v>25.000000000000004</v>
      </c>
      <c r="BA144" s="250">
        <f>+BA12-BA61</f>
        <v>28.299999999999997</v>
      </c>
      <c r="BB144" s="250">
        <f>+BB12-BB61</f>
        <v>21.799999999999997</v>
      </c>
      <c r="BC144" s="4">
        <f>+BC12-BC61</f>
        <v>28.900000000000002</v>
      </c>
      <c r="BD144" s="1956">
        <f t="shared" ref="BD144:BD145" si="575">SUM(AZ144:BC144)</f>
        <v>104</v>
      </c>
      <c r="BE144" s="441"/>
      <c r="BF144" s="250"/>
      <c r="BG144" s="250"/>
      <c r="BH144" s="4"/>
      <c r="BI144" s="1956">
        <f t="shared" ref="BI144:BI145" si="576">SUM(BE144:BH144)</f>
        <v>0</v>
      </c>
      <c r="BJ144" s="441"/>
      <c r="BK144" s="250"/>
      <c r="BL144" s="250"/>
      <c r="BM144" s="4"/>
      <c r="BN144" s="1956">
        <f t="shared" ref="BN144:BN145" si="577">SUM(BJ144:BM144)</f>
        <v>0</v>
      </c>
      <c r="BO144" s="370"/>
      <c r="BP144" s="4"/>
      <c r="BQ144" s="4"/>
      <c r="BR144" s="2194"/>
      <c r="BS144" s="1956"/>
      <c r="BT144" s="4"/>
      <c r="BU144" s="4"/>
      <c r="BV144" s="4"/>
      <c r="BW144" s="4"/>
      <c r="BX144" s="271"/>
      <c r="BY144" s="4"/>
      <c r="BZ144" s="4"/>
      <c r="CA144" s="4"/>
      <c r="CB144" s="4"/>
      <c r="CC144" s="271"/>
      <c r="CD144" s="272"/>
      <c r="CE144" s="273"/>
      <c r="CF144" s="332"/>
      <c r="CG144" s="332"/>
      <c r="CH144" s="332"/>
      <c r="CI144" s="333"/>
      <c r="CK144" s="2076"/>
      <c r="CL144" s="250"/>
      <c r="CM144" s="250"/>
      <c r="CN144" s="2195"/>
      <c r="CO144" s="2092"/>
      <c r="CP144" s="2092"/>
      <c r="CQ144" s="455"/>
      <c r="CR144" s="274"/>
      <c r="CS144" s="274"/>
      <c r="CT144" s="274"/>
      <c r="CU144" s="274"/>
      <c r="CV144" s="274"/>
      <c r="CW144" s="274"/>
      <c r="CX144" s="274"/>
      <c r="CY144" s="275"/>
      <c r="CZ144"/>
      <c r="DA144"/>
      <c r="DB144"/>
      <c r="DC144"/>
      <c r="DD144"/>
      <c r="DE144"/>
      <c r="DF144" s="276"/>
      <c r="DG144" s="276"/>
      <c r="DH144" s="276"/>
      <c r="DI144" s="276"/>
      <c r="DJ144" s="276"/>
    </row>
    <row r="145" spans="1:114" s="250" customFormat="1" ht="12.75" hidden="1" customHeight="1" outlineLevel="1">
      <c r="A145" s="380" t="s">
        <v>158</v>
      </c>
      <c r="B145" s="370"/>
      <c r="C145" s="4"/>
      <c r="D145" s="4"/>
      <c r="E145" s="4"/>
      <c r="F145" s="271">
        <f>SUM(B145:E145)</f>
        <v>0</v>
      </c>
      <c r="G145" s="4">
        <v>0</v>
      </c>
      <c r="H145" s="4">
        <v>0</v>
      </c>
      <c r="I145" s="4">
        <v>0</v>
      </c>
      <c r="J145" s="4">
        <v>0</v>
      </c>
      <c r="K145" s="271">
        <f>SUM(G145:J145)</f>
        <v>0</v>
      </c>
      <c r="L145" s="4">
        <v>0</v>
      </c>
      <c r="M145" s="4">
        <v>0</v>
      </c>
      <c r="N145" s="4">
        <v>0</v>
      </c>
      <c r="O145" s="4">
        <v>0</v>
      </c>
      <c r="P145" s="271">
        <f>SUM(L145:O145)</f>
        <v>0</v>
      </c>
      <c r="Q145" s="4">
        <v>9.484</v>
      </c>
      <c r="R145" s="4">
        <v>13.231999999999999</v>
      </c>
      <c r="S145" s="4">
        <v>13.127000000000001</v>
      </c>
      <c r="T145" s="4">
        <v>10.734999999999999</v>
      </c>
      <c r="U145" s="271">
        <f>SUM(Q145:T145)</f>
        <v>46.578000000000003</v>
      </c>
      <c r="V145" s="4">
        <v>8.7520000000000007</v>
      </c>
      <c r="W145" s="4">
        <v>9.1739999999999995</v>
      </c>
      <c r="X145" s="4">
        <v>8.0259999999999998</v>
      </c>
      <c r="Y145" s="4">
        <v>11.026999999999999</v>
      </c>
      <c r="Z145" s="271">
        <f>SUM(V145:Y145)</f>
        <v>36.978999999999999</v>
      </c>
      <c r="AA145" s="4">
        <v>11.528</v>
      </c>
      <c r="AB145" s="4">
        <v>14.426</v>
      </c>
      <c r="AC145" s="4">
        <v>16.699000000000002</v>
      </c>
      <c r="AD145" s="4">
        <v>15.896000000000001</v>
      </c>
      <c r="AE145" s="271">
        <f>SUM(AA145:AD145)</f>
        <v>58.549000000000007</v>
      </c>
      <c r="AF145" s="4">
        <v>14.013</v>
      </c>
      <c r="AG145" s="4">
        <v>14.051</v>
      </c>
      <c r="AH145" s="4">
        <v>15.064</v>
      </c>
      <c r="AI145" s="4">
        <v>15.231999999999999</v>
      </c>
      <c r="AJ145" s="271">
        <f>SUM(AF145:AI145)</f>
        <v>58.36</v>
      </c>
      <c r="AK145" s="4">
        <v>13.872</v>
      </c>
      <c r="AL145" s="4">
        <v>14.659000000000001</v>
      </c>
      <c r="AM145" s="4">
        <v>15.375</v>
      </c>
      <c r="AN145" s="4">
        <v>15.978</v>
      </c>
      <c r="AO145" s="271">
        <f>SUM(AK145:AN145)</f>
        <v>59.884</v>
      </c>
      <c r="AP145" s="250">
        <v>13.847</v>
      </c>
      <c r="AQ145" s="250">
        <v>16.774999999999999</v>
      </c>
      <c r="AR145" s="4">
        <v>16.481000000000002</v>
      </c>
      <c r="AS145" s="4">
        <v>15.813000000000001</v>
      </c>
      <c r="AT145" s="271">
        <f>SUM(AP145:AS145)</f>
        <v>62.916000000000004</v>
      </c>
      <c r="AU145" s="250">
        <v>16.792999999999999</v>
      </c>
      <c r="AV145" s="250">
        <v>48.58</v>
      </c>
      <c r="AW145" s="4">
        <v>53.423999999999999</v>
      </c>
      <c r="AX145" s="4">
        <v>55.5</v>
      </c>
      <c r="AY145" s="370">
        <f t="shared" si="574"/>
        <v>174.297</v>
      </c>
      <c r="AZ145" s="441">
        <f>+AZ17-AZ51</f>
        <v>40.1</v>
      </c>
      <c r="BA145" s="250">
        <f>+BA17-BA51</f>
        <v>49.4</v>
      </c>
      <c r="BB145" s="250">
        <f>+BB17-BB51</f>
        <v>79.099999999999994</v>
      </c>
      <c r="BC145" s="4">
        <f>+BC17-BC51</f>
        <v>81.5</v>
      </c>
      <c r="BD145" s="1956">
        <f t="shared" si="575"/>
        <v>250.1</v>
      </c>
      <c r="BE145" s="441"/>
      <c r="BH145" s="4"/>
      <c r="BI145" s="1956">
        <f t="shared" si="576"/>
        <v>0</v>
      </c>
      <c r="BJ145" s="441"/>
      <c r="BM145" s="4"/>
      <c r="BN145" s="1956">
        <f t="shared" si="577"/>
        <v>0</v>
      </c>
      <c r="BO145" s="370"/>
      <c r="BP145" s="4"/>
      <c r="BQ145" s="4"/>
      <c r="BR145" s="2194"/>
      <c r="BS145" s="1956"/>
      <c r="BT145" s="4"/>
      <c r="BU145" s="4"/>
      <c r="BV145" s="4"/>
      <c r="BW145" s="4"/>
      <c r="BX145" s="271"/>
      <c r="BY145" s="4"/>
      <c r="BZ145" s="4"/>
      <c r="CA145" s="4"/>
      <c r="CB145" s="4"/>
      <c r="CC145" s="271"/>
      <c r="CE145" s="249"/>
      <c r="CF145" s="246"/>
      <c r="CG145" s="246"/>
      <c r="CH145" s="246"/>
      <c r="CI145" s="247"/>
      <c r="CJ145" s="279"/>
      <c r="CK145" s="2077"/>
      <c r="CN145" s="4"/>
      <c r="CO145" s="2092"/>
      <c r="CP145" s="2092"/>
      <c r="CQ145" s="251"/>
      <c r="CR145" s="248"/>
      <c r="CS145" s="248"/>
      <c r="CT145" s="248"/>
      <c r="CU145" s="248"/>
      <c r="CV145" s="248"/>
      <c r="CW145" s="248"/>
      <c r="CX145" s="248"/>
      <c r="CY145" s="249"/>
      <c r="CZ145"/>
      <c r="DA145"/>
      <c r="DB145"/>
      <c r="DC145"/>
      <c r="DD145"/>
      <c r="DE145"/>
      <c r="DF145" s="4"/>
      <c r="DG145" s="4"/>
      <c r="DH145" s="4"/>
      <c r="DI145" s="4"/>
      <c r="DJ145" s="4"/>
    </row>
    <row r="146" spans="1:114" s="250" customFormat="1" ht="12.75" hidden="1" customHeight="1" outlineLevel="1">
      <c r="A146" s="380" t="s">
        <v>189</v>
      </c>
      <c r="B146" s="370"/>
      <c r="C146" s="4"/>
      <c r="D146" s="4"/>
      <c r="E146" s="4"/>
      <c r="F146" s="271">
        <f t="shared" ref="F146:AK146" si="578">+F14-F66</f>
        <v>0</v>
      </c>
      <c r="G146" s="4">
        <f t="shared" si="578"/>
        <v>0</v>
      </c>
      <c r="H146" s="4">
        <f t="shared" si="578"/>
        <v>0</v>
      </c>
      <c r="I146" s="4">
        <f t="shared" si="578"/>
        <v>0</v>
      </c>
      <c r="J146" s="4">
        <f t="shared" si="578"/>
        <v>0</v>
      </c>
      <c r="K146" s="271">
        <f t="shared" si="578"/>
        <v>0</v>
      </c>
      <c r="L146" s="4">
        <f t="shared" si="578"/>
        <v>0</v>
      </c>
      <c r="M146" s="4">
        <f t="shared" si="578"/>
        <v>0</v>
      </c>
      <c r="N146" s="4">
        <f t="shared" si="578"/>
        <v>0</v>
      </c>
      <c r="O146" s="4">
        <f t="shared" si="578"/>
        <v>0</v>
      </c>
      <c r="P146" s="271">
        <f t="shared" si="578"/>
        <v>0</v>
      </c>
      <c r="Q146" s="4">
        <f t="shared" si="578"/>
        <v>0.183</v>
      </c>
      <c r="R146" s="4">
        <f t="shared" si="578"/>
        <v>1.0449999999999999</v>
      </c>
      <c r="S146" s="4">
        <f t="shared" si="578"/>
        <v>3.0129999999999999</v>
      </c>
      <c r="T146" s="4">
        <f t="shared" si="578"/>
        <v>2.77</v>
      </c>
      <c r="U146" s="271">
        <f t="shared" si="578"/>
        <v>7.0109999999999992</v>
      </c>
      <c r="V146" s="4">
        <f t="shared" si="578"/>
        <v>1.78</v>
      </c>
      <c r="W146" s="4">
        <f t="shared" si="578"/>
        <v>2.2320000000000002</v>
      </c>
      <c r="X146" s="4">
        <f t="shared" si="578"/>
        <v>3.077</v>
      </c>
      <c r="Y146" s="4">
        <f t="shared" si="578"/>
        <v>3.3359999999999999</v>
      </c>
      <c r="Z146" s="271">
        <f t="shared" si="578"/>
        <v>10.425000000000001</v>
      </c>
      <c r="AA146" s="4">
        <f t="shared" si="578"/>
        <v>3.1230000000000002</v>
      </c>
      <c r="AB146" s="4">
        <f t="shared" si="578"/>
        <v>4.6749999999999998</v>
      </c>
      <c r="AC146" s="4">
        <f t="shared" si="578"/>
        <v>5.6959999999999997</v>
      </c>
      <c r="AD146" s="4">
        <f t="shared" si="578"/>
        <v>6.5</v>
      </c>
      <c r="AE146" s="271">
        <f t="shared" si="578"/>
        <v>19.994</v>
      </c>
      <c r="AF146" s="4">
        <f t="shared" si="578"/>
        <v>5.9829999999999997</v>
      </c>
      <c r="AG146" s="4">
        <f t="shared" si="578"/>
        <v>6.6870000000000003</v>
      </c>
      <c r="AH146" s="4">
        <f t="shared" si="578"/>
        <v>8.2460000000000004</v>
      </c>
      <c r="AI146" s="4">
        <f t="shared" si="578"/>
        <v>8.27</v>
      </c>
      <c r="AJ146" s="271">
        <f t="shared" si="578"/>
        <v>29.186</v>
      </c>
      <c r="AK146" s="4">
        <f t="shared" si="578"/>
        <v>6.899</v>
      </c>
      <c r="AL146" s="4">
        <f t="shared" ref="AL146:BD146" si="579">+AL14-AL66</f>
        <v>12.356</v>
      </c>
      <c r="AM146" s="4">
        <f t="shared" si="579"/>
        <v>28.117999999999999</v>
      </c>
      <c r="AN146" s="4">
        <f t="shared" si="579"/>
        <v>61.624000000000002</v>
      </c>
      <c r="AO146" s="271">
        <f t="shared" si="579"/>
        <v>108.99700000000001</v>
      </c>
      <c r="AP146" s="250">
        <f t="shared" si="579"/>
        <v>68.164000000000001</v>
      </c>
      <c r="AQ146" s="250">
        <f t="shared" si="579"/>
        <v>82.793000000000006</v>
      </c>
      <c r="AR146" s="4">
        <f t="shared" si="579"/>
        <v>91.638000000000005</v>
      </c>
      <c r="AS146" s="4">
        <f t="shared" si="579"/>
        <v>104.04000000000002</v>
      </c>
      <c r="AT146" s="271">
        <f t="shared" si="579"/>
        <v>346.6350000000001</v>
      </c>
      <c r="AU146" s="4">
        <f t="shared" si="579"/>
        <v>124.664</v>
      </c>
      <c r="AV146" s="4">
        <f t="shared" si="579"/>
        <v>313.44899999999996</v>
      </c>
      <c r="AW146" s="4">
        <f t="shared" si="579"/>
        <v>322.661</v>
      </c>
      <c r="AX146" s="4">
        <f t="shared" si="579"/>
        <v>348.09999999999997</v>
      </c>
      <c r="AY146" s="370">
        <f t="shared" si="579"/>
        <v>1108.874</v>
      </c>
      <c r="AZ146" s="370">
        <f t="shared" si="579"/>
        <v>287.39999999999998</v>
      </c>
      <c r="BA146" s="4">
        <f t="shared" si="579"/>
        <v>343.3</v>
      </c>
      <c r="BB146" s="4">
        <f t="shared" si="579"/>
        <v>384.29999999999995</v>
      </c>
      <c r="BC146" s="4">
        <f t="shared" si="579"/>
        <v>426.2</v>
      </c>
      <c r="BD146" s="1956">
        <f t="shared" si="579"/>
        <v>1441.1999999999998</v>
      </c>
      <c r="BE146" s="370"/>
      <c r="BF146" s="4"/>
      <c r="BG146" s="4"/>
      <c r="BH146" s="4"/>
      <c r="BI146" s="1956">
        <f>+BI14-BI66</f>
        <v>0</v>
      </c>
      <c r="BJ146" s="370"/>
      <c r="BK146" s="4"/>
      <c r="BL146" s="4"/>
      <c r="BM146" s="4"/>
      <c r="BN146" s="1956">
        <f>+BN14-BN66</f>
        <v>0</v>
      </c>
      <c r="BO146" s="370"/>
      <c r="BP146" s="4"/>
      <c r="BQ146" s="4"/>
      <c r="BR146" s="2194"/>
      <c r="BS146" s="1956"/>
      <c r="BT146" s="4"/>
      <c r="BU146" s="4"/>
      <c r="BV146" s="4"/>
      <c r="BW146" s="4"/>
      <c r="BX146" s="271"/>
      <c r="BY146" s="4"/>
      <c r="BZ146" s="4"/>
      <c r="CA146" s="4"/>
      <c r="CB146" s="4"/>
      <c r="CC146" s="271"/>
      <c r="CE146" s="249"/>
      <c r="CF146" s="246"/>
      <c r="CG146" s="246"/>
      <c r="CH146" s="246"/>
      <c r="CI146" s="247"/>
      <c r="CJ146" s="279"/>
      <c r="CK146" s="2077"/>
      <c r="CL146" s="4"/>
      <c r="CM146" s="4"/>
      <c r="CN146" s="4"/>
      <c r="CO146" s="2093"/>
      <c r="CP146" s="2093"/>
      <c r="CQ146" s="251"/>
      <c r="CR146" s="248"/>
      <c r="CS146" s="248"/>
      <c r="CT146" s="248"/>
      <c r="CU146" s="248"/>
      <c r="CV146" s="248"/>
      <c r="CW146" s="248"/>
      <c r="CX146" s="248"/>
      <c r="CY146" s="249"/>
      <c r="CZ146"/>
      <c r="DA146"/>
      <c r="DB146"/>
      <c r="DC146"/>
      <c r="DD146"/>
      <c r="DE146"/>
      <c r="DF146" s="4"/>
      <c r="DG146" s="4"/>
      <c r="DH146" s="4"/>
      <c r="DI146" s="4"/>
      <c r="DJ146" s="4"/>
    </row>
    <row r="147" spans="1:114" s="250" customFormat="1" ht="12.75" hidden="1" customHeight="1" outlineLevel="1">
      <c r="A147" s="380" t="s">
        <v>180</v>
      </c>
      <c r="B147" s="370"/>
      <c r="C147" s="4"/>
      <c r="D147" s="4"/>
      <c r="E147" s="4"/>
      <c r="F147" s="271">
        <f t="shared" ref="F147:AK147" si="580">+F19-F71</f>
        <v>0</v>
      </c>
      <c r="G147" s="4">
        <f t="shared" si="580"/>
        <v>0</v>
      </c>
      <c r="H147" s="4">
        <f t="shared" si="580"/>
        <v>0</v>
      </c>
      <c r="I147" s="4">
        <f t="shared" si="580"/>
        <v>0</v>
      </c>
      <c r="J147" s="4">
        <f t="shared" si="580"/>
        <v>0</v>
      </c>
      <c r="K147" s="271">
        <f t="shared" si="580"/>
        <v>0</v>
      </c>
      <c r="L147" s="4">
        <f t="shared" si="580"/>
        <v>0</v>
      </c>
      <c r="M147" s="4">
        <f t="shared" si="580"/>
        <v>0</v>
      </c>
      <c r="N147" s="4">
        <f t="shared" si="580"/>
        <v>0</v>
      </c>
      <c r="O147" s="4">
        <f t="shared" si="580"/>
        <v>0</v>
      </c>
      <c r="P147" s="271">
        <f t="shared" si="580"/>
        <v>0</v>
      </c>
      <c r="Q147" s="4">
        <f t="shared" si="580"/>
        <v>0</v>
      </c>
      <c r="R147" s="4">
        <f t="shared" si="580"/>
        <v>0</v>
      </c>
      <c r="S147" s="4">
        <f t="shared" si="580"/>
        <v>0</v>
      </c>
      <c r="T147" s="4">
        <f t="shared" si="580"/>
        <v>0</v>
      </c>
      <c r="U147" s="271">
        <f t="shared" si="580"/>
        <v>0</v>
      </c>
      <c r="V147" s="4">
        <f t="shared" si="580"/>
        <v>0</v>
      </c>
      <c r="W147" s="4">
        <f t="shared" si="580"/>
        <v>0</v>
      </c>
      <c r="X147" s="4">
        <f t="shared" si="580"/>
        <v>0</v>
      </c>
      <c r="Y147" s="4">
        <f t="shared" si="580"/>
        <v>0</v>
      </c>
      <c r="Z147" s="271">
        <f t="shared" si="580"/>
        <v>0</v>
      </c>
      <c r="AA147" s="4">
        <f t="shared" si="580"/>
        <v>0</v>
      </c>
      <c r="AB147" s="4">
        <f t="shared" si="580"/>
        <v>0</v>
      </c>
      <c r="AC147" s="4">
        <f t="shared" si="580"/>
        <v>0</v>
      </c>
      <c r="AD147" s="4">
        <f t="shared" si="580"/>
        <v>0</v>
      </c>
      <c r="AE147" s="271">
        <f t="shared" si="580"/>
        <v>0</v>
      </c>
      <c r="AF147" s="4">
        <f t="shared" si="580"/>
        <v>0</v>
      </c>
      <c r="AG147" s="4">
        <f t="shared" si="580"/>
        <v>0</v>
      </c>
      <c r="AH147" s="4">
        <f t="shared" si="580"/>
        <v>0</v>
      </c>
      <c r="AI147" s="4">
        <f t="shared" si="580"/>
        <v>0</v>
      </c>
      <c r="AJ147" s="271">
        <f t="shared" si="580"/>
        <v>0</v>
      </c>
      <c r="AK147" s="4">
        <f t="shared" si="580"/>
        <v>0</v>
      </c>
      <c r="AL147" s="4">
        <f t="shared" ref="AL147:BD147" si="581">+AL19-AL71</f>
        <v>0</v>
      </c>
      <c r="AM147" s="4">
        <f t="shared" si="581"/>
        <v>0</v>
      </c>
      <c r="AN147" s="4">
        <f t="shared" si="581"/>
        <v>0</v>
      </c>
      <c r="AO147" s="271">
        <f t="shared" si="581"/>
        <v>0</v>
      </c>
      <c r="AP147" s="250">
        <f t="shared" si="581"/>
        <v>0</v>
      </c>
      <c r="AQ147" s="250">
        <f t="shared" si="581"/>
        <v>0</v>
      </c>
      <c r="AR147" s="4">
        <f t="shared" si="581"/>
        <v>33.327999999999996</v>
      </c>
      <c r="AS147" s="4">
        <f t="shared" si="581"/>
        <v>65.331999999999994</v>
      </c>
      <c r="AT147" s="271">
        <f t="shared" si="581"/>
        <v>98.66</v>
      </c>
      <c r="AU147" s="4">
        <f t="shared" si="581"/>
        <v>62.707999999999998</v>
      </c>
      <c r="AV147" s="4">
        <f t="shared" si="581"/>
        <v>74.832999999999998</v>
      </c>
      <c r="AW147" s="4">
        <f t="shared" si="581"/>
        <v>88.316000000000003</v>
      </c>
      <c r="AX147" s="4">
        <f t="shared" si="581"/>
        <v>101.19999999999999</v>
      </c>
      <c r="AY147" s="370">
        <f t="shared" si="581"/>
        <v>327.05700000000002</v>
      </c>
      <c r="AZ147" s="370">
        <f t="shared" si="581"/>
        <v>95.199999999999989</v>
      </c>
      <c r="BA147" s="4">
        <f t="shared" si="581"/>
        <v>118.30000000000001</v>
      </c>
      <c r="BB147" s="4">
        <f t="shared" si="581"/>
        <v>129.89999999999998</v>
      </c>
      <c r="BC147" s="4">
        <f t="shared" si="581"/>
        <v>145.19999999999999</v>
      </c>
      <c r="BD147" s="1956">
        <f t="shared" si="581"/>
        <v>488.59999999999997</v>
      </c>
      <c r="BE147" s="370"/>
      <c r="BF147" s="4"/>
      <c r="BG147" s="4"/>
      <c r="BH147" s="4"/>
      <c r="BI147" s="1956">
        <f>+BI19-BI71</f>
        <v>580.5</v>
      </c>
      <c r="BJ147" s="370"/>
      <c r="BK147" s="4"/>
      <c r="BL147" s="4"/>
      <c r="BM147" s="4"/>
      <c r="BN147" s="1956">
        <f>+BN19-BN71</f>
        <v>685.6</v>
      </c>
      <c r="BO147" s="370"/>
      <c r="BP147" s="4"/>
      <c r="BQ147" s="4"/>
      <c r="BR147" s="2194"/>
      <c r="BS147" s="1956"/>
      <c r="BT147" s="4"/>
      <c r="BU147" s="4"/>
      <c r="BV147" s="4"/>
      <c r="BW147" s="4"/>
      <c r="BX147" s="271"/>
      <c r="BY147" s="4"/>
      <c r="BZ147" s="4"/>
      <c r="CA147" s="4"/>
      <c r="CB147" s="4"/>
      <c r="CC147" s="271"/>
      <c r="CE147" s="249"/>
      <c r="CF147" s="246"/>
      <c r="CG147" s="246"/>
      <c r="CH147" s="246"/>
      <c r="CI147" s="247"/>
      <c r="CJ147" s="279"/>
      <c r="CK147" s="2077"/>
      <c r="CL147" s="4"/>
      <c r="CM147" s="4"/>
      <c r="CN147" s="4"/>
      <c r="CO147" s="2093"/>
      <c r="CP147" s="2093"/>
      <c r="CQ147" s="251"/>
      <c r="CR147" s="248"/>
      <c r="CS147" s="248"/>
      <c r="CT147" s="248"/>
      <c r="CU147" s="248"/>
      <c r="CV147" s="248"/>
      <c r="CW147" s="248"/>
      <c r="CX147" s="248"/>
      <c r="CY147" s="249"/>
      <c r="CZ147"/>
      <c r="DA147"/>
      <c r="DB147"/>
      <c r="DC147"/>
      <c r="DD147"/>
      <c r="DE147"/>
      <c r="DF147" s="4"/>
      <c r="DG147" s="4"/>
      <c r="DH147" s="4"/>
      <c r="DI147" s="4"/>
      <c r="DJ147" s="4"/>
    </row>
    <row r="148" spans="1:114" s="250" customFormat="1" ht="12.75" hidden="1" customHeight="1" outlineLevel="1">
      <c r="A148" s="380" t="s">
        <v>222</v>
      </c>
      <c r="B148" s="370"/>
      <c r="C148" s="4"/>
      <c r="D148" s="4"/>
      <c r="E148" s="4"/>
      <c r="F148" s="271"/>
      <c r="G148" s="4"/>
      <c r="H148" s="4"/>
      <c r="I148" s="4"/>
      <c r="J148" s="4"/>
      <c r="K148" s="271"/>
      <c r="L148" s="4"/>
      <c r="M148" s="4"/>
      <c r="N148" s="4"/>
      <c r="O148" s="4"/>
      <c r="P148" s="271"/>
      <c r="Q148" s="4"/>
      <c r="R148" s="4"/>
      <c r="S148" s="4"/>
      <c r="T148" s="4"/>
      <c r="U148" s="271"/>
      <c r="V148" s="4"/>
      <c r="W148" s="4"/>
      <c r="X148" s="4"/>
      <c r="Y148" s="4"/>
      <c r="Z148" s="271"/>
      <c r="AA148" s="4"/>
      <c r="AB148" s="4"/>
      <c r="AC148" s="4"/>
      <c r="AD148" s="4"/>
      <c r="AE148" s="271"/>
      <c r="AF148" s="4"/>
      <c r="AG148" s="4"/>
      <c r="AH148" s="4"/>
      <c r="AI148" s="4"/>
      <c r="AJ148" s="271"/>
      <c r="AK148" s="4"/>
      <c r="AL148" s="4"/>
      <c r="AM148" s="4"/>
      <c r="AN148" s="4"/>
      <c r="AO148" s="271"/>
      <c r="AR148" s="4"/>
      <c r="AS148" s="4"/>
      <c r="AT148" s="271"/>
      <c r="AU148" s="4"/>
      <c r="AV148" s="4"/>
      <c r="AW148" s="4"/>
      <c r="AX148" s="4"/>
      <c r="AY148" s="370"/>
      <c r="AZ148" s="370"/>
      <c r="BA148" s="4">
        <f>+BA22-BA76</f>
        <v>131.6</v>
      </c>
      <c r="BB148" s="4">
        <f>+BB22-BB76</f>
        <v>469.00000000000006</v>
      </c>
      <c r="BC148" s="4">
        <f>+BC22-BC76</f>
        <v>454.69999999999993</v>
      </c>
      <c r="BD148" s="1956">
        <f>SUM(AZ148:BC148)</f>
        <v>1055.3</v>
      </c>
      <c r="BE148" s="370"/>
      <c r="BF148" s="4"/>
      <c r="BG148" s="4"/>
      <c r="BH148" s="4"/>
      <c r="BI148" s="1956">
        <f>SUM(BE148:BH148)</f>
        <v>0</v>
      </c>
      <c r="BJ148" s="370"/>
      <c r="BK148" s="4"/>
      <c r="BL148" s="4"/>
      <c r="BM148" s="4"/>
      <c r="BN148" s="1956">
        <f>SUM(BJ148:BM148)</f>
        <v>0</v>
      </c>
      <c r="BO148" s="370"/>
      <c r="BP148" s="4"/>
      <c r="BQ148" s="4"/>
      <c r="BR148" s="2194"/>
      <c r="BS148" s="1956"/>
      <c r="BT148" s="4"/>
      <c r="BU148" s="4"/>
      <c r="BV148" s="4"/>
      <c r="BW148" s="4"/>
      <c r="BX148" s="633"/>
      <c r="BY148" s="4"/>
      <c r="BZ148" s="4"/>
      <c r="CA148" s="4"/>
      <c r="CB148" s="4"/>
      <c r="CC148" s="633"/>
      <c r="CE148" s="249"/>
      <c r="CF148" s="246"/>
      <c r="CG148" s="246"/>
      <c r="CH148" s="246"/>
      <c r="CI148" s="247"/>
      <c r="CJ148" s="279"/>
      <c r="CK148" s="2077"/>
      <c r="CL148" s="4"/>
      <c r="CM148" s="4"/>
      <c r="CN148" s="4"/>
      <c r="CO148" s="2093"/>
      <c r="CP148" s="2093"/>
      <c r="CQ148" s="251"/>
      <c r="CR148" s="248"/>
      <c r="CS148" s="248"/>
      <c r="CT148" s="248"/>
      <c r="CU148" s="248"/>
      <c r="CV148" s="248"/>
      <c r="CW148" s="248"/>
      <c r="CX148" s="248"/>
      <c r="CY148" s="249"/>
      <c r="CZ148"/>
      <c r="DA148"/>
      <c r="DB148"/>
      <c r="DC148"/>
      <c r="DD148"/>
      <c r="DE148"/>
      <c r="DF148" s="4"/>
      <c r="DG148" s="4"/>
      <c r="DH148" s="4"/>
      <c r="DI148" s="4"/>
      <c r="DJ148" s="4"/>
    </row>
    <row r="149" spans="1:114" s="250" customFormat="1" ht="12.75" hidden="1" customHeight="1" outlineLevel="1">
      <c r="A149" s="380" t="s">
        <v>223</v>
      </c>
      <c r="B149" s="370"/>
      <c r="C149" s="4"/>
      <c r="D149" s="4"/>
      <c r="E149" s="4"/>
      <c r="F149" s="271"/>
      <c r="G149" s="4"/>
      <c r="H149" s="4"/>
      <c r="I149" s="4"/>
      <c r="J149" s="4"/>
      <c r="K149" s="271"/>
      <c r="L149" s="4"/>
      <c r="M149" s="4"/>
      <c r="N149" s="4"/>
      <c r="O149" s="4"/>
      <c r="P149" s="271"/>
      <c r="Q149" s="4"/>
      <c r="R149" s="4"/>
      <c r="S149" s="4"/>
      <c r="T149" s="4"/>
      <c r="U149" s="271"/>
      <c r="V149" s="4"/>
      <c r="W149" s="4"/>
      <c r="X149" s="4"/>
      <c r="Y149" s="4"/>
      <c r="Z149" s="271"/>
      <c r="AA149" s="4"/>
      <c r="AB149" s="4"/>
      <c r="AC149" s="4"/>
      <c r="AD149" s="4"/>
      <c r="AE149" s="271"/>
      <c r="AF149" s="4"/>
      <c r="AG149" s="4"/>
      <c r="AH149" s="4"/>
      <c r="AI149" s="4"/>
      <c r="AJ149" s="271"/>
      <c r="AK149" s="4"/>
      <c r="AL149" s="4"/>
      <c r="AM149" s="4"/>
      <c r="AN149" s="4"/>
      <c r="AO149" s="271"/>
      <c r="AR149" s="4"/>
      <c r="AS149" s="4"/>
      <c r="AT149" s="271"/>
      <c r="AW149" s="4"/>
      <c r="AX149" s="4"/>
      <c r="AY149" s="370"/>
      <c r="AZ149" s="441"/>
      <c r="BA149" s="250">
        <f>+BA40-BA105</f>
        <v>1.1999999999999886</v>
      </c>
      <c r="BB149" s="250">
        <f>+BB40-BB105</f>
        <v>5</v>
      </c>
      <c r="BC149" s="4">
        <f>+BC40-BC105</f>
        <v>114.49999999999994</v>
      </c>
      <c r="BD149" s="1956">
        <f>SUM(AZ149:BC149)</f>
        <v>120.69999999999993</v>
      </c>
      <c r="BE149" s="441"/>
      <c r="BH149" s="4"/>
      <c r="BI149" s="1956">
        <f>SUM(BE149:BH149)</f>
        <v>0</v>
      </c>
      <c r="BJ149" s="441"/>
      <c r="BM149" s="4"/>
      <c r="BN149" s="1956">
        <f>SUM(BJ149:BM149)</f>
        <v>0</v>
      </c>
      <c r="BO149" s="441"/>
      <c r="BR149" s="2196"/>
      <c r="BS149" s="1956"/>
      <c r="BT149" s="4"/>
      <c r="BU149" s="4"/>
      <c r="BV149" s="4"/>
      <c r="BW149" s="4"/>
      <c r="BX149" s="634"/>
      <c r="BY149" s="4"/>
      <c r="BZ149" s="4"/>
      <c r="CA149" s="4"/>
      <c r="CB149" s="4"/>
      <c r="CC149" s="634"/>
      <c r="CE149" s="249"/>
      <c r="CF149" s="246"/>
      <c r="CG149" s="246"/>
      <c r="CH149" s="246"/>
      <c r="CI149" s="247"/>
      <c r="CJ149" s="279"/>
      <c r="CK149" s="2077"/>
      <c r="CO149" s="2092"/>
      <c r="CP149" s="2092"/>
      <c r="CQ149" s="251"/>
      <c r="CR149" s="248"/>
      <c r="CS149" s="248"/>
      <c r="CT149" s="248"/>
      <c r="CU149" s="248"/>
      <c r="CV149" s="248"/>
      <c r="CW149" s="248"/>
      <c r="CX149" s="248"/>
      <c r="CY149" s="249"/>
      <c r="CZ149"/>
      <c r="DA149"/>
      <c r="DB149"/>
      <c r="DC149"/>
      <c r="DD149"/>
      <c r="DE149"/>
      <c r="DF149" s="4"/>
      <c r="DG149" s="4"/>
      <c r="DH149" s="4"/>
      <c r="DI149" s="4"/>
      <c r="DJ149" s="4"/>
    </row>
    <row r="150" spans="1:114" s="250" customFormat="1" ht="12.75" hidden="1" customHeight="1" outlineLevel="1">
      <c r="A150" s="380" t="s">
        <v>224</v>
      </c>
      <c r="B150" s="370"/>
      <c r="C150" s="4"/>
      <c r="D150" s="4"/>
      <c r="E150" s="4"/>
      <c r="F150" s="271"/>
      <c r="G150" s="4"/>
      <c r="H150" s="4"/>
      <c r="I150" s="4"/>
      <c r="J150" s="4"/>
      <c r="K150" s="271"/>
      <c r="L150" s="4"/>
      <c r="M150" s="4"/>
      <c r="N150" s="4"/>
      <c r="O150" s="4"/>
      <c r="P150" s="271"/>
      <c r="Q150" s="4"/>
      <c r="R150" s="4"/>
      <c r="S150" s="4"/>
      <c r="T150" s="4"/>
      <c r="U150" s="271"/>
      <c r="V150" s="4"/>
      <c r="W150" s="4"/>
      <c r="X150" s="4"/>
      <c r="Y150" s="4"/>
      <c r="Z150" s="271"/>
      <c r="AA150" s="4"/>
      <c r="AB150" s="4"/>
      <c r="AC150" s="4"/>
      <c r="AD150" s="4"/>
      <c r="AE150" s="271"/>
      <c r="AF150" s="4"/>
      <c r="AG150" s="4"/>
      <c r="AH150" s="4"/>
      <c r="AI150" s="4"/>
      <c r="AJ150" s="271"/>
      <c r="AK150" s="4"/>
      <c r="AL150" s="4"/>
      <c r="AM150" s="4"/>
      <c r="AN150" s="4"/>
      <c r="AO150" s="271"/>
      <c r="AR150" s="4"/>
      <c r="AS150" s="4"/>
      <c r="AT150" s="271"/>
      <c r="AW150" s="4"/>
      <c r="AX150" s="4"/>
      <c r="AY150" s="370"/>
      <c r="AZ150" s="441"/>
      <c r="BA150" s="250">
        <f>+BA42-BA110</f>
        <v>44.400000000000006</v>
      </c>
      <c r="BB150" s="250">
        <f>+BB42-BB110</f>
        <v>178.30000000000007</v>
      </c>
      <c r="BC150" s="4">
        <f>+BC42-BC110</f>
        <v>178.29999999999995</v>
      </c>
      <c r="BD150" s="1956">
        <f>SUM(AZ150:BC150)</f>
        <v>401</v>
      </c>
      <c r="BE150" s="441"/>
      <c r="BH150" s="4"/>
      <c r="BI150" s="1956">
        <f>SUM(BE150:BH150)</f>
        <v>0</v>
      </c>
      <c r="BJ150" s="441"/>
      <c r="BM150" s="4"/>
      <c r="BN150" s="1956">
        <f>SUM(BJ150:BM150)</f>
        <v>0</v>
      </c>
      <c r="BO150" s="441"/>
      <c r="BR150" s="2196"/>
      <c r="BS150" s="1956"/>
      <c r="BT150" s="4"/>
      <c r="BU150" s="4"/>
      <c r="BV150" s="4"/>
      <c r="BW150" s="4"/>
      <c r="BX150" s="635"/>
      <c r="BY150" s="507"/>
      <c r="BZ150" s="4"/>
      <c r="CA150" s="4"/>
      <c r="CB150" s="4"/>
      <c r="CC150" s="636"/>
      <c r="CE150" s="249"/>
      <c r="CF150" s="246"/>
      <c r="CG150" s="246"/>
      <c r="CH150" s="246"/>
      <c r="CI150" s="247"/>
      <c r="CJ150" s="279"/>
      <c r="CK150" s="2077"/>
      <c r="CO150" s="2092"/>
      <c r="CP150" s="2092"/>
      <c r="CQ150" s="251"/>
      <c r="CR150" s="248"/>
      <c r="CS150" s="248"/>
      <c r="CT150" s="248"/>
      <c r="CU150" s="248"/>
      <c r="CV150" s="248"/>
      <c r="CW150" s="248"/>
      <c r="CX150" s="248"/>
      <c r="CY150" s="249"/>
      <c r="CZ150"/>
      <c r="DA150"/>
      <c r="DB150"/>
      <c r="DC150"/>
      <c r="DD150"/>
      <c r="DE150"/>
      <c r="DF150" s="4"/>
      <c r="DG150" s="4"/>
      <c r="DH150" s="4"/>
      <c r="DI150" s="4"/>
      <c r="DJ150" s="4"/>
    </row>
    <row r="151" spans="1:114" s="250" customFormat="1" ht="12.75" hidden="1" customHeight="1" outlineLevel="1">
      <c r="A151" s="380" t="s">
        <v>554</v>
      </c>
      <c r="B151" s="370"/>
      <c r="C151" s="4"/>
      <c r="D151" s="4"/>
      <c r="E151" s="4"/>
      <c r="F151" s="1956"/>
      <c r="G151" s="4"/>
      <c r="H151" s="4"/>
      <c r="I151" s="4"/>
      <c r="J151" s="4"/>
      <c r="K151" s="1956"/>
      <c r="L151" s="4"/>
      <c r="M151" s="4"/>
      <c r="N151" s="4"/>
      <c r="O151" s="4"/>
      <c r="P151" s="1956"/>
      <c r="Q151" s="4"/>
      <c r="R151" s="4"/>
      <c r="S151" s="4"/>
      <c r="T151" s="4"/>
      <c r="U151" s="1956"/>
      <c r="V151" s="4"/>
      <c r="W151" s="4"/>
      <c r="X151" s="4"/>
      <c r="Y151" s="4"/>
      <c r="Z151" s="1956"/>
      <c r="AA151" s="4"/>
      <c r="AB151" s="4"/>
      <c r="AC151" s="4"/>
      <c r="AD151" s="4"/>
      <c r="AE151" s="1956"/>
      <c r="AF151" s="4"/>
      <c r="AG151" s="4"/>
      <c r="AH151" s="4"/>
      <c r="AI151" s="4"/>
      <c r="AJ151" s="1956"/>
      <c r="AK151" s="4"/>
      <c r="AL151" s="4"/>
      <c r="AM151" s="4"/>
      <c r="AN151" s="4"/>
      <c r="AO151" s="1956"/>
      <c r="AR151" s="4"/>
      <c r="AS151" s="4"/>
      <c r="AT151" s="1956"/>
      <c r="AW151" s="4"/>
      <c r="AX151" s="4"/>
      <c r="AY151" s="370"/>
      <c r="AZ151" s="441"/>
      <c r="BC151" s="4">
        <f>+BC33+BC27-BC81</f>
        <v>395.90000000000003</v>
      </c>
      <c r="BD151" s="1956">
        <f>SUM(AZ151:BC151)</f>
        <v>395.90000000000003</v>
      </c>
      <c r="BE151" s="441"/>
      <c r="BH151" s="4"/>
      <c r="BI151" s="1956">
        <f>SUM(BE151:BH151)</f>
        <v>0</v>
      </c>
      <c r="BJ151" s="441"/>
      <c r="BM151" s="4"/>
      <c r="BN151" s="1956">
        <f>SUM(BJ151:BM151)</f>
        <v>0</v>
      </c>
      <c r="BO151" s="441"/>
      <c r="BR151" s="2196"/>
      <c r="BS151" s="1956"/>
      <c r="BT151" s="4"/>
      <c r="BU151" s="4"/>
      <c r="BV151" s="4"/>
      <c r="BW151" s="4"/>
      <c r="BX151" s="634"/>
      <c r="BY151" s="4"/>
      <c r="BZ151" s="4"/>
      <c r="CA151" s="4"/>
      <c r="CB151" s="4"/>
      <c r="CC151" s="634"/>
      <c r="CE151" s="249"/>
      <c r="CF151" s="246"/>
      <c r="CG151" s="246"/>
      <c r="CH151" s="246"/>
      <c r="CI151" s="2001"/>
      <c r="CJ151" s="279"/>
      <c r="CK151" s="2077"/>
      <c r="CO151" s="2092"/>
      <c r="CP151" s="2092"/>
      <c r="CQ151" s="251"/>
      <c r="CR151" s="248"/>
      <c r="CS151" s="248"/>
      <c r="CT151" s="248"/>
      <c r="CU151" s="248"/>
      <c r="CV151" s="248"/>
      <c r="CW151" s="248"/>
      <c r="CX151" s="248"/>
      <c r="CY151" s="249"/>
      <c r="CZ151"/>
      <c r="DA151"/>
      <c r="DB151"/>
      <c r="DC151"/>
      <c r="DD151"/>
      <c r="DE151"/>
      <c r="DF151" s="4"/>
      <c r="DG151" s="4"/>
      <c r="DH151" s="4"/>
      <c r="DI151" s="4"/>
      <c r="DJ151" s="4"/>
    </row>
    <row r="152" spans="1:114" s="250" customFormat="1" ht="12.75" hidden="1" customHeight="1" outlineLevel="1">
      <c r="A152" s="380" t="s">
        <v>123</v>
      </c>
      <c r="B152" s="370"/>
      <c r="C152" s="4"/>
      <c r="D152" s="4"/>
      <c r="E152" s="4"/>
      <c r="F152" s="271">
        <f t="shared" ref="F152:AY152" si="582">F140-(F144+F145+F146+F147)</f>
        <v>0</v>
      </c>
      <c r="G152" s="4">
        <f t="shared" si="582"/>
        <v>0</v>
      </c>
      <c r="H152" s="4">
        <f t="shared" si="582"/>
        <v>0</v>
      </c>
      <c r="I152" s="4">
        <f t="shared" si="582"/>
        <v>0</v>
      </c>
      <c r="J152" s="4">
        <f t="shared" si="582"/>
        <v>0</v>
      </c>
      <c r="K152" s="271">
        <f t="shared" si="582"/>
        <v>0</v>
      </c>
      <c r="L152" s="4">
        <f t="shared" si="582"/>
        <v>0</v>
      </c>
      <c r="M152" s="4">
        <f t="shared" si="582"/>
        <v>0</v>
      </c>
      <c r="N152" s="4">
        <f t="shared" si="582"/>
        <v>0</v>
      </c>
      <c r="O152" s="4">
        <f t="shared" si="582"/>
        <v>0</v>
      </c>
      <c r="P152" s="271">
        <f t="shared" si="582"/>
        <v>0</v>
      </c>
      <c r="Q152" s="4">
        <f t="shared" si="582"/>
        <v>-0.11599999999999966</v>
      </c>
      <c r="R152" s="4">
        <f t="shared" si="582"/>
        <v>-0.60200000000000031</v>
      </c>
      <c r="S152" s="4">
        <f t="shared" si="582"/>
        <v>-0.8159999999999954</v>
      </c>
      <c r="T152" s="4">
        <f t="shared" si="582"/>
        <v>-0.8349999999999973</v>
      </c>
      <c r="U152" s="271">
        <f t="shared" si="582"/>
        <v>-2.3689999999999714</v>
      </c>
      <c r="V152" s="4">
        <f t="shared" si="582"/>
        <v>-0.5519999999999996</v>
      </c>
      <c r="W152" s="4">
        <f t="shared" si="582"/>
        <v>-0.59299999999999642</v>
      </c>
      <c r="X152" s="4">
        <f t="shared" si="582"/>
        <v>-1.0510000000000019</v>
      </c>
      <c r="Y152" s="4">
        <f t="shared" si="582"/>
        <v>-1.6859999999999964</v>
      </c>
      <c r="Z152" s="271">
        <f t="shared" si="582"/>
        <v>-3.882000000000005</v>
      </c>
      <c r="AA152" s="4">
        <f t="shared" si="582"/>
        <v>-1.1500000000000021</v>
      </c>
      <c r="AB152" s="4">
        <f t="shared" si="582"/>
        <v>-1.7199999999999989</v>
      </c>
      <c r="AC152" s="4">
        <f t="shared" si="582"/>
        <v>-2.1820000000000022</v>
      </c>
      <c r="AD152" s="4">
        <f t="shared" si="582"/>
        <v>-2.1300000000000026</v>
      </c>
      <c r="AE152" s="271">
        <f t="shared" si="582"/>
        <v>-7.1820000000000164</v>
      </c>
      <c r="AF152" s="4">
        <f t="shared" si="582"/>
        <v>-1.8839999999999932</v>
      </c>
      <c r="AG152" s="4">
        <f t="shared" si="582"/>
        <v>-2.3969999999999985</v>
      </c>
      <c r="AH152" s="4">
        <f t="shared" si="582"/>
        <v>-2.5520000000000067</v>
      </c>
      <c r="AI152" s="4">
        <f t="shared" si="582"/>
        <v>-2.6799999999999926</v>
      </c>
      <c r="AJ152" s="271">
        <f t="shared" si="582"/>
        <v>-9.5130000000000052</v>
      </c>
      <c r="AK152" s="4">
        <f t="shared" si="582"/>
        <v>-1.2449999999999974</v>
      </c>
      <c r="AL152" s="4">
        <f t="shared" si="582"/>
        <v>-1.5370000000000061</v>
      </c>
      <c r="AM152" s="4">
        <f t="shared" si="582"/>
        <v>-2.240000000000002</v>
      </c>
      <c r="AN152" s="4">
        <f t="shared" si="582"/>
        <v>-3.2079999999999984</v>
      </c>
      <c r="AO152" s="271">
        <f t="shared" si="582"/>
        <v>-8.2300000000000182</v>
      </c>
      <c r="AP152" s="250">
        <f t="shared" si="582"/>
        <v>-4.3389999999999986</v>
      </c>
      <c r="AQ152" s="250">
        <f t="shared" si="582"/>
        <v>-4.0519999999999925</v>
      </c>
      <c r="AR152" s="4">
        <f t="shared" si="582"/>
        <v>-2.863000000000028</v>
      </c>
      <c r="AS152" s="4">
        <f t="shared" si="582"/>
        <v>-2.8040000000000305</v>
      </c>
      <c r="AT152" s="271">
        <f t="shared" si="582"/>
        <v>-14.057999999999993</v>
      </c>
      <c r="AU152" s="250">
        <f t="shared" si="582"/>
        <v>-2.6009999999999991</v>
      </c>
      <c r="AV152" s="250">
        <f t="shared" si="582"/>
        <v>-2.7899999999999636</v>
      </c>
      <c r="AW152" s="4">
        <f t="shared" si="582"/>
        <v>-2.5149999999999864</v>
      </c>
      <c r="AX152" s="4">
        <f t="shared" si="582"/>
        <v>-3.7000000000000455</v>
      </c>
      <c r="AY152" s="370">
        <f t="shared" si="582"/>
        <v>-11.605999999999995</v>
      </c>
      <c r="AZ152" s="441">
        <f>AZ140-(AZ144+AZ145+AZ146+AZ147)</f>
        <v>-6.8999999999999773</v>
      </c>
      <c r="BA152" s="250">
        <f>+BA140-SUM(BA144:BA150)</f>
        <v>-9.1999999999999318</v>
      </c>
      <c r="BB152" s="250">
        <f>+BB140-SUM(BB144:BB150)</f>
        <v>-30.100000000000136</v>
      </c>
      <c r="BC152" s="4">
        <f>+BC140-SUM(BC144:BC150)-BC151</f>
        <v>-39.199999999999989</v>
      </c>
      <c r="BD152" s="1965">
        <f>+BD140-SUM(BD144:BD151)</f>
        <v>-85.399999999999636</v>
      </c>
      <c r="BE152" s="441"/>
      <c r="BH152" s="4"/>
      <c r="BI152" s="1965">
        <f>+BI140-SUM(BI144:BI151)</f>
        <v>7305.4999999999991</v>
      </c>
      <c r="BJ152" s="441"/>
      <c r="BM152" s="4"/>
      <c r="BN152" s="1965">
        <f>+BN140-SUM(BN144:BN151)</f>
        <v>7443.1999999999989</v>
      </c>
      <c r="BO152" s="2354"/>
      <c r="BP152" s="639"/>
      <c r="BQ152" s="639"/>
      <c r="BR152" s="2197"/>
      <c r="BS152" s="2237"/>
      <c r="BT152" s="637"/>
      <c r="BU152" s="637"/>
      <c r="BV152" s="637"/>
      <c r="BW152" s="637"/>
      <c r="BX152" s="638"/>
      <c r="BY152" s="637"/>
      <c r="BZ152" s="637"/>
      <c r="CA152" s="637"/>
      <c r="CB152" s="637"/>
      <c r="CC152" s="638"/>
      <c r="CE152" s="249"/>
      <c r="CF152" s="246"/>
      <c r="CG152" s="246"/>
      <c r="CH152" s="246"/>
      <c r="CI152" s="247"/>
      <c r="CJ152" s="279"/>
      <c r="CK152" s="2077"/>
      <c r="CN152" s="639"/>
      <c r="CO152" s="2092"/>
      <c r="CP152" s="2092"/>
      <c r="CQ152" s="251"/>
      <c r="CR152" s="248"/>
      <c r="CS152" s="248"/>
      <c r="CT152" s="248"/>
      <c r="CU152" s="248"/>
      <c r="CV152" s="248"/>
      <c r="CW152" s="248"/>
      <c r="CX152" s="248"/>
      <c r="CY152" s="249"/>
      <c r="CZ152"/>
      <c r="DA152"/>
      <c r="DB152"/>
      <c r="DC152"/>
      <c r="DD152"/>
      <c r="DE152"/>
      <c r="DF152" s="4"/>
      <c r="DG152" s="4"/>
      <c r="DH152" s="4"/>
      <c r="DI152" s="4"/>
      <c r="DJ152" s="4"/>
    </row>
    <row r="153" spans="1:114" s="262" customFormat="1" ht="12.75" customHeight="1" collapsed="1">
      <c r="A153" s="2012" t="s">
        <v>154</v>
      </c>
      <c r="B153" s="553"/>
      <c r="C153" s="351"/>
      <c r="D153" s="351"/>
      <c r="E153" s="351"/>
      <c r="F153" s="352">
        <f>10.176+4.448</f>
        <v>14.624000000000001</v>
      </c>
      <c r="G153" s="351">
        <v>1.7210000000000001</v>
      </c>
      <c r="H153" s="351">
        <v>1.923</v>
      </c>
      <c r="I153" s="351">
        <v>1.9409999999999998</v>
      </c>
      <c r="J153" s="351">
        <v>2.1030000000000002</v>
      </c>
      <c r="K153" s="352">
        <f>SUM(G153:J153)</f>
        <v>7.6880000000000006</v>
      </c>
      <c r="L153" s="351">
        <v>2.2810000000000001</v>
      </c>
      <c r="M153" s="351">
        <v>2.242</v>
      </c>
      <c r="N153" s="351">
        <v>2.2709999999999999</v>
      </c>
      <c r="O153" s="351">
        <v>2.4289999999999998</v>
      </c>
      <c r="P153" s="352">
        <f>SUM(L153:O153)</f>
        <v>9.222999999999999</v>
      </c>
      <c r="Q153" s="351">
        <v>3.15</v>
      </c>
      <c r="R153" s="351">
        <v>3.3889999999999998</v>
      </c>
      <c r="S153" s="351">
        <v>3.1480000000000001</v>
      </c>
      <c r="T153" s="351">
        <v>2.9770000000000003</v>
      </c>
      <c r="U153" s="352">
        <f>SUM(Q153:T153)</f>
        <v>12.664</v>
      </c>
      <c r="V153" s="351">
        <v>3.2430000000000003</v>
      </c>
      <c r="W153" s="351">
        <v>3.0060000000000002</v>
      </c>
      <c r="X153" s="351">
        <v>3.2840000000000003</v>
      </c>
      <c r="Y153" s="351">
        <v>4.0360000000000005</v>
      </c>
      <c r="Z153" s="352">
        <f>SUM(V153:Y153)</f>
        <v>13.569000000000003</v>
      </c>
      <c r="AA153" s="351">
        <v>3.742</v>
      </c>
      <c r="AB153" s="351">
        <v>4.3239999999999998</v>
      </c>
      <c r="AC153" s="351">
        <v>4.9430000000000005</v>
      </c>
      <c r="AD153" s="351">
        <v>4.7720000000000002</v>
      </c>
      <c r="AE153" s="352">
        <f>SUM(AA153:AD153)</f>
        <v>17.780999999999999</v>
      </c>
      <c r="AF153" s="351">
        <v>4.9390000000000001</v>
      </c>
      <c r="AG153" s="351">
        <v>5.2629999999999999</v>
      </c>
      <c r="AH153" s="351">
        <v>7.4969999999999999</v>
      </c>
      <c r="AI153" s="351">
        <v>9.3089999999999993</v>
      </c>
      <c r="AJ153" s="352">
        <f>SUM(AF153:AI153)</f>
        <v>27.007999999999996</v>
      </c>
      <c r="AK153" s="351">
        <v>10.68</v>
      </c>
      <c r="AL153" s="351">
        <v>11.408999999999999</v>
      </c>
      <c r="AM153" s="351">
        <v>18.486000000000001</v>
      </c>
      <c r="AN153" s="351">
        <v>25.555999999999997</v>
      </c>
      <c r="AO153" s="352">
        <f>SUM(AK153:AN153)</f>
        <v>66.131</v>
      </c>
      <c r="AP153" s="351">
        <v>26.073</v>
      </c>
      <c r="AQ153" s="351">
        <v>31.56</v>
      </c>
      <c r="AR153" s="351">
        <v>44.857999999999997</v>
      </c>
      <c r="AS153" s="351">
        <v>52.543999999999997</v>
      </c>
      <c r="AT153" s="352">
        <f>SUM(AP153:AS153)</f>
        <v>155.03499999999997</v>
      </c>
      <c r="AU153" s="351">
        <v>57.685000000000002</v>
      </c>
      <c r="AV153" s="351">
        <v>107.77499999999999</v>
      </c>
      <c r="AW153" s="351">
        <v>150.64599999999999</v>
      </c>
      <c r="AX153" s="351">
        <v>257.29999999999995</v>
      </c>
      <c r="AY153" s="553">
        <f t="shared" si="574"/>
        <v>573.40599999999995</v>
      </c>
      <c r="AZ153" s="553">
        <v>232.6</v>
      </c>
      <c r="BA153" s="351">
        <v>428.90000000000009</v>
      </c>
      <c r="BB153" s="351">
        <f>+SUM(BB158:BB161)-BB162</f>
        <v>958.69999999999993</v>
      </c>
      <c r="BC153" s="351">
        <f>+SUM(BC158:BC161)-BC162</f>
        <v>1342.4</v>
      </c>
      <c r="BD153" s="352">
        <f t="shared" ref="BD153" si="583">SUM(AZ153:BC153)</f>
        <v>2962.6000000000004</v>
      </c>
      <c r="BE153" s="553">
        <f>+SUM(BE158:BE161)-BE162</f>
        <v>1348.9999999999998</v>
      </c>
      <c r="BF153" s="351">
        <f>+SUM(BF158:BF161)-BF162</f>
        <v>1356.7999999999997</v>
      </c>
      <c r="BG153" s="351">
        <f>+SUM(BG158:BG161)-BG162</f>
        <v>1355</v>
      </c>
      <c r="BH153" s="351">
        <f>+SUM(BH158:BH161)-BH162</f>
        <v>1437.9</v>
      </c>
      <c r="BI153" s="352">
        <f t="shared" ref="BI153" si="584">SUM(BE153:BH153)</f>
        <v>5498.6999999999989</v>
      </c>
      <c r="BJ153" s="553">
        <f>+SUM(BJ158:BJ161)-BJ162</f>
        <v>1360.1999999999998</v>
      </c>
      <c r="BK153" s="351">
        <f>+SUM(BK158:BK161)-BK162</f>
        <v>1421.4</v>
      </c>
      <c r="BL153" s="351">
        <f>+SUM(BL158:BL161)-BL162</f>
        <v>1476.1000000000001</v>
      </c>
      <c r="BM153" s="351">
        <f>+SUM(BM158:BM161)-BM162</f>
        <v>1634.4</v>
      </c>
      <c r="BN153" s="352">
        <f t="shared" ref="BN153" si="585">SUM(BJ153:BM153)</f>
        <v>5892.1</v>
      </c>
      <c r="BO153" s="542">
        <f>+BO171-BO140-BO162</f>
        <v>1410.0061958069705</v>
      </c>
      <c r="BP153" s="258">
        <f t="shared" ref="BP153:BR153" si="586">+BP171-BP140-BP162</f>
        <v>1507.3557728644198</v>
      </c>
      <c r="BQ153" s="258">
        <f>+BQ171-BQ140-BQ162</f>
        <v>1535.4917828296732</v>
      </c>
      <c r="BR153" s="2191">
        <f t="shared" si="586"/>
        <v>1627.6466301522298</v>
      </c>
      <c r="BS153" s="352">
        <f>+BS171-BS140-BS162</f>
        <v>6080.5003816532926</v>
      </c>
      <c r="BT153" s="509"/>
      <c r="BU153" s="509"/>
      <c r="BV153" s="509"/>
      <c r="BW153" s="509"/>
      <c r="BX153" s="2011">
        <f>+BX171-BX140-BX162</f>
        <v>6416.7196087085777</v>
      </c>
      <c r="BY153" s="509"/>
      <c r="BZ153" s="509"/>
      <c r="CA153" s="509"/>
      <c r="CB153" s="509"/>
      <c r="CC153" s="2011">
        <f>+CC171-CC140-CC162</f>
        <v>6794.3253559424347</v>
      </c>
      <c r="CE153" s="263"/>
      <c r="CF153" s="264"/>
      <c r="CG153" s="264"/>
      <c r="CH153" s="264"/>
      <c r="CI153" s="265"/>
      <c r="CK153" s="2072"/>
      <c r="CL153" s="351">
        <f>BM153</f>
        <v>1634.4</v>
      </c>
      <c r="CM153" s="351">
        <f>BH153</f>
        <v>1437.9</v>
      </c>
      <c r="CN153" s="351">
        <v>1488.8172348835114</v>
      </c>
      <c r="CO153" s="2094">
        <f>IFERROR(($CL153/CM153)-1,"")</f>
        <v>0.13665762570415185</v>
      </c>
      <c r="CP153" s="2094">
        <f>IFERROR(($CL153/CN153)-1,"")</f>
        <v>9.7784175052137545E-2</v>
      </c>
      <c r="CQ153" s="452"/>
      <c r="CR153" s="453"/>
      <c r="CS153" s="258"/>
      <c r="CT153" s="258"/>
      <c r="CU153" s="258"/>
      <c r="CV153" s="258"/>
      <c r="CW153" s="258"/>
      <c r="CX153" s="258"/>
      <c r="CY153" s="263"/>
      <c r="CZ153"/>
      <c r="DA153"/>
      <c r="DB153"/>
      <c r="DC153"/>
      <c r="DD153"/>
      <c r="DE153"/>
      <c r="DF153" s="266"/>
      <c r="DG153" s="266"/>
      <c r="DH153" s="266"/>
      <c r="DI153" s="266"/>
      <c r="DJ153" s="266"/>
    </row>
    <row r="154" spans="1:114" s="178" customFormat="1" ht="12.75" customHeight="1">
      <c r="A154" s="58" t="s">
        <v>85</v>
      </c>
      <c r="B154" s="368"/>
      <c r="C154" s="18"/>
      <c r="D154" s="18"/>
      <c r="E154" s="18"/>
      <c r="F154" s="60" t="str">
        <f>IF(ISERROR((F153-#REF!)/#REF!),"",(F153-#REF!)/#REF!)</f>
        <v/>
      </c>
      <c r="G154" s="18"/>
      <c r="H154" s="18"/>
      <c r="I154" s="18"/>
      <c r="J154" s="18"/>
      <c r="K154" s="60">
        <f t="shared" ref="K154:AE154" si="587">IF(ISERROR((K153-F153)/F153),"",(K153-F153)/F153)</f>
        <v>-0.47428884026258206</v>
      </c>
      <c r="L154" s="18">
        <f t="shared" si="587"/>
        <v>0.32539221382916911</v>
      </c>
      <c r="M154" s="18">
        <f t="shared" si="587"/>
        <v>0.1658866354654186</v>
      </c>
      <c r="N154" s="18">
        <f t="shared" si="587"/>
        <v>0.17001545595054102</v>
      </c>
      <c r="O154" s="18">
        <f t="shared" si="587"/>
        <v>0.15501664289110775</v>
      </c>
      <c r="P154" s="60">
        <f t="shared" si="587"/>
        <v>0.19966181061394359</v>
      </c>
      <c r="Q154" s="18">
        <f t="shared" si="587"/>
        <v>0.38097325734327037</v>
      </c>
      <c r="R154" s="18">
        <f t="shared" si="587"/>
        <v>0.5115967885816235</v>
      </c>
      <c r="S154" s="18">
        <f t="shared" si="587"/>
        <v>0.386173491853809</v>
      </c>
      <c r="T154" s="18">
        <f t="shared" si="587"/>
        <v>0.22560724578015667</v>
      </c>
      <c r="U154" s="60">
        <f t="shared" si="587"/>
        <v>0.37308901658896249</v>
      </c>
      <c r="V154" s="18">
        <f t="shared" si="587"/>
        <v>2.9523809523809657E-2</v>
      </c>
      <c r="W154" s="18">
        <f t="shared" si="587"/>
        <v>-0.11301268810858649</v>
      </c>
      <c r="X154" s="18">
        <f t="shared" si="587"/>
        <v>4.320203303684883E-2</v>
      </c>
      <c r="Y154" s="18">
        <f t="shared" si="587"/>
        <v>0.3557272421901243</v>
      </c>
      <c r="Z154" s="60">
        <f t="shared" si="587"/>
        <v>7.1462413139608577E-2</v>
      </c>
      <c r="AA154" s="18">
        <f t="shared" si="587"/>
        <v>0.15386987357385126</v>
      </c>
      <c r="AB154" s="18">
        <f t="shared" si="587"/>
        <v>0.43845642049234845</v>
      </c>
      <c r="AC154" s="18">
        <f t="shared" si="587"/>
        <v>0.5051766138855055</v>
      </c>
      <c r="AD154" s="18">
        <f t="shared" si="587"/>
        <v>0.18235877106045581</v>
      </c>
      <c r="AE154" s="60">
        <f t="shared" si="587"/>
        <v>0.31041344240548274</v>
      </c>
      <c r="AF154" s="18">
        <f t="shared" ref="AF154:AS154" si="588">(AF153-AA153)/AA153</f>
        <v>0.31988241582041693</v>
      </c>
      <c r="AG154" s="18">
        <f t="shared" si="588"/>
        <v>0.21716003700277522</v>
      </c>
      <c r="AH154" s="18">
        <f t="shared" si="588"/>
        <v>0.51669026906736781</v>
      </c>
      <c r="AI154" s="18">
        <f t="shared" si="588"/>
        <v>0.95075440067057815</v>
      </c>
      <c r="AJ154" s="60">
        <f t="shared" si="588"/>
        <v>0.51892469489904935</v>
      </c>
      <c r="AK154" s="18">
        <f t="shared" si="588"/>
        <v>1.1623810487953026</v>
      </c>
      <c r="AL154" s="18">
        <f t="shared" si="588"/>
        <v>1.1677750332509973</v>
      </c>
      <c r="AM154" s="18">
        <f t="shared" si="588"/>
        <v>1.4657863145258105</v>
      </c>
      <c r="AN154" s="18">
        <f t="shared" si="588"/>
        <v>1.7453002470727255</v>
      </c>
      <c r="AO154" s="60">
        <f t="shared" si="588"/>
        <v>1.448570793838863</v>
      </c>
      <c r="AP154" s="18">
        <f>(AP153-AK153)/AK153</f>
        <v>1.4412921348314607</v>
      </c>
      <c r="AQ154" s="18">
        <f t="shared" si="588"/>
        <v>1.7662371811727584</v>
      </c>
      <c r="AR154" s="18">
        <f t="shared" si="588"/>
        <v>1.4265930974791732</v>
      </c>
      <c r="AS154" s="18">
        <f t="shared" si="588"/>
        <v>1.0560338081076852</v>
      </c>
      <c r="AT154" s="60">
        <f t="shared" ref="AT154:BB154" si="589">(AT153-AO153)/AO153</f>
        <v>1.3443619482542222</v>
      </c>
      <c r="AU154" s="18">
        <f t="shared" si="589"/>
        <v>1.2124419897978753</v>
      </c>
      <c r="AV154" s="18">
        <f t="shared" si="589"/>
        <v>2.4149239543726235</v>
      </c>
      <c r="AW154" s="18">
        <f t="shared" si="589"/>
        <v>2.3582861473984571</v>
      </c>
      <c r="AX154" s="18">
        <f t="shared" si="589"/>
        <v>3.8968483556638245</v>
      </c>
      <c r="AY154" s="368">
        <f t="shared" si="589"/>
        <v>2.6985583900409589</v>
      </c>
      <c r="AZ154" s="368">
        <f t="shared" si="589"/>
        <v>3.0322440842506717</v>
      </c>
      <c r="BA154" s="18">
        <f t="shared" si="589"/>
        <v>2.9795871027603815</v>
      </c>
      <c r="BB154" s="18">
        <f t="shared" si="589"/>
        <v>5.363926025251252</v>
      </c>
      <c r="BC154" s="18">
        <f t="shared" ref="BC154" si="590">(BC153-AX153)/AX153</f>
        <v>4.2172561212592319</v>
      </c>
      <c r="BD154" s="1936">
        <f t="shared" ref="BD154:BG154" si="591">(BD153-AY153)/AY153</f>
        <v>4.1666707359183555</v>
      </c>
      <c r="BE154" s="368">
        <f t="shared" si="591"/>
        <v>4.7996560619088555</v>
      </c>
      <c r="BF154" s="18">
        <f t="shared" si="591"/>
        <v>2.1634413616227546</v>
      </c>
      <c r="BG154" s="18">
        <f t="shared" si="591"/>
        <v>0.41337227495566925</v>
      </c>
      <c r="BH154" s="18">
        <f t="shared" ref="BH154" si="592">(BH153-BC153)/BC153</f>
        <v>7.1141239570917753E-2</v>
      </c>
      <c r="BI154" s="1936">
        <f t="shared" ref="BI154:BL154" si="593">(BI153-BD153)/BD153</f>
        <v>0.85603861473030385</v>
      </c>
      <c r="BJ154" s="368">
        <f t="shared" si="593"/>
        <v>8.3024462564863215E-3</v>
      </c>
      <c r="BK154" s="18">
        <f t="shared" si="593"/>
        <v>4.7612028301887072E-2</v>
      </c>
      <c r="BL154" s="191">
        <f t="shared" si="593"/>
        <v>8.9372693726937374E-2</v>
      </c>
      <c r="BM154" s="18">
        <f t="shared" ref="BM154" si="594">(BM153-BH153)/BH153</f>
        <v>0.13665762570415188</v>
      </c>
      <c r="BN154" s="1936">
        <f t="shared" ref="BN154" si="595">(BN153-BI153)/BI153</f>
        <v>7.1544183170567863E-2</v>
      </c>
      <c r="BO154" s="368">
        <f t="shared" ref="BO154" si="596">(BO153-BJ153)/BJ153</f>
        <v>3.6616817973070627E-2</v>
      </c>
      <c r="BP154" s="18">
        <f t="shared" ref="BP154" si="597">(BP153-BK153)/BK153</f>
        <v>6.0472613524989241E-2</v>
      </c>
      <c r="BQ154" s="18">
        <f t="shared" ref="BQ154:BS154" si="598">(BQ153-BL153)/BL153</f>
        <v>4.023560926066868E-2</v>
      </c>
      <c r="BR154" s="2162">
        <f t="shared" si="598"/>
        <v>-4.1320177727424577E-3</v>
      </c>
      <c r="BS154" s="1936">
        <f t="shared" si="598"/>
        <v>3.1975082169904148E-2</v>
      </c>
      <c r="BT154" s="19"/>
      <c r="BU154" s="19"/>
      <c r="BV154" s="19"/>
      <c r="BW154" s="19"/>
      <c r="BX154" s="65">
        <f>(BX153-BS153)/BS153</f>
        <v>5.529466424667287E-2</v>
      </c>
      <c r="BY154" s="19"/>
      <c r="BZ154" s="19"/>
      <c r="CA154" s="19"/>
      <c r="CB154" s="19"/>
      <c r="CC154" s="65">
        <f>(CC153-BX153)/BX153</f>
        <v>5.8847163388810381E-2</v>
      </c>
      <c r="CE154" s="116"/>
      <c r="CF154" s="173"/>
      <c r="CG154" s="173"/>
      <c r="CH154" s="173"/>
      <c r="CI154" s="239"/>
      <c r="CJ154" s="177"/>
      <c r="CK154" s="2070"/>
      <c r="CL154" s="18">
        <f>BM154</f>
        <v>0.13665762570415188</v>
      </c>
      <c r="CM154" s="18">
        <f>BH154</f>
        <v>7.1141239570917753E-2</v>
      </c>
      <c r="CN154" s="18">
        <v>3.5410831687538322E-2</v>
      </c>
      <c r="CO154" s="2107">
        <f t="shared" ref="CO154:CP156" si="599">IFERROR(($CL154-CM154)*10000,"")</f>
        <v>655.1638613323413</v>
      </c>
      <c r="CP154" s="2107">
        <f t="shared" si="599"/>
        <v>1012.4679401661356</v>
      </c>
      <c r="CQ154" s="452"/>
      <c r="CR154" s="452"/>
      <c r="CS154" s="41"/>
      <c r="CT154" s="41"/>
      <c r="CU154" s="41"/>
      <c r="CV154" s="41"/>
      <c r="CW154" s="41"/>
      <c r="CX154" s="41"/>
      <c r="CY154" s="116"/>
      <c r="CZ154"/>
      <c r="DA154"/>
      <c r="DB154"/>
      <c r="DC154"/>
      <c r="DD154"/>
      <c r="DE154"/>
      <c r="DF154" s="19"/>
      <c r="DG154" s="19"/>
      <c r="DH154" s="19"/>
      <c r="DI154" s="19"/>
      <c r="DJ154" s="19"/>
    </row>
    <row r="155" spans="1:114" s="1" customFormat="1" ht="12.75" customHeight="1">
      <c r="A155" s="58" t="s">
        <v>0</v>
      </c>
      <c r="B155" s="368"/>
      <c r="C155" s="18"/>
      <c r="D155" s="18"/>
      <c r="E155" s="18"/>
      <c r="F155" s="60"/>
      <c r="G155" s="18">
        <f>IF(ISERROR(G153/K153),"",G153/K153)</f>
        <v>0.22385535900104059</v>
      </c>
      <c r="H155" s="18">
        <f>IF(ISERROR(H153/K153),"",H153/K153)</f>
        <v>0.25013007284079081</v>
      </c>
      <c r="I155" s="18">
        <f>IF(ISERROR(I153/K153),"",I153/K153)</f>
        <v>0.252471383975026</v>
      </c>
      <c r="J155" s="18">
        <f>IF(ISERROR(J153/K153),"",J153/K153)</f>
        <v>0.27354318418314255</v>
      </c>
      <c r="K155" s="60"/>
      <c r="L155" s="18">
        <f>IF(ISERROR(L153/P153),"",L153/P153)</f>
        <v>0.24731649138024508</v>
      </c>
      <c r="M155" s="18">
        <f>IF(ISERROR(M153/P153),"",M153/P153)</f>
        <v>0.24308793234305542</v>
      </c>
      <c r="N155" s="18">
        <f>IF(ISERROR(N153/P153),"",N153/P153)</f>
        <v>0.24623224547327335</v>
      </c>
      <c r="O155" s="18">
        <f>IF(ISERROR(O153/P153),"",O153/P153)</f>
        <v>0.26336333080342622</v>
      </c>
      <c r="P155" s="60"/>
      <c r="Q155" s="18">
        <f>IF(ISERROR(Q153/U153),"",Q153/U153)</f>
        <v>0.24873657612128869</v>
      </c>
      <c r="R155" s="18">
        <f>IF(ISERROR(R153/U153),"",R153/U153)</f>
        <v>0.26760897030953884</v>
      </c>
      <c r="S155" s="18">
        <f>IF(ISERROR(S153/U153),"",S153/U153)</f>
        <v>0.24857864813644978</v>
      </c>
      <c r="T155" s="18">
        <f>IF(ISERROR(T153/U153),"",T153/U153)</f>
        <v>0.23507580543272272</v>
      </c>
      <c r="U155" s="60"/>
      <c r="V155" s="18">
        <f>V153/Z153</f>
        <v>0.23900066327658631</v>
      </c>
      <c r="W155" s="18">
        <f>W153/Z153</f>
        <v>0.22153437983639174</v>
      </c>
      <c r="X155" s="18">
        <f>X153/Z153</f>
        <v>0.24202225661434149</v>
      </c>
      <c r="Y155" s="18">
        <f>Y153/Z153</f>
        <v>0.29744270027268033</v>
      </c>
      <c r="Z155" s="60"/>
      <c r="AA155" s="18">
        <f>AA153/AE153</f>
        <v>0.21044935605421519</v>
      </c>
      <c r="AB155" s="18">
        <f>AB153/AE153</f>
        <v>0.24318092345762332</v>
      </c>
      <c r="AC155" s="18">
        <f>AC153/AE153</f>
        <v>0.2779933637028289</v>
      </c>
      <c r="AD155" s="18">
        <f>AD153/AE153</f>
        <v>0.26837635678533267</v>
      </c>
      <c r="AE155" s="60"/>
      <c r="AF155" s="18">
        <f>AF153/AJ153</f>
        <v>0.18287174170616116</v>
      </c>
      <c r="AG155" s="18">
        <f>AG153/AJ153</f>
        <v>0.19486818720379151</v>
      </c>
      <c r="AH155" s="18">
        <f>AH153/AJ153</f>
        <v>0.27758441943127965</v>
      </c>
      <c r="AI155" s="18">
        <f>AI153/AJ153</f>
        <v>0.34467565165876779</v>
      </c>
      <c r="AJ155" s="60"/>
      <c r="AK155" s="18">
        <f>AK153/AO153</f>
        <v>0.16149763348505239</v>
      </c>
      <c r="AL155" s="18">
        <f>AL153/AO153</f>
        <v>0.17252120790552083</v>
      </c>
      <c r="AM155" s="18">
        <f>AM153/AO153</f>
        <v>0.27953607234126204</v>
      </c>
      <c r="AN155" s="18">
        <f>AN153/AO153</f>
        <v>0.38644508626816465</v>
      </c>
      <c r="AO155" s="60"/>
      <c r="AP155" s="18">
        <f>AP153/AT153</f>
        <v>0.16817492824200991</v>
      </c>
      <c r="AQ155" s="18">
        <f>AQ153/AT153</f>
        <v>0.20356693649821012</v>
      </c>
      <c r="AR155" s="18">
        <f>AR153/AT153</f>
        <v>0.28934111652207573</v>
      </c>
      <c r="AS155" s="18">
        <f>AS153/AT153</f>
        <v>0.33891701873770441</v>
      </c>
      <c r="AT155" s="60"/>
      <c r="AU155" s="18">
        <f>AU153/AY153</f>
        <v>0.10060062154912926</v>
      </c>
      <c r="AV155" s="18">
        <f>AV153/AY153</f>
        <v>0.18795582885424986</v>
      </c>
      <c r="AW155" s="18">
        <f>AW153/AY153</f>
        <v>0.26272135275877823</v>
      </c>
      <c r="AX155" s="18">
        <f>AX153/AY153</f>
        <v>0.44872219683784259</v>
      </c>
      <c r="AY155" s="368"/>
      <c r="AZ155" s="368">
        <f>AZ153/BD153</f>
        <v>7.851211773442246E-2</v>
      </c>
      <c r="BA155" s="18">
        <f>BA153/BD153</f>
        <v>0.14477148450685209</v>
      </c>
      <c r="BB155" s="18">
        <f>BB153/BD153</f>
        <v>0.32360089110916079</v>
      </c>
      <c r="BC155" s="18">
        <f>BC153/BD153</f>
        <v>0.45311550664956457</v>
      </c>
      <c r="BD155" s="1936"/>
      <c r="BE155" s="368">
        <f>BE153/BI153</f>
        <v>0.24533071453252589</v>
      </c>
      <c r="BF155" s="18">
        <f>BF153/BI153</f>
        <v>0.24674923163656864</v>
      </c>
      <c r="BG155" s="18">
        <f>BG153/BI153</f>
        <v>0.24642188153563574</v>
      </c>
      <c r="BH155" s="18">
        <f>BH153/BI153</f>
        <v>0.26149817229526984</v>
      </c>
      <c r="BI155" s="1936"/>
      <c r="BJ155" s="368">
        <f>BJ153/BN153</f>
        <v>0.2308514790991327</v>
      </c>
      <c r="BK155" s="18">
        <f>BK153/BN153</f>
        <v>0.24123826818960981</v>
      </c>
      <c r="BL155" s="191">
        <f>BL153/BN153</f>
        <v>0.2505218852361637</v>
      </c>
      <c r="BM155" s="18">
        <f>BM153/BN153</f>
        <v>0.27738836747509377</v>
      </c>
      <c r="BN155" s="1936"/>
      <c r="BO155" s="368">
        <f>BO153/$BS153</f>
        <v>0.23188982934058935</v>
      </c>
      <c r="BP155" s="18">
        <f t="shared" ref="BP155:BR155" si="600">BP153/$BS153</f>
        <v>0.24789995530837688</v>
      </c>
      <c r="BQ155" s="18">
        <f t="shared" si="600"/>
        <v>0.25252720770525994</v>
      </c>
      <c r="BR155" s="2162">
        <f t="shared" si="600"/>
        <v>0.26768300764577396</v>
      </c>
      <c r="BS155" s="1936"/>
      <c r="BT155" s="18"/>
      <c r="BU155" s="18"/>
      <c r="BV155" s="18"/>
      <c r="BW155" s="18"/>
      <c r="BX155" s="60"/>
      <c r="BY155" s="18"/>
      <c r="BZ155" s="18"/>
      <c r="CA155" s="18"/>
      <c r="CB155" s="18"/>
      <c r="CC155" s="60"/>
      <c r="CD155" s="191"/>
      <c r="CE155" s="111"/>
      <c r="CF155" s="448">
        <f>AVERAGE(B155,G155,L155,Q155,V155,AA155,AF155,AK155,AP155,AU155,AZ155,BE155,BJ155)</f>
        <v>0.19476647351515083</v>
      </c>
      <c r="CG155" s="448">
        <f>AVERAGE(C155,H155,M155,R155,W155,AB155,AG155,AL155,AQ155,AV155,BA155,BF155,BK155)</f>
        <v>0.21810111863185022</v>
      </c>
      <c r="CH155" s="448">
        <f>AVERAGE(D155,I155,N155,S155,X155,AC155,AH155,AM155,AR155,AW155,BB48,BG155,BL155)</f>
        <v>0.25426494195681609</v>
      </c>
      <c r="CI155" s="448">
        <f>AVERAGE(E155,J155,O155,T155,Y155,AD155,AI155,AN155,AS155,BM155)</f>
        <v>0.29835861129078167</v>
      </c>
      <c r="CJ155" s="2206"/>
      <c r="CK155" s="2078"/>
      <c r="CL155" s="18">
        <f>BM155</f>
        <v>0.27738836747509377</v>
      </c>
      <c r="CM155" s="18">
        <f>BH155</f>
        <v>0.26149817229526984</v>
      </c>
      <c r="CN155" s="18">
        <v>0.25908166181871578</v>
      </c>
      <c r="CO155" s="2107">
        <f t="shared" si="599"/>
        <v>158.90195179823928</v>
      </c>
      <c r="CP155" s="2107">
        <f t="shared" si="599"/>
        <v>183.06705656377986</v>
      </c>
      <c r="CQ155" s="44"/>
      <c r="CR155" s="40"/>
      <c r="CS155" s="40"/>
      <c r="CT155" s="40"/>
      <c r="CU155" s="40"/>
      <c r="CV155" s="40"/>
      <c r="CW155" s="40"/>
      <c r="CX155" s="40"/>
      <c r="CY155" s="139"/>
      <c r="CZ155"/>
      <c r="DA155"/>
      <c r="DB155"/>
      <c r="DC155"/>
      <c r="DD155"/>
      <c r="DE155"/>
      <c r="DF155" s="3"/>
      <c r="DG155" s="3"/>
      <c r="DH155" s="3"/>
      <c r="DI155" s="3"/>
      <c r="DJ155" s="3"/>
    </row>
    <row r="156" spans="1:114" s="178" customFormat="1" ht="12.75" customHeight="1">
      <c r="A156" s="58" t="s">
        <v>150</v>
      </c>
      <c r="B156" s="368"/>
      <c r="C156" s="18"/>
      <c r="D156" s="18"/>
      <c r="E156" s="18"/>
      <c r="F156" s="65">
        <f>F153/F$122</f>
        <v>1.6256113828368164</v>
      </c>
      <c r="G156" s="18">
        <f>IF(OR(ISERROR(G153/G$122),G153=0),"",G153/G$122)</f>
        <v>0.70939818631492169</v>
      </c>
      <c r="H156" s="18">
        <f>IF(OR(ISERROR(H153/H$122),H153=0),"",H153/H$122)</f>
        <v>0.67167307020607725</v>
      </c>
      <c r="I156" s="18">
        <f>IF(OR(ISERROR(I153/I$122),I153=0),"",I153/I$122)</f>
        <v>0.68200983836964157</v>
      </c>
      <c r="J156" s="18">
        <f>IF(OR(ISERROR(J153/J$122),J153=0),"",J153/J$122)</f>
        <v>0.79060150375940175</v>
      </c>
      <c r="K156" s="65">
        <f>K153/K$122</f>
        <v>0.71218156553960232</v>
      </c>
      <c r="L156" s="18">
        <f>IF(OR(ISERROR(L153/L$122),L153=0),"",L153/L$122)</f>
        <v>0.75529801324503287</v>
      </c>
      <c r="M156" s="18">
        <f>IF(OR(ISERROR(M153/M$122),M153=0),"",M153/M$122)</f>
        <v>0.63801935116676167</v>
      </c>
      <c r="N156" s="18">
        <f>IF(OR(ISERROR(N153/N$122),N153=0),"",N153/N$122)</f>
        <v>0.74483437192522151</v>
      </c>
      <c r="O156" s="18">
        <f>IF(OR(ISERROR(O153/O$122),O153=0),"",O153/O$122)</f>
        <v>0.81020680453635774</v>
      </c>
      <c r="P156" s="65">
        <f>P153/P$122</f>
        <v>0.73308957952468001</v>
      </c>
      <c r="Q156" s="18">
        <f>IF(OR(ISERROR(Q153/Q$122),Q153=0),"",Q153/Q$122)</f>
        <v>0.76829268292682928</v>
      </c>
      <c r="R156" s="18">
        <f>IF(OR(ISERROR(R153/R$122),R153=0),"",R153/R$122)</f>
        <v>0.73370859493396812</v>
      </c>
      <c r="S156" s="18">
        <f>IF(OR(ISERROR(S153/S$122),S153=0),"",S153/S$122)</f>
        <v>0.69019951764963849</v>
      </c>
      <c r="T156" s="18">
        <f>IF(OR(ISERROR(T153/T$122),T153=0),"",T153/T$122)</f>
        <v>0.84838985465944672</v>
      </c>
      <c r="U156" s="65">
        <f t="shared" ref="U156:AO156" si="601">U153/U$122</f>
        <v>0.75430341294895464</v>
      </c>
      <c r="V156" s="18">
        <f t="shared" si="601"/>
        <v>1.118661607450846</v>
      </c>
      <c r="W156" s="18">
        <f t="shared" si="601"/>
        <v>0.91702257474069571</v>
      </c>
      <c r="X156" s="18">
        <f t="shared" si="601"/>
        <v>0.78321011209158098</v>
      </c>
      <c r="Y156" s="18">
        <f t="shared" si="601"/>
        <v>0.88103034271992997</v>
      </c>
      <c r="Z156" s="65">
        <f t="shared" si="601"/>
        <v>0.90756471139054262</v>
      </c>
      <c r="AA156" s="18">
        <f t="shared" si="601"/>
        <v>0.73661417322834644</v>
      </c>
      <c r="AB156" s="18">
        <f t="shared" si="601"/>
        <v>0.66676946800308412</v>
      </c>
      <c r="AC156" s="18">
        <f t="shared" si="601"/>
        <v>0.68671853292581309</v>
      </c>
      <c r="AD156" s="18">
        <f t="shared" si="601"/>
        <v>0.89564564564564608</v>
      </c>
      <c r="AE156" s="65">
        <f t="shared" si="601"/>
        <v>0.73807646008882999</v>
      </c>
      <c r="AF156" s="18">
        <f t="shared" si="601"/>
        <v>0.78659022137282986</v>
      </c>
      <c r="AG156" s="18">
        <f t="shared" si="601"/>
        <v>0.8546606040922381</v>
      </c>
      <c r="AH156" s="18">
        <f t="shared" si="601"/>
        <v>1.0925386184785779</v>
      </c>
      <c r="AI156" s="18">
        <f t="shared" si="601"/>
        <v>1.6099965409892769</v>
      </c>
      <c r="AJ156" s="65">
        <f t="shared" si="601"/>
        <v>1.0768310673418124</v>
      </c>
      <c r="AK156" s="18">
        <f t="shared" si="601"/>
        <v>1.5768492543924397</v>
      </c>
      <c r="AL156" s="18">
        <f t="shared" si="601"/>
        <v>1.3477849970466624</v>
      </c>
      <c r="AM156" s="18">
        <f>AM153/AM$122</f>
        <v>1.862756952841597</v>
      </c>
      <c r="AN156" s="18">
        <f>AN153/AN$122</f>
        <v>1.6316159101066208</v>
      </c>
      <c r="AO156" s="65">
        <f t="shared" si="601"/>
        <v>1.6198652786282914</v>
      </c>
      <c r="AP156" s="18">
        <f>AP153/AP$122</f>
        <v>1.60350553505535</v>
      </c>
      <c r="AQ156" s="18">
        <f>AQ153/AQ$122</f>
        <v>1.6318510858324717</v>
      </c>
      <c r="AR156" s="18">
        <f>AR153/AR$122</f>
        <v>1.2876908944769769</v>
      </c>
      <c r="AS156" s="18">
        <f>AS153/AS$122</f>
        <v>0.99005125113054004</v>
      </c>
      <c r="AT156" s="65">
        <f>AT153/AT$122</f>
        <v>1.2552628169835149</v>
      </c>
      <c r="AU156" s="18">
        <f t="shared" ref="AU156:AZ156" si="602">AU153/AU$122</f>
        <v>0.98779067776293739</v>
      </c>
      <c r="AV156" s="18">
        <f t="shared" si="602"/>
        <v>0.88434397308607526</v>
      </c>
      <c r="AW156" s="18">
        <f t="shared" si="602"/>
        <v>0.86031318172992366</v>
      </c>
      <c r="AX156" s="18">
        <f t="shared" si="602"/>
        <v>0.85967256932843283</v>
      </c>
      <c r="AY156" s="567">
        <f t="shared" si="602"/>
        <v>0.87586493430317991</v>
      </c>
      <c r="AZ156" s="368">
        <f t="shared" si="602"/>
        <v>0.88710907704042719</v>
      </c>
      <c r="BA156" s="18">
        <f t="shared" ref="BA156:BE156" si="603">BA153/BA$122</f>
        <v>0.84329532048761302</v>
      </c>
      <c r="BB156" s="18">
        <f t="shared" si="603"/>
        <v>0.85232930298719767</v>
      </c>
      <c r="BC156" s="18">
        <f t="shared" si="603"/>
        <v>0.86255863265437249</v>
      </c>
      <c r="BD156" s="1957">
        <f t="shared" si="603"/>
        <v>0.8582519771719922</v>
      </c>
      <c r="BE156" s="368">
        <f t="shared" si="603"/>
        <v>0.84280894664500805</v>
      </c>
      <c r="BF156" s="18">
        <f t="shared" ref="BF156:BJ156" si="604">BF153/BF$122</f>
        <v>0.79345029239766052</v>
      </c>
      <c r="BG156" s="18">
        <f t="shared" si="604"/>
        <v>0.79453500645009967</v>
      </c>
      <c r="BH156" s="18">
        <f t="shared" si="604"/>
        <v>0.83725398858739963</v>
      </c>
      <c r="BI156" s="1957">
        <f t="shared" si="604"/>
        <v>0.81663052841060968</v>
      </c>
      <c r="BJ156" s="368">
        <f t="shared" si="604"/>
        <v>0.82326594843239309</v>
      </c>
      <c r="BK156" s="18">
        <f t="shared" ref="BK156:BN156" si="605">BK153/BK$122</f>
        <v>0.79376780030155802</v>
      </c>
      <c r="BL156" s="191">
        <f t="shared" si="605"/>
        <v>0.80031446540880513</v>
      </c>
      <c r="BM156" s="18">
        <f t="shared" si="605"/>
        <v>0.83188273018781511</v>
      </c>
      <c r="BN156" s="1957">
        <f t="shared" si="605"/>
        <v>0.81247931605074464</v>
      </c>
      <c r="BO156" s="368">
        <f t="shared" ref="BO156:BP156" si="606">BO153/BO$122</f>
        <v>0.80842842459263442</v>
      </c>
      <c r="BP156" s="18">
        <f t="shared" si="606"/>
        <v>0.77488347677400882</v>
      </c>
      <c r="BQ156" s="18">
        <f t="shared" ref="BQ156:BS156" si="607">BQ153/BQ$122</f>
        <v>0.77670757214939989</v>
      </c>
      <c r="BR156" s="2162">
        <f t="shared" si="607"/>
        <v>0.79446825023350875</v>
      </c>
      <c r="BS156" s="1957">
        <f t="shared" si="607"/>
        <v>0.78813507637462343</v>
      </c>
      <c r="BT156" s="19"/>
      <c r="BU156" s="19"/>
      <c r="BV156" s="19"/>
      <c r="BW156" s="19"/>
      <c r="BX156" s="65">
        <f>BX153/BX$122</f>
        <v>0.77841537107175507</v>
      </c>
      <c r="BY156" s="19"/>
      <c r="BZ156" s="19"/>
      <c r="CA156" s="19"/>
      <c r="CB156" s="19"/>
      <c r="CC156" s="65">
        <f>CC153/CC$122</f>
        <v>0.77075501601373275</v>
      </c>
      <c r="CD156" s="196"/>
      <c r="CE156" s="116"/>
      <c r="CF156" s="173"/>
      <c r="CG156" s="173"/>
      <c r="CH156" s="173"/>
      <c r="CI156" s="239"/>
      <c r="CJ156" s="177"/>
      <c r="CK156" s="2070"/>
      <c r="CL156" s="18">
        <f>BM156</f>
        <v>0.83188273018781511</v>
      </c>
      <c r="CM156" s="18">
        <f>BH156</f>
        <v>0.83725398858739963</v>
      </c>
      <c r="CN156" s="2198">
        <v>0.81466934499827448</v>
      </c>
      <c r="CO156" s="2107">
        <f t="shared" si="599"/>
        <v>-53.712583995845222</v>
      </c>
      <c r="CP156" s="2107">
        <f t="shared" si="599"/>
        <v>172.13385189540631</v>
      </c>
      <c r="CQ156" s="44"/>
      <c r="CR156" s="41"/>
      <c r="CS156" s="41"/>
      <c r="CT156" s="41"/>
      <c r="CU156" s="41"/>
      <c r="CV156" s="41"/>
      <c r="CW156" s="41"/>
      <c r="CX156" s="41"/>
      <c r="CY156" s="116"/>
      <c r="CZ156"/>
      <c r="DA156"/>
      <c r="DB156"/>
      <c r="DC156"/>
      <c r="DD156"/>
      <c r="DE156"/>
      <c r="DF156" s="19"/>
      <c r="DG156" s="19"/>
      <c r="DH156" s="19"/>
      <c r="DI156" s="19"/>
      <c r="DJ156" s="19"/>
    </row>
    <row r="157" spans="1:114" s="1" customFormat="1" ht="12.75" customHeight="1" outlineLevel="1">
      <c r="A157" s="152" t="s">
        <v>199</v>
      </c>
      <c r="B157" s="552"/>
      <c r="C157" s="56"/>
      <c r="D157" s="56"/>
      <c r="E157" s="56"/>
      <c r="F157" s="64"/>
      <c r="G157" s="56"/>
      <c r="H157" s="56"/>
      <c r="I157" s="56"/>
      <c r="J157" s="56"/>
      <c r="K157" s="64"/>
      <c r="L157" s="56"/>
      <c r="M157" s="56"/>
      <c r="N157" s="56"/>
      <c r="O157" s="56"/>
      <c r="P157" s="64"/>
      <c r="Q157" s="56"/>
      <c r="R157" s="56"/>
      <c r="S157" s="56"/>
      <c r="T157" s="56"/>
      <c r="U157" s="64"/>
      <c r="V157" s="56"/>
      <c r="W157" s="56"/>
      <c r="X157" s="56"/>
      <c r="Y157" s="56"/>
      <c r="Z157" s="64"/>
      <c r="AA157" s="56"/>
      <c r="AB157" s="56"/>
      <c r="AC157" s="56"/>
      <c r="AD157" s="56"/>
      <c r="AE157" s="64"/>
      <c r="AF157" s="56"/>
      <c r="AG157" s="56"/>
      <c r="AH157" s="56"/>
      <c r="AI157" s="56"/>
      <c r="AJ157" s="64"/>
      <c r="AK157" s="56"/>
      <c r="AL157" s="56"/>
      <c r="AM157" s="56"/>
      <c r="AN157" s="56"/>
      <c r="AO157" s="64"/>
      <c r="AP157" s="552"/>
      <c r="AQ157" s="552"/>
      <c r="AR157" s="552"/>
      <c r="AS157" s="552"/>
      <c r="AT157" s="64"/>
      <c r="AU157" s="2137"/>
      <c r="AV157" s="2137">
        <f>+AV158+AV160-AV153</f>
        <v>22.64400000000002</v>
      </c>
      <c r="AW157" s="2137"/>
      <c r="AX157" s="2138"/>
      <c r="AY157" s="64"/>
      <c r="AZ157" s="2137"/>
      <c r="BA157" s="2137"/>
      <c r="BB157" s="2137"/>
      <c r="BC157" s="2138"/>
      <c r="BD157" s="2139"/>
      <c r="BE157" s="2137"/>
      <c r="BF157" s="2137"/>
      <c r="BG157" s="2137"/>
      <c r="BH157" s="2138"/>
      <c r="BI157" s="2139"/>
      <c r="BJ157" s="2137"/>
      <c r="BK157" s="2137"/>
      <c r="BL157" s="2402"/>
      <c r="BM157" s="2138"/>
      <c r="BN157" s="2139"/>
      <c r="BO157" s="2137"/>
      <c r="BP157" s="2137"/>
      <c r="BQ157" s="2137"/>
      <c r="BR157" s="56"/>
      <c r="BS157" s="2139"/>
      <c r="BT157" s="55"/>
      <c r="BU157" s="55"/>
      <c r="BV157" s="55"/>
      <c r="BW157" s="55"/>
      <c r="BX157" s="64"/>
      <c r="BY157" s="55"/>
      <c r="BZ157" s="55"/>
      <c r="CA157" s="55"/>
      <c r="CB157" s="55"/>
      <c r="CC157" s="64"/>
      <c r="CD157" s="196"/>
      <c r="CE157" s="116"/>
      <c r="CF157" s="173"/>
      <c r="CG157" s="173"/>
      <c r="CH157" s="173"/>
      <c r="CI157" s="239"/>
      <c r="CJ157" s="177"/>
      <c r="CK157" s="2070"/>
      <c r="CL157" s="56"/>
      <c r="CM157" s="56"/>
      <c r="CN157" s="56"/>
      <c r="CO157" s="2095"/>
      <c r="CP157" s="2095"/>
      <c r="CQ157" s="44"/>
      <c r="CR157" s="41"/>
      <c r="CS157" s="41"/>
      <c r="CT157" s="41"/>
      <c r="CU157" s="41"/>
      <c r="CV157" s="41"/>
      <c r="CW157" s="41"/>
      <c r="CX157" s="41"/>
      <c r="CY157" s="116"/>
      <c r="CZ157"/>
      <c r="DA157"/>
      <c r="DB157"/>
      <c r="DC157"/>
      <c r="DD157"/>
      <c r="DE157"/>
      <c r="DF157" s="3"/>
      <c r="DG157" s="3"/>
      <c r="DH157" s="3"/>
      <c r="DI157" s="3"/>
      <c r="DJ157" s="3"/>
    </row>
    <row r="158" spans="1:114" s="250" customFormat="1" ht="12.75" customHeight="1" outlineLevel="1">
      <c r="A158" s="380" t="s">
        <v>188</v>
      </c>
      <c r="B158" s="370"/>
      <c r="C158" s="4"/>
      <c r="D158" s="278"/>
      <c r="E158" s="278"/>
      <c r="F158" s="271">
        <v>4.7189999999999994</v>
      </c>
      <c r="G158" s="4">
        <v>1.4649999999999999</v>
      </c>
      <c r="H158" s="4">
        <v>1.669</v>
      </c>
      <c r="I158" s="278">
        <v>1.704</v>
      </c>
      <c r="J158" s="278">
        <v>1.8360000000000005</v>
      </c>
      <c r="K158" s="271">
        <v>6.6740000000000004</v>
      </c>
      <c r="L158" s="4">
        <v>1.901</v>
      </c>
      <c r="M158" s="4">
        <v>1.8560000000000001</v>
      </c>
      <c r="N158" s="278">
        <v>1.907</v>
      </c>
      <c r="O158" s="278">
        <v>1.988</v>
      </c>
      <c r="P158" s="271">
        <v>7.6519999999999992</v>
      </c>
      <c r="Q158" s="4">
        <v>2.7410000000000001</v>
      </c>
      <c r="R158" s="4">
        <v>2.9819999999999998</v>
      </c>
      <c r="S158" s="278">
        <v>2.714</v>
      </c>
      <c r="T158" s="278">
        <v>2.6080000000000001</v>
      </c>
      <c r="U158" s="271">
        <v>11.045000000000002</v>
      </c>
      <c r="V158" s="4">
        <v>2.8150000000000004</v>
      </c>
      <c r="W158" s="4">
        <v>2.5030000000000001</v>
      </c>
      <c r="X158" s="278">
        <v>2.8540000000000001</v>
      </c>
      <c r="Y158" s="278">
        <v>3.5430000000000001</v>
      </c>
      <c r="Z158" s="271">
        <v>11.715</v>
      </c>
      <c r="AA158" s="4">
        <v>3.597</v>
      </c>
      <c r="AB158" s="4">
        <v>4.0609999999999999</v>
      </c>
      <c r="AC158" s="4">
        <v>4.7750000000000004</v>
      </c>
      <c r="AD158" s="4">
        <v>4.6139999999999999</v>
      </c>
      <c r="AE158" s="271">
        <v>17.047000000000001</v>
      </c>
      <c r="AF158" s="4">
        <v>4.6959999999999997</v>
      </c>
      <c r="AG158" s="4">
        <v>4.5949999999999998</v>
      </c>
      <c r="AH158" s="4">
        <v>4.6290000000000004</v>
      </c>
      <c r="AI158" s="4">
        <v>4.8089999999999993</v>
      </c>
      <c r="AJ158" s="271">
        <v>18.728999999999999</v>
      </c>
      <c r="AK158" s="4">
        <v>4.83</v>
      </c>
      <c r="AL158" s="4">
        <v>6.4379999999999997</v>
      </c>
      <c r="AM158" s="4">
        <v>10.964</v>
      </c>
      <c r="AN158" s="4">
        <v>16.692999999999998</v>
      </c>
      <c r="AO158" s="271">
        <v>38.924999999999997</v>
      </c>
      <c r="AP158" s="250">
        <v>18.954999999999998</v>
      </c>
      <c r="AQ158" s="250">
        <v>22.664999999999999</v>
      </c>
      <c r="AR158" s="4">
        <v>36</v>
      </c>
      <c r="AS158" s="4">
        <v>50.000999999999998</v>
      </c>
      <c r="AT158" s="271">
        <v>127.62100000000001</v>
      </c>
      <c r="AU158" s="250">
        <v>58.095000000000006</v>
      </c>
      <c r="AV158" s="250">
        <v>115.35900000000001</v>
      </c>
      <c r="AW158" s="4">
        <v>120.15900000000001</v>
      </c>
      <c r="AX158" s="4">
        <f>92.5+29.7</f>
        <v>122.2</v>
      </c>
      <c r="AY158" s="370">
        <f>SUM(AU158:AX158)</f>
        <v>415.81299999999999</v>
      </c>
      <c r="AZ158" s="370">
        <f>+AZ86-AZ92</f>
        <v>117.7</v>
      </c>
      <c r="BA158" s="250">
        <f>+BA86-BA92</f>
        <v>170.5</v>
      </c>
      <c r="BB158" s="250">
        <f>+BB86-BB92</f>
        <v>276.79999999999995</v>
      </c>
      <c r="BC158" s="4">
        <f>+BC86-BC92</f>
        <v>546.6</v>
      </c>
      <c r="BD158" s="1956">
        <f>SUM(AZ158:BC158)</f>
        <v>1111.5999999999999</v>
      </c>
      <c r="BE158" s="370">
        <f>+BE86-BE92</f>
        <v>574.69999999999993</v>
      </c>
      <c r="BF158" s="250">
        <f>+BF86-BF92</f>
        <v>539.79999999999995</v>
      </c>
      <c r="BG158" s="188">
        <f>+BG86-BG92</f>
        <v>537.59999999999991</v>
      </c>
      <c r="BH158" s="4">
        <f>+BH86-BH92</f>
        <v>526.79999999999995</v>
      </c>
      <c r="BI158" s="1956">
        <f>SUM(BE158:BH158)</f>
        <v>2178.8999999999996</v>
      </c>
      <c r="BJ158" s="370">
        <f>+BJ86-BJ92</f>
        <v>519.9</v>
      </c>
      <c r="BK158" s="250">
        <f>+BK86-BK92</f>
        <v>532.20000000000005</v>
      </c>
      <c r="BL158" s="250">
        <f>+BL86-BL92</f>
        <v>539.70000000000005</v>
      </c>
      <c r="BM158" s="4">
        <f>+BM86-BM92</f>
        <v>565.90000000000009</v>
      </c>
      <c r="BN158" s="1956">
        <f>SUM(BJ158:BM158)</f>
        <v>2157.6999999999998</v>
      </c>
      <c r="BO158" s="573"/>
      <c r="BP158" s="4"/>
      <c r="BQ158" s="188"/>
      <c r="BR158" s="2194"/>
      <c r="BS158" s="1956"/>
      <c r="BT158" s="4"/>
      <c r="BU158" s="4"/>
      <c r="BV158" s="4"/>
      <c r="BW158" s="4"/>
      <c r="BX158" s="271"/>
      <c r="BY158" s="4"/>
      <c r="BZ158" s="4"/>
      <c r="CA158" s="4"/>
      <c r="CB158" s="4"/>
      <c r="CC158" s="271"/>
      <c r="CD158" s="196"/>
      <c r="CE158" s="116"/>
      <c r="CF158" s="173"/>
      <c r="CG158" s="173"/>
      <c r="CH158" s="173"/>
      <c r="CI158" s="239"/>
      <c r="CJ158" s="177"/>
      <c r="CK158" s="2070"/>
      <c r="CN158" s="4"/>
      <c r="CO158" s="2092"/>
      <c r="CP158" s="2092"/>
      <c r="CQ158" s="44"/>
      <c r="CR158" s="41"/>
      <c r="CS158" s="41"/>
      <c r="CT158" s="41"/>
      <c r="CU158" s="41"/>
      <c r="CV158" s="41"/>
      <c r="CW158" s="41"/>
      <c r="CX158" s="41"/>
      <c r="CY158" s="116"/>
      <c r="CZ158"/>
      <c r="DA158"/>
      <c r="DB158"/>
      <c r="DC158"/>
      <c r="DD158"/>
      <c r="DE158"/>
    </row>
    <row r="159" spans="1:114" s="250" customFormat="1" ht="12.75" customHeight="1" outlineLevel="1">
      <c r="A159" s="380" t="s">
        <v>225</v>
      </c>
      <c r="B159" s="370"/>
      <c r="C159" s="4"/>
      <c r="D159" s="4"/>
      <c r="E159" s="4"/>
      <c r="F159" s="271"/>
      <c r="G159" s="4"/>
      <c r="H159" s="4"/>
      <c r="I159" s="4"/>
      <c r="J159" s="4"/>
      <c r="K159" s="271"/>
      <c r="L159" s="4"/>
      <c r="M159" s="4"/>
      <c r="N159" s="4"/>
      <c r="O159" s="4"/>
      <c r="P159" s="271"/>
      <c r="Q159" s="4"/>
      <c r="R159" s="4"/>
      <c r="S159" s="4"/>
      <c r="T159" s="4"/>
      <c r="U159" s="271"/>
      <c r="V159" s="4"/>
      <c r="W159" s="4"/>
      <c r="X159" s="4"/>
      <c r="Y159" s="4"/>
      <c r="Z159" s="271"/>
      <c r="AA159" s="4"/>
      <c r="AB159" s="4"/>
      <c r="AC159" s="4"/>
      <c r="AD159" s="4"/>
      <c r="AE159" s="271"/>
      <c r="AF159" s="4"/>
      <c r="AG159" s="4"/>
      <c r="AH159" s="4"/>
      <c r="AI159" s="4"/>
      <c r="AJ159" s="271"/>
      <c r="AK159" s="4"/>
      <c r="AL159" s="4"/>
      <c r="AM159" s="4"/>
      <c r="AN159" s="4"/>
      <c r="AO159" s="271"/>
      <c r="AR159" s="4"/>
      <c r="AS159" s="4"/>
      <c r="AT159" s="271"/>
      <c r="AW159" s="4">
        <v>45.616</v>
      </c>
      <c r="AX159" s="4">
        <v>153.4</v>
      </c>
      <c r="AY159" s="370">
        <f>SUM(AU159:AX159)</f>
        <v>199.01600000000002</v>
      </c>
      <c r="AZ159" s="370">
        <f>AZ112-AZ118</f>
        <v>134</v>
      </c>
      <c r="BA159" s="250">
        <f>BA112-BA118</f>
        <v>308.10000000000002</v>
      </c>
      <c r="BB159" s="250">
        <f>BB112-BB118</f>
        <v>768.8</v>
      </c>
      <c r="BC159" s="4">
        <f>BC112-BC118</f>
        <v>933.00000000000011</v>
      </c>
      <c r="BD159" s="1956">
        <f>SUM(AZ159:BC159)</f>
        <v>2143.9</v>
      </c>
      <c r="BE159" s="370">
        <f>BE112-BE118</f>
        <v>909.8</v>
      </c>
      <c r="BF159" s="250">
        <f>BF112-BF118</f>
        <v>950.5</v>
      </c>
      <c r="BG159" s="250">
        <f>BG112-BG118</f>
        <v>951.09999999999991</v>
      </c>
      <c r="BH159" s="4">
        <f>BH112-BH118</f>
        <v>1029</v>
      </c>
      <c r="BI159" s="1956">
        <f>SUM(BE159:BH159)</f>
        <v>3840.3999999999996</v>
      </c>
      <c r="BJ159" s="370">
        <f>BJ112-BJ118</f>
        <v>967.5</v>
      </c>
      <c r="BK159" s="250">
        <f>BK112-BK118</f>
        <v>1016.7</v>
      </c>
      <c r="BL159" s="250">
        <f>BL112-BL118</f>
        <v>1073.5</v>
      </c>
      <c r="BM159" s="4">
        <f>BM112-BM118</f>
        <v>1188.0999999999999</v>
      </c>
      <c r="BN159" s="1956">
        <f>SUM(BJ159:BM159)</f>
        <v>4245.7999999999993</v>
      </c>
      <c r="BO159" s="441"/>
      <c r="BP159" s="4"/>
      <c r="BR159" s="2194"/>
      <c r="BS159" s="1956"/>
      <c r="BT159" s="4"/>
      <c r="BU159" s="4"/>
      <c r="BV159" s="4"/>
      <c r="BW159" s="4"/>
      <c r="BX159" s="271"/>
      <c r="BY159" s="4"/>
      <c r="BZ159" s="4"/>
      <c r="CA159" s="4"/>
      <c r="CB159" s="4"/>
      <c r="CC159" s="271"/>
      <c r="CD159" s="196"/>
      <c r="CE159" s="116"/>
      <c r="CF159" s="173"/>
      <c r="CG159" s="173"/>
      <c r="CH159" s="173"/>
      <c r="CI159" s="239"/>
      <c r="CJ159" s="177"/>
      <c r="CK159" s="2070"/>
      <c r="CN159" s="4"/>
      <c r="CO159" s="2092"/>
      <c r="CP159" s="2092"/>
      <c r="CQ159" s="44"/>
      <c r="CR159" s="41"/>
      <c r="CS159" s="41"/>
      <c r="CT159" s="41"/>
      <c r="CU159" s="41"/>
      <c r="CV159" s="41"/>
      <c r="CW159" s="41"/>
      <c r="CX159" s="41"/>
      <c r="CY159" s="116"/>
      <c r="CZ159"/>
      <c r="DA159"/>
      <c r="DB159"/>
      <c r="DC159"/>
      <c r="DD159"/>
      <c r="DE159"/>
    </row>
    <row r="160" spans="1:114" s="250" customFormat="1" ht="12.75" customHeight="1" outlineLevel="1">
      <c r="A160" s="380" t="s">
        <v>556</v>
      </c>
      <c r="B160" s="370"/>
      <c r="C160" s="4">
        <f>0.785+0.625</f>
        <v>1.4100000000000001</v>
      </c>
      <c r="D160" s="4">
        <f>0.541+0.097</f>
        <v>0.63800000000000001</v>
      </c>
      <c r="E160" s="4">
        <f>0.568+0.006</f>
        <v>0.57399999999999995</v>
      </c>
      <c r="F160" s="271">
        <f>SUM(B160:E160)</f>
        <v>2.6219999999999999</v>
      </c>
      <c r="G160" s="4">
        <v>0.40400000000000003</v>
      </c>
      <c r="H160" s="4">
        <v>0.34599999999999997</v>
      </c>
      <c r="I160" s="4">
        <v>0.23699999999999999</v>
      </c>
      <c r="J160" s="4">
        <f>1.345-G160-H160-I160</f>
        <v>0.35799999999999998</v>
      </c>
      <c r="K160" s="271">
        <f>SUM(G160:J160)</f>
        <v>1.345</v>
      </c>
      <c r="L160" s="4">
        <f>0.38</f>
        <v>0.38</v>
      </c>
      <c r="M160" s="4">
        <v>0.38600000000000001</v>
      </c>
      <c r="N160" s="4">
        <v>0.36399999999999999</v>
      </c>
      <c r="O160" s="4">
        <v>0.441</v>
      </c>
      <c r="P160" s="271">
        <f>SUM(L160:O160)</f>
        <v>1.571</v>
      </c>
      <c r="Q160" s="4">
        <v>0.40899999999999997</v>
      </c>
      <c r="R160" s="4">
        <v>0.40699999999999997</v>
      </c>
      <c r="S160" s="4">
        <v>0.434</v>
      </c>
      <c r="T160" s="4">
        <v>0.36899999999999999</v>
      </c>
      <c r="U160" s="271">
        <f>SUM(Q160:T160)</f>
        <v>1.619</v>
      </c>
      <c r="V160" s="4">
        <v>0.42799999999999999</v>
      </c>
      <c r="W160" s="4">
        <v>0.503</v>
      </c>
      <c r="X160" s="4">
        <v>0.43</v>
      </c>
      <c r="Y160" s="4">
        <v>0.49299999999999999</v>
      </c>
      <c r="Z160" s="271">
        <f>SUM(V160:Y160)</f>
        <v>1.8540000000000001</v>
      </c>
      <c r="AA160" s="4">
        <v>0.47799999999999998</v>
      </c>
      <c r="AB160" s="4">
        <v>0.53700000000000003</v>
      </c>
      <c r="AC160" s="4">
        <v>0.44400000000000001</v>
      </c>
      <c r="AD160" s="4">
        <v>0.44800000000000001</v>
      </c>
      <c r="AE160" s="271">
        <f>SUM(AA160:AD160)</f>
        <v>1.907</v>
      </c>
      <c r="AF160" s="4">
        <v>0.51100000000000001</v>
      </c>
      <c r="AG160" s="4">
        <v>0.94199999999999995</v>
      </c>
      <c r="AH160" s="4">
        <v>3.121</v>
      </c>
      <c r="AI160" s="4">
        <v>4.7510000000000003</v>
      </c>
      <c r="AJ160" s="271">
        <f>SUM(AF160:AI160)</f>
        <v>9.3249999999999993</v>
      </c>
      <c r="AK160" s="4">
        <v>6.1669999999999998</v>
      </c>
      <c r="AL160" s="4">
        <v>5.3949999999999996</v>
      </c>
      <c r="AM160" s="4">
        <v>8.2430000000000003</v>
      </c>
      <c r="AN160" s="4">
        <v>10.061</v>
      </c>
      <c r="AO160" s="271">
        <f>SUM(AK160:AN160)</f>
        <v>29.866</v>
      </c>
      <c r="AP160" s="250">
        <v>8.6720000000000006</v>
      </c>
      <c r="AQ160" s="250">
        <v>10.69</v>
      </c>
      <c r="AR160" s="4">
        <v>14.154999999999999</v>
      </c>
      <c r="AS160" s="4">
        <v>11.596</v>
      </c>
      <c r="AT160" s="271">
        <f>SUM(AP160:AS160)</f>
        <v>45.113</v>
      </c>
      <c r="AU160" s="250">
        <f>21.664-10.8</f>
        <v>10.864000000000001</v>
      </c>
      <c r="AV160" s="250">
        <f>15.06</f>
        <v>15.06</v>
      </c>
      <c r="AW160" s="4">
        <v>12.119000000000002</v>
      </c>
      <c r="AX160" s="4">
        <f>17.8-1.5</f>
        <v>16.3</v>
      </c>
      <c r="AY160" s="370">
        <f>SUM(AU160:AX160)</f>
        <v>54.343000000000004</v>
      </c>
      <c r="AZ160" s="441">
        <f>+AZ153+AZ162-AZ158-AZ159</f>
        <v>14.199999999999989</v>
      </c>
      <c r="BA160" s="250">
        <f>57.4-39.8-2.5</f>
        <v>15.100000000000001</v>
      </c>
      <c r="BB160" s="250">
        <f>-166.1+BB162+BB118+BB92-0.3</f>
        <v>15.2</v>
      </c>
      <c r="BC160" s="250">
        <f>66.6-30</f>
        <v>36.599999999999994</v>
      </c>
      <c r="BD160" s="1956">
        <f>SUM(AZ160:BC160)</f>
        <v>81.09999999999998</v>
      </c>
      <c r="BE160" s="441">
        <v>32.600000000000023</v>
      </c>
      <c r="BF160" s="250">
        <v>29.3</v>
      </c>
      <c r="BG160" s="250">
        <v>28.900000000000027</v>
      </c>
      <c r="BH160" s="250">
        <v>41.8</v>
      </c>
      <c r="BI160" s="1956">
        <f>SUM(BE160:BH160)</f>
        <v>132.60000000000002</v>
      </c>
      <c r="BJ160" s="441">
        <v>31.6</v>
      </c>
      <c r="BK160" s="250">
        <v>46</v>
      </c>
      <c r="BL160" s="250">
        <v>31.4</v>
      </c>
      <c r="BM160" s="250">
        <v>51</v>
      </c>
      <c r="BN160" s="2237">
        <f>SUM(BJ160:BM160)</f>
        <v>160</v>
      </c>
      <c r="BO160" s="2355">
        <v>35</v>
      </c>
      <c r="BP160" s="284">
        <v>45</v>
      </c>
      <c r="BQ160" s="284">
        <v>47.5</v>
      </c>
      <c r="BR160" s="284">
        <f>+BQ160+10</f>
        <v>57.5</v>
      </c>
      <c r="BS160" s="2434">
        <f>SUM(BO160:BR160)</f>
        <v>185</v>
      </c>
      <c r="BT160" s="4"/>
      <c r="BU160" s="4"/>
      <c r="BV160" s="4"/>
      <c r="BW160" s="4"/>
      <c r="BX160" s="283">
        <f>+BS160-5</f>
        <v>180</v>
      </c>
      <c r="BY160" s="4"/>
      <c r="BZ160" s="4"/>
      <c r="CA160" s="4"/>
      <c r="CB160" s="4"/>
      <c r="CC160" s="283">
        <f>+BX160</f>
        <v>180</v>
      </c>
      <c r="CD160" s="196"/>
      <c r="CE160" s="116"/>
      <c r="CF160" s="173"/>
      <c r="CG160" s="173"/>
      <c r="CH160" s="173"/>
      <c r="CI160" s="239"/>
      <c r="CJ160" s="177"/>
      <c r="CK160" s="2070"/>
      <c r="CN160" s="282">
        <v>35</v>
      </c>
      <c r="CO160" s="2092"/>
      <c r="CP160" s="2092"/>
      <c r="CQ160" s="374" t="s">
        <v>654</v>
      </c>
      <c r="CR160" s="41"/>
      <c r="CS160" s="41"/>
      <c r="CT160" s="41"/>
      <c r="CU160" s="41"/>
      <c r="CV160" s="41"/>
      <c r="CW160" s="41"/>
      <c r="CX160" s="41"/>
      <c r="CY160" s="116"/>
      <c r="CZ160"/>
      <c r="DA160"/>
      <c r="DB160"/>
      <c r="DC160"/>
      <c r="DD160"/>
      <c r="DE160"/>
    </row>
    <row r="161" spans="1:114" s="250" customFormat="1" ht="12.75" customHeight="1" outlineLevel="1">
      <c r="A161" s="380" t="s">
        <v>555</v>
      </c>
      <c r="B161" s="370"/>
      <c r="C161" s="4"/>
      <c r="D161" s="4"/>
      <c r="E161" s="4"/>
      <c r="F161" s="1956"/>
      <c r="G161" s="4"/>
      <c r="H161" s="4"/>
      <c r="I161" s="4"/>
      <c r="J161" s="4"/>
      <c r="K161" s="1956"/>
      <c r="L161" s="4"/>
      <c r="M161" s="4"/>
      <c r="N161" s="4"/>
      <c r="O161" s="4"/>
      <c r="P161" s="1956"/>
      <c r="Q161" s="4"/>
      <c r="R161" s="4"/>
      <c r="S161" s="4"/>
      <c r="T161" s="4"/>
      <c r="U161" s="1956"/>
      <c r="V161" s="4"/>
      <c r="W161" s="4"/>
      <c r="X161" s="4"/>
      <c r="Y161" s="4"/>
      <c r="Z161" s="1956"/>
      <c r="AA161" s="4"/>
      <c r="AB161" s="4"/>
      <c r="AC161" s="4"/>
      <c r="AD161" s="4"/>
      <c r="AE161" s="1956"/>
      <c r="AF161" s="4"/>
      <c r="AG161" s="4"/>
      <c r="AH161" s="4"/>
      <c r="AI161" s="4"/>
      <c r="AJ161" s="1956"/>
      <c r="AK161" s="4"/>
      <c r="AL161" s="4"/>
      <c r="AM161" s="4"/>
      <c r="AN161" s="4"/>
      <c r="AO161" s="1956"/>
      <c r="AR161" s="4"/>
      <c r="AS161" s="4"/>
      <c r="AT161" s="1956"/>
      <c r="AW161" s="4"/>
      <c r="AX161" s="4"/>
      <c r="AY161" s="370"/>
      <c r="AZ161" s="441"/>
      <c r="BC161" s="250">
        <v>-1</v>
      </c>
      <c r="BD161" s="1956">
        <f>SUM(AZ161:BC161)</f>
        <v>-1</v>
      </c>
      <c r="BE161" s="441">
        <v>-0.2</v>
      </c>
      <c r="BF161" s="250">
        <v>-1.4</v>
      </c>
      <c r="BG161" s="250">
        <v>-0.8</v>
      </c>
      <c r="BH161" s="250">
        <v>-1.6</v>
      </c>
      <c r="BI161" s="1956">
        <f>SUM(BE161:BH161)</f>
        <v>-4</v>
      </c>
      <c r="BJ161" s="441">
        <f>-7.3+5.9</f>
        <v>-1.3999999999999995</v>
      </c>
      <c r="BK161" s="250">
        <v>-9.1</v>
      </c>
      <c r="BL161" s="250">
        <v>-1.2</v>
      </c>
      <c r="BM161" s="250">
        <v>-1.3</v>
      </c>
      <c r="BN161" s="1956">
        <f>SUM(BJ161:BM161)</f>
        <v>-13</v>
      </c>
      <c r="BO161" s="2356">
        <f>+BM161</f>
        <v>-1.3</v>
      </c>
      <c r="BP161" s="282">
        <f>+BO161</f>
        <v>-1.3</v>
      </c>
      <c r="BQ161" s="282">
        <f t="shared" ref="BQ161:BR161" si="608">+BP161</f>
        <v>-1.3</v>
      </c>
      <c r="BR161" s="282">
        <f t="shared" si="608"/>
        <v>-1.3</v>
      </c>
      <c r="BS161" s="2000">
        <f>SUM(BO161:BR161)</f>
        <v>-5.2</v>
      </c>
      <c r="BT161" s="4"/>
      <c r="BU161" s="4"/>
      <c r="BV161" s="4"/>
      <c r="BW161" s="4"/>
      <c r="BX161" s="283">
        <f>+BS161</f>
        <v>-5.2</v>
      </c>
      <c r="BY161" s="4"/>
      <c r="BZ161" s="4"/>
      <c r="CA161" s="4"/>
      <c r="CB161" s="4"/>
      <c r="CC161" s="283">
        <f>+BX161</f>
        <v>-5.2</v>
      </c>
      <c r="CD161" s="196"/>
      <c r="CE161" s="116"/>
      <c r="CF161" s="173"/>
      <c r="CG161" s="173"/>
      <c r="CH161" s="173"/>
      <c r="CI161" s="1989"/>
      <c r="CJ161" s="177"/>
      <c r="CK161" s="2070"/>
      <c r="CN161" s="282">
        <v>-1.2</v>
      </c>
      <c r="CO161" s="2092"/>
      <c r="CP161" s="2092"/>
      <c r="CQ161" s="374"/>
      <c r="CR161" s="44" t="s">
        <v>603</v>
      </c>
      <c r="CS161" s="41"/>
      <c r="CT161" s="41"/>
      <c r="CU161" s="41"/>
      <c r="CV161" s="41"/>
      <c r="CW161" s="41"/>
      <c r="CX161" s="41"/>
      <c r="CY161" s="116"/>
      <c r="CZ161"/>
      <c r="DA161"/>
      <c r="DB161"/>
      <c r="DC161"/>
      <c r="DD161"/>
      <c r="DE161"/>
    </row>
    <row r="162" spans="1:114" s="262" customFormat="1" ht="12.75" customHeight="1">
      <c r="A162" s="2012" t="s">
        <v>40</v>
      </c>
      <c r="B162" s="553"/>
      <c r="C162" s="351"/>
      <c r="D162" s="351"/>
      <c r="E162" s="351"/>
      <c r="F162" s="352"/>
      <c r="G162" s="351"/>
      <c r="H162" s="351"/>
      <c r="I162" s="351"/>
      <c r="J162" s="351"/>
      <c r="K162" s="352"/>
      <c r="L162" s="351"/>
      <c r="M162" s="351"/>
      <c r="N162" s="351"/>
      <c r="O162" s="351"/>
      <c r="P162" s="352"/>
      <c r="Q162" s="351"/>
      <c r="R162" s="351"/>
      <c r="S162" s="351"/>
      <c r="T162" s="351"/>
      <c r="U162" s="352"/>
      <c r="V162" s="351"/>
      <c r="W162" s="351"/>
      <c r="X162" s="351"/>
      <c r="Y162" s="351"/>
      <c r="Z162" s="352"/>
      <c r="AA162" s="351">
        <v>0.33299999999999996</v>
      </c>
      <c r="AB162" s="351">
        <v>0.27400000000000002</v>
      </c>
      <c r="AC162" s="351">
        <v>0.27600000000000002</v>
      </c>
      <c r="AD162" s="351">
        <v>0.29000000000000004</v>
      </c>
      <c r="AE162" s="352">
        <f>SUM(AA162:AD162)</f>
        <v>1.173</v>
      </c>
      <c r="AF162" s="351">
        <v>0.26800000000000002</v>
      </c>
      <c r="AG162" s="351">
        <v>0.27400000000000002</v>
      </c>
      <c r="AH162" s="351">
        <v>0.253</v>
      </c>
      <c r="AI162" s="351">
        <v>0.251</v>
      </c>
      <c r="AJ162" s="352">
        <f>SUM(AF162:AI162)</f>
        <v>1.046</v>
      </c>
      <c r="AK162" s="351">
        <f>0.741-AL162</f>
        <v>0.317</v>
      </c>
      <c r="AL162" s="351">
        <v>0.42399999999999999</v>
      </c>
      <c r="AM162" s="351">
        <v>0.72099999999999997</v>
      </c>
      <c r="AN162" s="351">
        <v>1.198</v>
      </c>
      <c r="AO162" s="352">
        <f>SUM(AK162:AN162)</f>
        <v>2.66</v>
      </c>
      <c r="AP162" s="351">
        <v>1.554</v>
      </c>
      <c r="AQ162" s="351">
        <f>3.349-AP162</f>
        <v>1.7950000000000002</v>
      </c>
      <c r="AR162" s="351">
        <v>5.2960000000000012</v>
      </c>
      <c r="AS162" s="351">
        <v>9.0519999999999996</v>
      </c>
      <c r="AT162" s="352">
        <f>SUM(AP162:AS162)</f>
        <v>17.697000000000003</v>
      </c>
      <c r="AU162" s="351">
        <v>11.273</v>
      </c>
      <c r="AV162" s="351">
        <f>36.5-AU162</f>
        <v>25.227</v>
      </c>
      <c r="AW162" s="351">
        <v>27.247</v>
      </c>
      <c r="AX162" s="351">
        <v>34.6</v>
      </c>
      <c r="AY162" s="553">
        <f>SUM(AU162:AX162)</f>
        <v>98.347000000000008</v>
      </c>
      <c r="AZ162" s="553">
        <f t="shared" ref="AZ162:BB162" si="609">+SUM(AZ166,AZ169:AZ170)</f>
        <v>33.299999999999997</v>
      </c>
      <c r="BA162" s="351">
        <f t="shared" si="609"/>
        <v>54.2</v>
      </c>
      <c r="BB162" s="351">
        <f t="shared" si="609"/>
        <v>102.1</v>
      </c>
      <c r="BC162" s="351">
        <f t="shared" ref="BC162:BF162" si="610">+SUM(BC166,BC169:BC170)</f>
        <v>172.8</v>
      </c>
      <c r="BD162" s="352">
        <f>SUM(AZ162:BC162)</f>
        <v>362.4</v>
      </c>
      <c r="BE162" s="553">
        <f t="shared" si="610"/>
        <v>167.9</v>
      </c>
      <c r="BF162" s="351">
        <f t="shared" si="610"/>
        <v>161.4</v>
      </c>
      <c r="BG162" s="351">
        <f>+SUM(BG166,BG169:BG170)</f>
        <v>161.80000000000001</v>
      </c>
      <c r="BH162" s="351">
        <f t="shared" ref="BH162" si="611">+SUM(BH166,BH169:BH170)</f>
        <v>158.10000000000002</v>
      </c>
      <c r="BI162" s="352">
        <f>SUM(BE162:BH162)</f>
        <v>649.20000000000005</v>
      </c>
      <c r="BJ162" s="553">
        <f>+SUM(BJ166,BJ169:BJ170)</f>
        <v>157.4</v>
      </c>
      <c r="BK162" s="351">
        <f>+SUM(BK166,BK169:BK170)</f>
        <v>164.4</v>
      </c>
      <c r="BL162" s="351">
        <f>+SUM(BL166,BL169:BL170)</f>
        <v>167.29999999999998</v>
      </c>
      <c r="BM162" s="351">
        <f t="shared" ref="BM162" si="612">+SUM(BM166,BM169:BM170)</f>
        <v>169.3</v>
      </c>
      <c r="BN162" s="352">
        <f>SUM(BJ162:BM162)</f>
        <v>658.40000000000009</v>
      </c>
      <c r="BO162" s="542">
        <f t="shared" ref="BO162:BP162" si="613">BO166+BO169+BO170</f>
        <v>172.6</v>
      </c>
      <c r="BP162" s="258">
        <f t="shared" si="613"/>
        <v>171.7</v>
      </c>
      <c r="BQ162" s="258">
        <f t="shared" ref="BQ162:BR162" si="614">BQ166+BQ169+BQ170</f>
        <v>173.7</v>
      </c>
      <c r="BR162" s="2191">
        <f t="shared" si="614"/>
        <v>171.2</v>
      </c>
      <c r="BS162" s="352">
        <f>SUM(BO162:BR162)</f>
        <v>689.2</v>
      </c>
      <c r="BT162" s="509"/>
      <c r="BU162" s="509"/>
      <c r="BV162" s="509"/>
      <c r="BW162" s="509"/>
      <c r="BX162" s="2011">
        <f>+BX122*BX164</f>
        <v>736.39064780123442</v>
      </c>
      <c r="BY162" s="509"/>
      <c r="BZ162" s="509"/>
      <c r="CA162" s="509"/>
      <c r="CB162" s="509"/>
      <c r="CC162" s="2011">
        <f>+CC122*CC164</f>
        <v>787.47465569212966</v>
      </c>
      <c r="CE162" s="263"/>
      <c r="CF162" s="264"/>
      <c r="CG162" s="264"/>
      <c r="CH162" s="264"/>
      <c r="CI162" s="265"/>
      <c r="CK162" s="2072"/>
      <c r="CL162" s="351">
        <f>BM162</f>
        <v>169.3</v>
      </c>
      <c r="CM162" s="351">
        <f>BH162</f>
        <v>158.10000000000002</v>
      </c>
      <c r="CN162" s="351">
        <v>163</v>
      </c>
      <c r="CO162" s="2094">
        <f>IFERROR(($CL162/CM162)-1,"")</f>
        <v>7.0841239721695093E-2</v>
      </c>
      <c r="CP162" s="2094">
        <f>IFERROR(($CL162/CN162)-1,"")</f>
        <v>3.8650306748466257E-2</v>
      </c>
      <c r="CQ162" s="454" t="s">
        <v>642</v>
      </c>
      <c r="CR162" s="454"/>
      <c r="CS162" s="258"/>
      <c r="CT162" s="258"/>
      <c r="CU162" s="258"/>
      <c r="CV162" s="258"/>
      <c r="CW162" s="258"/>
      <c r="CX162" s="258"/>
      <c r="CY162" s="263"/>
      <c r="CZ162"/>
      <c r="DA162"/>
      <c r="DB162"/>
      <c r="DC162"/>
      <c r="DD162"/>
      <c r="DE162"/>
      <c r="DF162" s="266"/>
      <c r="DG162" s="266"/>
      <c r="DH162" s="266"/>
      <c r="DI162" s="266"/>
      <c r="DJ162" s="266"/>
    </row>
    <row r="163" spans="1:114" s="178" customFormat="1" ht="12.75" customHeight="1">
      <c r="A163" s="76" t="s">
        <v>85</v>
      </c>
      <c r="B163" s="368"/>
      <c r="C163" s="18"/>
      <c r="D163" s="18"/>
      <c r="E163" s="18"/>
      <c r="F163" s="60" t="str">
        <f>IF(ISERROR((F162-#REF!)/#REF!),"",(F162-#REF!)/#REF!)</f>
        <v/>
      </c>
      <c r="G163" s="18"/>
      <c r="H163" s="18"/>
      <c r="I163" s="18"/>
      <c r="J163" s="18"/>
      <c r="K163" s="60" t="str">
        <f>IF(ISERROR((K162-F162)/F162),"",(K162-F162)/F162)</f>
        <v/>
      </c>
      <c r="L163" s="18"/>
      <c r="M163" s="18"/>
      <c r="N163" s="18"/>
      <c r="O163" s="18"/>
      <c r="P163" s="60" t="str">
        <f>IF(ISERROR((P162-K162)/K162),"",(P162-K162)/K162)</f>
        <v/>
      </c>
      <c r="Q163" s="18"/>
      <c r="R163" s="18"/>
      <c r="S163" s="18"/>
      <c r="T163" s="18"/>
      <c r="U163" s="60" t="str">
        <f>IF(ISERROR((U162-P162)/P162),"",(U162-P162)/P162)</f>
        <v/>
      </c>
      <c r="V163" s="18" t="str">
        <f>IF(ISERROR((V162-Q162)/Q162),"",(V162-Q162)/Q162)</f>
        <v/>
      </c>
      <c r="W163" s="18" t="str">
        <f>IF(ISERROR((W162-R162)/R162),"",(W162-R162)/R162)</f>
        <v/>
      </c>
      <c r="X163" s="18" t="str">
        <f>IF(ISERROR((X162-S162)/S162),"",(X162-S162)/S162)</f>
        <v/>
      </c>
      <c r="Y163" s="18" t="str">
        <f>IF(ISERROR((Y162-T162)/T162),"",(Y162-T162)/T162)</f>
        <v/>
      </c>
      <c r="Z163" s="60"/>
      <c r="AA163" s="18" t="str">
        <f>IF(ISERROR((AA162-V162)/V162),"",(AA162-V162)/V162)</f>
        <v/>
      </c>
      <c r="AB163" s="18" t="str">
        <f>IF(ISERROR((AB162-W162)/W162),"",(AB162-W162)/W162)</f>
        <v/>
      </c>
      <c r="AC163" s="18" t="str">
        <f>IF(ISERROR((AC162-X162)/X162),"",(AC162-X162)/X162)</f>
        <v/>
      </c>
      <c r="AD163" s="18" t="str">
        <f>IF(ISERROR((AD162-Y162)/Y162),"",(AD162-Y162)/Y162)</f>
        <v/>
      </c>
      <c r="AE163" s="60" t="str">
        <f>IF(ISERROR((AE162-Z162)/Z162),"",(AE162-Z162)/Z162)</f>
        <v/>
      </c>
      <c r="AF163" s="18">
        <f t="shared" ref="AF163:AS163" si="615">(AF162-AA162)/AA162</f>
        <v>-0.19519519519519507</v>
      </c>
      <c r="AG163" s="18">
        <f t="shared" si="615"/>
        <v>0</v>
      </c>
      <c r="AH163" s="18">
        <f t="shared" si="615"/>
        <v>-8.3333333333333398E-2</v>
      </c>
      <c r="AI163" s="18">
        <f t="shared" si="615"/>
        <v>-0.13448275862068976</v>
      </c>
      <c r="AJ163" s="60">
        <f t="shared" si="615"/>
        <v>-0.1082693947144075</v>
      </c>
      <c r="AK163" s="18">
        <f t="shared" si="615"/>
        <v>0.18283582089552233</v>
      </c>
      <c r="AL163" s="18">
        <f t="shared" si="615"/>
        <v>0.54744525547445244</v>
      </c>
      <c r="AM163" s="18">
        <f t="shared" si="615"/>
        <v>1.849802371541502</v>
      </c>
      <c r="AN163" s="18">
        <f t="shared" si="615"/>
        <v>3.7729083665338643</v>
      </c>
      <c r="AO163" s="60">
        <f t="shared" si="615"/>
        <v>1.5430210325047802</v>
      </c>
      <c r="AP163" s="18">
        <f>(AP162-AK162)/AK162</f>
        <v>3.9022082018927446</v>
      </c>
      <c r="AQ163" s="18">
        <f t="shared" si="615"/>
        <v>3.2334905660377364</v>
      </c>
      <c r="AR163" s="18">
        <f t="shared" si="615"/>
        <v>6.3453536754507649</v>
      </c>
      <c r="AS163" s="18">
        <f t="shared" si="615"/>
        <v>6.5559265442404007</v>
      </c>
      <c r="AT163" s="60">
        <f t="shared" ref="AT163:BB163" si="616">(AT162-AO162)/AO162</f>
        <v>5.6530075187969935</v>
      </c>
      <c r="AU163" s="18">
        <f t="shared" si="616"/>
        <v>6.2541827541827537</v>
      </c>
      <c r="AV163" s="18">
        <f t="shared" si="616"/>
        <v>13.054038997214484</v>
      </c>
      <c r="AW163" s="18">
        <f t="shared" si="616"/>
        <v>4.1448262839879142</v>
      </c>
      <c r="AX163" s="18">
        <f t="shared" si="616"/>
        <v>2.8223596995139197</v>
      </c>
      <c r="AY163" s="368">
        <f t="shared" si="616"/>
        <v>4.5572695937164491</v>
      </c>
      <c r="AZ163" s="368">
        <f t="shared" si="616"/>
        <v>1.9539607912711787</v>
      </c>
      <c r="BA163" s="18">
        <f t="shared" si="616"/>
        <v>1.1484916954057163</v>
      </c>
      <c r="BB163" s="18">
        <f t="shared" si="616"/>
        <v>2.7472015267735896</v>
      </c>
      <c r="BC163" s="18">
        <f t="shared" ref="BC163" si="617">(BC162-AX162)/AX162</f>
        <v>3.9942196531791909</v>
      </c>
      <c r="BD163" s="1936">
        <f t="shared" ref="BD163:BG163" si="618">(BD162-AY162)/AY162</f>
        <v>2.6849115885588781</v>
      </c>
      <c r="BE163" s="368">
        <f t="shared" si="618"/>
        <v>4.0420420420420431</v>
      </c>
      <c r="BF163" s="18">
        <f t="shared" si="618"/>
        <v>1.9778597785977858</v>
      </c>
      <c r="BG163" s="18">
        <f t="shared" si="618"/>
        <v>0.58472086190009809</v>
      </c>
      <c r="BH163" s="18">
        <f t="shared" ref="BH163" si="619">(BH162-BC162)/BC162</f>
        <v>-8.5069444444444378E-2</v>
      </c>
      <c r="BI163" s="1936">
        <f t="shared" ref="BI163:BL163" si="620">(BI162-BD162)/BD162</f>
        <v>0.79139072847682146</v>
      </c>
      <c r="BJ163" s="368">
        <f t="shared" si="620"/>
        <v>-6.2537224538415717E-2</v>
      </c>
      <c r="BK163" s="18">
        <f t="shared" si="620"/>
        <v>1.858736059479554E-2</v>
      </c>
      <c r="BL163" s="18">
        <f t="shared" si="620"/>
        <v>3.3992583436340984E-2</v>
      </c>
      <c r="BM163" s="18">
        <f t="shared" ref="BM163" si="621">(BM162-BH162)/BH162</f>
        <v>7.0841239721695051E-2</v>
      </c>
      <c r="BN163" s="1936">
        <f t="shared" ref="BN163" si="622">(BN162-BI162)/BI162</f>
        <v>1.4171287738755461E-2</v>
      </c>
      <c r="BO163" s="368">
        <f t="shared" ref="BO163" si="623">(BO162-BJ162)/BJ162</f>
        <v>9.6569250317661934E-2</v>
      </c>
      <c r="BP163" s="18">
        <f t="shared" ref="BP163" si="624">(BP162-BK162)/BK162</f>
        <v>4.4403892944038827E-2</v>
      </c>
      <c r="BQ163" s="18">
        <f t="shared" ref="BQ163:BS163" si="625">(BQ162-BL162)/BL162</f>
        <v>3.8254632396891849E-2</v>
      </c>
      <c r="BR163" s="2162">
        <f t="shared" si="625"/>
        <v>1.1222681630242039E-2</v>
      </c>
      <c r="BS163" s="1936">
        <f t="shared" si="625"/>
        <v>4.6780072904009644E-2</v>
      </c>
      <c r="BT163" s="19"/>
      <c r="BU163" s="19"/>
      <c r="BV163" s="19"/>
      <c r="BW163" s="19"/>
      <c r="BX163" s="65">
        <f>(BX162-BS162)/BS162</f>
        <v>6.8471630587977908E-2</v>
      </c>
      <c r="BY163" s="19"/>
      <c r="BZ163" s="19"/>
      <c r="CA163" s="19"/>
      <c r="CB163" s="19"/>
      <c r="CC163" s="65">
        <f>(CC162-BX162)/BX162</f>
        <v>6.9370799375882031E-2</v>
      </c>
      <c r="CD163" s="196"/>
      <c r="CE163" s="118"/>
      <c r="CF163" s="173"/>
      <c r="CG163" s="173"/>
      <c r="CH163" s="173"/>
      <c r="CI163" s="239"/>
      <c r="CJ163" s="177"/>
      <c r="CK163" s="2070"/>
      <c r="CL163" s="18">
        <f>BM163</f>
        <v>7.0841239721695051E-2</v>
      </c>
      <c r="CM163" s="18">
        <f>BH163</f>
        <v>-8.5069444444444378E-2</v>
      </c>
      <c r="CN163" s="18">
        <v>3.0993042378241471E-2</v>
      </c>
      <c r="CO163" s="2107">
        <f t="shared" ref="CO163:CP165" si="626">IFERROR(($CL163-CM163)*10000,"")</f>
        <v>1559.1068416613944</v>
      </c>
      <c r="CP163" s="2107">
        <f t="shared" si="626"/>
        <v>398.4819734345358</v>
      </c>
      <c r="CQ163" s="374"/>
      <c r="CR163" s="452" t="s">
        <v>601</v>
      </c>
      <c r="CS163" s="453"/>
      <c r="CT163" s="41"/>
      <c r="CU163" s="41"/>
      <c r="CV163" s="41"/>
      <c r="CW163" s="41"/>
      <c r="CX163" s="41"/>
      <c r="CY163" s="116"/>
      <c r="CZ163"/>
      <c r="DA163"/>
      <c r="DB163"/>
      <c r="DC163"/>
      <c r="DD163"/>
      <c r="DE163"/>
      <c r="DF163" s="19"/>
      <c r="DG163" s="19"/>
      <c r="DH163" s="19"/>
      <c r="DI163" s="19"/>
      <c r="DJ163" s="19"/>
    </row>
    <row r="164" spans="1:114" s="178" customFormat="1" ht="12.75" customHeight="1">
      <c r="A164" s="76" t="s">
        <v>150</v>
      </c>
      <c r="B164" s="368"/>
      <c r="C164" s="18"/>
      <c r="D164" s="18"/>
      <c r="E164" s="18"/>
      <c r="F164" s="65" t="str">
        <f>IF(OR(ISERROR(F162/F$122),F162=0),"",F162/F$122)</f>
        <v/>
      </c>
      <c r="G164" s="18"/>
      <c r="H164" s="18"/>
      <c r="I164" s="18"/>
      <c r="J164" s="18"/>
      <c r="K164" s="65" t="str">
        <f>IF(OR(ISERROR(K162/K$122),K162=0),"",K162/K$122)</f>
        <v/>
      </c>
      <c r="L164" s="18"/>
      <c r="M164" s="18"/>
      <c r="N164" s="18"/>
      <c r="O164" s="18"/>
      <c r="P164" s="65" t="str">
        <f>IF(OR(ISERROR(P162/P$122),P162=0),"",P162/P$122)</f>
        <v/>
      </c>
      <c r="Q164" s="18"/>
      <c r="R164" s="18"/>
      <c r="S164" s="18"/>
      <c r="T164" s="18"/>
      <c r="U164" s="65" t="str">
        <f>IF(OR(ISERROR(U162/U$122),U162=0),"",U162/U$122)</f>
        <v/>
      </c>
      <c r="V164" s="18" t="str">
        <f>IF(ISERROR(V162/Z162),"",V162/Z162)</f>
        <v/>
      </c>
      <c r="W164" s="18" t="str">
        <f>IF(ISERROR(W162/Z162),"",W162/Z162)</f>
        <v/>
      </c>
      <c r="X164" s="18" t="str">
        <f>IF(ISERROR(X162/Z162),"",X162/Z162)</f>
        <v/>
      </c>
      <c r="Y164" s="18" t="str">
        <f>IF(ISERROR(Y162/Z162),"",Y162/Z162)</f>
        <v/>
      </c>
      <c r="Z164" s="60"/>
      <c r="AA164" s="18">
        <f t="shared" ref="AA164:AO164" si="627">AA162/AA$122</f>
        <v>6.5551181102362202E-2</v>
      </c>
      <c r="AB164" s="18">
        <f t="shared" si="627"/>
        <v>4.2251349267540483E-2</v>
      </c>
      <c r="AC164" s="18">
        <f t="shared" si="627"/>
        <v>3.8343984440122277E-2</v>
      </c>
      <c r="AD164" s="18">
        <f t="shared" si="627"/>
        <v>5.4429429429429459E-2</v>
      </c>
      <c r="AE164" s="60">
        <f t="shared" si="627"/>
        <v>4.869038230044416E-2</v>
      </c>
      <c r="AF164" s="18">
        <f t="shared" si="627"/>
        <v>4.2681955725433977E-2</v>
      </c>
      <c r="AG164" s="18">
        <f t="shared" si="627"/>
        <v>4.4494965898018858E-2</v>
      </c>
      <c r="AH164" s="18">
        <f t="shared" si="627"/>
        <v>3.68697172835908E-2</v>
      </c>
      <c r="AI164" s="18">
        <f t="shared" si="627"/>
        <v>4.3410584572812175E-2</v>
      </c>
      <c r="AJ164" s="60">
        <f t="shared" si="627"/>
        <v>4.1704876201108416E-2</v>
      </c>
      <c r="AK164" s="18">
        <f t="shared" si="627"/>
        <v>4.6803484423446014E-2</v>
      </c>
      <c r="AL164" s="18">
        <f t="shared" si="627"/>
        <v>5.0088600118133479E-2</v>
      </c>
      <c r="AM164" s="18">
        <f>AM162/AM$122</f>
        <v>7.2652156388553032E-2</v>
      </c>
      <c r="AN164" s="18">
        <f>AN162/AN$122</f>
        <v>7.648598608184895E-2</v>
      </c>
      <c r="AO164" s="60">
        <f t="shared" si="627"/>
        <v>6.5156154317207587E-2</v>
      </c>
      <c r="AP164" s="18">
        <f>AP162/AP$122</f>
        <v>9.5571955719557164E-2</v>
      </c>
      <c r="AQ164" s="18">
        <f>AQ162/AQ$122</f>
        <v>9.2812823164426086E-2</v>
      </c>
      <c r="AR164" s="18">
        <f>AR162/AR$122</f>
        <v>0.15202663910896769</v>
      </c>
      <c r="AS164" s="18">
        <f>AS162/AS$122</f>
        <v>0.17056074766355148</v>
      </c>
      <c r="AT164" s="60">
        <f>AT162/AT$122</f>
        <v>0.1432862648573372</v>
      </c>
      <c r="AU164" s="18">
        <f t="shared" ref="AU164:AZ164" si="628">AU162/AU$122</f>
        <v>0.19303743278879418</v>
      </c>
      <c r="AV164" s="18">
        <f t="shared" si="628"/>
        <v>0.20699926150816444</v>
      </c>
      <c r="AW164" s="18">
        <f t="shared" si="628"/>
        <v>0.1556028919625827</v>
      </c>
      <c r="AX164" s="18">
        <f t="shared" si="628"/>
        <v>0.11560307383895757</v>
      </c>
      <c r="AY164" s="368">
        <f t="shared" si="628"/>
        <v>0.15022285901074431</v>
      </c>
      <c r="AZ164" s="368">
        <f t="shared" si="628"/>
        <v>0.12700228832951946</v>
      </c>
      <c r="BA164" s="18">
        <f t="shared" ref="BA164" si="629">BA162/BA$122</f>
        <v>0.10656704679512384</v>
      </c>
      <c r="BB164" s="18">
        <f>BB162/BB$122</f>
        <v>9.0771692745376956E-2</v>
      </c>
      <c r="BC164" s="18">
        <f t="shared" ref="BC164:BF164" si="630">BC162/BC$122</f>
        <v>0.11103257726659384</v>
      </c>
      <c r="BD164" s="1936">
        <f t="shared" si="630"/>
        <v>0.10498566007126507</v>
      </c>
      <c r="BE164" s="368">
        <f t="shared" si="630"/>
        <v>0.10489816318880421</v>
      </c>
      <c r="BF164" s="18">
        <f t="shared" si="630"/>
        <v>9.4385964912280698E-2</v>
      </c>
      <c r="BG164" s="18">
        <f>BG162/BG$122</f>
        <v>9.4875102615222237E-2</v>
      </c>
      <c r="BH164" s="18">
        <f t="shared" ref="BH164:BK164" si="631">BH162/BH$122</f>
        <v>9.2057761732852003E-2</v>
      </c>
      <c r="BI164" s="1936">
        <f t="shared" si="631"/>
        <v>9.6414886981317033E-2</v>
      </c>
      <c r="BJ164" s="368">
        <f t="shared" si="631"/>
        <v>9.5266916838155191E-2</v>
      </c>
      <c r="BK164" s="18">
        <f t="shared" si="631"/>
        <v>9.1807672977048074E-2</v>
      </c>
      <c r="BL164" s="18">
        <f>BL162/BL$122</f>
        <v>9.0707004988071993E-2</v>
      </c>
      <c r="BM164" s="18">
        <f t="shared" ref="BM164:BN164" si="632">BM162/BM$122</f>
        <v>8.6170916679391266E-2</v>
      </c>
      <c r="BN164" s="1936">
        <f t="shared" si="632"/>
        <v>9.0788747931605088E-2</v>
      </c>
      <c r="BO164" s="368">
        <f t="shared" ref="BO164:BP164" si="633">BO162/BO$122</f>
        <v>9.8960377975382291E-2</v>
      </c>
      <c r="BP164" s="18">
        <f t="shared" si="633"/>
        <v>8.8265488053472535E-2</v>
      </c>
      <c r="BQ164" s="18">
        <f t="shared" ref="BQ164:BR164" si="634">BQ162/BQ$122</f>
        <v>8.7863775495903323E-2</v>
      </c>
      <c r="BR164" s="2162">
        <f t="shared" si="634"/>
        <v>8.3564185198635982E-2</v>
      </c>
      <c r="BS164" s="1936">
        <f>BS162/BS$122</f>
        <v>8.9331907004945976E-2</v>
      </c>
      <c r="BT164" s="470"/>
      <c r="BU164" s="470"/>
      <c r="BV164" s="470"/>
      <c r="BW164" s="470"/>
      <c r="BX164" s="74">
        <f>+BS164</f>
        <v>8.9331907004945976E-2</v>
      </c>
      <c r="BY164" s="470"/>
      <c r="BZ164" s="470"/>
      <c r="CA164" s="470"/>
      <c r="CB164" s="470"/>
      <c r="CC164" s="74">
        <f>+BX164</f>
        <v>8.9331907004945976E-2</v>
      </c>
      <c r="CD164" s="191"/>
      <c r="CE164" s="111"/>
      <c r="CF164" s="173"/>
      <c r="CG164" s="173"/>
      <c r="CH164" s="173"/>
      <c r="CI164" s="239"/>
      <c r="CJ164" s="177"/>
      <c r="CK164" s="2070"/>
      <c r="CL164" s="18">
        <f>BM164</f>
        <v>8.6170916679391266E-2</v>
      </c>
      <c r="CM164" s="18">
        <f>BH164</f>
        <v>9.2057761732852003E-2</v>
      </c>
      <c r="CN164" s="18">
        <v>8.9192346866610955E-2</v>
      </c>
      <c r="CO164" s="2107">
        <f t="shared" si="626"/>
        <v>-58.868450534607376</v>
      </c>
      <c r="CP164" s="2107">
        <f t="shared" si="626"/>
        <v>-30.214301872196899</v>
      </c>
      <c r="CQ164" s="374"/>
      <c r="CR164" s="452" t="s">
        <v>594</v>
      </c>
      <c r="CS164" s="452"/>
      <c r="CT164" s="41"/>
      <c r="CU164" s="41"/>
      <c r="CV164" s="41"/>
      <c r="CW164" s="41"/>
      <c r="CX164" s="41"/>
      <c r="CY164" s="116"/>
      <c r="CZ164"/>
      <c r="DA164"/>
      <c r="DB164"/>
      <c r="DC164"/>
      <c r="DD164"/>
      <c r="DE164"/>
      <c r="DF164" s="19"/>
      <c r="DG164" s="19"/>
      <c r="DH164" s="19"/>
      <c r="DI164" s="19"/>
      <c r="DJ164" s="19"/>
    </row>
    <row r="165" spans="1:114" s="178" customFormat="1" ht="12.75" customHeight="1">
      <c r="A165" s="76" t="s">
        <v>1</v>
      </c>
      <c r="B165" s="368"/>
      <c r="C165" s="18"/>
      <c r="D165" s="18"/>
      <c r="E165" s="18"/>
      <c r="F165" s="60" t="str">
        <f>IF(ISERROR(F162/#REF!),"",F162/#REF!)</f>
        <v/>
      </c>
      <c r="G165" s="18"/>
      <c r="H165" s="18"/>
      <c r="I165" s="18"/>
      <c r="J165" s="18"/>
      <c r="K165" s="60"/>
      <c r="L165" s="18"/>
      <c r="M165" s="18"/>
      <c r="N165" s="18"/>
      <c r="O165" s="18"/>
      <c r="P165" s="60"/>
      <c r="Q165" s="18"/>
      <c r="R165" s="18"/>
      <c r="S165" s="18"/>
      <c r="T165" s="18"/>
      <c r="U165" s="60"/>
      <c r="V165" s="18"/>
      <c r="W165" s="18"/>
      <c r="X165" s="18"/>
      <c r="Y165" s="18"/>
      <c r="Z165" s="60"/>
      <c r="AA165" s="18">
        <f>(AA162*4)/$Z$273</f>
        <v>0.47622452627815509</v>
      </c>
      <c r="AB165" s="18">
        <f>(AB162*4)/$Z$273</f>
        <v>0.39184840900965323</v>
      </c>
      <c r="AC165" s="18">
        <f>(AC162*4)/$Z$273</f>
        <v>0.39470861637468718</v>
      </c>
      <c r="AD165" s="18">
        <f>(AD162*4)/$Z$273</f>
        <v>0.41473006792992495</v>
      </c>
      <c r="AE165" s="60">
        <f>AE162/Z273</f>
        <v>0.41937790489810511</v>
      </c>
      <c r="AF165" s="18">
        <f>(AF162*4)/$AE$273</f>
        <v>0.36216216216216218</v>
      </c>
      <c r="AG165" s="18">
        <f>(AG162*4)/$AE$273</f>
        <v>0.37027027027027032</v>
      </c>
      <c r="AH165" s="18">
        <f>(AH162*4)/$AE$273</f>
        <v>0.3418918918918919</v>
      </c>
      <c r="AI165" s="18">
        <f>(AI162*4)/$AE$273</f>
        <v>0.33918918918918922</v>
      </c>
      <c r="AJ165" s="60">
        <f>AJ162/AE273</f>
        <v>0.35337837837837838</v>
      </c>
      <c r="AK165" s="18">
        <f>(AK162*4)/$AJ$273</f>
        <v>0.42564618999664317</v>
      </c>
      <c r="AL165" s="18">
        <f>(AL162*4)/$AJ$273</f>
        <v>0.56931856327626718</v>
      </c>
      <c r="AM165" s="18">
        <f>(AM162*4)/$AJ$273</f>
        <v>0.96811010406176567</v>
      </c>
      <c r="AN165" s="18">
        <f>(AN162*4)/$AJ$273</f>
        <v>1.6085934877475663</v>
      </c>
      <c r="AO165" s="60">
        <f>AO162/AJ273</f>
        <v>0.89291708627056066</v>
      </c>
      <c r="AP165" s="191">
        <f>(AP162*4)/$AO$273</f>
        <v>0.47486631016042785</v>
      </c>
      <c r="AQ165" s="191">
        <f>(AQ162*4)/$AO$273</f>
        <v>0.54851031321619559</v>
      </c>
      <c r="AR165" s="18">
        <f>(AR162*4)/$AO$273</f>
        <v>1.6183346065699011</v>
      </c>
      <c r="AS165" s="18">
        <f>(AS162*4)/$AO$273</f>
        <v>2.7660809778456836</v>
      </c>
      <c r="AT165" s="60">
        <f>AT162/AO273</f>
        <v>1.3519480519480522</v>
      </c>
      <c r="AU165" s="191">
        <f>(AU162*4)/$AT$273</f>
        <v>0.79708684661752494</v>
      </c>
      <c r="AV165" s="191">
        <f>(AV162*4)/$AT$273</f>
        <v>1.7837407859150449</v>
      </c>
      <c r="AW165" s="18">
        <f>(AW162*4)/AT273</f>
        <v>1.9265701507839705</v>
      </c>
      <c r="AX165" s="18">
        <f>(AX162*4)/$AT$273</f>
        <v>2.4464831804281348</v>
      </c>
      <c r="AY165" s="368">
        <f>AY162/AT273</f>
        <v>1.738470240936169</v>
      </c>
      <c r="AZ165" s="439">
        <f>(AZ162*4)/AY$273</f>
        <v>0.6002703920684993</v>
      </c>
      <c r="BA165" s="191">
        <f>(BA162*4)/AY273</f>
        <v>0.97701667417755744</v>
      </c>
      <c r="BB165" s="18">
        <f>(BB162*4)/AY273</f>
        <v>1.8404686795853986</v>
      </c>
      <c r="BC165" s="18">
        <f>(BC162*4)/$AT$273</f>
        <v>12.218274380866523</v>
      </c>
      <c r="BD165" s="1936">
        <f>BD162/AY273</f>
        <v>1.633168093735917</v>
      </c>
      <c r="BE165" s="439">
        <f>(BE162*4)/BD$273</f>
        <v>0.23546735853025738</v>
      </c>
      <c r="BF165" s="191">
        <f>(BF162*4)/BD273</f>
        <v>0.22635158824766849</v>
      </c>
      <c r="BG165" s="18">
        <f>(BG162*4)/BD273</f>
        <v>0.22691255872659705</v>
      </c>
      <c r="BH165" s="18">
        <f>(BH162*4)/$AT$273</f>
        <v>11.17887256721642</v>
      </c>
      <c r="BI165" s="1936">
        <f>BI162/BD273</f>
        <v>0.22761377182525772</v>
      </c>
      <c r="BJ165" s="439">
        <f>(BJ162*4)/BI$273</f>
        <v>0.24812800504453378</v>
      </c>
      <c r="BK165" s="191">
        <f>(BK162*4)/BG273</f>
        <v>0.24254047873713716</v>
      </c>
      <c r="BL165" s="18">
        <f>(BL162*4)/BI273</f>
        <v>0.26373453141010478</v>
      </c>
      <c r="BM165" s="18">
        <f>(BM162*4)/$AT$273</f>
        <v>11.97079775856888</v>
      </c>
      <c r="BN165" s="1936">
        <f>BN162/BI273</f>
        <v>0.25947820603767641</v>
      </c>
      <c r="BO165" s="368">
        <f t="shared" ref="BO165" si="635">(BO162*4)/BK273</f>
        <v>0.27157580048776653</v>
      </c>
      <c r="BP165" s="18">
        <f t="shared" ref="BP165" si="636">(BP162*4)/BL273</f>
        <v>0.26394066331040311</v>
      </c>
      <c r="BQ165" s="18">
        <f t="shared" ref="BQ165:BR165" si="637">(BQ162*4)/BM273</f>
        <v>0.26084018470548487</v>
      </c>
      <c r="BR165" s="2162">
        <f t="shared" si="637"/>
        <v>0.25708600818410482</v>
      </c>
      <c r="BS165" s="1936">
        <f>BS162/BN273</f>
        <v>0.25873784585351206</v>
      </c>
      <c r="BT165" s="19"/>
      <c r="BU165" s="19"/>
      <c r="BV165" s="19"/>
      <c r="BW165" s="19"/>
      <c r="BX165" s="60">
        <f>BX162/BS273</f>
        <v>0.25819967875443878</v>
      </c>
      <c r="BY165" s="19"/>
      <c r="BZ165" s="19"/>
      <c r="CA165" s="19"/>
      <c r="CB165" s="19"/>
      <c r="CC165" s="60">
        <f>CC162/BX273</f>
        <v>0.25682702983762262</v>
      </c>
      <c r="CD165" s="191"/>
      <c r="CE165" s="111"/>
      <c r="CF165" s="173"/>
      <c r="CG165" s="173"/>
      <c r="CH165" s="173"/>
      <c r="CI165" s="239"/>
      <c r="CJ165" s="177"/>
      <c r="CK165" s="2070"/>
      <c r="CL165" s="191">
        <f>BM165</f>
        <v>11.97079775856888</v>
      </c>
      <c r="CM165" s="191">
        <f>BH165</f>
        <v>11.17887256721642</v>
      </c>
      <c r="CN165" s="18">
        <v>0.25695593915031134</v>
      </c>
      <c r="CO165" s="2110">
        <f t="shared" si="626"/>
        <v>7919.2519135246012</v>
      </c>
      <c r="CP165" s="2110">
        <f t="shared" si="626"/>
        <v>117138.4181941857</v>
      </c>
      <c r="CQ165" s="44"/>
      <c r="CR165" s="41"/>
      <c r="CS165" s="518"/>
      <c r="CT165" s="41"/>
      <c r="CU165" s="41"/>
      <c r="CV165" s="41"/>
      <c r="CW165" s="41"/>
      <c r="CX165" s="41"/>
      <c r="CY165" s="116"/>
      <c r="CZ165"/>
      <c r="DA165"/>
      <c r="DB165"/>
      <c r="DC165"/>
      <c r="DD165"/>
      <c r="DE165"/>
      <c r="DF165" s="19"/>
      <c r="DG165" s="19"/>
      <c r="DH165" s="19"/>
      <c r="DI165" s="19"/>
      <c r="DJ165" s="19"/>
    </row>
    <row r="166" spans="1:114" s="250" customFormat="1" ht="12.75" customHeight="1">
      <c r="A166" s="380" t="s">
        <v>188</v>
      </c>
      <c r="B166" s="370"/>
      <c r="C166" s="4"/>
      <c r="D166" s="278"/>
      <c r="E166" s="278"/>
      <c r="F166" s="271"/>
      <c r="G166" s="4"/>
      <c r="H166" s="4"/>
      <c r="I166" s="278"/>
      <c r="J166" s="278"/>
      <c r="K166" s="271"/>
      <c r="L166" s="4"/>
      <c r="M166" s="4"/>
      <c r="N166" s="278"/>
      <c r="O166" s="278"/>
      <c r="P166" s="271"/>
      <c r="Q166" s="4"/>
      <c r="R166" s="4"/>
      <c r="S166" s="278"/>
      <c r="T166" s="278"/>
      <c r="U166" s="271"/>
      <c r="V166" s="4"/>
      <c r="W166" s="4"/>
      <c r="X166" s="278"/>
      <c r="Y166" s="278"/>
      <c r="Z166" s="271"/>
      <c r="AA166" s="4"/>
      <c r="AB166" s="4"/>
      <c r="AC166" s="4"/>
      <c r="AD166" s="4"/>
      <c r="AE166" s="271"/>
      <c r="AF166" s="4"/>
      <c r="AG166" s="4"/>
      <c r="AH166" s="4"/>
      <c r="AI166" s="4"/>
      <c r="AJ166" s="271"/>
      <c r="AK166" s="4"/>
      <c r="AL166" s="4"/>
      <c r="AM166" s="4"/>
      <c r="AN166" s="4"/>
      <c r="AO166" s="271"/>
      <c r="AR166" s="4"/>
      <c r="AS166" s="4"/>
      <c r="AT166" s="271"/>
      <c r="AU166" s="250">
        <v>10.7</v>
      </c>
      <c r="AV166" s="250">
        <v>24.7</v>
      </c>
      <c r="AW166" s="4">
        <f>19.158+1.58+0.509</f>
        <v>21.247</v>
      </c>
      <c r="AX166" s="4">
        <v>21.6</v>
      </c>
      <c r="AY166" s="370"/>
      <c r="AZ166" s="370">
        <v>19.600000000000001</v>
      </c>
      <c r="BA166" s="250">
        <v>28.8</v>
      </c>
      <c r="BB166" s="250">
        <v>54.8</v>
      </c>
      <c r="BC166" s="250">
        <v>122.8</v>
      </c>
      <c r="BD166" s="1956"/>
      <c r="BE166" s="573">
        <f>114.6+5.8</f>
        <v>120.39999999999999</v>
      </c>
      <c r="BF166" s="250">
        <v>112.5</v>
      </c>
      <c r="BG166" s="250">
        <v>114.8</v>
      </c>
      <c r="BH166" s="250">
        <v>107.2</v>
      </c>
      <c r="BI166" s="370">
        <f>SUM(BE166:BH166)</f>
        <v>454.9</v>
      </c>
      <c r="BJ166" s="573">
        <v>106.2</v>
      </c>
      <c r="BK166" s="250">
        <v>111.4</v>
      </c>
      <c r="BL166" s="250">
        <v>111.7</v>
      </c>
      <c r="BM166" s="250">
        <v>110.1</v>
      </c>
      <c r="BN166" s="370">
        <f>SUM(BJ166:BM166)</f>
        <v>439.4</v>
      </c>
      <c r="BO166" s="370">
        <f t="shared" ref="BO166:BP166" si="638">SUM(BO167:BO168)</f>
        <v>115</v>
      </c>
      <c r="BP166" s="4">
        <f t="shared" si="638"/>
        <v>116</v>
      </c>
      <c r="BQ166" s="4">
        <f t="shared" ref="BQ166:BR166" si="639">SUM(BQ167:BQ168)</f>
        <v>117</v>
      </c>
      <c r="BR166" s="2194">
        <f t="shared" si="639"/>
        <v>116</v>
      </c>
      <c r="BS166" s="1956">
        <f>SUM(BO166:BR166)</f>
        <v>464</v>
      </c>
      <c r="BT166" s="4"/>
      <c r="BU166" s="4"/>
      <c r="BV166" s="4"/>
      <c r="BW166" s="4"/>
      <c r="BX166" s="507">
        <f>+BS166/BS162*BX162</f>
        <v>495.77083659282175</v>
      </c>
      <c r="BY166" s="4"/>
      <c r="BZ166" s="4"/>
      <c r="CA166" s="4"/>
      <c r="CB166" s="4"/>
      <c r="CC166" s="679">
        <f>+BX166/BX162*CC162</f>
        <v>530.16285583451554</v>
      </c>
      <c r="CD166" s="196"/>
      <c r="CE166" s="116"/>
      <c r="CF166" s="173"/>
      <c r="CG166" s="173"/>
      <c r="CH166" s="173"/>
      <c r="CI166" s="239"/>
      <c r="CJ166" s="177"/>
      <c r="CK166" s="2070"/>
      <c r="CL166" s="250">
        <f>BM166</f>
        <v>110.1</v>
      </c>
      <c r="CM166" s="250">
        <f>BH166</f>
        <v>107.2</v>
      </c>
      <c r="CN166" s="4">
        <v>111</v>
      </c>
      <c r="CO166" s="2092">
        <f t="shared" ref="CO166:CP171" si="640">IFERROR(($CL166/CM166)-1,"")</f>
        <v>2.7052238805969964E-2</v>
      </c>
      <c r="CP166" s="2092">
        <f t="shared" si="640"/>
        <v>-8.1081081081081363E-3</v>
      </c>
      <c r="CQ166" s="44"/>
      <c r="CR166" s="41"/>
      <c r="CS166" s="41"/>
      <c r="CT166" s="41"/>
      <c r="CU166" s="41"/>
      <c r="CV166" s="41"/>
      <c r="CW166" s="41"/>
      <c r="CX166" s="41"/>
      <c r="CY166" s="116"/>
      <c r="CZ166"/>
      <c r="DA166"/>
      <c r="DB166"/>
      <c r="DC166"/>
      <c r="DD166"/>
      <c r="DE166"/>
    </row>
    <row r="167" spans="1:114" s="250" customFormat="1" ht="12.75" customHeight="1">
      <c r="A167" s="2234" t="s">
        <v>589</v>
      </c>
      <c r="B167" s="370"/>
      <c r="C167" s="4"/>
      <c r="D167" s="278"/>
      <c r="E167" s="278"/>
      <c r="F167" s="1956"/>
      <c r="G167" s="4"/>
      <c r="H167" s="4"/>
      <c r="I167" s="278"/>
      <c r="J167" s="278"/>
      <c r="K167" s="1956"/>
      <c r="L167" s="4"/>
      <c r="M167" s="4"/>
      <c r="N167" s="278"/>
      <c r="O167" s="278"/>
      <c r="P167" s="1956"/>
      <c r="Q167" s="4"/>
      <c r="R167" s="4"/>
      <c r="S167" s="278"/>
      <c r="T167" s="278"/>
      <c r="U167" s="1956"/>
      <c r="V167" s="4"/>
      <c r="W167" s="4"/>
      <c r="X167" s="278"/>
      <c r="Y167" s="278"/>
      <c r="Z167" s="1956"/>
      <c r="AA167" s="4"/>
      <c r="AB167" s="4"/>
      <c r="AC167" s="4"/>
      <c r="AD167" s="4"/>
      <c r="AE167" s="1956"/>
      <c r="AF167" s="4"/>
      <c r="AG167" s="4"/>
      <c r="AH167" s="4"/>
      <c r="AI167" s="4"/>
      <c r="AJ167" s="1956"/>
      <c r="AK167" s="4"/>
      <c r="AL167" s="4"/>
      <c r="AM167" s="4"/>
      <c r="AN167" s="4"/>
      <c r="AO167" s="1956"/>
      <c r="AR167" s="4"/>
      <c r="AS167" s="4"/>
      <c r="AT167" s="1956"/>
      <c r="AW167" s="4"/>
      <c r="AX167" s="4"/>
      <c r="AY167" s="1956"/>
      <c r="BA167" s="250">
        <f t="shared" ref="BA167" si="641">+BA166-BA168</f>
        <v>-7.9000000000000021</v>
      </c>
      <c r="BB167" s="250">
        <f t="shared" ref="BB167" si="642">+BB166-BB168</f>
        <v>17.699999999999996</v>
      </c>
      <c r="BC167" s="250">
        <f>+BC166-BC168</f>
        <v>69.699999999999989</v>
      </c>
      <c r="BD167" s="1956"/>
      <c r="BE167" s="250">
        <f t="shared" ref="BE167:BF167" si="643">+BE166-BE168</f>
        <v>71.299999999999969</v>
      </c>
      <c r="BF167" s="250">
        <f t="shared" si="643"/>
        <v>63.2</v>
      </c>
      <c r="BG167" s="250">
        <f>+BG166-BG168</f>
        <v>65.3</v>
      </c>
      <c r="BH167" s="250">
        <f>+BH166-BH168</f>
        <v>52.300000000000004</v>
      </c>
      <c r="BI167" s="1956"/>
      <c r="BJ167" s="250">
        <f t="shared" ref="BJ167:BK167" si="644">+BJ166-BJ168</f>
        <v>49.400000000000006</v>
      </c>
      <c r="BK167" s="250">
        <f t="shared" si="644"/>
        <v>50.900000000000006</v>
      </c>
      <c r="BL167" s="250">
        <f>+BL166-BL168</f>
        <v>52.1</v>
      </c>
      <c r="BM167" s="250">
        <f>+BM166-BM168</f>
        <v>54.099999999999994</v>
      </c>
      <c r="BN167" s="1956"/>
      <c r="BO167" s="2356">
        <v>53</v>
      </c>
      <c r="BP167" s="282">
        <v>53</v>
      </c>
      <c r="BQ167" s="282">
        <v>54</v>
      </c>
      <c r="BR167" s="282">
        <v>53</v>
      </c>
      <c r="BS167" s="1956"/>
      <c r="BT167" s="4"/>
      <c r="BU167" s="4"/>
      <c r="BV167" s="4"/>
      <c r="BW167" s="4"/>
      <c r="BX167" s="507"/>
      <c r="BY167" s="4"/>
      <c r="BZ167" s="4"/>
      <c r="CA167" s="4"/>
      <c r="CB167" s="4"/>
      <c r="CC167" s="679"/>
      <c r="CD167" s="196"/>
      <c r="CE167" s="116"/>
      <c r="CF167" s="173"/>
      <c r="CG167" s="173"/>
      <c r="CH167" s="173"/>
      <c r="CI167" s="1989"/>
      <c r="CJ167" s="177"/>
      <c r="CK167" s="2070"/>
      <c r="CN167" s="282">
        <v>50</v>
      </c>
      <c r="CO167" s="2092"/>
      <c r="CP167" s="2092"/>
      <c r="CQ167" s="44"/>
      <c r="CR167" s="41"/>
      <c r="CS167" s="41"/>
      <c r="CT167" s="41"/>
      <c r="CU167" s="41"/>
      <c r="CV167" s="41"/>
      <c r="CW167" s="41"/>
      <c r="CX167" s="41"/>
      <c r="CY167" s="116"/>
      <c r="CZ167"/>
      <c r="DA167"/>
      <c r="DB167"/>
      <c r="DC167"/>
      <c r="DD167"/>
      <c r="DE167"/>
    </row>
    <row r="168" spans="1:114" s="250" customFormat="1" ht="12.75" customHeight="1">
      <c r="A168" s="2234" t="s">
        <v>216</v>
      </c>
      <c r="B168" s="370"/>
      <c r="C168" s="4"/>
      <c r="D168" s="278"/>
      <c r="E168" s="278"/>
      <c r="F168" s="1956"/>
      <c r="G168" s="4"/>
      <c r="H168" s="4"/>
      <c r="I168" s="278"/>
      <c r="J168" s="278"/>
      <c r="K168" s="1956"/>
      <c r="L168" s="4"/>
      <c r="M168" s="4"/>
      <c r="N168" s="278"/>
      <c r="O168" s="278"/>
      <c r="P168" s="1956"/>
      <c r="Q168" s="4"/>
      <c r="R168" s="4"/>
      <c r="S168" s="278"/>
      <c r="T168" s="278"/>
      <c r="U168" s="1956"/>
      <c r="V168" s="4"/>
      <c r="W168" s="4"/>
      <c r="X168" s="278"/>
      <c r="Y168" s="278"/>
      <c r="Z168" s="1956"/>
      <c r="AA168" s="4"/>
      <c r="AB168" s="4"/>
      <c r="AC168" s="4"/>
      <c r="AD168" s="4"/>
      <c r="AE168" s="1956"/>
      <c r="AF168" s="4"/>
      <c r="AG168" s="4"/>
      <c r="AH168" s="4"/>
      <c r="AI168" s="4"/>
      <c r="AJ168" s="1956"/>
      <c r="AK168" s="4"/>
      <c r="AL168" s="4"/>
      <c r="AM168" s="4"/>
      <c r="AN168" s="4"/>
      <c r="AO168" s="1956"/>
      <c r="AR168" s="4"/>
      <c r="AS168" s="4"/>
      <c r="AT168" s="1956"/>
      <c r="AW168" s="4"/>
      <c r="AX168" s="4"/>
      <c r="AY168" s="1956"/>
      <c r="BA168" s="250">
        <v>36.700000000000003</v>
      </c>
      <c r="BB168" s="4">
        <v>37.1</v>
      </c>
      <c r="BC168" s="4">
        <v>53.1</v>
      </c>
      <c r="BD168" s="2237"/>
      <c r="BE168" s="2126">
        <f>202.8-SUM(BF168:BH168)</f>
        <v>49.100000000000023</v>
      </c>
      <c r="BF168" s="2126">
        <f>CNW!EH189</f>
        <v>49.3</v>
      </c>
      <c r="BG168" s="2126">
        <f>CNW!EI189</f>
        <v>49.5</v>
      </c>
      <c r="BH168" s="2126">
        <f>CNW!EJ189</f>
        <v>54.9</v>
      </c>
      <c r="BI168" s="2237"/>
      <c r="BJ168" s="2126">
        <f>CNW!EL189</f>
        <v>56.8</v>
      </c>
      <c r="BK168" s="2126">
        <f>CNW!EM189</f>
        <v>60.5</v>
      </c>
      <c r="BL168" s="2126">
        <f>CNW!EN189</f>
        <v>59.6</v>
      </c>
      <c r="BM168" s="2126">
        <f>CNW!EO189</f>
        <v>56</v>
      </c>
      <c r="BN168" s="2237"/>
      <c r="BO168" s="2356">
        <v>62</v>
      </c>
      <c r="BP168" s="282">
        <v>63</v>
      </c>
      <c r="BQ168" s="282">
        <v>63</v>
      </c>
      <c r="BR168" s="282">
        <v>63</v>
      </c>
      <c r="BS168" s="1956"/>
      <c r="BT168" s="4"/>
      <c r="BU168" s="4"/>
      <c r="BV168" s="4"/>
      <c r="BW168" s="4"/>
      <c r="BX168" s="507"/>
      <c r="BY168" s="4"/>
      <c r="BZ168" s="4"/>
      <c r="CA168" s="4"/>
      <c r="CB168" s="4"/>
      <c r="CC168" s="679"/>
      <c r="CD168" s="196"/>
      <c r="CE168" s="116"/>
      <c r="CF168" s="173"/>
      <c r="CG168" s="173"/>
      <c r="CH168" s="173"/>
      <c r="CI168" s="1989"/>
      <c r="CJ168" s="177"/>
      <c r="CK168" s="2070"/>
      <c r="CN168" s="282">
        <v>61</v>
      </c>
      <c r="CO168" s="2092"/>
      <c r="CP168" s="2092"/>
      <c r="CQ168" s="44"/>
      <c r="CR168" s="41"/>
      <c r="CS168" s="41"/>
      <c r="CT168" s="41"/>
      <c r="CU168" s="41"/>
      <c r="CV168" s="41"/>
      <c r="CW168" s="41"/>
      <c r="CX168" s="41"/>
      <c r="CY168" s="116"/>
      <c r="CZ168"/>
      <c r="DA168"/>
      <c r="DB168"/>
      <c r="DC168"/>
      <c r="DD168"/>
      <c r="DE168"/>
    </row>
    <row r="169" spans="1:114" s="250" customFormat="1" ht="12.75" customHeight="1">
      <c r="A169" s="380" t="s">
        <v>225</v>
      </c>
      <c r="B169" s="370"/>
      <c r="C169" s="4"/>
      <c r="D169" s="4"/>
      <c r="E169" s="4"/>
      <c r="F169" s="271"/>
      <c r="G169" s="4"/>
      <c r="H169" s="4"/>
      <c r="I169" s="4"/>
      <c r="J169" s="4"/>
      <c r="K169" s="271"/>
      <c r="L169" s="4"/>
      <c r="M169" s="4"/>
      <c r="N169" s="4"/>
      <c r="O169" s="4"/>
      <c r="P169" s="271"/>
      <c r="Q169" s="4"/>
      <c r="R169" s="4"/>
      <c r="S169" s="4"/>
      <c r="T169" s="4"/>
      <c r="U169" s="271"/>
      <c r="V169" s="4"/>
      <c r="W169" s="4"/>
      <c r="X169" s="4"/>
      <c r="Y169" s="4"/>
      <c r="Z169" s="271"/>
      <c r="AA169" s="4"/>
      <c r="AB169" s="4"/>
      <c r="AC169" s="4"/>
      <c r="AD169" s="4"/>
      <c r="AE169" s="271"/>
      <c r="AF169" s="4"/>
      <c r="AG169" s="4"/>
      <c r="AH169" s="4"/>
      <c r="AI169" s="4"/>
      <c r="AJ169" s="271"/>
      <c r="AK169" s="4"/>
      <c r="AL169" s="4"/>
      <c r="AM169" s="4"/>
      <c r="AN169" s="4"/>
      <c r="AO169" s="271"/>
      <c r="AR169" s="4"/>
      <c r="AS169" s="4"/>
      <c r="AT169" s="271"/>
      <c r="AU169" s="250">
        <v>0</v>
      </c>
      <c r="AV169" s="250">
        <v>0</v>
      </c>
      <c r="AW169" s="4">
        <v>3.5</v>
      </c>
      <c r="AX169" s="4">
        <v>12.9</v>
      </c>
      <c r="AY169" s="271"/>
      <c r="AZ169" s="370">
        <v>13.3</v>
      </c>
      <c r="BA169" s="250">
        <v>25</v>
      </c>
      <c r="BB169" s="4">
        <v>46.9</v>
      </c>
      <c r="BC169" s="250">
        <v>49.6</v>
      </c>
      <c r="BD169" s="1956"/>
      <c r="BE169" s="441">
        <v>47.1</v>
      </c>
      <c r="BF169" s="250">
        <v>48.5</v>
      </c>
      <c r="BG169" s="250">
        <v>46.6</v>
      </c>
      <c r="BH169" s="250">
        <v>50.1</v>
      </c>
      <c r="BI169" s="1956">
        <f>SUM(BE169:BH169)</f>
        <v>192.29999999999998</v>
      </c>
      <c r="BJ169" s="441">
        <v>48.7</v>
      </c>
      <c r="BK169" s="250">
        <v>51.5</v>
      </c>
      <c r="BL169" s="250">
        <v>54.9</v>
      </c>
      <c r="BM169" s="250">
        <v>55.9</v>
      </c>
      <c r="BN169" s="1956">
        <f>SUM(BJ169:BM169)</f>
        <v>211</v>
      </c>
      <c r="BO169" s="2356">
        <f t="shared" ref="BO169" si="645">+BM169</f>
        <v>55.9</v>
      </c>
      <c r="BP169" s="282">
        <v>54</v>
      </c>
      <c r="BQ169" s="282">
        <v>55</v>
      </c>
      <c r="BR169" s="282">
        <v>53.5</v>
      </c>
      <c r="BS169" s="1956">
        <f>SUM(BO169:BR169)</f>
        <v>218.4</v>
      </c>
      <c r="BT169" s="4"/>
      <c r="BU169" s="4"/>
      <c r="BV169" s="4"/>
      <c r="BW169" s="4"/>
      <c r="BX169" s="507">
        <f>+BX162-BX166-BX170</f>
        <v>233.81981120841266</v>
      </c>
      <c r="BY169" s="4"/>
      <c r="BZ169" s="4"/>
      <c r="CA169" s="4"/>
      <c r="CB169" s="4"/>
      <c r="CC169" s="679">
        <f>+CC162-CC166-CC170</f>
        <v>250.51179985761411</v>
      </c>
      <c r="CD169" s="196"/>
      <c r="CE169" s="116"/>
      <c r="CF169" s="173"/>
      <c r="CG169" s="173"/>
      <c r="CH169" s="173"/>
      <c r="CI169" s="239"/>
      <c r="CJ169" s="177"/>
      <c r="CK169" s="2070"/>
      <c r="CL169" s="250">
        <f t="shared" ref="CL169:CL175" si="646">BM169</f>
        <v>55.9</v>
      </c>
      <c r="CM169" s="250">
        <f t="shared" ref="CM169:CM175" si="647">BH169</f>
        <v>50.1</v>
      </c>
      <c r="CN169" s="282">
        <v>51</v>
      </c>
      <c r="CO169" s="2092">
        <f t="shared" si="640"/>
        <v>0.11576846307385225</v>
      </c>
      <c r="CP169" s="2092">
        <f t="shared" si="640"/>
        <v>9.60784313725489E-2</v>
      </c>
      <c r="CQ169" s="44"/>
      <c r="CR169" s="41"/>
      <c r="CS169" s="41"/>
      <c r="CT169" s="41"/>
      <c r="CU169" s="41"/>
      <c r="CV169" s="41"/>
      <c r="CW169" s="41"/>
      <c r="CX169" s="41"/>
      <c r="CY169" s="116"/>
      <c r="CZ169"/>
      <c r="DA169"/>
      <c r="DB169"/>
      <c r="DC169"/>
      <c r="DD169"/>
      <c r="DE169"/>
    </row>
    <row r="170" spans="1:114" s="250" customFormat="1" ht="12.75" customHeight="1">
      <c r="A170" s="380" t="s">
        <v>36</v>
      </c>
      <c r="B170" s="370"/>
      <c r="C170" s="4"/>
      <c r="D170" s="4"/>
      <c r="E170" s="4"/>
      <c r="F170" s="271"/>
      <c r="G170" s="4"/>
      <c r="H170" s="4"/>
      <c r="I170" s="4"/>
      <c r="J170" s="4"/>
      <c r="K170" s="271"/>
      <c r="L170" s="4"/>
      <c r="M170" s="4"/>
      <c r="N170" s="4"/>
      <c r="O170" s="4"/>
      <c r="P170" s="271"/>
      <c r="Q170" s="4"/>
      <c r="R170" s="4"/>
      <c r="S170" s="4"/>
      <c r="T170" s="4"/>
      <c r="U170" s="271"/>
      <c r="V170" s="4"/>
      <c r="W170" s="4"/>
      <c r="X170" s="4"/>
      <c r="Y170" s="4"/>
      <c r="Z170" s="271"/>
      <c r="AA170" s="4"/>
      <c r="AB170" s="4"/>
      <c r="AC170" s="4"/>
      <c r="AD170" s="4"/>
      <c r="AE170" s="271"/>
      <c r="AF170" s="4"/>
      <c r="AG170" s="4"/>
      <c r="AH170" s="4"/>
      <c r="AI170" s="4"/>
      <c r="AJ170" s="271"/>
      <c r="AK170" s="4"/>
      <c r="AL170" s="4"/>
      <c r="AM170" s="4"/>
      <c r="AN170" s="4"/>
      <c r="AO170" s="271"/>
      <c r="AR170" s="4"/>
      <c r="AS170" s="4"/>
      <c r="AT170" s="271"/>
      <c r="AU170" s="188">
        <f>+AU162-AU166-AU169</f>
        <v>0.5730000000000004</v>
      </c>
      <c r="AV170" s="188">
        <f>+AV162-AV166-AV169</f>
        <v>0.52700000000000102</v>
      </c>
      <c r="AW170" s="250">
        <f>+AW162-AW166-AW169</f>
        <v>2.5</v>
      </c>
      <c r="AX170" s="250">
        <f>+AX162-AX166-AX169</f>
        <v>9.9999999999999645E-2</v>
      </c>
      <c r="AY170" s="676"/>
      <c r="AZ170" s="250">
        <v>0.39999999999999503</v>
      </c>
      <c r="BA170" s="250">
        <v>0.40000000000000924</v>
      </c>
      <c r="BB170" s="250">
        <v>0.4</v>
      </c>
      <c r="BC170" s="250">
        <v>0.4</v>
      </c>
      <c r="BD170" s="1956"/>
      <c r="BE170" s="250">
        <v>0.4</v>
      </c>
      <c r="BF170" s="250">
        <v>0.4</v>
      </c>
      <c r="BG170" s="250">
        <v>0.4</v>
      </c>
      <c r="BH170" s="250">
        <v>0.8</v>
      </c>
      <c r="BI170" s="1956">
        <f>SUM(BE170:BH170)</f>
        <v>2</v>
      </c>
      <c r="BJ170" s="250">
        <v>2.5</v>
      </c>
      <c r="BK170" s="250">
        <v>1.5</v>
      </c>
      <c r="BL170" s="250">
        <v>0.7</v>
      </c>
      <c r="BM170" s="250">
        <v>3.3</v>
      </c>
      <c r="BN170" s="1956">
        <f>SUM(BJ170:BM170)</f>
        <v>8</v>
      </c>
      <c r="BO170" s="2356">
        <v>1.7</v>
      </c>
      <c r="BP170" s="282">
        <f t="shared" ref="BP170:BR170" si="648">+BO170</f>
        <v>1.7</v>
      </c>
      <c r="BQ170" s="282">
        <f t="shared" si="648"/>
        <v>1.7</v>
      </c>
      <c r="BR170" s="282">
        <f t="shared" si="648"/>
        <v>1.7</v>
      </c>
      <c r="BS170" s="1956">
        <f>SUM(BO170:BR170)</f>
        <v>6.8</v>
      </c>
      <c r="BT170" s="4"/>
      <c r="BU170" s="4"/>
      <c r="BV170" s="4"/>
      <c r="BW170" s="4"/>
      <c r="BX170" s="283">
        <f>+BS170</f>
        <v>6.8</v>
      </c>
      <c r="BY170" s="4"/>
      <c r="BZ170" s="4"/>
      <c r="CA170" s="4"/>
      <c r="CB170" s="4"/>
      <c r="CC170" s="283">
        <f>+BX170</f>
        <v>6.8</v>
      </c>
      <c r="CD170" s="196"/>
      <c r="CE170" s="116"/>
      <c r="CF170" s="173"/>
      <c r="CG170" s="173"/>
      <c r="CH170" s="173"/>
      <c r="CI170" s="239"/>
      <c r="CJ170" s="177"/>
      <c r="CK170" s="2070"/>
      <c r="CL170" s="250">
        <f t="shared" si="646"/>
        <v>3.3</v>
      </c>
      <c r="CM170" s="250">
        <f t="shared" si="647"/>
        <v>0.8</v>
      </c>
      <c r="CN170" s="282">
        <v>1</v>
      </c>
      <c r="CO170" s="2092">
        <f t="shared" si="640"/>
        <v>3.1249999999999991</v>
      </c>
      <c r="CP170" s="2092">
        <f t="shared" si="640"/>
        <v>2.2999999999999998</v>
      </c>
      <c r="CQ170" s="374"/>
      <c r="CR170" s="41"/>
      <c r="CS170" s="41"/>
      <c r="CT170" s="41"/>
      <c r="CU170" s="41"/>
      <c r="CV170" s="41"/>
      <c r="CW170" s="41"/>
      <c r="CX170" s="41"/>
      <c r="CY170" s="116"/>
      <c r="CZ170"/>
      <c r="DA170"/>
      <c r="DB170"/>
      <c r="DC170"/>
      <c r="DD170"/>
      <c r="DE170"/>
    </row>
    <row r="171" spans="1:114" s="262" customFormat="1" ht="12.75" customHeight="1" collapsed="1">
      <c r="A171" s="2012" t="s">
        <v>41</v>
      </c>
      <c r="B171" s="553"/>
      <c r="C171" s="351"/>
      <c r="D171" s="351"/>
      <c r="E171" s="351"/>
      <c r="F171" s="352">
        <f t="shared" ref="F171:BA171" si="649">+F140+F153+F162</f>
        <v>45.475999999999999</v>
      </c>
      <c r="G171" s="351">
        <f t="shared" si="649"/>
        <v>8.85</v>
      </c>
      <c r="H171" s="351">
        <f t="shared" si="649"/>
        <v>10.18</v>
      </c>
      <c r="I171" s="351">
        <f t="shared" si="649"/>
        <v>9.9460000000000015</v>
      </c>
      <c r="J171" s="351">
        <f t="shared" si="649"/>
        <v>10.108000000000001</v>
      </c>
      <c r="K171" s="352">
        <f t="shared" si="649"/>
        <v>39.084000000000003</v>
      </c>
      <c r="L171" s="351">
        <f t="shared" si="649"/>
        <v>10.754000000000001</v>
      </c>
      <c r="M171" s="351">
        <f t="shared" si="649"/>
        <v>12.57</v>
      </c>
      <c r="N171" s="351">
        <f t="shared" si="649"/>
        <v>12.581</v>
      </c>
      <c r="O171" s="351">
        <f t="shared" si="649"/>
        <v>12.242000000000001</v>
      </c>
      <c r="P171" s="352">
        <f t="shared" si="649"/>
        <v>48.147000000000006</v>
      </c>
      <c r="Q171" s="351">
        <f t="shared" si="649"/>
        <v>22.756</v>
      </c>
      <c r="R171" s="351">
        <f t="shared" si="649"/>
        <v>28.314</v>
      </c>
      <c r="S171" s="351">
        <f t="shared" si="649"/>
        <v>29.312000000000001</v>
      </c>
      <c r="T171" s="351">
        <f t="shared" si="649"/>
        <v>23.91</v>
      </c>
      <c r="U171" s="352">
        <f t="shared" si="649"/>
        <v>104.29200000000002</v>
      </c>
      <c r="V171" s="351">
        <f t="shared" si="649"/>
        <v>20.099000000000004</v>
      </c>
      <c r="W171" s="351">
        <f t="shared" si="649"/>
        <v>21.612000000000002</v>
      </c>
      <c r="X171" s="351">
        <f t="shared" si="649"/>
        <v>24.765999999999998</v>
      </c>
      <c r="Y171" s="351">
        <f t="shared" si="649"/>
        <v>30.488000000000003</v>
      </c>
      <c r="Z171" s="352">
        <f t="shared" si="649"/>
        <v>96.965000000000003</v>
      </c>
      <c r="AA171" s="351">
        <f t="shared" si="649"/>
        <v>30.117999999999999</v>
      </c>
      <c r="AB171" s="351">
        <f t="shared" si="649"/>
        <v>37.698999999999998</v>
      </c>
      <c r="AC171" s="351">
        <f t="shared" si="649"/>
        <v>41.527999999999999</v>
      </c>
      <c r="AD171" s="351">
        <f t="shared" si="649"/>
        <v>40.195999999999998</v>
      </c>
      <c r="AE171" s="352">
        <f t="shared" si="649"/>
        <v>149.541</v>
      </c>
      <c r="AF171" s="351">
        <f t="shared" si="649"/>
        <v>39.508000000000003</v>
      </c>
      <c r="AG171" s="351">
        <f t="shared" si="649"/>
        <v>42.451000000000001</v>
      </c>
      <c r="AH171" s="351">
        <f t="shared" si="649"/>
        <v>46.918999999999997</v>
      </c>
      <c r="AI171" s="351">
        <f t="shared" si="649"/>
        <v>46.473999999999997</v>
      </c>
      <c r="AJ171" s="352">
        <f t="shared" si="649"/>
        <v>175.35199999999998</v>
      </c>
      <c r="AK171" s="351">
        <f t="shared" si="649"/>
        <v>48.783999999999999</v>
      </c>
      <c r="AL171" s="351">
        <f t="shared" si="649"/>
        <v>57.906999999999996</v>
      </c>
      <c r="AM171" s="351">
        <f t="shared" si="649"/>
        <v>80.271000000000001</v>
      </c>
      <c r="AN171" s="351">
        <f t="shared" si="649"/>
        <v>119.59399999999999</v>
      </c>
      <c r="AO171" s="352">
        <f t="shared" si="649"/>
        <v>306.55599999999998</v>
      </c>
      <c r="AP171" s="351">
        <f t="shared" si="649"/>
        <v>125.36600000000001</v>
      </c>
      <c r="AQ171" s="351">
        <f t="shared" si="649"/>
        <v>151.10599999999999</v>
      </c>
      <c r="AR171" s="351">
        <f t="shared" si="649"/>
        <v>209.30099999999999</v>
      </c>
      <c r="AS171" s="351">
        <f t="shared" si="649"/>
        <v>265.755</v>
      </c>
      <c r="AT171" s="352">
        <f t="shared" si="649"/>
        <v>751.52800000000002</v>
      </c>
      <c r="AU171" s="351">
        <f t="shared" si="649"/>
        <v>292.96400000000006</v>
      </c>
      <c r="AV171" s="351">
        <f t="shared" si="649"/>
        <v>592.14099999999996</v>
      </c>
      <c r="AW171" s="351">
        <f t="shared" si="649"/>
        <v>665.25799999999992</v>
      </c>
      <c r="AX171" s="351">
        <f t="shared" si="649"/>
        <v>823.19999999999993</v>
      </c>
      <c r="AY171" s="553">
        <f t="shared" si="649"/>
        <v>2373.5630000000001</v>
      </c>
      <c r="AZ171" s="553">
        <f t="shared" si="649"/>
        <v>706.69999999999993</v>
      </c>
      <c r="BA171" s="351">
        <f t="shared" si="649"/>
        <v>1190.4000000000001</v>
      </c>
      <c r="BB171" s="2034">
        <f t="shared" ref="BB171:BD171" si="650">+BB182-BB173</f>
        <v>2298.1</v>
      </c>
      <c r="BC171" s="2034">
        <f t="shared" si="650"/>
        <v>3301.2000000000003</v>
      </c>
      <c r="BD171" s="352">
        <f t="shared" si="650"/>
        <v>7496.3999999999987</v>
      </c>
      <c r="BE171" s="553">
        <f>+BE182-BE173</f>
        <v>3461.9999999999995</v>
      </c>
      <c r="BF171" s="2034">
        <f>+BF182-BF173</f>
        <v>3491.4999999999995</v>
      </c>
      <c r="BG171" s="351">
        <f t="shared" ref="BG171:BI171" si="651">+BG182-BG173</f>
        <v>3525.2000000000003</v>
      </c>
      <c r="BH171" s="351">
        <f t="shared" si="651"/>
        <v>3555.2000000000003</v>
      </c>
      <c r="BI171" s="352">
        <f t="shared" si="651"/>
        <v>14033.9</v>
      </c>
      <c r="BJ171" s="553">
        <f>+BJ182-BJ173</f>
        <v>3404.8999999999996</v>
      </c>
      <c r="BK171" s="351">
        <f>+BK182-BK173</f>
        <v>3555.4</v>
      </c>
      <c r="BL171" s="351">
        <f t="shared" ref="BL171:BN171" si="652">+BL182-BL173</f>
        <v>3686.1000000000004</v>
      </c>
      <c r="BM171" s="351">
        <f t="shared" si="652"/>
        <v>4032.9</v>
      </c>
      <c r="BN171" s="352">
        <f t="shared" si="652"/>
        <v>14679.300000000001</v>
      </c>
      <c r="BO171" s="542">
        <f>+BO182-BO173</f>
        <v>3757.8724280446436</v>
      </c>
      <c r="BP171" s="258">
        <f t="shared" ref="BP171:BR171" si="653">+BP182-BP173</f>
        <v>3899.2434952964672</v>
      </c>
      <c r="BQ171" s="258">
        <f>+BQ182-BQ173</f>
        <v>3938.4889758946256</v>
      </c>
      <c r="BR171" s="2191">
        <f t="shared" si="653"/>
        <v>4109.110515212973</v>
      </c>
      <c r="BS171" s="352">
        <f>+SUM(BO171:BR171)</f>
        <v>15704.715414448709</v>
      </c>
      <c r="BT171" s="509"/>
      <c r="BU171" s="509"/>
      <c r="BV171" s="509"/>
      <c r="BW171" s="509"/>
      <c r="BX171" s="2011">
        <f>+BX182-BX173</f>
        <v>16699.920337928826</v>
      </c>
      <c r="BY171" s="509"/>
      <c r="BZ171" s="509"/>
      <c r="CA171" s="509"/>
      <c r="CB171" s="509"/>
      <c r="CC171" s="2011">
        <f>+CC182-CC173</f>
        <v>17790.879939891343</v>
      </c>
      <c r="CE171" s="263"/>
      <c r="CF171" s="264"/>
      <c r="CG171" s="264"/>
      <c r="CH171" s="264"/>
      <c r="CI171" s="265"/>
      <c r="CK171" s="2072"/>
      <c r="CL171" s="351">
        <f t="shared" si="646"/>
        <v>4032.9</v>
      </c>
      <c r="CM171" s="351">
        <f t="shared" si="647"/>
        <v>3555.2000000000003</v>
      </c>
      <c r="CN171" s="351">
        <v>3754.4374819891141</v>
      </c>
      <c r="CO171" s="2094">
        <f t="shared" si="640"/>
        <v>0.13436656165616556</v>
      </c>
      <c r="CP171" s="2094">
        <f t="shared" si="640"/>
        <v>7.4168905287871567E-2</v>
      </c>
      <c r="CQ171" s="452"/>
      <c r="CR171" s="453"/>
      <c r="CS171" s="258"/>
      <c r="CT171" s="258"/>
      <c r="CU171" s="258"/>
      <c r="CV171" s="258"/>
      <c r="CW171" s="258"/>
      <c r="CX171" s="258"/>
      <c r="CY171" s="263"/>
      <c r="CZ171"/>
      <c r="DA171"/>
      <c r="DB171"/>
      <c r="DC171"/>
      <c r="DD171"/>
      <c r="DE171"/>
      <c r="DF171" s="266"/>
      <c r="DG171" s="266"/>
      <c r="DH171" s="266"/>
      <c r="DI171" s="266"/>
      <c r="DJ171" s="266"/>
    </row>
    <row r="172" spans="1:114" s="178" customFormat="1" ht="12.75" customHeight="1">
      <c r="A172" s="58" t="s">
        <v>85</v>
      </c>
      <c r="B172" s="368"/>
      <c r="C172" s="18"/>
      <c r="D172" s="18"/>
      <c r="E172" s="18"/>
      <c r="F172" s="60"/>
      <c r="G172" s="18" t="str">
        <f t="shared" ref="G172:P172" si="654">IF(ISERROR((G171-B171)/B171),"",(G171-B171)/B171)</f>
        <v/>
      </c>
      <c r="H172" s="18" t="str">
        <f t="shared" si="654"/>
        <v/>
      </c>
      <c r="I172" s="18" t="str">
        <f t="shared" si="654"/>
        <v/>
      </c>
      <c r="J172" s="18" t="str">
        <f t="shared" si="654"/>
        <v/>
      </c>
      <c r="K172" s="60">
        <f t="shared" si="654"/>
        <v>-0.14055765678599691</v>
      </c>
      <c r="L172" s="18">
        <f t="shared" si="654"/>
        <v>0.21514124293785331</v>
      </c>
      <c r="M172" s="18">
        <f t="shared" si="654"/>
        <v>0.23477406679764251</v>
      </c>
      <c r="N172" s="18">
        <f t="shared" si="654"/>
        <v>0.26493062537703577</v>
      </c>
      <c r="O172" s="18">
        <f t="shared" si="654"/>
        <v>0.21111990502572223</v>
      </c>
      <c r="P172" s="60">
        <f t="shared" si="654"/>
        <v>0.23188517040221066</v>
      </c>
      <c r="Q172" s="18">
        <f t="shared" ref="Q172:AE172" si="655">(Q171-L171)/L171</f>
        <v>1.1160498419192857</v>
      </c>
      <c r="R172" s="18">
        <f t="shared" si="655"/>
        <v>1.2525059665871121</v>
      </c>
      <c r="S172" s="18">
        <f t="shared" si="655"/>
        <v>1.3298624910579446</v>
      </c>
      <c r="T172" s="18">
        <f t="shared" si="655"/>
        <v>0.95311223656265298</v>
      </c>
      <c r="U172" s="60">
        <f t="shared" si="655"/>
        <v>1.1661162689264128</v>
      </c>
      <c r="V172" s="18">
        <f t="shared" si="655"/>
        <v>-0.11676041483564759</v>
      </c>
      <c r="W172" s="18">
        <f t="shared" si="655"/>
        <v>-0.23670269124814572</v>
      </c>
      <c r="X172" s="18">
        <f t="shared" si="655"/>
        <v>-0.15509006550218349</v>
      </c>
      <c r="Y172" s="18">
        <f t="shared" si="655"/>
        <v>0.2751150146382268</v>
      </c>
      <c r="Z172" s="60">
        <f t="shared" si="655"/>
        <v>-7.025466958155957E-2</v>
      </c>
      <c r="AA172" s="18">
        <f t="shared" si="655"/>
        <v>0.49848251156773932</v>
      </c>
      <c r="AB172" s="18">
        <f t="shared" si="655"/>
        <v>0.74435498796964628</v>
      </c>
      <c r="AC172" s="18">
        <f t="shared" si="655"/>
        <v>0.67681498829039821</v>
      </c>
      <c r="AD172" s="18">
        <f t="shared" si="655"/>
        <v>0.31842036210968228</v>
      </c>
      <c r="AE172" s="60">
        <f t="shared" si="655"/>
        <v>0.54221626360026809</v>
      </c>
      <c r="AF172" s="18">
        <f t="shared" ref="AF172:AS172" si="656">(AF171-AA171)/AA171</f>
        <v>0.31177369015206868</v>
      </c>
      <c r="AG172" s="18">
        <f t="shared" si="656"/>
        <v>0.1260510888882995</v>
      </c>
      <c r="AH172" s="18">
        <f t="shared" si="656"/>
        <v>0.12981602774031975</v>
      </c>
      <c r="AI172" s="18">
        <f t="shared" si="656"/>
        <v>0.15618469499452681</v>
      </c>
      <c r="AJ172" s="60">
        <f t="shared" si="656"/>
        <v>0.17260149390468152</v>
      </c>
      <c r="AK172" s="18">
        <f t="shared" si="656"/>
        <v>0.23478789106003836</v>
      </c>
      <c r="AL172" s="18">
        <f t="shared" si="656"/>
        <v>0.36409036300676062</v>
      </c>
      <c r="AM172" s="18">
        <f t="shared" si="656"/>
        <v>0.71084208955860118</v>
      </c>
      <c r="AN172" s="18">
        <f t="shared" si="656"/>
        <v>1.573352842449542</v>
      </c>
      <c r="AO172" s="60">
        <f t="shared" si="656"/>
        <v>0.74823212737807399</v>
      </c>
      <c r="AP172" s="18">
        <f>(AP171-AK171)/AK171</f>
        <v>1.569817973105937</v>
      </c>
      <c r="AQ172" s="18">
        <f t="shared" si="656"/>
        <v>1.6094599962008047</v>
      </c>
      <c r="AR172" s="18">
        <f t="shared" si="656"/>
        <v>1.6074298314459763</v>
      </c>
      <c r="AS172" s="18">
        <f t="shared" si="656"/>
        <v>1.222143251333679</v>
      </c>
      <c r="AT172" s="60">
        <f t="shared" ref="AT172:BB172" si="657">(AT171-AO171)/AO171</f>
        <v>1.4515194613708426</v>
      </c>
      <c r="AU172" s="18">
        <f t="shared" si="657"/>
        <v>1.3368696456774567</v>
      </c>
      <c r="AV172" s="18">
        <f t="shared" si="657"/>
        <v>2.918712691752809</v>
      </c>
      <c r="AW172" s="18">
        <f t="shared" si="657"/>
        <v>2.1784750192306772</v>
      </c>
      <c r="AX172" s="18">
        <f t="shared" si="657"/>
        <v>2.0975898854207822</v>
      </c>
      <c r="AY172" s="368">
        <f t="shared" si="657"/>
        <v>2.1583161239501392</v>
      </c>
      <c r="AZ172" s="368">
        <f t="shared" si="657"/>
        <v>1.4122417771466795</v>
      </c>
      <c r="BA172" s="18">
        <f t="shared" si="657"/>
        <v>1.0103319986287054</v>
      </c>
      <c r="BB172" s="18">
        <f t="shared" si="657"/>
        <v>2.4544492512679295</v>
      </c>
      <c r="BC172" s="18">
        <f t="shared" ref="BC172" si="658">(BC171-AX171)/AX171</f>
        <v>3.0102040816326538</v>
      </c>
      <c r="BD172" s="1936">
        <f t="shared" ref="BD172:BG172" si="659">(BD171-AY171)/AY171</f>
        <v>2.1582898789709808</v>
      </c>
      <c r="BE172" s="368">
        <f t="shared" si="659"/>
        <v>3.8988255270977783</v>
      </c>
      <c r="BF172" s="18">
        <f t="shared" si="659"/>
        <v>1.9330477150537628</v>
      </c>
      <c r="BG172" s="18">
        <f t="shared" si="659"/>
        <v>0.53396283886689022</v>
      </c>
      <c r="BH172" s="18">
        <f t="shared" ref="BH172" si="660">(BH171-BC171)/BC171</f>
        <v>7.6941718163092199E-2</v>
      </c>
      <c r="BI172" s="1936">
        <f t="shared" ref="BI172:BL172" si="661">(BI171-BD171)/BD171</f>
        <v>0.87208526759511262</v>
      </c>
      <c r="BJ172" s="368">
        <f t="shared" si="661"/>
        <v>-1.6493356441363349E-2</v>
      </c>
      <c r="BK172" s="18">
        <f t="shared" si="661"/>
        <v>1.8301589574681528E-2</v>
      </c>
      <c r="BL172" s="18">
        <f t="shared" si="661"/>
        <v>4.5642800408487484E-2</v>
      </c>
      <c r="BM172" s="18">
        <f t="shared" ref="BM172" si="662">(BM171-BH171)/BH171</f>
        <v>0.13436656165616556</v>
      </c>
      <c r="BN172" s="1936">
        <f t="shared" ref="BN172" si="663">(BN171-BI171)/BI171</f>
        <v>4.5988641788811485E-2</v>
      </c>
      <c r="BO172" s="439">
        <f t="shared" ref="BO172" si="664">(BO171-BJ171)/BJ171</f>
        <v>0.10366601898576874</v>
      </c>
      <c r="BP172" s="191">
        <f t="shared" ref="BP172" si="665">(BP171-BK171)/BK171</f>
        <v>9.6710214123999313E-2</v>
      </c>
      <c r="BQ172" s="191">
        <f t="shared" ref="BQ172:BS172" si="666">(BQ171-BL171)/BL171</f>
        <v>6.8470463605063675E-2</v>
      </c>
      <c r="BR172" s="2184">
        <f t="shared" si="666"/>
        <v>1.8897199338682572E-2</v>
      </c>
      <c r="BS172" s="1936">
        <f t="shared" si="666"/>
        <v>6.9854517207816949E-2</v>
      </c>
      <c r="BT172" s="18"/>
      <c r="BU172" s="18"/>
      <c r="BV172" s="18"/>
      <c r="BW172" s="18"/>
      <c r="BX172" s="60">
        <f>(BX171-BS171)/BS171</f>
        <v>6.3369815830250947E-2</v>
      </c>
      <c r="BY172" s="18"/>
      <c r="BZ172" s="18"/>
      <c r="CA172" s="18"/>
      <c r="CB172" s="18"/>
      <c r="CC172" s="60">
        <f>(CC171-BX171)/BX171</f>
        <v>6.5327233896124132E-2</v>
      </c>
      <c r="CD172" s="191"/>
      <c r="CE172" s="111"/>
      <c r="CF172" s="173"/>
      <c r="CG172" s="173"/>
      <c r="CH172" s="173"/>
      <c r="CI172" s="239"/>
      <c r="CJ172" s="177"/>
      <c r="CK172" s="2070"/>
      <c r="CL172" s="18">
        <f t="shared" si="646"/>
        <v>0.13436656165616556</v>
      </c>
      <c r="CM172" s="18">
        <f t="shared" si="647"/>
        <v>7.6941718163092199E-2</v>
      </c>
      <c r="CN172" s="191">
        <v>5.6041145924030658E-2</v>
      </c>
      <c r="CO172" s="2107">
        <f>IFERROR(($CL172-CM172)*10000,"")</f>
        <v>574.24843493073365</v>
      </c>
      <c r="CP172" s="2107">
        <f>IFERROR(($CL172-CN172)*10000,"")</f>
        <v>783.254157321349</v>
      </c>
      <c r="CQ172" s="44"/>
      <c r="CR172" s="41"/>
      <c r="CS172" s="1899"/>
      <c r="CT172" s="41"/>
      <c r="CU172" s="41"/>
      <c r="CV172" s="41"/>
      <c r="CW172" s="41"/>
      <c r="CX172" s="41"/>
      <c r="CY172" s="116"/>
      <c r="CZ172"/>
      <c r="DA172"/>
      <c r="DB172"/>
      <c r="DC172"/>
      <c r="DD172"/>
      <c r="DE172"/>
      <c r="DF172" s="19"/>
      <c r="DG172" s="19"/>
      <c r="DH172" s="19"/>
      <c r="DI172" s="19"/>
      <c r="DJ172" s="19"/>
    </row>
    <row r="173" spans="1:114" s="250" customFormat="1" ht="12.75" customHeight="1">
      <c r="A173" s="10" t="s">
        <v>31</v>
      </c>
      <c r="B173" s="10"/>
      <c r="C173" s="10"/>
      <c r="D173" s="10"/>
      <c r="E173" s="10"/>
      <c r="F173" s="2041">
        <f t="shared" ref="F173:AY173" si="667">F182-F171</f>
        <v>-45.475999999999999</v>
      </c>
      <c r="G173" s="10">
        <f t="shared" si="667"/>
        <v>0.70500000000000007</v>
      </c>
      <c r="H173" s="10">
        <f t="shared" si="667"/>
        <v>0.94000000000000128</v>
      </c>
      <c r="I173" s="10">
        <f t="shared" si="667"/>
        <v>0.90499999999999758</v>
      </c>
      <c r="J173" s="10">
        <f t="shared" si="667"/>
        <v>0.55699999999999505</v>
      </c>
      <c r="K173" s="2041">
        <f t="shared" si="667"/>
        <v>3.1069999999999922</v>
      </c>
      <c r="L173" s="10">
        <f t="shared" si="667"/>
        <v>0.73899999999999899</v>
      </c>
      <c r="M173" s="10">
        <f t="shared" si="667"/>
        <v>1.2719999999999985</v>
      </c>
      <c r="N173" s="10">
        <f t="shared" si="667"/>
        <v>0.77800000000000047</v>
      </c>
      <c r="O173" s="10">
        <f t="shared" si="667"/>
        <v>0.56899999999999906</v>
      </c>
      <c r="P173" s="2041">
        <f t="shared" si="667"/>
        <v>3.357999999999997</v>
      </c>
      <c r="Q173" s="10">
        <f t="shared" si="667"/>
        <v>0.96000000000000085</v>
      </c>
      <c r="R173" s="10">
        <f t="shared" si="667"/>
        <v>1.3610000000000007</v>
      </c>
      <c r="S173" s="10">
        <f t="shared" si="667"/>
        <v>1.8049999999999962</v>
      </c>
      <c r="T173" s="10">
        <f t="shared" si="667"/>
        <v>1.0440000000000005</v>
      </c>
      <c r="U173" s="2041">
        <f t="shared" si="667"/>
        <v>5.1699999999999875</v>
      </c>
      <c r="V173" s="10">
        <f t="shared" si="667"/>
        <v>-2.7000000000001023E-2</v>
      </c>
      <c r="W173" s="10">
        <f t="shared" si="667"/>
        <v>0.63099999999999312</v>
      </c>
      <c r="X173" s="10">
        <f t="shared" si="667"/>
        <v>1.4450000000000003</v>
      </c>
      <c r="Y173" s="10">
        <f t="shared" si="667"/>
        <v>1.1219999999999963</v>
      </c>
      <c r="Z173" s="2041">
        <f t="shared" si="667"/>
        <v>3.1709999999999923</v>
      </c>
      <c r="AA173" s="10">
        <f t="shared" si="667"/>
        <v>1.5239999999999974</v>
      </c>
      <c r="AB173" s="10">
        <f t="shared" si="667"/>
        <v>2.6410000000000053</v>
      </c>
      <c r="AC173" s="10">
        <f t="shared" si="667"/>
        <v>2.9199999999999946</v>
      </c>
      <c r="AD173" s="10">
        <f t="shared" si="667"/>
        <v>1.3610000000000042</v>
      </c>
      <c r="AE173" s="2041">
        <f t="shared" si="667"/>
        <v>8.445999999999998</v>
      </c>
      <c r="AF173" s="10">
        <f t="shared" si="667"/>
        <v>2</v>
      </c>
      <c r="AG173" s="10">
        <f t="shared" si="667"/>
        <v>1.6429999999999936</v>
      </c>
      <c r="AH173" s="10">
        <f t="shared" si="667"/>
        <v>0.47000000000001307</v>
      </c>
      <c r="AI173" s="10">
        <f t="shared" si="667"/>
        <v>-2.3890000000000029</v>
      </c>
      <c r="AJ173" s="2041">
        <f t="shared" si="667"/>
        <v>1.7240000000000464</v>
      </c>
      <c r="AK173" s="10">
        <f t="shared" si="667"/>
        <v>-4.2239999999999966</v>
      </c>
      <c r="AL173" s="10">
        <f t="shared" si="667"/>
        <v>-3.3669999999999973</v>
      </c>
      <c r="AM173" s="10">
        <f t="shared" si="667"/>
        <v>-9.2830000000000013</v>
      </c>
      <c r="AN173" s="10">
        <f t="shared" si="667"/>
        <v>-11.091000000000008</v>
      </c>
      <c r="AO173" s="2041">
        <f t="shared" si="667"/>
        <v>-27.964999999999918</v>
      </c>
      <c r="AP173" s="10">
        <f t="shared" si="667"/>
        <v>-11.367000000000019</v>
      </c>
      <c r="AQ173" s="10">
        <f t="shared" si="667"/>
        <v>-14.014999999999986</v>
      </c>
      <c r="AR173" s="10">
        <f t="shared" si="667"/>
        <v>-15.31899999999996</v>
      </c>
      <c r="AS173" s="10">
        <f t="shared" si="667"/>
        <v>-8.5240000000000009</v>
      </c>
      <c r="AT173" s="2041">
        <f t="shared" si="667"/>
        <v>-49.224999999999909</v>
      </c>
      <c r="AU173" s="10">
        <f t="shared" si="667"/>
        <v>-10.561000000000035</v>
      </c>
      <c r="AV173" s="10">
        <f t="shared" si="667"/>
        <v>-11.131999999999948</v>
      </c>
      <c r="AW173" s="10">
        <f t="shared" si="667"/>
        <v>-2.7879999999998972</v>
      </c>
      <c r="AX173" s="10">
        <f t="shared" si="667"/>
        <v>7.5000000000001137</v>
      </c>
      <c r="AY173" s="10">
        <f t="shared" si="667"/>
        <v>-16.981000000000222</v>
      </c>
      <c r="AZ173" s="2033">
        <f t="shared" ref="AZ173:BE173" si="668">+AZ186-AZ162+AZ194</f>
        <v>-3.7000000000000015</v>
      </c>
      <c r="BA173" s="10">
        <f t="shared" si="668"/>
        <v>25.500000000000043</v>
      </c>
      <c r="BB173" s="10">
        <f t="shared" si="668"/>
        <v>64.000000000000014</v>
      </c>
      <c r="BC173" s="10">
        <f t="shared" si="668"/>
        <v>41.100000000000065</v>
      </c>
      <c r="BD173" s="2003">
        <f t="shared" si="668"/>
        <v>126.9000000000002</v>
      </c>
      <c r="BE173" s="2033">
        <f t="shared" si="668"/>
        <v>83.700000000000117</v>
      </c>
      <c r="BF173" s="10">
        <f>+BF186-BF162+BF194</f>
        <v>191.80000000000049</v>
      </c>
      <c r="BG173" s="10">
        <f>+BG186-BG162+BG194</f>
        <v>188.60000000000008</v>
      </c>
      <c r="BH173" s="10">
        <f>+BH186-BH162+BH194</f>
        <v>121.39999999999978</v>
      </c>
      <c r="BI173" s="2003">
        <f t="shared" ref="BI173" si="669">+BI186-BI162+BI194</f>
        <v>585.50000000000068</v>
      </c>
      <c r="BJ173" s="2033">
        <f>+BJ186-BJ162+BJ194</f>
        <v>134.60000000000022</v>
      </c>
      <c r="BK173" s="10">
        <f>+BK186-BK162+BK194</f>
        <v>204.90000000000018</v>
      </c>
      <c r="BL173" s="10">
        <f>+BL186-BL162+BL194</f>
        <v>200.99999999999974</v>
      </c>
      <c r="BM173" s="10">
        <f>+BM186-BM162+BM194</f>
        <v>160.99999999999969</v>
      </c>
      <c r="BN173" s="2003">
        <f t="shared" ref="BN173" si="670">+BN186-BN162+BN194</f>
        <v>701.49999999999955</v>
      </c>
      <c r="BO173" s="554">
        <f>+SUM(BO175:BO180)</f>
        <v>161.52618859981231</v>
      </c>
      <c r="BP173" s="10">
        <f t="shared" ref="BP173:BR173" si="671">+SUM(BP175:BP180)</f>
        <v>266.21189388185786</v>
      </c>
      <c r="BQ173" s="10">
        <f>+SUM(BQ175:BQ180)</f>
        <v>267.73214309584984</v>
      </c>
      <c r="BR173" s="2041">
        <f t="shared" si="671"/>
        <v>249.87794716578674</v>
      </c>
      <c r="BS173" s="1947">
        <f>+SUM(BO173:BR173)</f>
        <v>945.3481727433068</v>
      </c>
      <c r="BT173" s="10"/>
      <c r="BU173" s="10"/>
      <c r="BV173" s="10"/>
      <c r="BW173" s="10"/>
      <c r="BX173" s="2004">
        <f t="shared" ref="BX173" si="672">+SUM(BX175:BX180)</f>
        <v>1090.2002524717477</v>
      </c>
      <c r="BY173" s="10"/>
      <c r="BZ173" s="10"/>
      <c r="CA173" s="10"/>
      <c r="CB173" s="10"/>
      <c r="CC173" s="2004">
        <f t="shared" ref="CC173" si="673">+SUM(CC175:CC180)</f>
        <v>1233.3555368586522</v>
      </c>
      <c r="CD173" s="279"/>
      <c r="CE173" s="280"/>
      <c r="CF173" s="246"/>
      <c r="CG173" s="246"/>
      <c r="CH173" s="246"/>
      <c r="CI173" s="247"/>
      <c r="CJ173" s="279"/>
      <c r="CK173" s="2077"/>
      <c r="CL173" s="10">
        <f t="shared" si="646"/>
        <v>160.99999999999969</v>
      </c>
      <c r="CM173" s="10">
        <f t="shared" si="647"/>
        <v>121.39999999999978</v>
      </c>
      <c r="CN173" s="10">
        <v>175.69382101201256</v>
      </c>
      <c r="CO173" s="2096">
        <f>IFERROR(($CL173/CM173)-1,"")</f>
        <v>0.32619439868204259</v>
      </c>
      <c r="CP173" s="2096">
        <f>IFERROR(($CL173/CN173)-1,"")</f>
        <v>-8.3633112009148136E-2</v>
      </c>
      <c r="CQ173" s="452"/>
      <c r="CR173" s="248"/>
      <c r="CS173" s="248"/>
      <c r="CT173" s="248"/>
      <c r="CU173" s="248"/>
      <c r="CV173" s="248"/>
      <c r="CW173" s="248"/>
      <c r="CX173" s="248"/>
      <c r="CY173" s="249"/>
      <c r="CZ173"/>
      <c r="DA173"/>
      <c r="DB173"/>
      <c r="DC173"/>
      <c r="DD173"/>
      <c r="DE173"/>
      <c r="DF173" s="4"/>
      <c r="DG173" s="4"/>
      <c r="DH173" s="4"/>
      <c r="DI173" s="4"/>
      <c r="DJ173" s="4"/>
    </row>
    <row r="174" spans="1:114" s="178" customFormat="1" ht="12.75" customHeight="1">
      <c r="A174" s="58" t="s">
        <v>85</v>
      </c>
      <c r="B174" s="368"/>
      <c r="C174" s="18"/>
      <c r="D174" s="18"/>
      <c r="E174" s="18"/>
      <c r="F174" s="60"/>
      <c r="G174" s="18"/>
      <c r="H174" s="18"/>
      <c r="I174" s="18"/>
      <c r="J174" s="18" t="str">
        <f t="shared" ref="J174:P174" si="674">IF(ISERROR((J173-E173)/E173),"",(J173-E173)/E173)</f>
        <v/>
      </c>
      <c r="K174" s="60">
        <f t="shared" si="674"/>
        <v>-1.0683217521329931</v>
      </c>
      <c r="L174" s="18">
        <f t="shared" si="674"/>
        <v>4.8226950354608389E-2</v>
      </c>
      <c r="M174" s="18">
        <f t="shared" si="674"/>
        <v>0.35319148936169864</v>
      </c>
      <c r="N174" s="18">
        <f t="shared" si="674"/>
        <v>-0.14033149171270437</v>
      </c>
      <c r="O174" s="18">
        <f t="shared" si="674"/>
        <v>2.1543985637350296E-2</v>
      </c>
      <c r="P174" s="60">
        <f t="shared" si="674"/>
        <v>8.0785323463149469E-2</v>
      </c>
      <c r="Q174" s="18">
        <f t="shared" ref="Q174:AE174" si="675">(Q173-L173)/L173</f>
        <v>0.29905277401894742</v>
      </c>
      <c r="R174" s="18">
        <f t="shared" si="675"/>
        <v>6.9968553459121299E-2</v>
      </c>
      <c r="S174" s="18">
        <f t="shared" si="675"/>
        <v>1.3200514138817416</v>
      </c>
      <c r="T174" s="18">
        <f t="shared" si="675"/>
        <v>0.83479789103691071</v>
      </c>
      <c r="U174" s="60">
        <f t="shared" si="675"/>
        <v>0.53960690887432761</v>
      </c>
      <c r="V174" s="18">
        <f t="shared" si="675"/>
        <v>-1.0281250000000011</v>
      </c>
      <c r="W174" s="18">
        <f t="shared" si="675"/>
        <v>-0.53637031594416396</v>
      </c>
      <c r="X174" s="18">
        <f t="shared" si="675"/>
        <v>-0.19944598337949954</v>
      </c>
      <c r="Y174" s="18">
        <f t="shared" si="675"/>
        <v>7.4712643678156915E-2</v>
      </c>
      <c r="Z174" s="60">
        <f t="shared" si="675"/>
        <v>-0.38665377176015475</v>
      </c>
      <c r="AA174" s="18">
        <f t="shared" si="675"/>
        <v>-57.444444444442205</v>
      </c>
      <c r="AB174" s="18">
        <f t="shared" si="675"/>
        <v>3.1854199683043332</v>
      </c>
      <c r="AC174" s="18">
        <f t="shared" si="675"/>
        <v>1.0207612456747364</v>
      </c>
      <c r="AD174" s="18">
        <f t="shared" si="675"/>
        <v>0.21301247771836779</v>
      </c>
      <c r="AE174" s="60">
        <f t="shared" si="675"/>
        <v>1.6635130873541528</v>
      </c>
      <c r="AF174" s="18">
        <f t="shared" ref="AF174:AS174" si="676">(AF173-AA173)/AA173</f>
        <v>0.3123359580052516</v>
      </c>
      <c r="AG174" s="18">
        <f t="shared" si="676"/>
        <v>-0.37788716395305177</v>
      </c>
      <c r="AH174" s="18">
        <f t="shared" si="676"/>
        <v>-0.83904109589040621</v>
      </c>
      <c r="AI174" s="18">
        <f t="shared" si="676"/>
        <v>-2.7553269654665655</v>
      </c>
      <c r="AJ174" s="60">
        <f t="shared" si="676"/>
        <v>-0.79587970636987371</v>
      </c>
      <c r="AK174" s="18">
        <f t="shared" si="676"/>
        <v>-3.1119999999999983</v>
      </c>
      <c r="AL174" s="18">
        <f t="shared" si="676"/>
        <v>-3.0493000608642791</v>
      </c>
      <c r="AM174" s="18">
        <f t="shared" si="676"/>
        <v>-20.751063829786688</v>
      </c>
      <c r="AN174" s="18">
        <f t="shared" si="676"/>
        <v>3.6425282544997883</v>
      </c>
      <c r="AO174" s="60">
        <f t="shared" si="676"/>
        <v>-17.220997679813902</v>
      </c>
      <c r="AP174" s="18">
        <f>(AP173-AK173)/AK173</f>
        <v>1.6910511363636429</v>
      </c>
      <c r="AQ174" s="18">
        <f t="shared" si="676"/>
        <v>3.1624591624591618</v>
      </c>
      <c r="AR174" s="18">
        <f t="shared" si="676"/>
        <v>0.65022083378217799</v>
      </c>
      <c r="AS174" s="18">
        <f t="shared" si="676"/>
        <v>-0.23144892254981564</v>
      </c>
      <c r="AT174" s="60">
        <f t="shared" ref="AT174:BB174" si="677">(AT173-AO173)/AO173</f>
        <v>0.76023600929733781</v>
      </c>
      <c r="AU174" s="18">
        <f t="shared" si="677"/>
        <v>-7.090701152458713E-2</v>
      </c>
      <c r="AV174" s="18">
        <f t="shared" si="677"/>
        <v>-0.20570816981805501</v>
      </c>
      <c r="AW174" s="18">
        <f t="shared" si="677"/>
        <v>-0.81800378614792713</v>
      </c>
      <c r="AX174" s="18">
        <f t="shared" si="677"/>
        <v>-1.8798686062881409</v>
      </c>
      <c r="AY174" s="368">
        <f t="shared" si="677"/>
        <v>-0.65503301168105121</v>
      </c>
      <c r="AZ174" s="368">
        <f t="shared" si="677"/>
        <v>-0.64965438878894155</v>
      </c>
      <c r="BA174" s="18">
        <f t="shared" si="677"/>
        <v>-3.2906934962271075</v>
      </c>
      <c r="BB174" s="18">
        <f t="shared" si="677"/>
        <v>-23.955523672884638</v>
      </c>
      <c r="BC174" s="18">
        <f t="shared" ref="BC174" si="678">(BC173-AX173)/AX173</f>
        <v>4.4799999999999258</v>
      </c>
      <c r="BD174" s="1936">
        <f t="shared" ref="BD174:BG174" si="679">(BD173-AY173)/AY173</f>
        <v>-8.4730581237853215</v>
      </c>
      <c r="BE174" s="368">
        <f t="shared" si="679"/>
        <v>-23.621621621621646</v>
      </c>
      <c r="BF174" s="18">
        <f t="shared" si="679"/>
        <v>6.5215686274509874</v>
      </c>
      <c r="BG174" s="18">
        <f t="shared" si="679"/>
        <v>1.9468750000000006</v>
      </c>
      <c r="BH174" s="18">
        <f t="shared" ref="BH174" si="680">(BH173-BC173)/BC173</f>
        <v>1.9537712895377028</v>
      </c>
      <c r="BI174" s="1936">
        <f t="shared" ref="BI174:BL174" si="681">(BI173-BD173)/BD173</f>
        <v>3.6138691883372713</v>
      </c>
      <c r="BJ174" s="368">
        <f t="shared" si="681"/>
        <v>0.60812425328554398</v>
      </c>
      <c r="BK174" s="18">
        <f t="shared" si="681"/>
        <v>6.8300312825858439E-2</v>
      </c>
      <c r="BL174" s="18">
        <f t="shared" si="681"/>
        <v>6.5747613997877305E-2</v>
      </c>
      <c r="BM174" s="18">
        <f t="shared" ref="BM174" si="682">(BM173-BH173)/BH173</f>
        <v>0.3261943986820427</v>
      </c>
      <c r="BN174" s="1936">
        <f t="shared" ref="BN174" si="683">(BN173-BI173)/BI173</f>
        <v>0.198121263877026</v>
      </c>
      <c r="BO174" s="439">
        <f t="shared" ref="BO174" si="684">(BO173-BJ173)/BJ173</f>
        <v>0.2000459777103421</v>
      </c>
      <c r="BP174" s="191">
        <f t="shared" ref="BP174" si="685">(BP173-BK173)/BK173</f>
        <v>0.29922837424039839</v>
      </c>
      <c r="BQ174" s="191">
        <f t="shared" ref="BQ174:BS174" si="686">(BQ173-BL173)/BL173</f>
        <v>0.33200071191965264</v>
      </c>
      <c r="BR174" s="2184">
        <f t="shared" si="686"/>
        <v>0.55203693891793304</v>
      </c>
      <c r="BS174" s="1936">
        <f t="shared" si="686"/>
        <v>0.34760965465902699</v>
      </c>
      <c r="BT174" s="18"/>
      <c r="BU174" s="18"/>
      <c r="BV174" s="18"/>
      <c r="BW174" s="18"/>
      <c r="BX174" s="1998">
        <f>(BX173-BS173)/BS173</f>
        <v>0.15322616989684817</v>
      </c>
      <c r="BY174" s="18"/>
      <c r="BZ174" s="18"/>
      <c r="CA174" s="18"/>
      <c r="CB174" s="18"/>
      <c r="CC174" s="1998">
        <f>(CC173-BX173)/BX173</f>
        <v>0.13131099911446248</v>
      </c>
      <c r="CD174" s="191"/>
      <c r="CE174" s="111"/>
      <c r="CF174" s="173"/>
      <c r="CG174" s="173"/>
      <c r="CH174" s="173"/>
      <c r="CI174" s="239"/>
      <c r="CJ174" s="177"/>
      <c r="CK174" s="2070"/>
      <c r="CL174" s="18">
        <f t="shared" si="646"/>
        <v>0.3261943986820427</v>
      </c>
      <c r="CM174" s="18">
        <f t="shared" si="647"/>
        <v>1.9537712895377028</v>
      </c>
      <c r="CN174" s="191">
        <v>0.44723081558494965</v>
      </c>
      <c r="CO174" s="2107">
        <f>IFERROR(($CL174-CM174)*10000,"")</f>
        <v>-16275.768908556603</v>
      </c>
      <c r="CP174" s="2107">
        <f>IFERROR(($CL174-CN174)*10000,"")</f>
        <v>-1210.3641690290694</v>
      </c>
      <c r="CQ174" s="520"/>
      <c r="CR174" s="41"/>
      <c r="CS174" s="41"/>
      <c r="CT174" s="41"/>
      <c r="CU174" s="41"/>
      <c r="CV174" s="41"/>
      <c r="CW174" s="41"/>
      <c r="CX174" s="41"/>
      <c r="CY174" s="116"/>
      <c r="CZ174"/>
      <c r="DA174"/>
      <c r="DB174"/>
      <c r="DC174"/>
      <c r="DD174"/>
      <c r="DE174"/>
      <c r="DF174" s="19"/>
      <c r="DG174" s="19"/>
      <c r="DH174" s="19"/>
      <c r="DI174" s="19"/>
      <c r="DJ174" s="19"/>
    </row>
    <row r="175" spans="1:114" s="178" customFormat="1" ht="12.75" customHeight="1">
      <c r="A175" s="58" t="s">
        <v>545</v>
      </c>
      <c r="B175" s="368"/>
      <c r="C175" s="18"/>
      <c r="D175" s="18"/>
      <c r="E175" s="18"/>
      <c r="F175" s="1936"/>
      <c r="G175" s="18"/>
      <c r="H175" s="18"/>
      <c r="I175" s="18"/>
      <c r="J175" s="18"/>
      <c r="K175" s="1936"/>
      <c r="L175" s="18"/>
      <c r="M175" s="18"/>
      <c r="N175" s="18"/>
      <c r="O175" s="18"/>
      <c r="P175" s="1936"/>
      <c r="Q175" s="18"/>
      <c r="R175" s="18"/>
      <c r="S175" s="18"/>
      <c r="T175" s="18"/>
      <c r="U175" s="1936"/>
      <c r="V175" s="18"/>
      <c r="W175" s="18"/>
      <c r="X175" s="18"/>
      <c r="Y175" s="18"/>
      <c r="Z175" s="1936"/>
      <c r="AA175" s="18"/>
      <c r="AB175" s="18"/>
      <c r="AC175" s="18"/>
      <c r="AD175" s="18"/>
      <c r="AE175" s="1936"/>
      <c r="AF175" s="18"/>
      <c r="AG175" s="18"/>
      <c r="AH175" s="18"/>
      <c r="AI175" s="18"/>
      <c r="AJ175" s="1936"/>
      <c r="AK175" s="18"/>
      <c r="AL175" s="18"/>
      <c r="AM175" s="18"/>
      <c r="AN175" s="18"/>
      <c r="AO175" s="1936"/>
      <c r="AP175" s="18"/>
      <c r="AQ175" s="18"/>
      <c r="AR175" s="18"/>
      <c r="AS175" s="18"/>
      <c r="AT175" s="1936"/>
      <c r="AU175" s="18"/>
      <c r="AV175" s="18"/>
      <c r="AW175" s="18"/>
      <c r="AX175" s="18"/>
      <c r="AY175" s="368"/>
      <c r="AZ175" s="681">
        <f>+AZ92</f>
        <v>3.7</v>
      </c>
      <c r="BA175" s="681">
        <f>+BA92</f>
        <v>23.3</v>
      </c>
      <c r="BB175" s="681">
        <f>+BB92</f>
        <v>38.299999999999997</v>
      </c>
      <c r="BC175" s="681">
        <f>+BC92</f>
        <v>28.6</v>
      </c>
      <c r="BD175" s="1936"/>
      <c r="BE175" s="681">
        <f>+BE92</f>
        <v>75.600000000000009</v>
      </c>
      <c r="BF175" s="681">
        <f>+BF92</f>
        <v>163.19999999999999</v>
      </c>
      <c r="BG175" s="681">
        <f>+BG92</f>
        <v>138.5</v>
      </c>
      <c r="BH175" s="681">
        <f>+BH92</f>
        <v>104.7</v>
      </c>
      <c r="BI175" s="2000">
        <f>SUM(BE175:BH175)</f>
        <v>482</v>
      </c>
      <c r="BJ175" s="681">
        <f>+BJ92</f>
        <v>116.10000000000001</v>
      </c>
      <c r="BK175" s="681">
        <f>+BK92</f>
        <v>171.29999999999998</v>
      </c>
      <c r="BL175" s="681">
        <f>+BL92</f>
        <v>153.30000000000001</v>
      </c>
      <c r="BM175" s="681">
        <f>+BM92</f>
        <v>148.29999999999998</v>
      </c>
      <c r="BN175" s="2000">
        <f>SUM(BJ175:BM175)</f>
        <v>589</v>
      </c>
      <c r="BO175" s="2317">
        <f t="shared" ref="BO175:BP175" si="687">+BO92</f>
        <v>150.80438262811782</v>
      </c>
      <c r="BP175" s="681">
        <f t="shared" si="687"/>
        <v>238.89430419245332</v>
      </c>
      <c r="BQ175" s="681">
        <f t="shared" ref="BQ175:BR175" si="688">+BQ92</f>
        <v>232.78361761376385</v>
      </c>
      <c r="BR175" s="2199">
        <f t="shared" si="688"/>
        <v>225.34647825376328</v>
      </c>
      <c r="BS175" s="2000">
        <f>SUM(BO175:BR175)</f>
        <v>847.82878268809827</v>
      </c>
      <c r="BT175" s="18"/>
      <c r="BU175" s="18"/>
      <c r="BV175" s="18"/>
      <c r="BW175" s="18"/>
      <c r="BX175" s="2009">
        <f>+BX92</f>
        <v>955.61083970163941</v>
      </c>
      <c r="BY175" s="18"/>
      <c r="BZ175" s="18"/>
      <c r="CA175" s="18"/>
      <c r="CB175" s="18"/>
      <c r="CC175" s="2009">
        <f>+CC92</f>
        <v>1070.3245787982339</v>
      </c>
      <c r="CD175" s="191"/>
      <c r="CE175" s="111"/>
      <c r="CF175" s="173"/>
      <c r="CG175" s="173"/>
      <c r="CH175" s="173"/>
      <c r="CI175" s="1989"/>
      <c r="CJ175" s="177"/>
      <c r="CK175" s="2070"/>
      <c r="CL175" s="681">
        <f t="shared" si="646"/>
        <v>148.29999999999998</v>
      </c>
      <c r="CM175" s="681">
        <f t="shared" si="647"/>
        <v>104.7</v>
      </c>
      <c r="CN175" s="681">
        <v>137.06277083378387</v>
      </c>
      <c r="CO175" s="2097">
        <f t="shared" ref="CO175:CP180" si="689">IFERROR(($CL175/CM175)-1,"")</f>
        <v>0.41642788920725859</v>
      </c>
      <c r="CP175" s="2097">
        <f t="shared" si="689"/>
        <v>8.1986006104046272E-2</v>
      </c>
      <c r="CQ175" s="44"/>
      <c r="CR175" s="41"/>
      <c r="CS175" s="41"/>
      <c r="CT175" s="41"/>
      <c r="CU175" s="41"/>
      <c r="CV175" s="41"/>
      <c r="CW175" s="41"/>
      <c r="CX175" s="41"/>
      <c r="CY175" s="116"/>
      <c r="CZ175"/>
      <c r="DA175"/>
      <c r="DB175"/>
      <c r="DC175"/>
      <c r="DD175"/>
      <c r="DE175"/>
      <c r="DF175" s="19"/>
      <c r="DG175" s="19"/>
      <c r="DH175" s="19"/>
      <c r="DI175" s="19"/>
      <c r="DJ175" s="19"/>
    </row>
    <row r="176" spans="1:114" s="178" customFormat="1" ht="12.75" customHeight="1">
      <c r="A176" s="2234" t="s">
        <v>592</v>
      </c>
      <c r="B176" s="368"/>
      <c r="C176" s="18"/>
      <c r="D176" s="18"/>
      <c r="E176" s="18"/>
      <c r="F176" s="1936"/>
      <c r="G176" s="18"/>
      <c r="H176" s="18"/>
      <c r="I176" s="18"/>
      <c r="J176" s="18"/>
      <c r="K176" s="1936"/>
      <c r="L176" s="18"/>
      <c r="M176" s="18"/>
      <c r="N176" s="18"/>
      <c r="O176" s="18"/>
      <c r="P176" s="1936"/>
      <c r="Q176" s="18"/>
      <c r="R176" s="18"/>
      <c r="S176" s="18"/>
      <c r="T176" s="18"/>
      <c r="U176" s="1936"/>
      <c r="V176" s="18"/>
      <c r="W176" s="18"/>
      <c r="X176" s="18"/>
      <c r="Y176" s="18"/>
      <c r="Z176" s="1936"/>
      <c r="AA176" s="18"/>
      <c r="AB176" s="18"/>
      <c r="AC176" s="18"/>
      <c r="AD176" s="18"/>
      <c r="AE176" s="1936"/>
      <c r="AF176" s="18"/>
      <c r="AG176" s="18"/>
      <c r="AH176" s="18"/>
      <c r="AI176" s="18"/>
      <c r="AJ176" s="1936"/>
      <c r="AK176" s="18"/>
      <c r="AL176" s="18"/>
      <c r="AM176" s="18"/>
      <c r="AN176" s="18"/>
      <c r="AO176" s="1936"/>
      <c r="AP176" s="18"/>
      <c r="AQ176" s="18"/>
      <c r="AR176" s="18"/>
      <c r="AS176" s="18"/>
      <c r="AT176" s="1936"/>
      <c r="AU176" s="18"/>
      <c r="AV176" s="18"/>
      <c r="AW176" s="18"/>
      <c r="AX176" s="18"/>
      <c r="AY176" s="368"/>
      <c r="AZ176" s="2008"/>
      <c r="BA176" s="681"/>
      <c r="BB176" s="681"/>
      <c r="BC176" s="681"/>
      <c r="BD176" s="1936"/>
      <c r="BE176" s="681">
        <f t="shared" ref="BE176:BF176" si="690">+BE175-BE177</f>
        <v>17.300000000000054</v>
      </c>
      <c r="BF176" s="681">
        <f t="shared" si="690"/>
        <v>37.299999999999983</v>
      </c>
      <c r="BG176" s="681">
        <f>+BG175-BG177</f>
        <v>28.200000000000003</v>
      </c>
      <c r="BH176" s="681">
        <f>+BH175-BH177</f>
        <v>24.799999999999997</v>
      </c>
      <c r="BI176" s="1936"/>
      <c r="BJ176" s="681">
        <f t="shared" ref="BJ176:BK176" si="691">+BJ175-BJ177</f>
        <v>20.600000000000009</v>
      </c>
      <c r="BK176" s="2126">
        <f t="shared" si="691"/>
        <v>26.999999999999972</v>
      </c>
      <c r="BL176" s="681">
        <f>+BL175-BL177</f>
        <v>39.500000000000014</v>
      </c>
      <c r="BM176" s="681">
        <f>+BM175-BM177</f>
        <v>59.699999999999989</v>
      </c>
      <c r="BN176" s="1936"/>
      <c r="BO176" s="2317"/>
      <c r="BP176" s="681"/>
      <c r="BQ176" s="681"/>
      <c r="BR176" s="2199"/>
      <c r="BS176" s="2000"/>
      <c r="BT176" s="18"/>
      <c r="BU176" s="18"/>
      <c r="BV176" s="18"/>
      <c r="BW176" s="18"/>
      <c r="BX176" s="2009"/>
      <c r="BY176" s="18"/>
      <c r="BZ176" s="18"/>
      <c r="CA176" s="18"/>
      <c r="CB176" s="18"/>
      <c r="CC176" s="2009"/>
      <c r="CD176" s="191"/>
      <c r="CE176" s="111"/>
      <c r="CF176" s="173"/>
      <c r="CG176" s="173"/>
      <c r="CH176" s="173"/>
      <c r="CI176" s="1989"/>
      <c r="CJ176" s="177"/>
      <c r="CK176" s="2070"/>
      <c r="CL176" s="681"/>
      <c r="CM176" s="681"/>
      <c r="CN176" s="681"/>
      <c r="CO176" s="2097"/>
      <c r="CP176" s="2097"/>
      <c r="CQ176" s="44"/>
      <c r="CR176" s="41"/>
      <c r="CS176" s="41"/>
      <c r="CT176" s="41"/>
      <c r="CU176" s="41"/>
      <c r="CV176" s="41"/>
      <c r="CW176" s="41"/>
      <c r="CX176" s="41"/>
      <c r="CY176" s="116"/>
      <c r="CZ176"/>
      <c r="DA176"/>
      <c r="DB176"/>
      <c r="DC176"/>
      <c r="DD176"/>
      <c r="DE176"/>
      <c r="DF176" s="19"/>
      <c r="DG176" s="19"/>
      <c r="DH176" s="19"/>
      <c r="DI176" s="19"/>
      <c r="DJ176" s="19"/>
    </row>
    <row r="177" spans="1:114" s="178" customFormat="1" ht="12.75" customHeight="1">
      <c r="A177" s="2234" t="s">
        <v>593</v>
      </c>
      <c r="B177" s="368"/>
      <c r="C177" s="18"/>
      <c r="D177" s="18"/>
      <c r="E177" s="18"/>
      <c r="F177" s="1936"/>
      <c r="G177" s="18"/>
      <c r="H177" s="18"/>
      <c r="I177" s="18"/>
      <c r="J177" s="18"/>
      <c r="K177" s="1936"/>
      <c r="L177" s="18"/>
      <c r="M177" s="18"/>
      <c r="N177" s="18"/>
      <c r="O177" s="18"/>
      <c r="P177" s="1936"/>
      <c r="Q177" s="18"/>
      <c r="R177" s="18"/>
      <c r="S177" s="18"/>
      <c r="T177" s="18"/>
      <c r="U177" s="1936"/>
      <c r="V177" s="18"/>
      <c r="W177" s="18"/>
      <c r="X177" s="18"/>
      <c r="Y177" s="18"/>
      <c r="Z177" s="1936"/>
      <c r="AA177" s="18"/>
      <c r="AB177" s="18"/>
      <c r="AC177" s="18"/>
      <c r="AD177" s="18"/>
      <c r="AE177" s="1936"/>
      <c r="AF177" s="18"/>
      <c r="AG177" s="18"/>
      <c r="AH177" s="18"/>
      <c r="AI177" s="18"/>
      <c r="AJ177" s="1936"/>
      <c r="AK177" s="18"/>
      <c r="AL177" s="18"/>
      <c r="AM177" s="18"/>
      <c r="AN177" s="18"/>
      <c r="AO177" s="1936"/>
      <c r="AP177" s="18"/>
      <c r="AQ177" s="18"/>
      <c r="AR177" s="18"/>
      <c r="AS177" s="18"/>
      <c r="AT177" s="1936"/>
      <c r="AU177" s="18"/>
      <c r="AV177" s="18"/>
      <c r="AW177" s="18"/>
      <c r="AX177" s="18"/>
      <c r="AY177" s="368"/>
      <c r="AZ177" s="681"/>
      <c r="BA177" s="681"/>
      <c r="BB177" s="681"/>
      <c r="BC177" s="681">
        <v>57.2</v>
      </c>
      <c r="BD177" s="1936"/>
      <c r="BE177" s="2126">
        <f>374.4-SUM(BF177:BH177)</f>
        <v>58.299999999999955</v>
      </c>
      <c r="BF177" s="681">
        <v>125.9</v>
      </c>
      <c r="BG177" s="681">
        <v>110.3</v>
      </c>
      <c r="BH177" s="2126">
        <v>79.900000000000006</v>
      </c>
      <c r="BI177" s="1936"/>
      <c r="BJ177" s="2126">
        <v>95.5</v>
      </c>
      <c r="BK177" s="681">
        <v>144.30000000000001</v>
      </c>
      <c r="BL177" s="681">
        <v>113.8</v>
      </c>
      <c r="BM177" s="2126">
        <v>88.6</v>
      </c>
      <c r="BN177" s="1936"/>
      <c r="BO177" s="2317"/>
      <c r="BP177" s="681"/>
      <c r="BQ177" s="681"/>
      <c r="BR177" s="2199"/>
      <c r="BS177" s="2000"/>
      <c r="BT177" s="18"/>
      <c r="BU177" s="18"/>
      <c r="BV177" s="18"/>
      <c r="BW177" s="18"/>
      <c r="BX177" s="2009"/>
      <c r="BY177" s="18"/>
      <c r="BZ177" s="18"/>
      <c r="CA177" s="18"/>
      <c r="CB177" s="18"/>
      <c r="CC177" s="2009"/>
      <c r="CD177" s="191"/>
      <c r="CE177" s="111"/>
      <c r="CF177" s="173"/>
      <c r="CG177" s="173"/>
      <c r="CH177" s="173"/>
      <c r="CI177" s="1989"/>
      <c r="CJ177" s="177"/>
      <c r="CK177" s="2070"/>
      <c r="CL177" s="681"/>
      <c r="CM177" s="681"/>
      <c r="CN177" s="681"/>
      <c r="CO177" s="2097"/>
      <c r="CP177" s="2097"/>
      <c r="CQ177" s="44"/>
      <c r="CR177" s="41"/>
      <c r="CS177" s="41"/>
      <c r="CT177" s="41"/>
      <c r="CU177" s="41"/>
      <c r="CV177" s="41"/>
      <c r="CW177" s="41"/>
      <c r="CX177" s="41"/>
      <c r="CY177" s="116"/>
      <c r="CZ177"/>
      <c r="DA177"/>
      <c r="DB177"/>
      <c r="DC177"/>
      <c r="DD177"/>
      <c r="DE177"/>
      <c r="DF177" s="19"/>
      <c r="DG177" s="19"/>
      <c r="DH177" s="19"/>
      <c r="DI177" s="19"/>
      <c r="DJ177" s="19"/>
    </row>
    <row r="178" spans="1:114" s="178" customFormat="1" ht="12.75" customHeight="1">
      <c r="A178" s="58" t="s">
        <v>546</v>
      </c>
      <c r="B178" s="368"/>
      <c r="C178" s="18"/>
      <c r="D178" s="18"/>
      <c r="E178" s="18"/>
      <c r="F178" s="1936"/>
      <c r="G178" s="18"/>
      <c r="H178" s="18"/>
      <c r="I178" s="18"/>
      <c r="J178" s="18"/>
      <c r="K178" s="1936"/>
      <c r="L178" s="18"/>
      <c r="M178" s="18"/>
      <c r="N178" s="18"/>
      <c r="O178" s="18"/>
      <c r="P178" s="1936"/>
      <c r="Q178" s="18"/>
      <c r="R178" s="18"/>
      <c r="S178" s="18"/>
      <c r="T178" s="18"/>
      <c r="U178" s="1936"/>
      <c r="V178" s="18"/>
      <c r="W178" s="18"/>
      <c r="X178" s="18"/>
      <c r="Y178" s="18"/>
      <c r="Z178" s="1936"/>
      <c r="AA178" s="18"/>
      <c r="AB178" s="18"/>
      <c r="AC178" s="18"/>
      <c r="AD178" s="18"/>
      <c r="AE178" s="1936"/>
      <c r="AF178" s="18"/>
      <c r="AG178" s="18"/>
      <c r="AH178" s="18"/>
      <c r="AI178" s="18"/>
      <c r="AJ178" s="1936"/>
      <c r="AK178" s="18"/>
      <c r="AL178" s="18"/>
      <c r="AM178" s="18"/>
      <c r="AN178" s="18"/>
      <c r="AO178" s="1936"/>
      <c r="AP178" s="18"/>
      <c r="AQ178" s="18"/>
      <c r="AR178" s="18"/>
      <c r="AS178" s="18"/>
      <c r="AT178" s="1936"/>
      <c r="AU178" s="18"/>
      <c r="AV178" s="18"/>
      <c r="AW178" s="18"/>
      <c r="AX178" s="18"/>
      <c r="AY178" s="368"/>
      <c r="AZ178" s="2008"/>
      <c r="BA178" s="681"/>
      <c r="BB178" s="681">
        <f>+BB118</f>
        <v>41.2</v>
      </c>
      <c r="BC178" s="681">
        <f>+BC118</f>
        <v>48.9</v>
      </c>
      <c r="BD178" s="1936"/>
      <c r="BE178" s="2008">
        <f>+BE118</f>
        <v>40.699999999999996</v>
      </c>
      <c r="BF178" s="681">
        <f>+BF118</f>
        <v>58.3</v>
      </c>
      <c r="BG178" s="681">
        <f>+BG118</f>
        <v>79.2</v>
      </c>
      <c r="BH178" s="681">
        <f>+BH118</f>
        <v>58.499999999999993</v>
      </c>
      <c r="BI178" s="2000">
        <f>SUM(BE178:BH178)</f>
        <v>236.7</v>
      </c>
      <c r="BJ178" s="2008">
        <f>+BJ118</f>
        <v>50.099999999999994</v>
      </c>
      <c r="BK178" s="681">
        <f>+BK118</f>
        <v>71.5</v>
      </c>
      <c r="BL178" s="681">
        <f>+BL118</f>
        <v>80.099999999999994</v>
      </c>
      <c r="BM178" s="681">
        <f>+BM118</f>
        <v>64.199999999999989</v>
      </c>
      <c r="BN178" s="2000">
        <f>SUM(BJ178:BM178)</f>
        <v>265.89999999999998</v>
      </c>
      <c r="BO178" s="2317">
        <f t="shared" ref="BO178:BQ178" si="692">+BO118</f>
        <v>44.421805971694504</v>
      </c>
      <c r="BP178" s="681">
        <f>+BP118</f>
        <v>71.017589689404545</v>
      </c>
      <c r="BQ178" s="681">
        <f t="shared" si="692"/>
        <v>81.148525482085944</v>
      </c>
      <c r="BR178" s="2199">
        <f>+BR118</f>
        <v>80.731468912023445</v>
      </c>
      <c r="BS178" s="2000">
        <f>SUM(BO178:BR178)</f>
        <v>277.31939005520843</v>
      </c>
      <c r="BT178" s="18"/>
      <c r="BU178" s="18"/>
      <c r="BV178" s="18"/>
      <c r="BW178" s="18"/>
      <c r="BX178" s="2009">
        <f>+BX118</f>
        <v>309.38941277010832</v>
      </c>
      <c r="BY178" s="18"/>
      <c r="BZ178" s="18"/>
      <c r="CA178" s="18"/>
      <c r="CB178" s="18"/>
      <c r="CC178" s="2009">
        <f>+CC118</f>
        <v>337.83095806041814</v>
      </c>
      <c r="CD178" s="191"/>
      <c r="CE178" s="111"/>
      <c r="CF178" s="173"/>
      <c r="CG178" s="173"/>
      <c r="CH178" s="173"/>
      <c r="CI178" s="1989"/>
      <c r="CJ178" s="177"/>
      <c r="CK178" s="2070"/>
      <c r="CL178" s="681">
        <f>BM178</f>
        <v>64.199999999999989</v>
      </c>
      <c r="CM178" s="681">
        <f>BH178</f>
        <v>58.499999999999993</v>
      </c>
      <c r="CN178" s="681">
        <v>72.431050178228674</v>
      </c>
      <c r="CO178" s="2097">
        <f t="shared" si="689"/>
        <v>9.7435897435897312E-2</v>
      </c>
      <c r="CP178" s="2097">
        <f t="shared" si="689"/>
        <v>-0.11363980168691212</v>
      </c>
      <c r="CQ178" s="44"/>
      <c r="CR178" s="41"/>
      <c r="CS178" s="41"/>
      <c r="CT178" s="41"/>
      <c r="CU178" s="41"/>
      <c r="CV178" s="41"/>
      <c r="CW178" s="41"/>
      <c r="CX178" s="41"/>
      <c r="CY178" s="116"/>
      <c r="CZ178"/>
      <c r="DA178"/>
      <c r="DB178"/>
      <c r="DC178"/>
      <c r="DD178"/>
      <c r="DE178"/>
      <c r="DF178" s="19"/>
      <c r="DG178" s="19"/>
      <c r="DH178" s="19"/>
      <c r="DI178" s="19"/>
      <c r="DJ178" s="19"/>
    </row>
    <row r="179" spans="1:114" s="178" customFormat="1" ht="12.75" customHeight="1">
      <c r="A179" s="58" t="s">
        <v>543</v>
      </c>
      <c r="B179" s="368"/>
      <c r="C179" s="18"/>
      <c r="D179" s="18"/>
      <c r="E179" s="18"/>
      <c r="F179" s="1936"/>
      <c r="G179" s="18"/>
      <c r="H179" s="18"/>
      <c r="I179" s="18"/>
      <c r="J179" s="18"/>
      <c r="K179" s="1936"/>
      <c r="L179" s="18"/>
      <c r="M179" s="18"/>
      <c r="N179" s="18"/>
      <c r="O179" s="18"/>
      <c r="P179" s="1936"/>
      <c r="Q179" s="18"/>
      <c r="R179" s="18"/>
      <c r="S179" s="18"/>
      <c r="T179" s="18"/>
      <c r="U179" s="1936"/>
      <c r="V179" s="18"/>
      <c r="W179" s="18"/>
      <c r="X179" s="18"/>
      <c r="Y179" s="18"/>
      <c r="Z179" s="1936"/>
      <c r="AA179" s="18"/>
      <c r="AB179" s="18"/>
      <c r="AC179" s="18"/>
      <c r="AD179" s="18"/>
      <c r="AE179" s="1936"/>
      <c r="AF179" s="18"/>
      <c r="AG179" s="18"/>
      <c r="AH179" s="18"/>
      <c r="AI179" s="18"/>
      <c r="AJ179" s="1936"/>
      <c r="AK179" s="18"/>
      <c r="AL179" s="18"/>
      <c r="AM179" s="18"/>
      <c r="AN179" s="18"/>
      <c r="AO179" s="1936"/>
      <c r="AP179" s="18"/>
      <c r="AQ179" s="18"/>
      <c r="AR179" s="18"/>
      <c r="AS179" s="18"/>
      <c r="AT179" s="1936"/>
      <c r="AU179" s="18"/>
      <c r="AV179" s="18"/>
      <c r="AW179" s="18"/>
      <c r="AX179" s="18"/>
      <c r="AY179" s="368"/>
      <c r="AZ179" s="2008"/>
      <c r="BA179" s="681"/>
      <c r="BB179" s="681">
        <v>-0.3</v>
      </c>
      <c r="BC179" s="681">
        <v>-0.8</v>
      </c>
      <c r="BD179" s="1936"/>
      <c r="BE179" s="2126">
        <v>-0.2</v>
      </c>
      <c r="BF179" s="2126">
        <v>-1.8</v>
      </c>
      <c r="BG179" s="2126">
        <v>-1</v>
      </c>
      <c r="BH179" s="2126">
        <v>-1.6</v>
      </c>
      <c r="BI179" s="2036">
        <f>SUM(BE179:BH179)</f>
        <v>-4.5999999999999996</v>
      </c>
      <c r="BJ179" s="2126">
        <v>0</v>
      </c>
      <c r="BK179" s="2126">
        <v>0</v>
      </c>
      <c r="BL179" s="2126">
        <v>0</v>
      </c>
      <c r="BM179" s="2126">
        <v>0</v>
      </c>
      <c r="BN179" s="2036">
        <f>SUM(BJ179:BM179)</f>
        <v>0</v>
      </c>
      <c r="BO179" s="2357">
        <f>+BM179</f>
        <v>0</v>
      </c>
      <c r="BP179" s="2209">
        <f t="shared" ref="BP179" si="693">+BO179</f>
        <v>0</v>
      </c>
      <c r="BQ179" s="2209">
        <f t="shared" ref="BQ179:BR179" si="694">+BP179</f>
        <v>0</v>
      </c>
      <c r="BR179" s="2369">
        <f t="shared" si="694"/>
        <v>0</v>
      </c>
      <c r="BS179" s="2036">
        <f>SUM(BO179:BR179)</f>
        <v>0</v>
      </c>
      <c r="BT179" s="2037"/>
      <c r="BU179" s="2037"/>
      <c r="BV179" s="2037"/>
      <c r="BW179" s="2037"/>
      <c r="BX179" s="2038">
        <f>+BS179</f>
        <v>0</v>
      </c>
      <c r="BY179" s="2037"/>
      <c r="BZ179" s="2037"/>
      <c r="CA179" s="2037"/>
      <c r="CB179" s="2037"/>
      <c r="CC179" s="2038">
        <f>+BX179</f>
        <v>0</v>
      </c>
      <c r="CD179" s="191"/>
      <c r="CE179" s="111"/>
      <c r="CF179" s="173"/>
      <c r="CG179" s="173"/>
      <c r="CH179" s="173"/>
      <c r="CI179" s="1989"/>
      <c r="CJ179" s="177"/>
      <c r="CK179" s="2070"/>
      <c r="CL179" s="681">
        <f>BM179</f>
        <v>0</v>
      </c>
      <c r="CM179" s="681">
        <f>BH179</f>
        <v>-1.6</v>
      </c>
      <c r="CN179" s="2209">
        <v>0</v>
      </c>
      <c r="CO179" s="2097">
        <f t="shared" si="689"/>
        <v>-1</v>
      </c>
      <c r="CP179" s="2097" t="str">
        <f t="shared" si="689"/>
        <v/>
      </c>
      <c r="CQ179" s="44"/>
      <c r="CR179" s="41"/>
      <c r="CS179" s="41"/>
      <c r="CT179" s="41"/>
      <c r="CU179" s="41"/>
      <c r="CV179" s="41"/>
      <c r="CW179" s="41"/>
      <c r="CX179" s="41"/>
      <c r="CY179" s="116"/>
      <c r="CZ179"/>
      <c r="DA179"/>
      <c r="DB179"/>
      <c r="DC179"/>
      <c r="DD179"/>
      <c r="DE179"/>
      <c r="DF179" s="19"/>
      <c r="DG179" s="19"/>
      <c r="DH179" s="19"/>
      <c r="DI179" s="19"/>
      <c r="DJ179" s="19"/>
    </row>
    <row r="180" spans="1:114" s="178" customFormat="1" ht="12.75" customHeight="1">
      <c r="A180" s="58" t="s">
        <v>544</v>
      </c>
      <c r="B180" s="368"/>
      <c r="C180" s="18"/>
      <c r="D180" s="18"/>
      <c r="E180" s="18"/>
      <c r="F180" s="1936"/>
      <c r="G180" s="18"/>
      <c r="H180" s="18"/>
      <c r="I180" s="18"/>
      <c r="J180" s="18"/>
      <c r="K180" s="1936"/>
      <c r="L180" s="18"/>
      <c r="M180" s="18"/>
      <c r="N180" s="18"/>
      <c r="O180" s="18"/>
      <c r="P180" s="1936"/>
      <c r="Q180" s="18"/>
      <c r="R180" s="18"/>
      <c r="S180" s="18"/>
      <c r="T180" s="18"/>
      <c r="U180" s="1936"/>
      <c r="V180" s="18"/>
      <c r="W180" s="18"/>
      <c r="X180" s="18"/>
      <c r="Y180" s="18"/>
      <c r="Z180" s="1936"/>
      <c r="AA180" s="18"/>
      <c r="AB180" s="18"/>
      <c r="AC180" s="18"/>
      <c r="AD180" s="18"/>
      <c r="AE180" s="1936"/>
      <c r="AF180" s="18"/>
      <c r="AG180" s="18"/>
      <c r="AH180" s="18"/>
      <c r="AI180" s="18"/>
      <c r="AJ180" s="1936"/>
      <c r="AK180" s="18"/>
      <c r="AL180" s="18"/>
      <c r="AM180" s="18"/>
      <c r="AN180" s="18"/>
      <c r="AO180" s="1936"/>
      <c r="AP180" s="18"/>
      <c r="AQ180" s="18"/>
      <c r="AR180" s="18"/>
      <c r="AS180" s="18"/>
      <c r="AT180" s="1936"/>
      <c r="AU180" s="18"/>
      <c r="AV180" s="18"/>
      <c r="AW180" s="18"/>
      <c r="AX180" s="18"/>
      <c r="AY180" s="368"/>
      <c r="AZ180" s="2008"/>
      <c r="BA180" s="681"/>
      <c r="BB180" s="681">
        <f>+BB173-BB175-BB178-BB179</f>
        <v>-15.199999999999985</v>
      </c>
      <c r="BC180" s="681">
        <f>+BC173-BC175-BC178-BC179</f>
        <v>-35.599999999999937</v>
      </c>
      <c r="BD180" s="1936"/>
      <c r="BE180" s="2008">
        <f>+BE173-BE175-BE178-BE179</f>
        <v>-32.399999999999885</v>
      </c>
      <c r="BF180" s="681">
        <f>+BF173-BF175-BF178-BF179</f>
        <v>-27.899999999999491</v>
      </c>
      <c r="BG180" s="681">
        <f>+BG173-BG175-BG178-BG179</f>
        <v>-28.099999999999923</v>
      </c>
      <c r="BH180" s="681">
        <f>+BH173-BH175-BH178-BH179</f>
        <v>-40.200000000000216</v>
      </c>
      <c r="BI180" s="2036">
        <f>SUM(BE180:BH180)</f>
        <v>-128.59999999999951</v>
      </c>
      <c r="BJ180" s="2008">
        <f>+BJ173-BJ175-BJ178-BJ179</f>
        <v>-31.599999999999781</v>
      </c>
      <c r="BK180" s="681">
        <f>+BK173-BK175-BK178-BK179</f>
        <v>-37.899999999999807</v>
      </c>
      <c r="BL180" s="681">
        <f>+BL173-BL175-BL178-BL179</f>
        <v>-32.400000000000261</v>
      </c>
      <c r="BM180" s="681">
        <f>+BM173-BM175-BM178-BM179</f>
        <v>-51.500000000000284</v>
      </c>
      <c r="BN180" s="2036">
        <f>SUM(BJ180:BM180)</f>
        <v>-153.40000000000015</v>
      </c>
      <c r="BO180" s="2318">
        <f t="shared" ref="BO180:BP180" si="695">+-BO160-BO161</f>
        <v>-33.700000000000003</v>
      </c>
      <c r="BP180" s="2035">
        <f t="shared" si="695"/>
        <v>-43.7</v>
      </c>
      <c r="BQ180" s="2035">
        <f t="shared" ref="BQ180:BR180" si="696">+-BQ160-BQ161</f>
        <v>-46.2</v>
      </c>
      <c r="BR180" s="2200">
        <f t="shared" si="696"/>
        <v>-56.2</v>
      </c>
      <c r="BS180" s="2036">
        <f>SUM(BO180:BR180)</f>
        <v>-179.8</v>
      </c>
      <c r="BT180" s="2037"/>
      <c r="BU180" s="2037"/>
      <c r="BV180" s="2037"/>
      <c r="BW180" s="2037"/>
      <c r="BX180" s="2039">
        <f>+-BX160-BX161</f>
        <v>-174.8</v>
      </c>
      <c r="BY180" s="2037"/>
      <c r="BZ180" s="2037"/>
      <c r="CA180" s="2037"/>
      <c r="CB180" s="2037"/>
      <c r="CC180" s="2223">
        <f>+BX180</f>
        <v>-174.8</v>
      </c>
      <c r="CD180" s="191"/>
      <c r="CE180" s="111"/>
      <c r="CF180" s="173"/>
      <c r="CG180" s="173"/>
      <c r="CH180" s="173"/>
      <c r="CI180" s="1989"/>
      <c r="CJ180" s="177"/>
      <c r="CK180" s="2070"/>
      <c r="CL180" s="681">
        <f>BM180</f>
        <v>-51.500000000000284</v>
      </c>
      <c r="CM180" s="681">
        <f>BH180</f>
        <v>-40.200000000000216</v>
      </c>
      <c r="CN180" s="2035">
        <v>-33.799999999999997</v>
      </c>
      <c r="CO180" s="2097">
        <f t="shared" si="689"/>
        <v>0.28109452736318419</v>
      </c>
      <c r="CP180" s="2097">
        <f t="shared" si="689"/>
        <v>0.523668639053263</v>
      </c>
      <c r="CQ180" s="374"/>
      <c r="CR180" s="41"/>
      <c r="CS180" s="41"/>
      <c r="CT180" s="41"/>
      <c r="CU180" s="41"/>
      <c r="CV180" s="41"/>
      <c r="CW180" s="41"/>
      <c r="CX180" s="41"/>
      <c r="CY180" s="116"/>
      <c r="CZ180"/>
      <c r="DA180"/>
      <c r="DB180"/>
      <c r="DC180"/>
      <c r="DD180"/>
      <c r="DE180"/>
      <c r="DF180" s="19"/>
      <c r="DG180" s="19"/>
      <c r="DH180" s="19"/>
      <c r="DI180" s="19"/>
      <c r="DJ180" s="19"/>
    </row>
    <row r="181" spans="1:114" s="176" customFormat="1" ht="12.75" customHeight="1">
      <c r="A181" s="54" t="s">
        <v>106</v>
      </c>
      <c r="B181" s="545"/>
      <c r="C181" s="221"/>
      <c r="D181" s="221"/>
      <c r="E181" s="221"/>
      <c r="F181" s="222"/>
      <c r="G181" s="221"/>
      <c r="H181" s="221"/>
      <c r="I181" s="221"/>
      <c r="J181" s="221"/>
      <c r="K181" s="222"/>
      <c r="L181" s="221"/>
      <c r="M181" s="221"/>
      <c r="N181" s="221"/>
      <c r="O181" s="221"/>
      <c r="P181" s="222"/>
      <c r="Q181" s="221"/>
      <c r="R181" s="221"/>
      <c r="S181" s="221"/>
      <c r="T181" s="221"/>
      <c r="U181" s="222"/>
      <c r="V181" s="221"/>
      <c r="W181" s="221"/>
      <c r="X181" s="221"/>
      <c r="Y181" s="221"/>
      <c r="Z181" s="222"/>
      <c r="AA181" s="381"/>
      <c r="AB181" s="381"/>
      <c r="AC181" s="381"/>
      <c r="AD181" s="381"/>
      <c r="AE181" s="382"/>
      <c r="AF181" s="381"/>
      <c r="AG181" s="381"/>
      <c r="AH181" s="381"/>
      <c r="AI181" s="381"/>
      <c r="AJ181" s="382"/>
      <c r="AK181" s="381"/>
      <c r="AL181" s="381"/>
      <c r="AM181" s="381"/>
      <c r="AN181" s="381"/>
      <c r="AO181" s="253"/>
      <c r="AP181" s="381"/>
      <c r="AQ181" s="381"/>
      <c r="AR181" s="381"/>
      <c r="AS181" s="381"/>
      <c r="AT181" s="253"/>
      <c r="AU181" s="381"/>
      <c r="AV181" s="381"/>
      <c r="AW181" s="381"/>
      <c r="AX181" s="381"/>
      <c r="AY181" s="541"/>
      <c r="AZ181" s="610"/>
      <c r="BA181" s="381"/>
      <c r="BB181" s="2002"/>
      <c r="BC181" s="381"/>
      <c r="BD181" s="2013" t="s">
        <v>462</v>
      </c>
      <c r="BE181" s="610"/>
      <c r="BF181" s="381"/>
      <c r="BG181" s="2002"/>
      <c r="BH181" s="381"/>
      <c r="BI181" s="2013" t="s">
        <v>462</v>
      </c>
      <c r="BJ181" s="2312">
        <f>+BJ173+BJ162-BJ194</f>
        <v>290.00000000000023</v>
      </c>
      <c r="BK181" s="2312">
        <f>+BK173+BK162-BK194</f>
        <v>370.80000000000018</v>
      </c>
      <c r="BL181" s="2002">
        <f t="shared" ref="BL181" si="697">+BL173+BL162-BL194</f>
        <v>369.59999999999974</v>
      </c>
      <c r="BM181" s="2002"/>
      <c r="BN181" s="2013"/>
      <c r="BO181" s="2358"/>
      <c r="BP181" s="2002"/>
      <c r="BQ181" s="2002"/>
      <c r="BR181" s="2370"/>
      <c r="BS181" s="1934"/>
      <c r="BT181" s="381"/>
      <c r="BU181" s="381"/>
      <c r="BV181" s="381"/>
      <c r="BW181" s="381"/>
      <c r="BX181" s="382"/>
      <c r="BY181" s="381"/>
      <c r="BZ181" s="381"/>
      <c r="CA181" s="381"/>
      <c r="CB181" s="381"/>
      <c r="CC181" s="382"/>
      <c r="CD181" s="223"/>
      <c r="CE181" s="224"/>
      <c r="CF181" s="173"/>
      <c r="CG181" s="173"/>
      <c r="CH181" s="173"/>
      <c r="CI181" s="239"/>
      <c r="CJ181" s="177"/>
      <c r="CK181" s="2070"/>
      <c r="CL181" s="381"/>
      <c r="CM181" s="381"/>
      <c r="CN181" s="2002">
        <v>338.69382101201256</v>
      </c>
      <c r="CO181" s="381"/>
      <c r="CP181" s="381"/>
      <c r="CQ181" s="44"/>
      <c r="CR181" s="40"/>
      <c r="CS181" s="519"/>
      <c r="CT181" s="16"/>
      <c r="CU181" s="16"/>
      <c r="CV181" s="16"/>
      <c r="CW181" s="16"/>
      <c r="CX181" s="16"/>
      <c r="CY181" s="141"/>
      <c r="CZ181"/>
      <c r="DA181"/>
      <c r="DB181"/>
      <c r="DC181"/>
      <c r="DD181"/>
      <c r="DE181"/>
      <c r="DF181" s="8"/>
      <c r="DG181" s="8"/>
      <c r="DH181" s="8"/>
      <c r="DI181" s="8"/>
      <c r="DJ181" s="8"/>
    </row>
    <row r="182" spans="1:114" s="250" customFormat="1" ht="12.75" customHeight="1">
      <c r="A182" s="10" t="s">
        <v>22</v>
      </c>
      <c r="B182" s="554"/>
      <c r="C182" s="10"/>
      <c r="D182" s="10"/>
      <c r="E182" s="10"/>
      <c r="F182" s="62">
        <f t="shared" ref="F182:AK182" si="698">F45</f>
        <v>0</v>
      </c>
      <c r="G182" s="10">
        <f t="shared" si="698"/>
        <v>9.5549999999999997</v>
      </c>
      <c r="H182" s="10">
        <f t="shared" si="698"/>
        <v>11.120000000000001</v>
      </c>
      <c r="I182" s="10">
        <f t="shared" si="698"/>
        <v>10.850999999999999</v>
      </c>
      <c r="J182" s="10">
        <f t="shared" si="698"/>
        <v>10.664999999999996</v>
      </c>
      <c r="K182" s="62">
        <f t="shared" si="698"/>
        <v>42.190999999999995</v>
      </c>
      <c r="L182" s="10">
        <f t="shared" si="698"/>
        <v>11.493</v>
      </c>
      <c r="M182" s="10">
        <f t="shared" si="698"/>
        <v>13.841999999999999</v>
      </c>
      <c r="N182" s="10">
        <f t="shared" si="698"/>
        <v>13.359</v>
      </c>
      <c r="O182" s="10">
        <f t="shared" si="698"/>
        <v>12.811</v>
      </c>
      <c r="P182" s="62">
        <f t="shared" si="698"/>
        <v>51.505000000000003</v>
      </c>
      <c r="Q182" s="10">
        <f t="shared" si="698"/>
        <v>23.716000000000001</v>
      </c>
      <c r="R182" s="10">
        <f t="shared" si="698"/>
        <v>29.675000000000001</v>
      </c>
      <c r="S182" s="10">
        <f t="shared" si="698"/>
        <v>31.116999999999997</v>
      </c>
      <c r="T182" s="10">
        <f t="shared" si="698"/>
        <v>24.954000000000001</v>
      </c>
      <c r="U182" s="62">
        <f t="shared" si="698"/>
        <v>109.462</v>
      </c>
      <c r="V182" s="10">
        <f t="shared" si="698"/>
        <v>20.072000000000003</v>
      </c>
      <c r="W182" s="10">
        <f t="shared" si="698"/>
        <v>22.242999999999995</v>
      </c>
      <c r="X182" s="10">
        <f t="shared" si="698"/>
        <v>26.210999999999999</v>
      </c>
      <c r="Y182" s="10">
        <f t="shared" si="698"/>
        <v>31.61</v>
      </c>
      <c r="Z182" s="1893">
        <f t="shared" si="698"/>
        <v>100.136</v>
      </c>
      <c r="AA182" s="1894">
        <f t="shared" si="698"/>
        <v>31.641999999999996</v>
      </c>
      <c r="AB182" s="1894">
        <f t="shared" si="698"/>
        <v>40.340000000000003</v>
      </c>
      <c r="AC182" s="1894">
        <f t="shared" si="698"/>
        <v>44.447999999999993</v>
      </c>
      <c r="AD182" s="1894">
        <f t="shared" si="698"/>
        <v>41.557000000000002</v>
      </c>
      <c r="AE182" s="1893">
        <f t="shared" si="698"/>
        <v>157.98699999999999</v>
      </c>
      <c r="AF182" s="1894">
        <f t="shared" si="698"/>
        <v>41.508000000000003</v>
      </c>
      <c r="AG182" s="1894">
        <f t="shared" si="698"/>
        <v>44.093999999999994</v>
      </c>
      <c r="AH182" s="1894">
        <f t="shared" si="698"/>
        <v>47.38900000000001</v>
      </c>
      <c r="AI182" s="1894">
        <f t="shared" si="698"/>
        <v>44.084999999999994</v>
      </c>
      <c r="AJ182" s="1893">
        <f t="shared" si="698"/>
        <v>177.07600000000002</v>
      </c>
      <c r="AK182" s="1894">
        <f t="shared" si="698"/>
        <v>44.56</v>
      </c>
      <c r="AL182" s="1894">
        <f t="shared" ref="AL182:BE182" si="699">AL45</f>
        <v>54.54</v>
      </c>
      <c r="AM182" s="1894">
        <f t="shared" si="699"/>
        <v>70.988</v>
      </c>
      <c r="AN182" s="1894">
        <f t="shared" si="699"/>
        <v>108.50299999999999</v>
      </c>
      <c r="AO182" s="1893">
        <f t="shared" si="699"/>
        <v>278.59100000000007</v>
      </c>
      <c r="AP182" s="10">
        <f t="shared" si="699"/>
        <v>113.999</v>
      </c>
      <c r="AQ182" s="10">
        <f t="shared" si="699"/>
        <v>137.09100000000001</v>
      </c>
      <c r="AR182" s="10">
        <f t="shared" si="699"/>
        <v>193.98200000000003</v>
      </c>
      <c r="AS182" s="10">
        <f t="shared" si="699"/>
        <v>257.23099999999999</v>
      </c>
      <c r="AT182" s="62">
        <f t="shared" si="699"/>
        <v>702.30300000000011</v>
      </c>
      <c r="AU182" s="10">
        <f t="shared" si="699"/>
        <v>282.40300000000002</v>
      </c>
      <c r="AV182" s="10">
        <f t="shared" si="699"/>
        <v>581.00900000000001</v>
      </c>
      <c r="AW182" s="10">
        <f t="shared" si="699"/>
        <v>662.47</v>
      </c>
      <c r="AX182" s="10">
        <f t="shared" si="699"/>
        <v>830.7</v>
      </c>
      <c r="AY182" s="554">
        <f t="shared" si="699"/>
        <v>2356.5819999999999</v>
      </c>
      <c r="AZ182" s="554">
        <f t="shared" si="699"/>
        <v>703</v>
      </c>
      <c r="BA182" s="10">
        <f t="shared" si="699"/>
        <v>1215.9000000000001</v>
      </c>
      <c r="BB182" s="10">
        <f t="shared" si="699"/>
        <v>2362.1</v>
      </c>
      <c r="BC182" s="10">
        <f t="shared" si="699"/>
        <v>3342.3</v>
      </c>
      <c r="BD182" s="1958">
        <f t="shared" si="699"/>
        <v>7623.2999999999993</v>
      </c>
      <c r="BE182" s="2253">
        <f t="shared" si="699"/>
        <v>3545.7</v>
      </c>
      <c r="BF182" s="2250">
        <f t="shared" ref="BF182:BJ182" si="700">BF45</f>
        <v>3683.3</v>
      </c>
      <c r="BG182" s="2250">
        <f t="shared" si="700"/>
        <v>3713.8</v>
      </c>
      <c r="BH182" s="2250">
        <f t="shared" si="700"/>
        <v>3676.6</v>
      </c>
      <c r="BI182" s="2254">
        <f t="shared" si="700"/>
        <v>14619.4</v>
      </c>
      <c r="BJ182" s="2253">
        <f t="shared" si="700"/>
        <v>3539.5</v>
      </c>
      <c r="BK182" s="2250">
        <f t="shared" ref="BK182:BN182" si="701">BK45</f>
        <v>3760.3</v>
      </c>
      <c r="BL182" s="2250">
        <f t="shared" si="701"/>
        <v>3887.1</v>
      </c>
      <c r="BM182" s="2250">
        <f t="shared" si="701"/>
        <v>4193.8999999999996</v>
      </c>
      <c r="BN182" s="2254">
        <f t="shared" si="701"/>
        <v>15380.800000000001</v>
      </c>
      <c r="BO182" s="2253">
        <f t="shared" ref="BO182:BP182" si="702">BO45</f>
        <v>3919.3986166444561</v>
      </c>
      <c r="BP182" s="2250">
        <f t="shared" si="702"/>
        <v>4165.4553891783253</v>
      </c>
      <c r="BQ182" s="2250">
        <f t="shared" ref="BQ182:BS182" si="703">BQ45</f>
        <v>4206.2211189904756</v>
      </c>
      <c r="BR182" s="2323">
        <f t="shared" si="703"/>
        <v>4358.9884623787602</v>
      </c>
      <c r="BS182" s="2254">
        <f t="shared" si="703"/>
        <v>16650.063587192017</v>
      </c>
      <c r="BT182" s="2250"/>
      <c r="BU182" s="2250"/>
      <c r="BV182" s="2250"/>
      <c r="BW182" s="2250"/>
      <c r="BX182" s="2255">
        <f>BX45</f>
        <v>17790.120590400573</v>
      </c>
      <c r="BY182" s="2250"/>
      <c r="BZ182" s="2250"/>
      <c r="CA182" s="2250"/>
      <c r="CB182" s="2250"/>
      <c r="CC182" s="2255">
        <f>CC45</f>
        <v>19024.235476749996</v>
      </c>
      <c r="CD182" s="279"/>
      <c r="CE182" s="280"/>
      <c r="CF182" s="246"/>
      <c r="CG182" s="246"/>
      <c r="CH182" s="246"/>
      <c r="CI182" s="247"/>
      <c r="CJ182" s="279"/>
      <c r="CK182" s="2077"/>
      <c r="CL182" s="10">
        <f t="shared" ref="CL182:CL188" si="704">BM182</f>
        <v>4193.8999999999996</v>
      </c>
      <c r="CM182" s="10">
        <f t="shared" ref="CM182:CM188" si="705">BH182</f>
        <v>3676.6</v>
      </c>
      <c r="CN182" s="279">
        <v>3930.1313030011265</v>
      </c>
      <c r="CO182" s="2096">
        <f>IFERROR(($CL182/CM182)-1,"")</f>
        <v>0.14070064733721366</v>
      </c>
      <c r="CP182" s="2096">
        <f>IFERROR(($CL182/CN182)-1,"")</f>
        <v>6.7114474469963437E-2</v>
      </c>
      <c r="CQ182" s="454"/>
      <c r="CR182" s="248"/>
      <c r="CS182" s="248"/>
      <c r="CT182" s="248"/>
      <c r="CU182" s="248"/>
      <c r="CV182" s="248"/>
      <c r="CW182" s="248"/>
      <c r="CX182" s="248"/>
      <c r="CY182" s="249"/>
      <c r="CZ182"/>
      <c r="DA182"/>
      <c r="DB182"/>
      <c r="DC182"/>
      <c r="DD182"/>
      <c r="DE182"/>
      <c r="DF182" s="4"/>
      <c r="DG182" s="4"/>
      <c r="DH182" s="4"/>
      <c r="DI182" s="4"/>
      <c r="DJ182" s="4"/>
    </row>
    <row r="183" spans="1:114" s="178" customFormat="1" ht="12.75" customHeight="1">
      <c r="A183" s="58" t="s">
        <v>85</v>
      </c>
      <c r="B183" s="368"/>
      <c r="C183" s="18"/>
      <c r="D183" s="18"/>
      <c r="E183" s="18"/>
      <c r="F183" s="60"/>
      <c r="G183" s="18" t="str">
        <f t="shared" ref="G183:P183" si="706">IF(ISERROR((G182-B182)/B182),"",(G182-B182)/B182)</f>
        <v/>
      </c>
      <c r="H183" s="18" t="str">
        <f t="shared" si="706"/>
        <v/>
      </c>
      <c r="I183" s="18" t="str">
        <f t="shared" si="706"/>
        <v/>
      </c>
      <c r="J183" s="18" t="str">
        <f t="shared" si="706"/>
        <v/>
      </c>
      <c r="K183" s="60" t="str">
        <f t="shared" si="706"/>
        <v/>
      </c>
      <c r="L183" s="18">
        <f t="shared" si="706"/>
        <v>0.20282574568288861</v>
      </c>
      <c r="M183" s="18">
        <f t="shared" si="706"/>
        <v>0.24478417266187028</v>
      </c>
      <c r="N183" s="18">
        <f t="shared" si="706"/>
        <v>0.23113077135747867</v>
      </c>
      <c r="O183" s="18">
        <f t="shared" si="706"/>
        <v>0.20121894045944727</v>
      </c>
      <c r="P183" s="60">
        <f t="shared" si="706"/>
        <v>0.22075798156004856</v>
      </c>
      <c r="Q183" s="18">
        <f t="shared" ref="Q183:AE183" si="707">(Q182-L182)/L182</f>
        <v>1.0635169233446446</v>
      </c>
      <c r="R183" s="18">
        <f t="shared" si="707"/>
        <v>1.1438375957231617</v>
      </c>
      <c r="S183" s="18">
        <f t="shared" si="707"/>
        <v>1.3292911146043862</v>
      </c>
      <c r="T183" s="18">
        <f t="shared" si="707"/>
        <v>0.94785731012411212</v>
      </c>
      <c r="U183" s="60">
        <f t="shared" si="707"/>
        <v>1.1252693913212308</v>
      </c>
      <c r="V183" s="18">
        <f t="shared" si="707"/>
        <v>-0.15365154326193278</v>
      </c>
      <c r="W183" s="18">
        <f t="shared" si="707"/>
        <v>-0.25044650379107009</v>
      </c>
      <c r="X183" s="18">
        <f t="shared" si="707"/>
        <v>-0.15766301378667608</v>
      </c>
      <c r="Y183" s="18">
        <f t="shared" si="707"/>
        <v>0.26673078464374445</v>
      </c>
      <c r="Z183" s="60">
        <f t="shared" si="707"/>
        <v>-8.519851638011372E-2</v>
      </c>
      <c r="AA183" s="18">
        <f t="shared" si="707"/>
        <v>0.57642487046632085</v>
      </c>
      <c r="AB183" s="18">
        <f t="shared" si="707"/>
        <v>0.81360427999820228</v>
      </c>
      <c r="AC183" s="18">
        <f t="shared" si="707"/>
        <v>0.69577658235092121</v>
      </c>
      <c r="AD183" s="18">
        <f t="shared" si="707"/>
        <v>0.31467889908256891</v>
      </c>
      <c r="AE183" s="60">
        <f t="shared" si="707"/>
        <v>0.57772429495885602</v>
      </c>
      <c r="AF183" s="18">
        <f t="shared" ref="AF183:AS183" si="708">(AF182-AA182)/AA182</f>
        <v>0.3118007711269834</v>
      </c>
      <c r="AG183" s="18">
        <f t="shared" si="708"/>
        <v>9.3058998512642294E-2</v>
      </c>
      <c r="AH183" s="18">
        <f t="shared" si="708"/>
        <v>6.6167206623470504E-2</v>
      </c>
      <c r="AI183" s="18">
        <f t="shared" si="708"/>
        <v>6.0832110113819365E-2</v>
      </c>
      <c r="AJ183" s="60">
        <f t="shared" si="708"/>
        <v>0.12082639710862304</v>
      </c>
      <c r="AK183" s="18">
        <f t="shared" si="708"/>
        <v>7.3527994603449928E-2</v>
      </c>
      <c r="AL183" s="18">
        <f t="shared" si="708"/>
        <v>0.23690297999727869</v>
      </c>
      <c r="AM183" s="18">
        <f t="shared" si="708"/>
        <v>0.49798476439680062</v>
      </c>
      <c r="AN183" s="18">
        <f t="shared" si="708"/>
        <v>1.4612226380855167</v>
      </c>
      <c r="AO183" s="60">
        <f t="shared" si="708"/>
        <v>0.57328491721068942</v>
      </c>
      <c r="AP183" s="18">
        <f>(AP182-AK182)/AK182</f>
        <v>1.5583258527827646</v>
      </c>
      <c r="AQ183" s="18">
        <f t="shared" si="708"/>
        <v>1.513586358635864</v>
      </c>
      <c r="AR183" s="18">
        <f t="shared" si="708"/>
        <v>1.7326026934129717</v>
      </c>
      <c r="AS183" s="18">
        <f t="shared" si="708"/>
        <v>1.3707270766706914</v>
      </c>
      <c r="AT183" s="60">
        <f t="shared" ref="AT183:BB183" si="709">(AT182-AO182)/AO182</f>
        <v>1.5209105821796107</v>
      </c>
      <c r="AU183" s="18">
        <f t="shared" si="709"/>
        <v>1.4772410284300743</v>
      </c>
      <c r="AV183" s="18">
        <f t="shared" si="709"/>
        <v>3.2381264999161141</v>
      </c>
      <c r="AW183" s="18">
        <f t="shared" si="709"/>
        <v>2.4151106803724054</v>
      </c>
      <c r="AX183" s="18">
        <f t="shared" si="709"/>
        <v>2.229393035831607</v>
      </c>
      <c r="AY183" s="368">
        <f t="shared" si="709"/>
        <v>2.3555060992192822</v>
      </c>
      <c r="AZ183" s="368">
        <f t="shared" si="709"/>
        <v>1.4893503255985239</v>
      </c>
      <c r="BA183" s="18">
        <f t="shared" si="709"/>
        <v>1.0927386666987948</v>
      </c>
      <c r="BB183" s="18">
        <f t="shared" si="709"/>
        <v>2.5655954231889742</v>
      </c>
      <c r="BC183" s="18">
        <f t="shared" ref="BC183" si="710">(BC182-AX182)/AX182</f>
        <v>3.023474178403756</v>
      </c>
      <c r="BD183" s="1936">
        <f t="shared" ref="BD183:BG183" si="711">(BD182-AY182)/AY182</f>
        <v>2.2348969821546625</v>
      </c>
      <c r="BE183" s="2060">
        <f t="shared" si="711"/>
        <v>4.0436699857752485</v>
      </c>
      <c r="BF183" s="2061">
        <f t="shared" si="711"/>
        <v>2.0292787235792416</v>
      </c>
      <c r="BG183" s="2061">
        <f t="shared" si="711"/>
        <v>0.57224503619660483</v>
      </c>
      <c r="BH183" s="2061">
        <f t="shared" ref="BH183" si="712">(BH182-BC182)/BC182</f>
        <v>0.10002094366155034</v>
      </c>
      <c r="BI183" s="2062">
        <f t="shared" ref="BI183:BL183" si="713">(BI182-BD182)/BD182</f>
        <v>0.91772591922133473</v>
      </c>
      <c r="BJ183" s="2060">
        <f t="shared" si="713"/>
        <v>-1.7485968920099891E-3</v>
      </c>
      <c r="BK183" s="2061">
        <f t="shared" si="713"/>
        <v>2.0905166562593325E-2</v>
      </c>
      <c r="BL183" s="2061">
        <f t="shared" si="713"/>
        <v>4.6663794496203274E-2</v>
      </c>
      <c r="BM183" s="2061">
        <f t="shared" ref="BM183" si="714">(BM182-BH182)/BH182</f>
        <v>0.14070064733721366</v>
      </c>
      <c r="BN183" s="2062">
        <f t="shared" ref="BN183" si="715">(BN182-BI182)/BI182</f>
        <v>5.2081480772124815E-2</v>
      </c>
      <c r="BO183" s="2060">
        <f t="shared" ref="BO183" si="716">(BO182-BJ182)/BJ182</f>
        <v>0.10733115316978559</v>
      </c>
      <c r="BP183" s="2061">
        <f t="shared" ref="BP183" si="717">(BP182-BK182)/BK182</f>
        <v>0.10774549615145736</v>
      </c>
      <c r="BQ183" s="2061">
        <f t="shared" ref="BQ183:BS183" si="718">(BQ182-BL182)/BL182</f>
        <v>8.2097481153167062E-2</v>
      </c>
      <c r="BR183" s="2168">
        <f t="shared" si="718"/>
        <v>3.9363948205431841E-2</v>
      </c>
      <c r="BS183" s="2062">
        <f t="shared" si="718"/>
        <v>8.2522598771976458E-2</v>
      </c>
      <c r="BT183" s="2061"/>
      <c r="BU183" s="2061"/>
      <c r="BV183" s="2061"/>
      <c r="BW183" s="2061"/>
      <c r="BX183" s="2256">
        <f>(BX182-BS182)/BS182</f>
        <v>6.8471630587978033E-2</v>
      </c>
      <c r="BY183" s="2061"/>
      <c r="BZ183" s="2061"/>
      <c r="CA183" s="2061"/>
      <c r="CB183" s="2061"/>
      <c r="CC183" s="2256">
        <f>(CC182-BX182)/BX182</f>
        <v>6.9370799375881892E-2</v>
      </c>
      <c r="CD183" s="191"/>
      <c r="CE183" s="111"/>
      <c r="CF183" s="173"/>
      <c r="CG183" s="173"/>
      <c r="CH183" s="173"/>
      <c r="CI183" s="239"/>
      <c r="CJ183" s="177"/>
      <c r="CK183" s="2070"/>
      <c r="CL183" s="18">
        <f t="shared" si="704"/>
        <v>0.14070064733721366</v>
      </c>
      <c r="CM183" s="18">
        <f t="shared" si="705"/>
        <v>0.10002094366155034</v>
      </c>
      <c r="CN183" s="191">
        <v>6.8958087091640821E-2</v>
      </c>
      <c r="CO183" s="2107">
        <f>IFERROR(($CL183-CM183)*10000,"")</f>
        <v>406.79703675663313</v>
      </c>
      <c r="CP183" s="2107">
        <f>IFERROR(($CL183-CN183)*10000,"")</f>
        <v>717.42560245572838</v>
      </c>
      <c r="CQ183" s="520"/>
      <c r="CR183" s="41"/>
      <c r="CS183" s="41"/>
      <c r="CT183" s="248"/>
      <c r="CU183" s="248"/>
      <c r="CV183" s="41"/>
      <c r="CW183" s="41"/>
      <c r="CX183" s="41"/>
      <c r="CY183" s="116"/>
      <c r="CZ183"/>
      <c r="DA183"/>
      <c r="DB183"/>
      <c r="DC183"/>
      <c r="DD183"/>
      <c r="DE183"/>
      <c r="DF183" s="19"/>
      <c r="DG183" s="19"/>
      <c r="DH183" s="19"/>
      <c r="DI183" s="19"/>
      <c r="DJ183" s="19"/>
    </row>
    <row r="184" spans="1:114" s="250" customFormat="1" ht="12.75" customHeight="1">
      <c r="A184" s="10" t="s">
        <v>107</v>
      </c>
      <c r="B184" s="554"/>
      <c r="C184" s="10"/>
      <c r="D184" s="10"/>
      <c r="E184" s="10"/>
      <c r="F184" s="62">
        <f t="shared" ref="F184:AK184" si="719">F122</f>
        <v>8.9960000000000004</v>
      </c>
      <c r="G184" s="10">
        <f t="shared" si="719"/>
        <v>2.4260000000000002</v>
      </c>
      <c r="H184" s="10">
        <f t="shared" si="719"/>
        <v>2.8630000000000013</v>
      </c>
      <c r="I184" s="10">
        <f t="shared" si="719"/>
        <v>2.8460000000000001</v>
      </c>
      <c r="J184" s="10">
        <f t="shared" si="719"/>
        <v>2.6599999999999895</v>
      </c>
      <c r="K184" s="62">
        <f t="shared" si="719"/>
        <v>10.794999999999991</v>
      </c>
      <c r="L184" s="10">
        <f t="shared" si="719"/>
        <v>3.0200000000000014</v>
      </c>
      <c r="M184" s="10">
        <f t="shared" si="719"/>
        <v>3.5139999999999993</v>
      </c>
      <c r="N184" s="10">
        <f t="shared" si="719"/>
        <v>3.0489999999999995</v>
      </c>
      <c r="O184" s="10">
        <f t="shared" si="719"/>
        <v>2.9979999999999993</v>
      </c>
      <c r="P184" s="62">
        <f t="shared" si="719"/>
        <v>12.581</v>
      </c>
      <c r="Q184" s="10">
        <f t="shared" si="719"/>
        <v>4.0999999999999996</v>
      </c>
      <c r="R184" s="10">
        <f t="shared" si="719"/>
        <v>4.6190000000000015</v>
      </c>
      <c r="S184" s="10">
        <f t="shared" si="719"/>
        <v>4.5609999999999982</v>
      </c>
      <c r="T184" s="10">
        <f t="shared" si="719"/>
        <v>3.5090000000000021</v>
      </c>
      <c r="U184" s="62">
        <f t="shared" si="719"/>
        <v>16.789000000000001</v>
      </c>
      <c r="V184" s="10">
        <f t="shared" si="719"/>
        <v>2.8989999999999982</v>
      </c>
      <c r="W184" s="10">
        <f t="shared" si="719"/>
        <v>3.2779999999999996</v>
      </c>
      <c r="X184" s="10">
        <f t="shared" si="719"/>
        <v>4.1930000000000014</v>
      </c>
      <c r="Y184" s="10">
        <f t="shared" si="719"/>
        <v>4.5810000000000013</v>
      </c>
      <c r="Z184" s="62">
        <f t="shared" si="719"/>
        <v>14.951000000000001</v>
      </c>
      <c r="AA184" s="10">
        <f t="shared" si="719"/>
        <v>5.08</v>
      </c>
      <c r="AB184" s="10">
        <f t="shared" si="719"/>
        <v>6.4849999999999994</v>
      </c>
      <c r="AC184" s="10">
        <f t="shared" si="719"/>
        <v>7.1979999999999968</v>
      </c>
      <c r="AD184" s="10">
        <f t="shared" si="719"/>
        <v>5.3279999999999976</v>
      </c>
      <c r="AE184" s="62">
        <f t="shared" si="719"/>
        <v>24.090999999999994</v>
      </c>
      <c r="AF184" s="10">
        <f t="shared" si="719"/>
        <v>6.2790000000000017</v>
      </c>
      <c r="AG184" s="10">
        <f t="shared" si="719"/>
        <v>6.1579999999999977</v>
      </c>
      <c r="AH184" s="10">
        <f t="shared" si="719"/>
        <v>6.8619999999999983</v>
      </c>
      <c r="AI184" s="10">
        <f t="shared" si="719"/>
        <v>5.782</v>
      </c>
      <c r="AJ184" s="62">
        <f t="shared" si="719"/>
        <v>25.080999999999996</v>
      </c>
      <c r="AK184" s="10">
        <f t="shared" si="719"/>
        <v>6.7730000000000032</v>
      </c>
      <c r="AL184" s="10">
        <f t="shared" ref="AL184:BD184" si="720">AL122</f>
        <v>8.4650000000000016</v>
      </c>
      <c r="AM184" s="10">
        <f t="shared" si="720"/>
        <v>9.9239999999999959</v>
      </c>
      <c r="AN184" s="10">
        <f t="shared" si="720"/>
        <v>15.662999999999998</v>
      </c>
      <c r="AO184" s="62">
        <f t="shared" si="720"/>
        <v>40.825000000000003</v>
      </c>
      <c r="AP184" s="10">
        <f t="shared" si="720"/>
        <v>16.260000000000005</v>
      </c>
      <c r="AQ184" s="10">
        <f t="shared" si="720"/>
        <v>19.339999999999996</v>
      </c>
      <c r="AR184" s="10">
        <f t="shared" si="720"/>
        <v>34.83600000000002</v>
      </c>
      <c r="AS184" s="10">
        <f t="shared" si="720"/>
        <v>53.071999999999974</v>
      </c>
      <c r="AT184" s="62">
        <f t="shared" si="720"/>
        <v>123.508</v>
      </c>
      <c r="AU184" s="10">
        <f t="shared" si="720"/>
        <v>58.397999999999982</v>
      </c>
      <c r="AV184" s="10">
        <f t="shared" si="720"/>
        <v>121.87</v>
      </c>
      <c r="AW184" s="10">
        <f t="shared" si="720"/>
        <v>175.10599999999997</v>
      </c>
      <c r="AX184" s="10">
        <f t="shared" si="720"/>
        <v>299.3</v>
      </c>
      <c r="AY184" s="554">
        <f t="shared" si="720"/>
        <v>654.67399999999998</v>
      </c>
      <c r="AZ184" s="554">
        <f>AZ122</f>
        <v>262.2</v>
      </c>
      <c r="BA184" s="10">
        <f t="shared" si="720"/>
        <v>508.60000000000014</v>
      </c>
      <c r="BB184" s="10">
        <f t="shared" si="720"/>
        <v>1124.8</v>
      </c>
      <c r="BC184" s="10">
        <f t="shared" si="720"/>
        <v>1556.3000000000002</v>
      </c>
      <c r="BD184" s="1958">
        <f t="shared" si="720"/>
        <v>3451.9000000000005</v>
      </c>
      <c r="BE184" s="2253">
        <f>BE122</f>
        <v>1600.6</v>
      </c>
      <c r="BF184" s="2250">
        <f t="shared" ref="BF184:BI184" si="721">BF122</f>
        <v>1710.0000000000002</v>
      </c>
      <c r="BG184" s="2250">
        <f t="shared" si="721"/>
        <v>1705.4</v>
      </c>
      <c r="BH184" s="2250">
        <f t="shared" si="721"/>
        <v>1717.3999999999999</v>
      </c>
      <c r="BI184" s="2254">
        <f t="shared" si="721"/>
        <v>6733.4</v>
      </c>
      <c r="BJ184" s="2253">
        <f>BJ122</f>
        <v>1652.2</v>
      </c>
      <c r="BK184" s="2250">
        <f t="shared" ref="BK184:BN184" si="722">BK122</f>
        <v>1790.7000000000003</v>
      </c>
      <c r="BL184" s="2250">
        <f t="shared" si="722"/>
        <v>1844.3999999999999</v>
      </c>
      <c r="BM184" s="2250">
        <f t="shared" si="722"/>
        <v>1964.6999999999998</v>
      </c>
      <c r="BN184" s="2254">
        <f t="shared" si="722"/>
        <v>7252</v>
      </c>
      <c r="BO184" s="2253">
        <f t="shared" ref="BO184:BP184" si="723">BO122</f>
        <v>1744.1323844067829</v>
      </c>
      <c r="BP184" s="2250">
        <f t="shared" si="723"/>
        <v>1945.2676667462779</v>
      </c>
      <c r="BQ184" s="2250">
        <f t="shared" ref="BQ184:BS184" si="724">BQ122</f>
        <v>1976.9239259255232</v>
      </c>
      <c r="BR184" s="2323">
        <f t="shared" si="724"/>
        <v>2048.7245773180171</v>
      </c>
      <c r="BS184" s="2254">
        <f t="shared" si="724"/>
        <v>7715.0485543966006</v>
      </c>
      <c r="BT184" s="2250"/>
      <c r="BU184" s="2250"/>
      <c r="BV184" s="2250"/>
      <c r="BW184" s="2250"/>
      <c r="BX184" s="2255">
        <f>BX122</f>
        <v>8243.3105089815581</v>
      </c>
      <c r="BY184" s="2250"/>
      <c r="BZ184" s="2250"/>
      <c r="CA184" s="2250"/>
      <c r="CB184" s="2250"/>
      <c r="CC184" s="2255">
        <f>CC122</f>
        <v>8815.1555484932178</v>
      </c>
      <c r="CD184" s="279"/>
      <c r="CE184" s="280"/>
      <c r="CF184" s="246"/>
      <c r="CG184" s="246"/>
      <c r="CH184" s="246"/>
      <c r="CI184" s="247"/>
      <c r="CJ184" s="279"/>
      <c r="CK184" s="2077"/>
      <c r="CL184" s="10">
        <f t="shared" si="704"/>
        <v>1964.6999999999998</v>
      </c>
      <c r="CM184" s="10">
        <f t="shared" si="705"/>
        <v>1717.3999999999999</v>
      </c>
      <c r="CN184" s="279">
        <v>1827.5110558955239</v>
      </c>
      <c r="CO184" s="2096">
        <f>IFERROR(($CL184/CM184)-1,"")</f>
        <v>0.1439967392570165</v>
      </c>
      <c r="CP184" s="2096">
        <f>IFERROR(($CL184/CN184)-1,"")</f>
        <v>7.5068735514297602E-2</v>
      </c>
      <c r="CQ184" s="251"/>
      <c r="CR184" s="248"/>
      <c r="CS184" s="248"/>
      <c r="CT184" s="248"/>
      <c r="CU184" s="248"/>
      <c r="CV184" s="248"/>
      <c r="CW184" s="248"/>
      <c r="CX184" s="248"/>
      <c r="CY184" s="249"/>
      <c r="CZ184"/>
      <c r="DA184"/>
      <c r="DB184"/>
      <c r="DC184"/>
      <c r="DD184"/>
      <c r="DE184"/>
      <c r="DF184" s="4"/>
      <c r="DG184" s="4"/>
      <c r="DH184" s="4"/>
      <c r="DI184" s="4"/>
      <c r="DJ184" s="4"/>
    </row>
    <row r="185" spans="1:114" s="178" customFormat="1" ht="12.75" customHeight="1">
      <c r="A185" s="58" t="s">
        <v>85</v>
      </c>
      <c r="B185" s="368"/>
      <c r="C185" s="18"/>
      <c r="D185" s="18"/>
      <c r="E185" s="18"/>
      <c r="F185" s="60"/>
      <c r="G185" s="18" t="str">
        <f t="shared" ref="G185:P185" si="725">IF(ISERROR((G184-B184)/B184),"",(G184-B184)/B184)</f>
        <v/>
      </c>
      <c r="H185" s="18" t="str">
        <f t="shared" si="725"/>
        <v/>
      </c>
      <c r="I185" s="18" t="str">
        <f t="shared" si="725"/>
        <v/>
      </c>
      <c r="J185" s="18" t="str">
        <f t="shared" si="725"/>
        <v/>
      </c>
      <c r="K185" s="60">
        <f t="shared" si="725"/>
        <v>0.19997776789684199</v>
      </c>
      <c r="L185" s="18">
        <f t="shared" si="725"/>
        <v>0.24484748557296007</v>
      </c>
      <c r="M185" s="18">
        <f t="shared" si="725"/>
        <v>0.22738386308068381</v>
      </c>
      <c r="N185" s="18">
        <f t="shared" si="725"/>
        <v>7.1328179901616093E-2</v>
      </c>
      <c r="O185" s="18">
        <f t="shared" si="725"/>
        <v>0.12706766917293655</v>
      </c>
      <c r="P185" s="60">
        <f t="shared" si="725"/>
        <v>0.16544696618805094</v>
      </c>
      <c r="Q185" s="18">
        <f t="shared" ref="Q185:AE185" si="726">(Q184-L184)/L184</f>
        <v>0.35761589403973437</v>
      </c>
      <c r="R185" s="18">
        <f t="shared" si="726"/>
        <v>0.31445645987478726</v>
      </c>
      <c r="S185" s="18">
        <f t="shared" si="726"/>
        <v>0.49590029517874679</v>
      </c>
      <c r="T185" s="18">
        <f t="shared" si="726"/>
        <v>0.17044696464309636</v>
      </c>
      <c r="U185" s="60">
        <f t="shared" si="726"/>
        <v>0.33447261743899548</v>
      </c>
      <c r="V185" s="18">
        <f t="shared" si="726"/>
        <v>-0.29292682926829305</v>
      </c>
      <c r="W185" s="18">
        <f t="shared" si="726"/>
        <v>-0.29032258064516164</v>
      </c>
      <c r="X185" s="18">
        <f t="shared" si="726"/>
        <v>-8.0684060513044706E-2</v>
      </c>
      <c r="Y185" s="18">
        <f t="shared" si="726"/>
        <v>0.3055001424907377</v>
      </c>
      <c r="Z185" s="60">
        <f t="shared" si="726"/>
        <v>-0.10947644290904764</v>
      </c>
      <c r="AA185" s="18">
        <f t="shared" si="726"/>
        <v>0.75232838909969069</v>
      </c>
      <c r="AB185" s="18">
        <f t="shared" si="726"/>
        <v>0.97834045149481397</v>
      </c>
      <c r="AC185" s="18">
        <f t="shared" si="726"/>
        <v>0.71667064154543159</v>
      </c>
      <c r="AD185" s="18">
        <f t="shared" si="726"/>
        <v>0.16306483300589306</v>
      </c>
      <c r="AE185" s="60">
        <f t="shared" si="726"/>
        <v>0.61133034579626733</v>
      </c>
      <c r="AF185" s="18">
        <f t="shared" ref="AF185:AS185" si="727">(AF184-AA184)/AA184</f>
        <v>0.23602362204724442</v>
      </c>
      <c r="AG185" s="18">
        <f t="shared" si="727"/>
        <v>-5.0424055512721937E-2</v>
      </c>
      <c r="AH185" s="18">
        <f t="shared" si="727"/>
        <v>-4.6679633231452994E-2</v>
      </c>
      <c r="AI185" s="18">
        <f t="shared" si="727"/>
        <v>8.5210210210210705E-2</v>
      </c>
      <c r="AJ185" s="60">
        <f t="shared" si="727"/>
        <v>4.1094184550247076E-2</v>
      </c>
      <c r="AK185" s="18">
        <f t="shared" si="727"/>
        <v>7.8674948240165854E-2</v>
      </c>
      <c r="AL185" s="18">
        <f t="shared" si="727"/>
        <v>0.37463462163040023</v>
      </c>
      <c r="AM185" s="18">
        <f t="shared" si="727"/>
        <v>0.44622559020693653</v>
      </c>
      <c r="AN185" s="18">
        <f t="shared" si="727"/>
        <v>1.7089242476651676</v>
      </c>
      <c r="AO185" s="60">
        <f t="shared" si="727"/>
        <v>0.62772616721821339</v>
      </c>
      <c r="AP185" s="18">
        <f>(AP184-AK184)/AK184</f>
        <v>1.4007086962941087</v>
      </c>
      <c r="AQ185" s="18">
        <f t="shared" si="727"/>
        <v>1.2847017129356164</v>
      </c>
      <c r="AR185" s="18">
        <f t="shared" si="727"/>
        <v>2.5102781136638486</v>
      </c>
      <c r="AS185" s="18">
        <f t="shared" si="727"/>
        <v>2.3883674902636773</v>
      </c>
      <c r="AT185" s="60">
        <f t="shared" ref="AT185:BB185" si="728">(AT184-AO184)/AO184</f>
        <v>2.0253031230863439</v>
      </c>
      <c r="AU185" s="18">
        <f t="shared" si="728"/>
        <v>2.5915129151291492</v>
      </c>
      <c r="AV185" s="18">
        <f t="shared" si="728"/>
        <v>5.3014477766287502</v>
      </c>
      <c r="AW185" s="18">
        <f t="shared" si="728"/>
        <v>4.0265816970949553</v>
      </c>
      <c r="AX185" s="18">
        <f t="shared" si="728"/>
        <v>4.6395085921012997</v>
      </c>
      <c r="AY185" s="368">
        <f t="shared" si="728"/>
        <v>4.3006606859474683</v>
      </c>
      <c r="AZ185" s="368">
        <f t="shared" si="728"/>
        <v>3.4898797904037826</v>
      </c>
      <c r="BA185" s="18">
        <f t="shared" si="728"/>
        <v>3.1732994174119975</v>
      </c>
      <c r="BB185" s="18">
        <f t="shared" si="728"/>
        <v>5.4235377428529015</v>
      </c>
      <c r="BC185" s="18">
        <f t="shared" ref="BC185" si="729">(BC184-AX184)/AX184</f>
        <v>4.1997995322418982</v>
      </c>
      <c r="BD185" s="1936">
        <f t="shared" ref="BD185:BG185" si="730">(BD184-AY184)/AY184</f>
        <v>4.2727006112966155</v>
      </c>
      <c r="BE185" s="2060">
        <f t="shared" si="730"/>
        <v>5.1045003813882532</v>
      </c>
      <c r="BF185" s="2061">
        <f t="shared" si="730"/>
        <v>2.3621706645694056</v>
      </c>
      <c r="BG185" s="2061">
        <f t="shared" si="730"/>
        <v>0.51618065433854921</v>
      </c>
      <c r="BH185" s="2061">
        <f t="shared" ref="BH185" si="731">(BH184-BC184)/BC184</f>
        <v>0.103514746514168</v>
      </c>
      <c r="BI185" s="2062">
        <f t="shared" ref="BI185:BL185" si="732">(BI184-BD184)/BD184</f>
        <v>0.95063588168834512</v>
      </c>
      <c r="BJ185" s="2060">
        <f t="shared" si="732"/>
        <v>3.2237910783456288E-2</v>
      </c>
      <c r="BK185" s="2061">
        <f t="shared" si="732"/>
        <v>4.719298245614037E-2</v>
      </c>
      <c r="BL185" s="2061">
        <f t="shared" si="732"/>
        <v>8.1505805089714889E-2</v>
      </c>
      <c r="BM185" s="2061">
        <f t="shared" ref="BM185" si="733">(BM184-BH184)/BH184</f>
        <v>0.14399673925701639</v>
      </c>
      <c r="BN185" s="2062">
        <f t="shared" ref="BN185" si="734">(BN184-BI184)/BI184</f>
        <v>7.7019039415451393E-2</v>
      </c>
      <c r="BO185" s="2060">
        <f t="shared" ref="BO185" si="735">(BO184-BJ184)/BJ184</f>
        <v>5.5642406734525376E-2</v>
      </c>
      <c r="BP185" s="2061">
        <f t="shared" ref="BP185" si="736">(BP184-BK184)/BK184</f>
        <v>8.6316896602600987E-2</v>
      </c>
      <c r="BQ185" s="2061">
        <f t="shared" ref="BQ185:BS185" si="737">(BQ184-BL184)/BL184</f>
        <v>7.1852052659685195E-2</v>
      </c>
      <c r="BR185" s="2168">
        <f t="shared" si="737"/>
        <v>4.276712847662098E-2</v>
      </c>
      <c r="BS185" s="2062">
        <f t="shared" si="737"/>
        <v>6.3851152012768975E-2</v>
      </c>
      <c r="BT185" s="2061"/>
      <c r="BU185" s="2061"/>
      <c r="BV185" s="2061"/>
      <c r="BW185" s="2061"/>
      <c r="BX185" s="2256">
        <f>(BX184-BS184)/BS184</f>
        <v>6.8471630587977964E-2</v>
      </c>
      <c r="BY185" s="2061"/>
      <c r="BZ185" s="2061"/>
      <c r="CA185" s="2061"/>
      <c r="CB185" s="2061"/>
      <c r="CC185" s="2256">
        <f>(CC184-BX184)/BX184</f>
        <v>6.9370799375882031E-2</v>
      </c>
      <c r="CD185" s="191"/>
      <c r="CE185" s="111"/>
      <c r="CF185" s="2249"/>
      <c r="CG185" s="2224">
        <f>+BS186/1615-1</f>
        <v>1.2104131729602452E-2</v>
      </c>
      <c r="CH185" s="173"/>
      <c r="CI185" s="239"/>
      <c r="CJ185" s="177"/>
      <c r="CK185" s="2070"/>
      <c r="CL185" s="18">
        <f t="shared" si="704"/>
        <v>0.14399673925701639</v>
      </c>
      <c r="CM185" s="18">
        <f t="shared" si="705"/>
        <v>0.103514746514168</v>
      </c>
      <c r="CN185" s="191">
        <v>6.4114973736767236E-2</v>
      </c>
      <c r="CO185" s="2107">
        <f>IFERROR(($CL185-CM185)*10000,"")</f>
        <v>404.81992742848388</v>
      </c>
      <c r="CP185" s="2107">
        <f>IFERROR(($CL185-CN185)*10000,"")</f>
        <v>798.81765520249155</v>
      </c>
      <c r="CQ185" s="251"/>
      <c r="CR185" s="248"/>
      <c r="CS185" s="41"/>
      <c r="CT185" s="248"/>
      <c r="CU185" s="248"/>
      <c r="CV185" s="41"/>
      <c r="CW185" s="41"/>
      <c r="CX185" s="41"/>
      <c r="CY185" s="116"/>
      <c r="CZ185"/>
      <c r="DA185"/>
      <c r="DB185"/>
      <c r="DC185"/>
      <c r="DD185"/>
      <c r="DE185"/>
      <c r="DF185" s="19"/>
      <c r="DG185" s="19"/>
      <c r="DH185" s="19"/>
      <c r="DI185" s="19"/>
      <c r="DJ185" s="19"/>
    </row>
    <row r="186" spans="1:114" s="250" customFormat="1" ht="12.75" customHeight="1">
      <c r="A186" s="10" t="s">
        <v>59</v>
      </c>
      <c r="B186" s="554"/>
      <c r="C186" s="10"/>
      <c r="D186" s="10"/>
      <c r="E186" s="10"/>
      <c r="F186" s="62">
        <f t="shared" ref="F186:AY186" si="738">F184-F153</f>
        <v>-5.6280000000000001</v>
      </c>
      <c r="G186" s="10">
        <f t="shared" si="738"/>
        <v>0.70500000000000007</v>
      </c>
      <c r="H186" s="10">
        <f t="shared" si="738"/>
        <v>0.94000000000000128</v>
      </c>
      <c r="I186" s="10">
        <f t="shared" si="738"/>
        <v>0.90500000000000025</v>
      </c>
      <c r="J186" s="10">
        <f t="shared" si="738"/>
        <v>0.55699999999998928</v>
      </c>
      <c r="K186" s="62">
        <f t="shared" si="738"/>
        <v>3.1069999999999904</v>
      </c>
      <c r="L186" s="10">
        <f t="shared" si="738"/>
        <v>0.73900000000000121</v>
      </c>
      <c r="M186" s="10">
        <f t="shared" si="738"/>
        <v>1.2719999999999994</v>
      </c>
      <c r="N186" s="10">
        <f t="shared" si="738"/>
        <v>0.77799999999999958</v>
      </c>
      <c r="O186" s="10">
        <f t="shared" si="738"/>
        <v>0.56899999999999951</v>
      </c>
      <c r="P186" s="62">
        <f t="shared" si="738"/>
        <v>3.3580000000000005</v>
      </c>
      <c r="Q186" s="10">
        <f t="shared" si="738"/>
        <v>0.94999999999999973</v>
      </c>
      <c r="R186" s="10">
        <f t="shared" si="738"/>
        <v>1.2300000000000018</v>
      </c>
      <c r="S186" s="10">
        <f t="shared" si="738"/>
        <v>1.412999999999998</v>
      </c>
      <c r="T186" s="10">
        <f t="shared" si="738"/>
        <v>0.5320000000000018</v>
      </c>
      <c r="U186" s="62">
        <f t="shared" si="738"/>
        <v>4.1250000000000018</v>
      </c>
      <c r="V186" s="10">
        <f t="shared" si="738"/>
        <v>-0.34400000000000208</v>
      </c>
      <c r="W186" s="10">
        <f t="shared" si="738"/>
        <v>0.27199999999999935</v>
      </c>
      <c r="X186" s="10">
        <f t="shared" si="738"/>
        <v>0.90900000000000114</v>
      </c>
      <c r="Y186" s="10">
        <f t="shared" si="738"/>
        <v>0.54500000000000082</v>
      </c>
      <c r="Z186" s="62">
        <f t="shared" si="738"/>
        <v>1.3819999999999979</v>
      </c>
      <c r="AA186" s="10">
        <f t="shared" si="738"/>
        <v>1.3380000000000001</v>
      </c>
      <c r="AB186" s="10">
        <f t="shared" si="738"/>
        <v>2.1609999999999996</v>
      </c>
      <c r="AC186" s="10">
        <f t="shared" si="738"/>
        <v>2.2549999999999963</v>
      </c>
      <c r="AD186" s="10">
        <f t="shared" si="738"/>
        <v>0.55599999999999739</v>
      </c>
      <c r="AE186" s="62">
        <f t="shared" si="738"/>
        <v>6.3099999999999952</v>
      </c>
      <c r="AF186" s="10">
        <f t="shared" si="738"/>
        <v>1.3400000000000016</v>
      </c>
      <c r="AG186" s="10">
        <f t="shared" si="738"/>
        <v>0.8949999999999978</v>
      </c>
      <c r="AH186" s="10">
        <f t="shared" si="738"/>
        <v>-0.63500000000000156</v>
      </c>
      <c r="AI186" s="10">
        <f t="shared" si="738"/>
        <v>-3.5269999999999992</v>
      </c>
      <c r="AJ186" s="62">
        <f t="shared" si="738"/>
        <v>-1.9269999999999996</v>
      </c>
      <c r="AK186" s="10">
        <f t="shared" si="738"/>
        <v>-3.9069999999999965</v>
      </c>
      <c r="AL186" s="10">
        <f t="shared" si="738"/>
        <v>-2.9439999999999973</v>
      </c>
      <c r="AM186" s="10">
        <f t="shared" si="738"/>
        <v>-8.5620000000000047</v>
      </c>
      <c r="AN186" s="10">
        <f t="shared" si="738"/>
        <v>-9.8929999999999989</v>
      </c>
      <c r="AO186" s="62">
        <f t="shared" si="738"/>
        <v>-25.305999999999997</v>
      </c>
      <c r="AP186" s="10">
        <f t="shared" si="738"/>
        <v>-9.8129999999999953</v>
      </c>
      <c r="AQ186" s="10">
        <f t="shared" si="738"/>
        <v>-12.220000000000002</v>
      </c>
      <c r="AR186" s="10">
        <f t="shared" si="738"/>
        <v>-10.021999999999977</v>
      </c>
      <c r="AS186" s="10">
        <f t="shared" si="738"/>
        <v>0.52799999999997738</v>
      </c>
      <c r="AT186" s="62">
        <f t="shared" si="738"/>
        <v>-31.526999999999973</v>
      </c>
      <c r="AU186" s="10">
        <f t="shared" si="738"/>
        <v>0.71299999999997965</v>
      </c>
      <c r="AV186" s="10">
        <f t="shared" si="738"/>
        <v>14.095000000000013</v>
      </c>
      <c r="AW186" s="10">
        <f t="shared" si="738"/>
        <v>24.45999999999998</v>
      </c>
      <c r="AX186" s="10">
        <f t="shared" si="738"/>
        <v>42.000000000000057</v>
      </c>
      <c r="AY186" s="554">
        <f t="shared" si="738"/>
        <v>81.268000000000029</v>
      </c>
      <c r="AZ186" s="2033">
        <f t="shared" ref="AZ186:BD186" si="739">AZ184-AZ153-AZ194</f>
        <v>29.199999999999996</v>
      </c>
      <c r="BA186" s="10">
        <f t="shared" si="739"/>
        <v>79.700000000000045</v>
      </c>
      <c r="BB186" s="10">
        <f t="shared" si="739"/>
        <v>166.05</v>
      </c>
      <c r="BC186" s="10">
        <f>BC184-BC153-BC194</f>
        <v>217.60000000000008</v>
      </c>
      <c r="BD186" s="2003">
        <f t="shared" si="739"/>
        <v>492.55000000000018</v>
      </c>
      <c r="BE186" s="2257">
        <f>BE184-BE153-BE194</f>
        <v>249.30000000000013</v>
      </c>
      <c r="BF186" s="2250">
        <f>BF184-BF153-BF194</f>
        <v>354.90000000000049</v>
      </c>
      <c r="BG186" s="2250">
        <f>BG184-BG153-BG194</f>
        <v>352.7000000000001</v>
      </c>
      <c r="BH186" s="2250">
        <f>BH184-BH153-BH194</f>
        <v>291.0999999999998</v>
      </c>
      <c r="BI186" s="2258">
        <f t="shared" ref="BI186" si="740">BI184-BI153-BI194</f>
        <v>1248.0000000000007</v>
      </c>
      <c r="BJ186" s="2257">
        <f>BJ184-BJ153-BJ194</f>
        <v>290.00000000000023</v>
      </c>
      <c r="BK186" s="2250">
        <f>BK184-BK153-BK194</f>
        <v>370.80000000000018</v>
      </c>
      <c r="BL186" s="2250">
        <f>BL184-BL153-BL194</f>
        <v>369.59999999999974</v>
      </c>
      <c r="BM186" s="2250">
        <f>BM184-BM153-BM194</f>
        <v>336.6999999999997</v>
      </c>
      <c r="BN186" s="2258">
        <f t="shared" ref="BN186" si="741">BN184-BN153-BN194</f>
        <v>1367.0999999999997</v>
      </c>
      <c r="BO186" s="612">
        <f>BO184-BO153-BO194</f>
        <v>334.12618859981239</v>
      </c>
      <c r="BP186" s="279">
        <f t="shared" ref="BP186:BR186" si="742">BP184-BP153-BP194</f>
        <v>437.91189388185808</v>
      </c>
      <c r="BQ186" s="279">
        <f>BQ184-BQ153-BQ194</f>
        <v>441.43214309585005</v>
      </c>
      <c r="BR186" s="2373">
        <f t="shared" si="742"/>
        <v>421.07794716578724</v>
      </c>
      <c r="BS186" s="2001">
        <f>BS184-BS153-BS194</f>
        <v>1634.548172743308</v>
      </c>
      <c r="BT186" s="279"/>
      <c r="BU186" s="279"/>
      <c r="BV186" s="279"/>
      <c r="BW186" s="279"/>
      <c r="BX186" s="640">
        <f>BX184-BX153-BX194</f>
        <v>1826.5909002729804</v>
      </c>
      <c r="BY186" s="2250"/>
      <c r="BZ186" s="2250"/>
      <c r="CA186" s="2250"/>
      <c r="CB186" s="2250"/>
      <c r="CC186" s="2258">
        <f>CC184-CC153-CC194</f>
        <v>2020.8301925507831</v>
      </c>
      <c r="CD186" s="279"/>
      <c r="CE186" s="280"/>
      <c r="CF186" s="2224"/>
      <c r="CG186" s="2224">
        <f>+BS186/1600-1</f>
        <v>2.1592607964567412E-2</v>
      </c>
      <c r="CH186" s="2224">
        <f>+BX186/1755-1</f>
        <v>4.0792535768080063E-2</v>
      </c>
      <c r="CI186" s="239"/>
      <c r="CJ186" s="279"/>
      <c r="CK186" s="2077"/>
      <c r="CL186" s="10">
        <f t="shared" si="704"/>
        <v>336.6999999999997</v>
      </c>
      <c r="CM186" s="10">
        <f t="shared" si="705"/>
        <v>291.0999999999998</v>
      </c>
      <c r="CN186" s="279">
        <v>338.69382101201245</v>
      </c>
      <c r="CO186" s="2096">
        <f>IFERROR(($CL186/CM186)-1,"")</f>
        <v>0.15664720027481938</v>
      </c>
      <c r="CP186" s="2096">
        <f>IFERROR(($CL186/CN186)-1,"")</f>
        <v>-5.8867947636459528E-3</v>
      </c>
      <c r="CQ186" s="374" t="s">
        <v>645</v>
      </c>
      <c r="CR186" s="41"/>
      <c r="CS186" s="248"/>
      <c r="CT186" s="248"/>
      <c r="CU186" s="248"/>
      <c r="CV186" s="248"/>
      <c r="CW186" s="248"/>
      <c r="CX186" s="248"/>
      <c r="CY186" s="249"/>
      <c r="CZ186"/>
      <c r="DA186"/>
      <c r="DB186"/>
      <c r="DC186"/>
      <c r="DD186"/>
      <c r="DE186"/>
      <c r="DF186" s="4"/>
      <c r="DG186" s="4"/>
      <c r="DH186" s="4"/>
      <c r="DI186" s="4"/>
      <c r="DJ186" s="4"/>
    </row>
    <row r="187" spans="1:114" s="178" customFormat="1" ht="12.75" customHeight="1">
      <c r="A187" s="58" t="s">
        <v>85</v>
      </c>
      <c r="B187" s="368"/>
      <c r="C187" s="18"/>
      <c r="D187" s="18"/>
      <c r="E187" s="18"/>
      <c r="F187" s="60"/>
      <c r="G187" s="18"/>
      <c r="H187" s="18"/>
      <c r="I187" s="18"/>
      <c r="J187" s="18" t="str">
        <f t="shared" ref="J187:P187" si="743">IF(ISERROR((J186-E186)/E186),"",(J186-E186)/E186)</f>
        <v/>
      </c>
      <c r="K187" s="60">
        <f t="shared" si="743"/>
        <v>-1.5520611229566437</v>
      </c>
      <c r="L187" s="18">
        <f t="shared" si="743"/>
        <v>4.8226950354611539E-2</v>
      </c>
      <c r="M187" s="18">
        <f t="shared" si="743"/>
        <v>0.35319148936169958</v>
      </c>
      <c r="N187" s="18">
        <f t="shared" si="743"/>
        <v>-0.1403314917127079</v>
      </c>
      <c r="O187" s="18">
        <f t="shared" si="743"/>
        <v>2.1543985637361679E-2</v>
      </c>
      <c r="P187" s="60">
        <f t="shared" si="743"/>
        <v>8.0785323463151232E-2</v>
      </c>
      <c r="Q187" s="18">
        <f t="shared" ref="Q187:AS187" si="744">IF(ISERROR((Q186-L186)/L186),"",(Q186-L186)/L186)</f>
        <v>0.28552097428957807</v>
      </c>
      <c r="R187" s="18">
        <f t="shared" si="744"/>
        <v>-3.3018867924526428E-2</v>
      </c>
      <c r="S187" s="18">
        <f t="shared" si="744"/>
        <v>0.81619537275064113</v>
      </c>
      <c r="T187" s="18">
        <f t="shared" si="744"/>
        <v>-6.5026362038660343E-2</v>
      </c>
      <c r="U187" s="60">
        <f t="shared" si="744"/>
        <v>0.22840976771888061</v>
      </c>
      <c r="V187" s="18">
        <f t="shared" si="744"/>
        <v>-1.3621052631578969</v>
      </c>
      <c r="W187" s="18">
        <f t="shared" si="744"/>
        <v>-0.77886178861788702</v>
      </c>
      <c r="X187" s="18">
        <f t="shared" si="744"/>
        <v>-0.35668789808917029</v>
      </c>
      <c r="Y187" s="18">
        <f t="shared" si="744"/>
        <v>2.4436090225561969E-2</v>
      </c>
      <c r="Z187" s="60">
        <f t="shared" si="744"/>
        <v>-0.66496969696969765</v>
      </c>
      <c r="AA187" s="18">
        <f t="shared" si="744"/>
        <v>-4.8895348837209065</v>
      </c>
      <c r="AB187" s="18">
        <f t="shared" si="744"/>
        <v>6.9448529411764879</v>
      </c>
      <c r="AC187" s="18">
        <f t="shared" si="744"/>
        <v>1.4807480748074735</v>
      </c>
      <c r="AD187" s="18">
        <f t="shared" si="744"/>
        <v>2.0183486238525783E-2</v>
      </c>
      <c r="AE187" s="60">
        <f t="shared" si="744"/>
        <v>3.5658465991316968</v>
      </c>
      <c r="AF187" s="18">
        <f t="shared" si="744"/>
        <v>1.4947683109129716E-3</v>
      </c>
      <c r="AG187" s="18">
        <f t="shared" si="744"/>
        <v>-0.58583988894030636</v>
      </c>
      <c r="AH187" s="18">
        <f t="shared" si="744"/>
        <v>-1.2815964523281609</v>
      </c>
      <c r="AI187" s="18">
        <f t="shared" si="744"/>
        <v>-7.3435251798561438</v>
      </c>
      <c r="AJ187" s="60">
        <f t="shared" si="744"/>
        <v>-1.3053882725832013</v>
      </c>
      <c r="AK187" s="18">
        <f t="shared" si="744"/>
        <v>-3.9156716417910387</v>
      </c>
      <c r="AL187" s="18">
        <f t="shared" si="744"/>
        <v>-4.2893854748603406</v>
      </c>
      <c r="AM187" s="18">
        <f t="shared" si="744"/>
        <v>12.483464566929108</v>
      </c>
      <c r="AN187" s="18">
        <f t="shared" si="744"/>
        <v>1.804933371136944</v>
      </c>
      <c r="AO187" s="60">
        <f t="shared" si="744"/>
        <v>12.132330046704723</v>
      </c>
      <c r="AP187" s="18">
        <f>IF(ISERROR((AP186-AK186)/AK186),"",(AP186-AK186)/AK186)</f>
        <v>1.5116457640133105</v>
      </c>
      <c r="AQ187" s="18">
        <f t="shared" si="744"/>
        <v>3.1508152173913091</v>
      </c>
      <c r="AR187" s="18">
        <f t="shared" si="744"/>
        <v>0.17052090633029335</v>
      </c>
      <c r="AS187" s="18">
        <f t="shared" si="744"/>
        <v>-1.0533710704538539</v>
      </c>
      <c r="AT187" s="60">
        <f t="shared" ref="AT187:BB187" si="745">IF(ISERROR((AT186-AO186)/AO186),"",(AT186-AO186)/AO186)</f>
        <v>0.24583102821465169</v>
      </c>
      <c r="AU187" s="18">
        <f t="shared" si="745"/>
        <v>-1.0726587180271048</v>
      </c>
      <c r="AV187" s="18">
        <f t="shared" si="745"/>
        <v>-2.1534369885433722</v>
      </c>
      <c r="AW187" s="18">
        <f t="shared" si="745"/>
        <v>-3.4406306126521686</v>
      </c>
      <c r="AX187" s="18">
        <f t="shared" si="745"/>
        <v>78.545454545458057</v>
      </c>
      <c r="AY187" s="368">
        <f t="shared" si="745"/>
        <v>-3.5777270276271165</v>
      </c>
      <c r="AZ187" s="368">
        <f t="shared" si="745"/>
        <v>39.953716690043237</v>
      </c>
      <c r="BA187" s="18">
        <f t="shared" si="745"/>
        <v>4.6544874068818709</v>
      </c>
      <c r="BB187" s="18">
        <f t="shared" si="745"/>
        <v>5.7886345053148061</v>
      </c>
      <c r="BC187" s="18">
        <f t="shared" ref="BC187" si="746">IF(ISERROR((BC186-AX186)/AX186),"",(BC186-AX186)/AX186)</f>
        <v>4.1809523809523759</v>
      </c>
      <c r="BD187" s="1936">
        <f t="shared" ref="BD187:BG187" si="747">IF(ISERROR((BD186-AY186)/AY186),"",(BD186-AY186)/AY186)</f>
        <v>5.0608111433774674</v>
      </c>
      <c r="BE187" s="2060">
        <f t="shared" si="747"/>
        <v>7.5376712328767184</v>
      </c>
      <c r="BF187" s="2061">
        <f t="shared" si="747"/>
        <v>3.4529485570890879</v>
      </c>
      <c r="BG187" s="2061">
        <f t="shared" si="747"/>
        <v>1.124059018367962</v>
      </c>
      <c r="BH187" s="2061">
        <f t="shared" ref="BH187" si="748">IF(ISERROR((BH186-BC186)/BC186),"",(BH186-BC186)/BC186)</f>
        <v>0.3377757352941162</v>
      </c>
      <c r="BI187" s="2062">
        <f t="shared" ref="BI187:BL187" si="749">IF(ISERROR((BI186-BD186)/BD186),"",(BI186-BD186)/BD186)</f>
        <v>1.5337529184854335</v>
      </c>
      <c r="BJ187" s="2060">
        <f t="shared" si="749"/>
        <v>0.16325711993582062</v>
      </c>
      <c r="BK187" s="2061">
        <f t="shared" si="749"/>
        <v>4.4801352493659262E-2</v>
      </c>
      <c r="BL187" s="2061">
        <f t="shared" si="749"/>
        <v>4.7916075985255546E-2</v>
      </c>
      <c r="BM187" s="2061">
        <f t="shared" ref="BM187" si="750">IF(ISERROR((BM186-BH186)/BH186),"",(BM186-BH186)/BH186)</f>
        <v>0.15664720027481946</v>
      </c>
      <c r="BN187" s="2062">
        <f t="shared" ref="BN187" si="751">IF(ISERROR((BN186-BI186)/BI186),"",(BN186-BI186)/BI186)</f>
        <v>9.5432692307691455E-2</v>
      </c>
      <c r="BO187" s="2060">
        <f t="shared" ref="BO187" si="752">IF(ISERROR((BO186-BJ186)/BJ186),"",(BO186-BJ186)/BJ186)</f>
        <v>0.15215927103383495</v>
      </c>
      <c r="BP187" s="2061">
        <f t="shared" ref="BP187" si="753">IF(ISERROR((BP186-BK186)/BK186),"",(BP186-BK186)/BK186)</f>
        <v>0.1809921625724322</v>
      </c>
      <c r="BQ187" s="2061">
        <f t="shared" ref="BQ187:BS187" si="754">IF(ISERROR((BQ186-BL186)/BL186),"",(BQ186-BL186)/BL186)</f>
        <v>0.19435103651474667</v>
      </c>
      <c r="BR187" s="2168">
        <f t="shared" si="754"/>
        <v>0.2506027536851429</v>
      </c>
      <c r="BS187" s="2062">
        <f t="shared" si="754"/>
        <v>0.19563175535316243</v>
      </c>
      <c r="BT187" s="2061"/>
      <c r="BU187" s="2061"/>
      <c r="BV187" s="2061"/>
      <c r="BW187" s="2061"/>
      <c r="BX187" s="2256">
        <f>IF(ISERROR((BX186-BS186)/BS186),"",(BX186-BS186)/BS186)</f>
        <v>0.11748979365188225</v>
      </c>
      <c r="BY187" s="2061"/>
      <c r="BZ187" s="2061"/>
      <c r="CA187" s="2061"/>
      <c r="CB187" s="2061"/>
      <c r="CC187" s="2256">
        <f>IF(ISERROR((CC186-BX186)/BX186),"",(CC186-BX186)/BX186)</f>
        <v>0.10633978974097262</v>
      </c>
      <c r="CD187" s="191"/>
      <c r="CE187" s="111"/>
      <c r="CF187" s="334">
        <f>0.205*1600</f>
        <v>328</v>
      </c>
      <c r="CG187" s="334">
        <f>0.27*1600</f>
        <v>432</v>
      </c>
      <c r="CH187" s="334">
        <f>0.27*1600</f>
        <v>432</v>
      </c>
      <c r="CI187" s="334">
        <f>0.255*1600</f>
        <v>408</v>
      </c>
      <c r="CJ187" s="177"/>
      <c r="CK187" s="2070"/>
      <c r="CL187" s="18">
        <f t="shared" si="704"/>
        <v>0.15664720027481946</v>
      </c>
      <c r="CM187" s="18">
        <f t="shared" si="705"/>
        <v>0.3377757352941162</v>
      </c>
      <c r="CN187" s="18">
        <v>0.16349646517352348</v>
      </c>
      <c r="CO187" s="2107">
        <f>IFERROR(($CL187-CM187)*10000,"")</f>
        <v>-1811.2853501929674</v>
      </c>
      <c r="CP187" s="2107">
        <f>IFERROR(($CL187-CN187)*10000,"")</f>
        <v>-68.492648987040212</v>
      </c>
      <c r="CQ187" s="454"/>
      <c r="CR187" s="44" t="s">
        <v>628</v>
      </c>
      <c r="CS187" s="41"/>
      <c r="CT187" s="41"/>
      <c r="CU187" s="41"/>
      <c r="CV187" s="41"/>
      <c r="CW187" s="41"/>
      <c r="CX187" s="41"/>
      <c r="CY187" s="116"/>
      <c r="CZ187"/>
      <c r="DA187"/>
      <c r="DB187"/>
      <c r="DC187"/>
      <c r="DD187"/>
      <c r="DE187"/>
      <c r="DF187" s="19"/>
      <c r="DG187" s="19"/>
      <c r="DH187" s="19"/>
      <c r="DI187" s="19"/>
      <c r="DJ187" s="19"/>
    </row>
    <row r="188" spans="1:114" s="1" customFormat="1" ht="12.75" customHeight="1">
      <c r="A188" s="76" t="s">
        <v>248</v>
      </c>
      <c r="B188" s="368"/>
      <c r="C188" s="18"/>
      <c r="D188" s="18"/>
      <c r="E188" s="18"/>
      <c r="F188" s="60"/>
      <c r="G188" s="18"/>
      <c r="H188" s="18"/>
      <c r="I188" s="18"/>
      <c r="J188" s="18"/>
      <c r="K188" s="60"/>
      <c r="L188" s="18"/>
      <c r="M188" s="18"/>
      <c r="N188" s="18"/>
      <c r="O188" s="18"/>
      <c r="P188" s="60"/>
      <c r="Q188" s="18"/>
      <c r="R188" s="18"/>
      <c r="S188" s="18"/>
      <c r="T188" s="18"/>
      <c r="U188" s="60"/>
      <c r="V188" s="18"/>
      <c r="W188" s="18"/>
      <c r="X188" s="18"/>
      <c r="Y188" s="18"/>
      <c r="Z188" s="2120"/>
      <c r="AA188" s="18"/>
      <c r="AB188" s="18"/>
      <c r="AC188" s="18"/>
      <c r="AD188" s="18"/>
      <c r="AE188" s="18"/>
      <c r="AF188" s="18"/>
      <c r="AG188" s="18"/>
      <c r="AH188" s="18"/>
      <c r="AI188" s="18"/>
      <c r="AJ188" s="625"/>
      <c r="AK188" s="18"/>
      <c r="AL188" s="18"/>
      <c r="AM188" s="18"/>
      <c r="AN188" s="18"/>
      <c r="AO188" s="625"/>
      <c r="AP188" s="18"/>
      <c r="AQ188" s="18"/>
      <c r="AR188" s="451"/>
      <c r="AS188" s="451"/>
      <c r="AT188" s="624"/>
      <c r="AU188" s="18"/>
      <c r="AV188" s="18"/>
      <c r="AW188" s="451"/>
      <c r="AX188" s="451"/>
      <c r="AY188" s="623"/>
      <c r="AZ188" s="601"/>
      <c r="BA188" s="18"/>
      <c r="BB188" s="18"/>
      <c r="BC188" s="451">
        <f>+BC186/BB186-1</f>
        <v>0.31044866004215632</v>
      </c>
      <c r="BD188" s="1940"/>
      <c r="BE188" s="601">
        <f>+BE186/BC186-1</f>
        <v>0.14568014705882359</v>
      </c>
      <c r="BF188" s="18">
        <f>+BF186/BE186-1</f>
        <v>0.42358604091456198</v>
      </c>
      <c r="BG188" s="18">
        <f>+BG186/BF186-1</f>
        <v>-6.1989292758534154E-3</v>
      </c>
      <c r="BH188" s="451">
        <f>+BH186/BG186-1</f>
        <v>-0.17465267933087691</v>
      </c>
      <c r="BI188" s="1940"/>
      <c r="BJ188" s="601">
        <f>+BJ186/BH186-1</f>
        <v>-3.7787701820665154E-3</v>
      </c>
      <c r="BK188" s="18">
        <f>+BK186/BJ186-1</f>
        <v>0.27862068965517195</v>
      </c>
      <c r="BL188" s="18">
        <f>+BL186/BK186-1</f>
        <v>-3.2362459546937394E-3</v>
      </c>
      <c r="BM188" s="451">
        <f>+BM186/BL186-1</f>
        <v>-8.9015151515151714E-2</v>
      </c>
      <c r="BN188" s="1940"/>
      <c r="BO188" s="368">
        <f>+BO186/BM186-1</f>
        <v>-7.644227502783818E-3</v>
      </c>
      <c r="BP188" s="18">
        <f>+BP186/BO186-1</f>
        <v>0.31061828980532646</v>
      </c>
      <c r="BQ188" s="18">
        <f>+BQ186/BP186-1</f>
        <v>8.0387156941246207E-3</v>
      </c>
      <c r="BR188" s="2162">
        <f>+BR186/BQ186-1</f>
        <v>-4.6109455888995399E-2</v>
      </c>
      <c r="BS188" s="2379"/>
      <c r="BT188" s="20"/>
      <c r="BU188" s="20"/>
      <c r="BV188" s="20"/>
      <c r="BW188" s="20"/>
      <c r="BX188" s="628"/>
      <c r="BY188" s="20"/>
      <c r="BZ188" s="20"/>
      <c r="CA188" s="20"/>
      <c r="CB188" s="20"/>
      <c r="CC188" s="628"/>
      <c r="CD188" s="673"/>
      <c r="CE188" s="263"/>
      <c r="CF188" s="334">
        <f>0.205*$BS$186</f>
        <v>335.0823754123781</v>
      </c>
      <c r="CG188" s="334">
        <f>0.27*$BS$186</f>
        <v>441.32800664069316</v>
      </c>
      <c r="CH188" s="334">
        <f>0.27*$BS$186</f>
        <v>441.32800664069316</v>
      </c>
      <c r="CI188" s="334">
        <f>0.255*$BS$186</f>
        <v>416.80978404954357</v>
      </c>
      <c r="CJ188" s="177"/>
      <c r="CK188" s="2070"/>
      <c r="CL188" s="18">
        <f t="shared" si="704"/>
        <v>-8.9015151515151714E-2</v>
      </c>
      <c r="CM188" s="18">
        <f t="shared" si="705"/>
        <v>-0.17465267933087691</v>
      </c>
      <c r="CN188" s="20">
        <v>-8.3620614144987337E-2</v>
      </c>
      <c r="CO188" s="2107">
        <f>IFERROR(($CL188-CM188)*10000,"")</f>
        <v>856.37527815725196</v>
      </c>
      <c r="CP188" s="2107">
        <f>IFERROR(($CL188-CN188)*10000,"")</f>
        <v>-53.94537370164376</v>
      </c>
      <c r="CQ188" s="374"/>
      <c r="CR188" s="452"/>
      <c r="CS188" s="40"/>
      <c r="CT188" s="258"/>
      <c r="CU188" s="258"/>
      <c r="CV188" s="258"/>
      <c r="CW188" s="258"/>
      <c r="CX188" s="258"/>
      <c r="CY188" s="139"/>
      <c r="CZ188"/>
      <c r="DA188"/>
      <c r="DB188"/>
      <c r="DC188"/>
      <c r="DD188"/>
      <c r="DE188"/>
      <c r="DF188" s="3"/>
      <c r="DG188" s="3"/>
      <c r="DH188" s="3"/>
      <c r="DI188" s="3"/>
      <c r="DJ188" s="3"/>
    </row>
    <row r="189" spans="1:114" s="176" customFormat="1" ht="12.75" customHeight="1">
      <c r="A189" s="54" t="s">
        <v>90</v>
      </c>
      <c r="B189" s="545"/>
      <c r="C189" s="221"/>
      <c r="D189" s="221"/>
      <c r="E189" s="221"/>
      <c r="F189" s="222"/>
      <c r="G189" s="221"/>
      <c r="H189" s="221"/>
      <c r="I189" s="221"/>
      <c r="J189" s="221"/>
      <c r="K189" s="222"/>
      <c r="L189" s="221"/>
      <c r="M189" s="221"/>
      <c r="N189" s="221"/>
      <c r="O189" s="221"/>
      <c r="P189" s="222"/>
      <c r="Q189" s="221"/>
      <c r="R189" s="221"/>
      <c r="S189" s="221"/>
      <c r="T189" s="221"/>
      <c r="U189" s="222"/>
      <c r="V189" s="221"/>
      <c r="W189" s="221"/>
      <c r="X189" s="221"/>
      <c r="Y189" s="221"/>
      <c r="Z189" s="222"/>
      <c r="AA189" s="221"/>
      <c r="AB189" s="226"/>
      <c r="AC189" s="221"/>
      <c r="AD189" s="221"/>
      <c r="AE189" s="222"/>
      <c r="AF189" s="221"/>
      <c r="AG189" s="221"/>
      <c r="AH189" s="221"/>
      <c r="AI189" s="221"/>
      <c r="AJ189" s="412"/>
      <c r="AK189" s="348"/>
      <c r="AL189" s="221"/>
      <c r="AM189" s="221"/>
      <c r="AN189" s="221"/>
      <c r="AO189" s="222"/>
      <c r="AP189" s="348"/>
      <c r="AQ189" s="221"/>
      <c r="AR189" s="221"/>
      <c r="AS189" s="221"/>
      <c r="AT189" s="222"/>
      <c r="AU189" s="348"/>
      <c r="AV189" s="221"/>
      <c r="AW189" s="221"/>
      <c r="AX189" s="221"/>
      <c r="AY189" s="622"/>
      <c r="AZ189" s="611"/>
      <c r="BA189" s="221"/>
      <c r="BB189" s="493"/>
      <c r="BC189" s="221"/>
      <c r="BD189" s="1959"/>
      <c r="BE189" s="2145">
        <f t="shared" ref="BE189:BH189" si="755">+BE186/$BI$186</f>
        <v>0.19975961538461537</v>
      </c>
      <c r="BF189" s="2145">
        <f t="shared" si="755"/>
        <v>0.28437500000000021</v>
      </c>
      <c r="BG189" s="2145">
        <f t="shared" si="755"/>
        <v>0.28261217948717943</v>
      </c>
      <c r="BH189" s="2145">
        <f t="shared" si="755"/>
        <v>0.23325320512820483</v>
      </c>
      <c r="BI189" s="1959"/>
      <c r="BJ189" s="2145">
        <f t="shared" ref="BJ189:BM189" si="756">+BJ186/$BN$186</f>
        <v>0.21212786189744737</v>
      </c>
      <c r="BK189" s="2145">
        <f t="shared" si="756"/>
        <v>0.27123107307439126</v>
      </c>
      <c r="BL189" s="2145">
        <f t="shared" si="756"/>
        <v>0.27035330261136697</v>
      </c>
      <c r="BM189" s="2145">
        <f t="shared" si="756"/>
        <v>0.24628776241679451</v>
      </c>
      <c r="BN189" s="1959"/>
      <c r="BO189" s="2359">
        <f>+BO186/$BS$186</f>
        <v>0.20441501460249964</v>
      </c>
      <c r="BP189" s="2145">
        <f t="shared" ref="BP189:BR189" si="757">+BP186/$BS$186</f>
        <v>0.26791005684885888</v>
      </c>
      <c r="BQ189" s="2145">
        <f t="shared" si="757"/>
        <v>0.27006370962746368</v>
      </c>
      <c r="BR189" s="2371">
        <f t="shared" si="757"/>
        <v>0.25761121892117766</v>
      </c>
      <c r="BS189" s="2207">
        <f>1600/1365-1</f>
        <v>0.17216117216117222</v>
      </c>
      <c r="BT189" s="221"/>
      <c r="BU189" s="221"/>
      <c r="BV189" s="221"/>
      <c r="BW189" s="221"/>
      <c r="BX189" s="2207"/>
      <c r="BY189" s="221"/>
      <c r="BZ189" s="221"/>
      <c r="CA189" s="221"/>
      <c r="CB189" s="221"/>
      <c r="CC189" s="2040"/>
      <c r="CD189" s="223"/>
      <c r="CE189" s="224"/>
      <c r="CF189" s="246"/>
      <c r="CG189" s="246"/>
      <c r="CH189" s="246"/>
      <c r="CI189" s="247"/>
      <c r="CJ189" s="177"/>
      <c r="CK189" s="2070"/>
      <c r="CL189" s="221"/>
      <c r="CM189" s="221"/>
      <c r="CN189" s="2145">
        <v>0.24738539887767169</v>
      </c>
      <c r="CO189" s="221"/>
      <c r="CP189" s="221"/>
      <c r="CQ189" s="454"/>
      <c r="CR189" s="452"/>
      <c r="CS189" s="16"/>
      <c r="CT189" s="16"/>
      <c r="CU189" s="16"/>
      <c r="CV189" s="16"/>
      <c r="CW189" s="16"/>
      <c r="CX189" s="16"/>
      <c r="CY189" s="141"/>
      <c r="CZ189"/>
      <c r="DA189"/>
      <c r="DB189"/>
      <c r="DC189"/>
      <c r="DD189"/>
      <c r="DE189"/>
      <c r="DF189" s="8"/>
      <c r="DG189" s="8"/>
      <c r="DH189" s="8"/>
      <c r="DI189" s="8"/>
      <c r="DJ189" s="8"/>
    </row>
    <row r="190" spans="1:114" s="250" customFormat="1" ht="12.75" customHeight="1">
      <c r="A190" s="9" t="s">
        <v>8</v>
      </c>
      <c r="B190" s="554"/>
      <c r="C190" s="10"/>
      <c r="D190" s="11"/>
      <c r="E190" s="11"/>
      <c r="F190" s="62">
        <v>-0.187</v>
      </c>
      <c r="G190" s="10">
        <v>-4.4999999999999998E-2</v>
      </c>
      <c r="H190" s="10">
        <v>-6.3E-2</v>
      </c>
      <c r="I190" s="10">
        <v>-5.3999999999999999E-2</v>
      </c>
      <c r="J190" s="10">
        <v>-4.2999999999999997E-2</v>
      </c>
      <c r="K190" s="62">
        <f>SUM(J190,I190,H190,G190)</f>
        <v>-0.20500000000000002</v>
      </c>
      <c r="L190" s="10">
        <v>0</v>
      </c>
      <c r="M190" s="10">
        <v>-3.4000000000000002E-2</v>
      </c>
      <c r="N190" s="11">
        <v>-1.2999999999999999E-2</v>
      </c>
      <c r="O190" s="11">
        <v>6.0000000000000001E-3</v>
      </c>
      <c r="P190" s="62">
        <f>SUM(O190,N190,M190,L190)</f>
        <v>-4.1000000000000002E-2</v>
      </c>
      <c r="Q190" s="10">
        <v>-0.08</v>
      </c>
      <c r="R190" s="10">
        <v>-9.9000000000000005E-2</v>
      </c>
      <c r="S190" s="11">
        <v>-9.4E-2</v>
      </c>
      <c r="T190" s="11">
        <v>-8.1000000000000003E-2</v>
      </c>
      <c r="U190" s="62">
        <f>SUM(T190,S190,R190,Q190)</f>
        <v>-0.35400000000000004</v>
      </c>
      <c r="V190" s="10">
        <v>-2.1999999999999999E-2</v>
      </c>
      <c r="W190" s="10">
        <v>-2.5999999999999999E-2</v>
      </c>
      <c r="X190" s="11">
        <v>-2.5999999999999999E-2</v>
      </c>
      <c r="Y190" s="11">
        <v>-3.1E-2</v>
      </c>
      <c r="Z190" s="62">
        <f>SUM(Y190,X190,W190,V190)</f>
        <v>-0.10499999999999998</v>
      </c>
      <c r="AA190" s="10">
        <v>-0.02</v>
      </c>
      <c r="AB190" s="10">
        <v>-8.7999999999999995E-2</v>
      </c>
      <c r="AC190" s="10">
        <v>-3.2000000000000001E-2</v>
      </c>
      <c r="AD190" s="10">
        <v>-6.5000000000000002E-2</v>
      </c>
      <c r="AE190" s="62">
        <f>SUM(AD190,AC190,AB190,AA190)</f>
        <v>-0.20499999999999999</v>
      </c>
      <c r="AF190" s="10">
        <v>-4.9000000000000002E-2</v>
      </c>
      <c r="AG190" s="10">
        <v>-4.7E-2</v>
      </c>
      <c r="AH190" s="10">
        <v>-4.9000000000000002E-2</v>
      </c>
      <c r="AI190" s="10">
        <v>-4.5999999999999999E-2</v>
      </c>
      <c r="AJ190" s="62">
        <f>SUM(AI190,AH190,AG190,AF190)</f>
        <v>-0.191</v>
      </c>
      <c r="AK190" s="10">
        <v>-1.2E-2</v>
      </c>
      <c r="AL190" s="10">
        <v>-3.0000000000000001E-3</v>
      </c>
      <c r="AM190" s="10">
        <v>-1.4999999999999999E-2</v>
      </c>
      <c r="AN190" s="10">
        <v>-3.177</v>
      </c>
      <c r="AO190" s="62">
        <f>SUM(AN190,AM190,AL190,AK190)</f>
        <v>-3.2070000000000003</v>
      </c>
      <c r="AP190" s="10">
        <v>-3.0640000000000001</v>
      </c>
      <c r="AQ190" s="10">
        <v>-3.1059999999999999</v>
      </c>
      <c r="AR190" s="10">
        <v>-3.415</v>
      </c>
      <c r="AS190" s="10">
        <v>-5.5839999999999996</v>
      </c>
      <c r="AT190" s="62">
        <f>SUM(AS190,AR190,AQ190,AP190)</f>
        <v>-15.168999999999999</v>
      </c>
      <c r="AU190" s="10">
        <v>-3.258</v>
      </c>
      <c r="AV190" s="10">
        <v>-3.403</v>
      </c>
      <c r="AW190" s="10">
        <v>-8.0699999999999985</v>
      </c>
      <c r="AX190" s="10">
        <v>-16.7</v>
      </c>
      <c r="AY190" s="554">
        <f>SUM(AX190,AW190,AV190,AU190)</f>
        <v>-31.430999999999994</v>
      </c>
      <c r="AZ190" s="554">
        <v>-16.600000000000001</v>
      </c>
      <c r="BA190" s="10">
        <v>-27.299999999999997</v>
      </c>
      <c r="BB190" s="10">
        <v>-60.4</v>
      </c>
      <c r="BC190" s="279">
        <f>+-95.9+11.2+2</f>
        <v>-82.7</v>
      </c>
      <c r="BD190" s="1958">
        <f>SUM(BC190,BB190,BA190,AZ190)</f>
        <v>-186.99999999999997</v>
      </c>
      <c r="BE190" s="554">
        <v>-93.1</v>
      </c>
      <c r="BF190" s="10">
        <v>-94.9</v>
      </c>
      <c r="BG190" s="10">
        <v>-93</v>
      </c>
      <c r="BH190" s="279">
        <v>-80.3</v>
      </c>
      <c r="BI190" s="1958">
        <f>SUM(BH190,BG190,BF190,BE190)</f>
        <v>-361.30000000000007</v>
      </c>
      <c r="BJ190" s="554">
        <v>-75.599999999999994</v>
      </c>
      <c r="BK190" s="10">
        <v>-74.3</v>
      </c>
      <c r="BL190" s="10">
        <v>-72.5</v>
      </c>
      <c r="BM190" s="279">
        <v>-61.9</v>
      </c>
      <c r="BN190" s="1958">
        <f>SUM(BM190,BL190,BK190,BJ190)</f>
        <v>-284.29999999999995</v>
      </c>
      <c r="BO190" s="2360">
        <v>-64</v>
      </c>
      <c r="BP190" s="244">
        <f>+BO190</f>
        <v>-64</v>
      </c>
      <c r="BQ190" s="244">
        <f t="shared" ref="BQ190:BR190" si="758">+BP190</f>
        <v>-64</v>
      </c>
      <c r="BR190" s="244">
        <f t="shared" si="758"/>
        <v>-64</v>
      </c>
      <c r="BS190" s="2001">
        <f>SUM(BR190,BQ190,BP190,BO190)</f>
        <v>-256</v>
      </c>
      <c r="BT190" s="244"/>
      <c r="BU190" s="244"/>
      <c r="BV190" s="244"/>
      <c r="BW190" s="244"/>
      <c r="BX190" s="492">
        <v>-244.15143941497732</v>
      </c>
      <c r="BY190" s="244"/>
      <c r="BZ190" s="244"/>
      <c r="CA190" s="244"/>
      <c r="CB190" s="244"/>
      <c r="CC190" s="492">
        <v>-244.15143941497732</v>
      </c>
      <c r="CD190" s="244"/>
      <c r="CE190" s="245"/>
      <c r="CF190" s="246"/>
      <c r="CG190" s="246"/>
      <c r="CH190" s="246"/>
      <c r="CI190" s="247"/>
      <c r="CJ190" s="279"/>
      <c r="CK190" s="2077"/>
      <c r="CL190" s="10">
        <f>BM190</f>
        <v>-61.9</v>
      </c>
      <c r="CM190" s="10">
        <f>BH190</f>
        <v>-80.3</v>
      </c>
      <c r="CN190" s="244">
        <v>-72.5</v>
      </c>
      <c r="CO190" s="2096">
        <f>IFERROR(($CL190/CM190)-1,"")</f>
        <v>-0.22914072229140725</v>
      </c>
      <c r="CP190" s="2096">
        <f>IFERROR(($CL190/CN190)-1,"")</f>
        <v>-0.14620689655172414</v>
      </c>
      <c r="CQ190" s="374" t="s">
        <v>650</v>
      </c>
      <c r="CR190" s="44"/>
      <c r="CS190" s="248"/>
      <c r="CT190" s="248"/>
      <c r="CU190" s="248"/>
      <c r="CV190" s="248"/>
      <c r="CW190" s="248"/>
      <c r="CX190" s="248"/>
      <c r="CY190" s="249"/>
      <c r="CZ190"/>
      <c r="DA190"/>
      <c r="DB190"/>
      <c r="DC190"/>
      <c r="DD190"/>
      <c r="DE190"/>
      <c r="DF190" s="4"/>
      <c r="DG190" s="4"/>
      <c r="DH190" s="4"/>
      <c r="DI190" s="4"/>
      <c r="DJ190" s="4"/>
    </row>
    <row r="191" spans="1:114" s="250" customFormat="1" ht="12.75" customHeight="1">
      <c r="A191" s="364" t="s">
        <v>138</v>
      </c>
      <c r="B191" s="554"/>
      <c r="C191" s="10"/>
      <c r="D191" s="11"/>
      <c r="E191" s="11"/>
      <c r="F191" s="62"/>
      <c r="G191" s="10"/>
      <c r="H191" s="10"/>
      <c r="I191" s="10"/>
      <c r="J191" s="10"/>
      <c r="K191" s="62"/>
      <c r="L191" s="10"/>
      <c r="M191" s="10"/>
      <c r="N191" s="11"/>
      <c r="O191" s="11"/>
      <c r="P191" s="62"/>
      <c r="Q191" s="10"/>
      <c r="R191" s="10"/>
      <c r="S191" s="11"/>
      <c r="T191" s="11"/>
      <c r="U191" s="62"/>
      <c r="V191" s="10"/>
      <c r="W191" s="10"/>
      <c r="X191" s="11"/>
      <c r="Y191" s="11"/>
      <c r="Z191" s="62"/>
      <c r="AA191" s="10"/>
      <c r="AB191" s="10"/>
      <c r="AC191" s="10"/>
      <c r="AD191" s="10"/>
      <c r="AE191" s="62"/>
      <c r="AF191" s="10"/>
      <c r="AG191" s="10"/>
      <c r="AH191" s="10"/>
      <c r="AI191" s="10"/>
      <c r="AJ191" s="62"/>
      <c r="AK191" s="10"/>
      <c r="AL191" s="10"/>
      <c r="AM191" s="10"/>
      <c r="AN191" s="10"/>
      <c r="AO191" s="62"/>
      <c r="AP191" s="279"/>
      <c r="AQ191" s="279"/>
      <c r="AR191" s="10"/>
      <c r="AS191" s="10"/>
      <c r="AT191" s="62"/>
      <c r="AU191" s="279"/>
      <c r="AV191" s="279"/>
      <c r="AW191" s="10"/>
      <c r="AX191" s="10"/>
      <c r="AY191" s="554"/>
      <c r="AZ191" s="612"/>
      <c r="BA191" s="279"/>
      <c r="BB191" s="279"/>
      <c r="BC191" s="10"/>
      <c r="BD191" s="1958"/>
      <c r="BE191" s="279"/>
      <c r="BF191" s="279"/>
      <c r="BG191" s="279"/>
      <c r="BH191" s="10"/>
      <c r="BI191" s="1958"/>
      <c r="BJ191" s="2271"/>
      <c r="BK191" s="279"/>
      <c r="BL191" s="279"/>
      <c r="BM191" s="10"/>
      <c r="BN191" s="1958"/>
      <c r="BO191" s="2361"/>
      <c r="BP191" s="2272"/>
      <c r="BQ191" s="2271"/>
      <c r="BR191" s="2372"/>
      <c r="BS191" s="2383">
        <f>-BS192*BS193</f>
        <v>-256</v>
      </c>
      <c r="BT191" s="244"/>
      <c r="BU191" s="244"/>
      <c r="BV191" s="244"/>
      <c r="BW191" s="244"/>
      <c r="BX191" s="488">
        <f>-BX192*BX193</f>
        <v>-244.15143941497732</v>
      </c>
      <c r="BY191" s="244"/>
      <c r="BZ191" s="244"/>
      <c r="CA191" s="244"/>
      <c r="CB191" s="244"/>
      <c r="CC191" s="488">
        <f>-CC192*CC193</f>
        <v>-244.15143941497732</v>
      </c>
      <c r="CD191" s="244"/>
      <c r="CE191" s="245"/>
      <c r="CF191" s="246"/>
      <c r="CG191" s="246"/>
      <c r="CH191" s="246"/>
      <c r="CI191" s="247"/>
      <c r="CJ191" s="279"/>
      <c r="CK191" s="2077"/>
      <c r="CL191" s="279"/>
      <c r="CM191" s="279"/>
      <c r="CN191" s="181"/>
      <c r="CO191" s="279"/>
      <c r="CP191" s="279"/>
      <c r="CQ191" s="454"/>
      <c r="CR191" s="44" t="s">
        <v>633</v>
      </c>
      <c r="CS191" s="248"/>
      <c r="CT191" s="248"/>
      <c r="CU191" s="248"/>
      <c r="CV191" s="248"/>
      <c r="CW191" s="248"/>
      <c r="CX191" s="248"/>
      <c r="CY191" s="249"/>
      <c r="CZ191"/>
      <c r="DA191"/>
      <c r="DB191"/>
      <c r="DC191"/>
      <c r="DD191"/>
      <c r="DE191"/>
      <c r="DF191" s="4"/>
      <c r="DG191" s="4"/>
      <c r="DH191" s="4"/>
      <c r="DI191" s="4"/>
      <c r="DJ191" s="4"/>
    </row>
    <row r="192" spans="1:114" s="250" customFormat="1" ht="12.75" customHeight="1">
      <c r="A192" s="365" t="s">
        <v>139</v>
      </c>
      <c r="B192" s="370"/>
      <c r="C192" s="4"/>
      <c r="D192" s="278"/>
      <c r="E192" s="278"/>
      <c r="F192" s="271"/>
      <c r="G192" s="4"/>
      <c r="H192" s="4"/>
      <c r="I192" s="4"/>
      <c r="J192" s="4"/>
      <c r="K192" s="271"/>
      <c r="L192" s="4"/>
      <c r="M192" s="4"/>
      <c r="N192" s="278"/>
      <c r="O192" s="278"/>
      <c r="P192" s="271"/>
      <c r="Q192" s="4"/>
      <c r="R192" s="4"/>
      <c r="S192" s="278"/>
      <c r="T192" s="278"/>
      <c r="U192" s="271"/>
      <c r="V192" s="4"/>
      <c r="W192" s="4"/>
      <c r="X192" s="278"/>
      <c r="Y192" s="278"/>
      <c r="Z192" s="271"/>
      <c r="AA192" s="4"/>
      <c r="AB192" s="4"/>
      <c r="AC192" s="4"/>
      <c r="AD192" s="4"/>
      <c r="AE192" s="271"/>
      <c r="AF192" s="4"/>
      <c r="AG192" s="4"/>
      <c r="AH192" s="4"/>
      <c r="AI192" s="4"/>
      <c r="AJ192" s="271"/>
      <c r="AK192" s="4"/>
      <c r="AL192" s="4"/>
      <c r="AM192" s="4"/>
      <c r="AN192" s="4"/>
      <c r="AO192" s="271">
        <f>AVERAGE((AO277+AO283),(AJ277+AJ283))</f>
        <v>55.45</v>
      </c>
      <c r="AR192" s="4"/>
      <c r="AS192" s="4"/>
      <c r="AT192" s="271"/>
      <c r="AW192" s="4"/>
      <c r="AX192" s="4"/>
      <c r="AY192" s="370"/>
      <c r="AZ192" s="508"/>
      <c r="BA192" s="188"/>
      <c r="BB192" s="188"/>
      <c r="BD192" s="1956"/>
      <c r="BE192" s="188"/>
      <c r="BF192" s="188"/>
      <c r="BG192" s="188"/>
      <c r="BI192" s="1956">
        <f>AVERAGE((BI277+BI283+BI284),(BD277+BD283+BD284))</f>
        <v>5137.9500000000007</v>
      </c>
      <c r="BJ192" s="188"/>
      <c r="BK192" s="188"/>
      <c r="BL192" s="188"/>
      <c r="BN192" s="1956">
        <f>AVERAGE((BN277+BN283+BN284),(BI277+BI283+BI284))</f>
        <v>4694.6000000000004</v>
      </c>
      <c r="BO192" s="370"/>
      <c r="BP192" s="4"/>
      <c r="BQ192" s="4"/>
      <c r="BR192" s="2194"/>
      <c r="BS192" s="1956">
        <f>AVERAGE((BS277+BS283+BS284),(BN277+BN283+BN284))</f>
        <v>4321.2</v>
      </c>
      <c r="BT192" s="282"/>
      <c r="BU192" s="282"/>
      <c r="BV192" s="282"/>
      <c r="BW192" s="282"/>
      <c r="BX192" s="271">
        <f>AVERAGE((BX277+BX283+BX284),(BS277+BS283+BS284))</f>
        <v>4121.2</v>
      </c>
      <c r="BY192" s="282"/>
      <c r="BZ192" s="282"/>
      <c r="CA192" s="282"/>
      <c r="CB192" s="282"/>
      <c r="CC192" s="271">
        <f>AVERAGE((CC277+CC283+CC284),(BX277+BX283+BX284))</f>
        <v>4121.2</v>
      </c>
      <c r="CD192" s="284"/>
      <c r="CE192" s="285"/>
      <c r="CF192" s="349"/>
      <c r="CG192" s="349"/>
      <c r="CH192" s="349"/>
      <c r="CI192" s="330"/>
      <c r="CK192" s="2079"/>
      <c r="CL192" s="188"/>
      <c r="CM192" s="188"/>
      <c r="CN192" s="4"/>
      <c r="CO192" s="188"/>
      <c r="CP192" s="188"/>
      <c r="CQ192" s="44"/>
      <c r="CR192" s="44" t="s">
        <v>612</v>
      </c>
      <c r="CS192" s="248"/>
      <c r="CT192" s="248"/>
      <c r="CU192" s="248"/>
      <c r="CV192" s="248"/>
      <c r="CW192" s="248"/>
      <c r="CX192" s="248"/>
      <c r="CY192" s="249"/>
      <c r="CZ192"/>
      <c r="DA192"/>
      <c r="DB192"/>
      <c r="DC192"/>
      <c r="DD192"/>
      <c r="DE192"/>
      <c r="DF192" s="4"/>
      <c r="DG192" s="4"/>
      <c r="DH192" s="4"/>
      <c r="DI192" s="4"/>
      <c r="DJ192" s="4"/>
    </row>
    <row r="193" spans="1:114" s="250" customFormat="1" ht="12.75" customHeight="1">
      <c r="A193" s="365" t="s">
        <v>140</v>
      </c>
      <c r="B193" s="370"/>
      <c r="C193" s="4"/>
      <c r="D193" s="278"/>
      <c r="E193" s="278"/>
      <c r="F193" s="271"/>
      <c r="G193" s="4"/>
      <c r="H193" s="4"/>
      <c r="I193" s="4"/>
      <c r="J193" s="4"/>
      <c r="K193" s="271"/>
      <c r="L193" s="4"/>
      <c r="M193" s="4"/>
      <c r="N193" s="278"/>
      <c r="O193" s="278"/>
      <c r="P193" s="271"/>
      <c r="Q193" s="4"/>
      <c r="R193" s="4"/>
      <c r="S193" s="278"/>
      <c r="T193" s="278"/>
      <c r="U193" s="271"/>
      <c r="V193" s="4"/>
      <c r="W193" s="4"/>
      <c r="X193" s="278"/>
      <c r="Y193" s="278"/>
      <c r="Z193" s="271"/>
      <c r="AA193" s="4"/>
      <c r="AB193" s="4"/>
      <c r="AC193" s="4"/>
      <c r="AD193" s="4"/>
      <c r="AE193" s="271"/>
      <c r="AF193" s="4"/>
      <c r="AG193" s="4"/>
      <c r="AH193" s="4"/>
      <c r="AI193" s="4"/>
      <c r="AJ193" s="271"/>
      <c r="AK193" s="4"/>
      <c r="AL193" s="4"/>
      <c r="AM193" s="4"/>
      <c r="AN193" s="4"/>
      <c r="AO193" s="60"/>
      <c r="AR193" s="4"/>
      <c r="AS193" s="4"/>
      <c r="AT193" s="60"/>
      <c r="AW193" s="4"/>
      <c r="AX193" s="4"/>
      <c r="AY193" s="368"/>
      <c r="AZ193" s="368"/>
      <c r="BA193" s="18"/>
      <c r="BB193" s="18"/>
      <c r="BC193" s="18"/>
      <c r="BD193" s="1936"/>
      <c r="BE193" s="368"/>
      <c r="BF193" s="18"/>
      <c r="BG193" s="18"/>
      <c r="BH193" s="18"/>
      <c r="BI193" s="2156">
        <f>+-BI190/BI192</f>
        <v>7.0319874658180792E-2</v>
      </c>
      <c r="BJ193" s="368"/>
      <c r="BK193" s="18"/>
      <c r="BL193" s="18"/>
      <c r="BM193" s="18"/>
      <c r="BN193" s="2156">
        <f>+-BN190/BN192</f>
        <v>6.0558940058790936E-2</v>
      </c>
      <c r="BO193" s="368"/>
      <c r="BP193" s="18"/>
      <c r="BQ193" s="18"/>
      <c r="BR193" s="2162"/>
      <c r="BS193" s="2156">
        <f>+-BS190/BS192</f>
        <v>5.92428029251134E-2</v>
      </c>
      <c r="BT193" s="2160">
        <v>6.3500000000000001E-2</v>
      </c>
      <c r="BU193" s="74">
        <v>6.3500000000000001E-2</v>
      </c>
      <c r="BV193" s="74">
        <v>6.3500000000000001E-2</v>
      </c>
      <c r="BW193" s="74">
        <v>6.3500000000000001E-2</v>
      </c>
      <c r="BX193" s="74">
        <f>+BS193</f>
        <v>5.92428029251134E-2</v>
      </c>
      <c r="BY193" s="74">
        <v>6.3500000000000001E-2</v>
      </c>
      <c r="BZ193" s="74">
        <v>6.3500000000000001E-2</v>
      </c>
      <c r="CA193" s="74">
        <v>6.3500000000000001E-2</v>
      </c>
      <c r="CB193" s="74">
        <v>6.3500000000000001E-2</v>
      </c>
      <c r="CC193" s="74">
        <f>+BX193</f>
        <v>5.92428029251134E-2</v>
      </c>
      <c r="CD193" s="284"/>
      <c r="CE193" s="285"/>
      <c r="CF193" s="349"/>
      <c r="CG193" s="349"/>
      <c r="CH193" s="349"/>
      <c r="CI193" s="330"/>
      <c r="CK193" s="2079"/>
      <c r="CL193" s="18"/>
      <c r="CM193" s="18"/>
      <c r="CN193" s="18"/>
      <c r="CO193" s="18"/>
      <c r="CP193" s="18"/>
      <c r="CQ193" s="251"/>
      <c r="CR193" s="44" t="s">
        <v>595</v>
      </c>
      <c r="CS193" s="248"/>
      <c r="CT193" s="248"/>
      <c r="CU193" s="248"/>
      <c r="CV193" s="248"/>
      <c r="CW193" s="248"/>
      <c r="CX193" s="248"/>
      <c r="CY193" s="249"/>
      <c r="CZ193"/>
      <c r="DA193"/>
      <c r="DB193"/>
      <c r="DC193"/>
      <c r="DD193"/>
      <c r="DE193"/>
      <c r="DF193" s="4"/>
      <c r="DG193" s="4"/>
      <c r="DH193" s="4"/>
      <c r="DI193" s="4"/>
      <c r="DJ193" s="4"/>
    </row>
    <row r="194" spans="1:114" s="250" customFormat="1" ht="12.75" customHeight="1">
      <c r="A194" s="9" t="s">
        <v>3</v>
      </c>
      <c r="B194" s="554"/>
      <c r="C194" s="10"/>
      <c r="D194" s="11"/>
      <c r="E194" s="11"/>
      <c r="F194" s="62">
        <v>0</v>
      </c>
      <c r="G194" s="10">
        <v>0.10299999999999999</v>
      </c>
      <c r="H194" s="10">
        <v>2.9000000000000001E-2</v>
      </c>
      <c r="I194" s="10">
        <v>2.5999999999999999E-2</v>
      </c>
      <c r="J194" s="10">
        <v>4.8000000000000001E-2</v>
      </c>
      <c r="K194" s="62">
        <f>SUM(J194,I194,H194,G194)</f>
        <v>0.20599999999999999</v>
      </c>
      <c r="L194" s="10">
        <v>0</v>
      </c>
      <c r="M194" s="10">
        <v>2.7E-2</v>
      </c>
      <c r="N194" s="11">
        <v>-3.3000000000000002E-2</v>
      </c>
      <c r="O194" s="11">
        <v>-3.0000000000000001E-3</v>
      </c>
      <c r="P194" s="62">
        <f>SUM(O194,N194,M194,L194)</f>
        <v>-9.0000000000000045E-3</v>
      </c>
      <c r="Q194" s="10">
        <v>3.0000000000000001E-3</v>
      </c>
      <c r="R194" s="10">
        <v>1.2E-2</v>
      </c>
      <c r="S194" s="11">
        <v>2.1000000000000001E-2</v>
      </c>
      <c r="T194" s="11">
        <v>6.9000000000000006E-2</v>
      </c>
      <c r="U194" s="62">
        <f>SUM(T194,S194,R194,Q194)</f>
        <v>0.10500000000000001</v>
      </c>
      <c r="V194" s="10">
        <v>-0.01</v>
      </c>
      <c r="W194" s="10">
        <v>1.9E-2</v>
      </c>
      <c r="X194" s="11">
        <v>1.9E-2</v>
      </c>
      <c r="Y194" s="11">
        <v>2.3E-2</v>
      </c>
      <c r="Z194" s="62">
        <f>SUM(Y194,X194,W194,V194)</f>
        <v>5.0999999999999997E-2</v>
      </c>
      <c r="AA194" s="10">
        <v>0.02</v>
      </c>
      <c r="AB194" s="10">
        <v>3.4000000000000002E-2</v>
      </c>
      <c r="AC194" s="10">
        <v>4.8000000000000001E-2</v>
      </c>
      <c r="AD194" s="10">
        <v>3.7999999999999999E-2</v>
      </c>
      <c r="AE194" s="62">
        <f>SUM(AD194,AC194,AB194,AA194)</f>
        <v>0.13999999999999999</v>
      </c>
      <c r="AF194" s="10">
        <v>2.9000000000000001E-2</v>
      </c>
      <c r="AG194" s="10">
        <v>3.3000000000000002E-2</v>
      </c>
      <c r="AH194" s="10">
        <v>0</v>
      </c>
      <c r="AI194" s="10">
        <v>-6.0000000000000001E-3</v>
      </c>
      <c r="AJ194" s="62">
        <f>SUM(AI194,AH194,AG194,AF194)</f>
        <v>5.6000000000000008E-2</v>
      </c>
      <c r="AK194" s="10">
        <v>-2.1000000000000001E-2</v>
      </c>
      <c r="AL194" s="10">
        <v>2.5999999999999999E-2</v>
      </c>
      <c r="AM194" s="10">
        <v>0.314</v>
      </c>
      <c r="AN194" s="10">
        <v>4.3999999999999997E-2</v>
      </c>
      <c r="AO194" s="62">
        <f>SUM(AN194,AM194,AL194,AK194)</f>
        <v>0.36299999999999999</v>
      </c>
      <c r="AP194" s="279">
        <v>-0.109</v>
      </c>
      <c r="AQ194" s="279">
        <v>0.16700000000000001</v>
      </c>
      <c r="AR194" s="10">
        <v>0.23499999999999999</v>
      </c>
      <c r="AS194" s="10">
        <v>0.185</v>
      </c>
      <c r="AT194" s="62">
        <f>SUM(AS194,AR194,AQ194,AP194)</f>
        <v>0.47799999999999998</v>
      </c>
      <c r="AU194" s="279">
        <v>1.4999999999999999E-2</v>
      </c>
      <c r="AV194" s="279">
        <v>0.23499999999999999</v>
      </c>
      <c r="AW194" s="10">
        <v>0.29599999999999999</v>
      </c>
      <c r="AX194" s="10">
        <v>0.1</v>
      </c>
      <c r="AY194" s="554">
        <f>SUM(AX194,AW194,AV194,AU194)</f>
        <v>0.64600000000000002</v>
      </c>
      <c r="AZ194" s="612">
        <v>0.4</v>
      </c>
      <c r="BA194" s="279">
        <v>0</v>
      </c>
      <c r="BB194" s="279">
        <f>1.6-1.9+0.35</f>
        <v>5.0000000000000155E-2</v>
      </c>
      <c r="BC194" s="10">
        <v>-3.7</v>
      </c>
      <c r="BD194" s="1958">
        <f>SUM(BC194,BB194,BA194,AZ194)</f>
        <v>-3.25</v>
      </c>
      <c r="BE194" s="612">
        <v>2.2999999999999998</v>
      </c>
      <c r="BF194" s="279">
        <f>-7.9+0.1+6.1</f>
        <v>-1.7000000000000011</v>
      </c>
      <c r="BG194" s="279">
        <f>-2.7+1.3-0.9</f>
        <v>-2.3000000000000003</v>
      </c>
      <c r="BH194" s="10">
        <f>0.2-44.8+33</f>
        <v>-11.599999999999994</v>
      </c>
      <c r="BI194" s="1958">
        <f>SUM(BH194,BG194,BF194,BE194)</f>
        <v>-13.299999999999997</v>
      </c>
      <c r="BJ194" s="612">
        <v>1.9999999999999982</v>
      </c>
      <c r="BK194" s="279">
        <v>-1.5</v>
      </c>
      <c r="BL194" s="279">
        <f>-6.7+15-9.6</f>
        <v>-1.2999999999999989</v>
      </c>
      <c r="BM194" s="10">
        <v>-6.4</v>
      </c>
      <c r="BN194" s="1958">
        <f>SUM(BM194,BL194,BK194,BJ194)</f>
        <v>-7.2000000000000011</v>
      </c>
      <c r="BO194" s="2362">
        <v>0</v>
      </c>
      <c r="BP194" s="242">
        <v>0</v>
      </c>
      <c r="BQ194" s="242">
        <v>0</v>
      </c>
      <c r="BR194" s="2324">
        <v>0</v>
      </c>
      <c r="BS194" s="1958">
        <f>SUM(BR194,BQ194,BP194,BO194)</f>
        <v>0</v>
      </c>
      <c r="BT194" s="242"/>
      <c r="BU194" s="242"/>
      <c r="BV194" s="242"/>
      <c r="BW194" s="242"/>
      <c r="BX194" s="243">
        <f>+BS194</f>
        <v>0</v>
      </c>
      <c r="BY194" s="242"/>
      <c r="BZ194" s="242"/>
      <c r="CA194" s="242"/>
      <c r="CB194" s="242"/>
      <c r="CC194" s="243">
        <f>+BX194</f>
        <v>0</v>
      </c>
      <c r="CD194" s="244"/>
      <c r="CE194" s="245"/>
      <c r="CF194" s="246"/>
      <c r="CG194" s="246"/>
      <c r="CH194" s="246"/>
      <c r="CI194" s="247"/>
      <c r="CJ194" s="279"/>
      <c r="CK194" s="2077"/>
      <c r="CL194" s="279">
        <f>BM194</f>
        <v>-6.4</v>
      </c>
      <c r="CM194" s="279">
        <f>BH194</f>
        <v>-11.599999999999994</v>
      </c>
      <c r="CN194" s="242">
        <v>0</v>
      </c>
      <c r="CO194" s="2088">
        <f>IFERROR(($CL194/CM194)-1,"")</f>
        <v>-0.44827586206896519</v>
      </c>
      <c r="CP194" s="2088" t="str">
        <f>IFERROR(($CL194/CN194)-1,"")</f>
        <v/>
      </c>
      <c r="CQ194" s="251"/>
      <c r="CR194" s="251"/>
      <c r="CS194" s="248"/>
      <c r="CT194" s="248"/>
      <c r="CU194" s="248"/>
      <c r="CV194" s="248"/>
      <c r="CW194" s="248"/>
      <c r="CX194" s="248"/>
      <c r="CY194" s="249"/>
      <c r="CZ194"/>
      <c r="DA194"/>
      <c r="DB194"/>
      <c r="DC194"/>
      <c r="DD194"/>
      <c r="DE194"/>
      <c r="DF194" s="4"/>
      <c r="DG194" s="4"/>
      <c r="DH194" s="4"/>
      <c r="DI194" s="4"/>
      <c r="DJ194" s="4"/>
    </row>
    <row r="195" spans="1:114" s="177" customFormat="1" ht="12.75" customHeight="1">
      <c r="A195" s="57" t="s">
        <v>91</v>
      </c>
      <c r="B195" s="371"/>
      <c r="C195" s="51"/>
      <c r="D195" s="51"/>
      <c r="E195" s="51"/>
      <c r="F195" s="63"/>
      <c r="G195" s="51"/>
      <c r="H195" s="51"/>
      <c r="I195" s="51"/>
      <c r="J195" s="51"/>
      <c r="K195" s="63"/>
      <c r="L195" s="51"/>
      <c r="M195" s="51"/>
      <c r="N195" s="51"/>
      <c r="O195" s="51"/>
      <c r="P195" s="63"/>
      <c r="Q195" s="51"/>
      <c r="R195" s="51"/>
      <c r="S195" s="51"/>
      <c r="T195" s="51"/>
      <c r="U195" s="63"/>
      <c r="V195" s="51"/>
      <c r="W195" s="51"/>
      <c r="X195" s="51"/>
      <c r="Y195" s="51"/>
      <c r="Z195" s="63"/>
      <c r="AA195" s="51"/>
      <c r="AB195" s="51"/>
      <c r="AC195" s="51"/>
      <c r="AD195" s="51"/>
      <c r="AE195" s="63"/>
      <c r="AF195" s="51"/>
      <c r="AG195" s="51"/>
      <c r="AH195" s="255"/>
      <c r="AI195" s="255"/>
      <c r="AJ195" s="63"/>
      <c r="AK195" s="51"/>
      <c r="AL195" s="51"/>
      <c r="AM195" s="255"/>
      <c r="AN195" s="255"/>
      <c r="AO195" s="63"/>
      <c r="AP195" s="51"/>
      <c r="AQ195" s="51"/>
      <c r="AR195" s="255"/>
      <c r="AS195" s="255"/>
      <c r="AT195" s="63"/>
      <c r="AU195" s="51"/>
      <c r="AV195" s="51"/>
      <c r="AW195" s="255"/>
      <c r="AX195" s="255"/>
      <c r="AY195" s="371"/>
      <c r="AZ195" s="371"/>
      <c r="BA195" s="51"/>
      <c r="BB195" s="51"/>
      <c r="BC195" s="255"/>
      <c r="BD195" s="1960"/>
      <c r="BE195" s="371"/>
      <c r="BF195" s="51"/>
      <c r="BG195" s="51"/>
      <c r="BH195" s="255"/>
      <c r="BI195" s="1960"/>
      <c r="BJ195" s="371"/>
      <c r="BK195" s="51"/>
      <c r="BL195" s="51"/>
      <c r="BM195" s="255"/>
      <c r="BN195" s="1960"/>
      <c r="BO195" s="371"/>
      <c r="BP195" s="51"/>
      <c r="BQ195" s="51"/>
      <c r="BR195" s="2325"/>
      <c r="BS195" s="1960"/>
      <c r="BT195" s="51"/>
      <c r="BU195" s="51"/>
      <c r="BV195" s="51"/>
      <c r="BW195" s="51"/>
      <c r="BX195" s="63"/>
      <c r="BY195" s="51"/>
      <c r="BZ195" s="51"/>
      <c r="CA195" s="51"/>
      <c r="CB195" s="51"/>
      <c r="CC195" s="63"/>
      <c r="CE195" s="110"/>
      <c r="CF195" s="173"/>
      <c r="CG195" s="173"/>
      <c r="CH195" s="173"/>
      <c r="CI195" s="239"/>
      <c r="CK195" s="2070"/>
      <c r="CL195" s="51"/>
      <c r="CM195" s="51"/>
      <c r="CN195" s="51"/>
      <c r="CO195" s="51"/>
      <c r="CP195" s="51"/>
      <c r="CQ195" s="44"/>
      <c r="CR195" s="456"/>
      <c r="CS195" s="51"/>
      <c r="CT195" s="51"/>
      <c r="CU195" s="51"/>
      <c r="CV195" s="51"/>
      <c r="CW195" s="51"/>
      <c r="CX195" s="51"/>
      <c r="CY195" s="110"/>
      <c r="CZ195"/>
      <c r="DA195"/>
      <c r="DB195"/>
      <c r="DC195"/>
      <c r="DD195"/>
      <c r="DE195"/>
      <c r="DF195" s="103"/>
      <c r="DG195" s="103"/>
      <c r="DH195" s="103"/>
      <c r="DI195" s="103"/>
      <c r="DJ195" s="103"/>
    </row>
    <row r="196" spans="1:114" s="279" customFormat="1" ht="12.75" customHeight="1">
      <c r="A196" s="9" t="s">
        <v>9</v>
      </c>
      <c r="B196" s="554"/>
      <c r="C196" s="10"/>
      <c r="D196" s="10"/>
      <c r="E196" s="10"/>
      <c r="F196" s="62">
        <f>F173+F190+F194</f>
        <v>-45.662999999999997</v>
      </c>
      <c r="G196" s="10">
        <f>G173+G190-G194</f>
        <v>0.55700000000000005</v>
      </c>
      <c r="H196" s="10">
        <f>H173+H190-H194</f>
        <v>0.84800000000000131</v>
      </c>
      <c r="I196" s="10">
        <f>I173+I190-I194</f>
        <v>0.82499999999999751</v>
      </c>
      <c r="J196" s="10">
        <f>J173+J190-J194</f>
        <v>0.46599999999999503</v>
      </c>
      <c r="K196" s="62">
        <f>K173+K190+K194</f>
        <v>3.1079999999999921</v>
      </c>
      <c r="L196" s="10">
        <f>L173+L190-L194</f>
        <v>0.73899999999999899</v>
      </c>
      <c r="M196" s="10">
        <f>M173+M190-M194</f>
        <v>1.2109999999999985</v>
      </c>
      <c r="N196" s="10">
        <f>N173+N190-N194</f>
        <v>0.79800000000000049</v>
      </c>
      <c r="O196" s="10">
        <f>O173+O190-O194</f>
        <v>0.57799999999999907</v>
      </c>
      <c r="P196" s="62">
        <f>P173+P190+P194</f>
        <v>3.3079999999999972</v>
      </c>
      <c r="Q196" s="10">
        <f>Q173+Q190-Q194</f>
        <v>0.87700000000000089</v>
      </c>
      <c r="R196" s="10">
        <f>R173+R190-R194</f>
        <v>1.2500000000000007</v>
      </c>
      <c r="S196" s="10">
        <f>S173+S190-S194</f>
        <v>1.6899999999999962</v>
      </c>
      <c r="T196" s="10">
        <f>T173+T190-T194</f>
        <v>0.89400000000000057</v>
      </c>
      <c r="U196" s="62">
        <f>U173+U190+U194</f>
        <v>4.9209999999999878</v>
      </c>
      <c r="V196" s="10">
        <f>V173+V190-V194</f>
        <v>-3.900000000000102E-2</v>
      </c>
      <c r="W196" s="10">
        <f>W173+W190-W194</f>
        <v>0.58599999999999308</v>
      </c>
      <c r="X196" s="10">
        <f>X173+X190-X194</f>
        <v>1.4000000000000004</v>
      </c>
      <c r="Y196" s="10">
        <f>Y173+Y190-Y194</f>
        <v>1.0679999999999965</v>
      </c>
      <c r="Z196" s="62">
        <f>Z173+Z190+Z194</f>
        <v>3.1169999999999924</v>
      </c>
      <c r="AA196" s="10">
        <f>AA173+AA190-AA194</f>
        <v>1.4839999999999973</v>
      </c>
      <c r="AB196" s="10">
        <f>AB173+AB190-AB194</f>
        <v>2.5190000000000055</v>
      </c>
      <c r="AC196" s="10">
        <f>AC173+AC190-AC194</f>
        <v>2.8399999999999945</v>
      </c>
      <c r="AD196" s="10">
        <f>AD173+AD190-AD194</f>
        <v>1.2580000000000042</v>
      </c>
      <c r="AE196" s="62">
        <f>AE173+AE190+AE194</f>
        <v>8.3809999999999985</v>
      </c>
      <c r="AF196" s="10">
        <f t="shared" ref="AF196:BD196" si="759">AF173+AF190-AF194</f>
        <v>1.9220000000000002</v>
      </c>
      <c r="AG196" s="10">
        <f t="shared" si="759"/>
        <v>1.5629999999999937</v>
      </c>
      <c r="AH196" s="10">
        <f t="shared" si="759"/>
        <v>0.42100000000001309</v>
      </c>
      <c r="AI196" s="10">
        <f t="shared" si="759"/>
        <v>-2.4290000000000029</v>
      </c>
      <c r="AJ196" s="62">
        <f t="shared" si="759"/>
        <v>1.4770000000000463</v>
      </c>
      <c r="AK196" s="10">
        <f t="shared" si="759"/>
        <v>-4.2149999999999963</v>
      </c>
      <c r="AL196" s="10">
        <f t="shared" si="759"/>
        <v>-3.3959999999999972</v>
      </c>
      <c r="AM196" s="10">
        <f t="shared" si="759"/>
        <v>-9.6120000000000019</v>
      </c>
      <c r="AN196" s="10">
        <f t="shared" si="759"/>
        <v>-14.312000000000008</v>
      </c>
      <c r="AO196" s="62">
        <f t="shared" si="759"/>
        <v>-31.534999999999918</v>
      </c>
      <c r="AP196" s="10">
        <f t="shared" si="759"/>
        <v>-14.322000000000019</v>
      </c>
      <c r="AQ196" s="10">
        <f t="shared" si="759"/>
        <v>-17.28799999999999</v>
      </c>
      <c r="AR196" s="10">
        <f t="shared" si="759"/>
        <v>-18.968999999999959</v>
      </c>
      <c r="AS196" s="10">
        <f t="shared" si="759"/>
        <v>-14.293000000000001</v>
      </c>
      <c r="AT196" s="62">
        <f t="shared" si="759"/>
        <v>-64.8719999999999</v>
      </c>
      <c r="AU196" s="10">
        <f t="shared" si="759"/>
        <v>-13.834000000000035</v>
      </c>
      <c r="AV196" s="10">
        <f t="shared" si="759"/>
        <v>-14.769999999999948</v>
      </c>
      <c r="AW196" s="10">
        <f t="shared" si="759"/>
        <v>-11.153999999999895</v>
      </c>
      <c r="AX196" s="10">
        <f t="shared" si="759"/>
        <v>-9.2999999999998852</v>
      </c>
      <c r="AY196" s="554">
        <f t="shared" si="759"/>
        <v>-49.05800000000022</v>
      </c>
      <c r="AZ196" s="554">
        <f t="shared" si="759"/>
        <v>-20.700000000000003</v>
      </c>
      <c r="BA196" s="10">
        <f t="shared" si="759"/>
        <v>-1.7999999999999545</v>
      </c>
      <c r="BB196" s="10">
        <f t="shared" si="759"/>
        <v>3.5500000000000154</v>
      </c>
      <c r="BC196" s="10">
        <f t="shared" si="759"/>
        <v>-37.899999999999935</v>
      </c>
      <c r="BD196" s="1958">
        <f t="shared" si="759"/>
        <v>-56.849999999999767</v>
      </c>
      <c r="BE196" s="554">
        <f t="shared" ref="BE196" si="760">BE173+BE190-BE194</f>
        <v>-11.699999999999878</v>
      </c>
      <c r="BF196" s="10">
        <f>BF173+BF190-BF194</f>
        <v>98.600000000000492</v>
      </c>
      <c r="BG196" s="10">
        <f>BG173+BG190-BG194</f>
        <v>97.900000000000077</v>
      </c>
      <c r="BH196" s="10">
        <f>BH173+BH190-BH194</f>
        <v>52.699999999999775</v>
      </c>
      <c r="BI196" s="1958">
        <f t="shared" ref="BI196" si="761">BI173+BI190-BI194</f>
        <v>237.50000000000063</v>
      </c>
      <c r="BJ196" s="554">
        <f>BJ173+BJ190-BJ194</f>
        <v>57.000000000000227</v>
      </c>
      <c r="BK196" s="10">
        <f>BK173+BK190-BK194</f>
        <v>132.10000000000019</v>
      </c>
      <c r="BL196" s="10">
        <f>BL173+BL190-BL194</f>
        <v>129.79999999999976</v>
      </c>
      <c r="BM196" s="10">
        <f>BM173+BM190-BM194</f>
        <v>105.49999999999969</v>
      </c>
      <c r="BN196" s="1958">
        <f t="shared" ref="BN196" si="762">BN173+BN190-BN194</f>
        <v>424.39999999999958</v>
      </c>
      <c r="BO196" s="554">
        <f>BO173+BO190-BO194</f>
        <v>97.526188599812315</v>
      </c>
      <c r="BP196" s="10">
        <f>BP173+BP190-BP194</f>
        <v>202.21189388185786</v>
      </c>
      <c r="BQ196" s="10">
        <f>BQ173+BQ190-BQ194</f>
        <v>203.73214309584984</v>
      </c>
      <c r="BR196" s="2041">
        <f>BR173+BR190-BR194</f>
        <v>185.87794716578674</v>
      </c>
      <c r="BS196" s="1958">
        <f>BS173+BS190-BS194</f>
        <v>689.3481727433068</v>
      </c>
      <c r="BT196" s="10"/>
      <c r="BU196" s="10"/>
      <c r="BV196" s="10"/>
      <c r="BW196" s="10"/>
      <c r="BX196" s="62">
        <f>BX173+BX190-BX194</f>
        <v>846.04881305677043</v>
      </c>
      <c r="BY196" s="10"/>
      <c r="BZ196" s="10"/>
      <c r="CA196" s="10"/>
      <c r="CB196" s="10"/>
      <c r="CC196" s="62">
        <f>CC173+CC190-CC194</f>
        <v>989.20409744367487</v>
      </c>
      <c r="CE196" s="280"/>
      <c r="CF196" s="246"/>
      <c r="CG196" s="246"/>
      <c r="CH196" s="246"/>
      <c r="CI196" s="247"/>
      <c r="CK196" s="2077"/>
      <c r="CL196" s="10">
        <f t="shared" ref="CL196:CL207" si="763">BM196</f>
        <v>105.49999999999969</v>
      </c>
      <c r="CM196" s="10">
        <f t="shared" ref="CM196:CM207" si="764">BH196</f>
        <v>52.699999999999775</v>
      </c>
      <c r="CN196" s="10">
        <v>103.19382101201256</v>
      </c>
      <c r="CO196" s="2096">
        <f>IFERROR(($CL196/CM196)-1,"")</f>
        <v>1.0018975332068338</v>
      </c>
      <c r="CP196" s="2096">
        <f>IFERROR(($CL196/CN196)-1,"")</f>
        <v>2.2348033684290725E-2</v>
      </c>
      <c r="CQ196" s="248"/>
      <c r="CR196" s="248"/>
      <c r="CS196" s="17"/>
      <c r="CT196" s="17"/>
      <c r="CU196" s="17"/>
      <c r="CV196" s="17"/>
      <c r="CW196" s="17"/>
      <c r="CX196" s="17"/>
      <c r="CY196" s="280"/>
      <c r="CZ196"/>
      <c r="DA196"/>
      <c r="DB196"/>
      <c r="DC196"/>
      <c r="DD196"/>
      <c r="DE196"/>
      <c r="DF196" s="10"/>
      <c r="DG196" s="10"/>
      <c r="DH196" s="10"/>
      <c r="DI196" s="10"/>
      <c r="DJ196" s="10"/>
    </row>
    <row r="197" spans="1:114" s="1" customFormat="1" ht="12.75" customHeight="1">
      <c r="A197" s="27" t="s">
        <v>21</v>
      </c>
      <c r="B197" s="368"/>
      <c r="C197" s="18"/>
      <c r="D197" s="18"/>
      <c r="E197" s="18"/>
      <c r="F197" s="60">
        <f t="shared" ref="F197:AN197" si="765">F198/F196</f>
        <v>0</v>
      </c>
      <c r="G197" s="18">
        <f t="shared" si="765"/>
        <v>0</v>
      </c>
      <c r="H197" s="18">
        <f t="shared" si="765"/>
        <v>0</v>
      </c>
      <c r="I197" s="18">
        <f t="shared" si="765"/>
        <v>0</v>
      </c>
      <c r="J197" s="18">
        <f t="shared" si="765"/>
        <v>-2.4206008583691241</v>
      </c>
      <c r="K197" s="60">
        <f t="shared" si="765"/>
        <v>-0.36293436293436382</v>
      </c>
      <c r="L197" s="18">
        <f t="shared" si="765"/>
        <v>0.37618403247631987</v>
      </c>
      <c r="M197" s="18">
        <f t="shared" si="765"/>
        <v>0.37737407101568998</v>
      </c>
      <c r="N197" s="18">
        <f t="shared" si="765"/>
        <v>0.37468671679197968</v>
      </c>
      <c r="O197" s="18">
        <f t="shared" si="765"/>
        <v>0.36159169550173065</v>
      </c>
      <c r="P197" s="60">
        <f t="shared" si="765"/>
        <v>0.37575574365175368</v>
      </c>
      <c r="Q197" s="18">
        <f t="shared" si="765"/>
        <v>0.39566704675028463</v>
      </c>
      <c r="R197" s="18">
        <f t="shared" si="765"/>
        <v>0.40719999999999978</v>
      </c>
      <c r="S197" s="18">
        <f t="shared" si="765"/>
        <v>0.39763313609467549</v>
      </c>
      <c r="T197" s="18">
        <f t="shared" si="765"/>
        <v>0.42505592841163287</v>
      </c>
      <c r="U197" s="60">
        <f t="shared" si="765"/>
        <v>0.38772607193659919</v>
      </c>
      <c r="V197" s="18">
        <f t="shared" si="765"/>
        <v>0.35897435897434959</v>
      </c>
      <c r="W197" s="18">
        <f t="shared" si="765"/>
        <v>0.46587030716724104</v>
      </c>
      <c r="X197" s="18">
        <f t="shared" si="765"/>
        <v>0.42785714285714271</v>
      </c>
      <c r="Y197" s="18">
        <f t="shared" si="765"/>
        <v>0.41011235955056313</v>
      </c>
      <c r="Z197" s="60">
        <f t="shared" si="765"/>
        <v>0.41578440808469785</v>
      </c>
      <c r="AA197" s="18">
        <f t="shared" si="765"/>
        <v>0.43800539083558032</v>
      </c>
      <c r="AB197" s="18">
        <f t="shared" si="765"/>
        <v>0.40293767368003086</v>
      </c>
      <c r="AC197" s="18">
        <f t="shared" si="765"/>
        <v>0.39084507042253602</v>
      </c>
      <c r="AD197" s="18">
        <f t="shared" si="765"/>
        <v>0.34817170111287643</v>
      </c>
      <c r="AE197" s="60">
        <f t="shared" si="765"/>
        <v>0.38336713995943206</v>
      </c>
      <c r="AF197" s="18">
        <f t="shared" si="765"/>
        <v>0.41883454734651404</v>
      </c>
      <c r="AG197" s="18">
        <f t="shared" si="765"/>
        <v>0.41522712731925954</v>
      </c>
      <c r="AH197" s="18">
        <f t="shared" si="765"/>
        <v>0.54869358669832025</v>
      </c>
      <c r="AI197" s="18">
        <f t="shared" si="765"/>
        <v>0.3981062165500201</v>
      </c>
      <c r="AJ197" s="60">
        <f t="shared" si="765"/>
        <v>0.48612051455651833</v>
      </c>
      <c r="AK197" s="18">
        <f t="shared" si="765"/>
        <v>0.36085409252669071</v>
      </c>
      <c r="AL197" s="18">
        <f t="shared" si="765"/>
        <v>0.36101295641931708</v>
      </c>
      <c r="AM197" s="18">
        <f t="shared" si="765"/>
        <v>0.38077403245942565</v>
      </c>
      <c r="AN197" s="18">
        <f t="shared" si="765"/>
        <v>0.34893795416433743</v>
      </c>
      <c r="AO197" s="60">
        <f t="shared" ref="AO197:AV197" si="766">AO198/AO196</f>
        <v>0.36153480260028631</v>
      </c>
      <c r="AP197" s="18">
        <f t="shared" si="766"/>
        <v>-1.550062840385419E-2</v>
      </c>
      <c r="AQ197" s="18">
        <f t="shared" si="766"/>
        <v>-4.2804257288292479E-3</v>
      </c>
      <c r="AR197" s="18">
        <f t="shared" si="766"/>
        <v>0.33971216194844289</v>
      </c>
      <c r="AS197" s="18">
        <f t="shared" si="766"/>
        <v>0.25844819142237457</v>
      </c>
      <c r="AT197" s="60">
        <f t="shared" si="766"/>
        <v>0.15171414477740802</v>
      </c>
      <c r="AU197" s="18">
        <f t="shared" si="766"/>
        <v>-5.7900824056671865E-2</v>
      </c>
      <c r="AV197" s="18">
        <f t="shared" si="766"/>
        <v>1.6519972918077212E-2</v>
      </c>
      <c r="AW197" s="18">
        <f>AW198/AW196</f>
        <v>0.41088398780706858</v>
      </c>
      <c r="AX197" s="18">
        <f>AX198/AX196</f>
        <v>0.37634408602149777</v>
      </c>
      <c r="AY197" s="368">
        <f>AY198/AY196</f>
        <v>0.15341024909290743</v>
      </c>
      <c r="AZ197" s="368">
        <f>AZ198/AZ196</f>
        <v>0.55555555555555547</v>
      </c>
      <c r="BA197" s="18">
        <f t="shared" ref="BA197:BB197" si="767">BA198/BA196</f>
        <v>-4.944444444444569</v>
      </c>
      <c r="BB197" s="18">
        <f t="shared" si="767"/>
        <v>3.2394366197182958</v>
      </c>
      <c r="BC197" s="191">
        <f>BC198/BC196</f>
        <v>0.43535620052770507</v>
      </c>
      <c r="BD197" s="1936">
        <f>BD198/BD196</f>
        <v>0.13368513632365919</v>
      </c>
      <c r="BE197" s="368">
        <f>BE198/BE196</f>
        <v>0.56410256410256998</v>
      </c>
      <c r="BF197" s="18">
        <f t="shared" ref="BF197:BG197" si="768">BF198/BF196</f>
        <v>0.39756592292089221</v>
      </c>
      <c r="BG197" s="18">
        <f t="shared" si="768"/>
        <v>0.41777323799795674</v>
      </c>
      <c r="BH197" s="191">
        <f>BH198/BH196</f>
        <v>0.38519924098671893</v>
      </c>
      <c r="BI197" s="1936">
        <f>BI198/BI196</f>
        <v>0.39494736842105238</v>
      </c>
      <c r="BJ197" s="368">
        <f>BJ198/BJ196</f>
        <v>0.26315789473684104</v>
      </c>
      <c r="BK197" s="18">
        <f t="shared" ref="BK197:BL197" si="769">BK198/BK196</f>
        <v>0.38001514004541959</v>
      </c>
      <c r="BL197" s="18">
        <f t="shared" si="769"/>
        <v>0.33436055469953796</v>
      </c>
      <c r="BM197" s="191">
        <f>BM198/BM196</f>
        <v>0.39526066350711009</v>
      </c>
      <c r="BN197" s="1936">
        <f>BN198/BN196</f>
        <v>0.35414703110273349</v>
      </c>
      <c r="BO197" s="2414">
        <v>0.23499999999999999</v>
      </c>
      <c r="BP197" s="192">
        <f t="shared" ref="BP197" si="770">+BO197</f>
        <v>0.23499999999999999</v>
      </c>
      <c r="BQ197" s="192">
        <f t="shared" ref="BQ197:BR197" si="771">+BP197</f>
        <v>0.23499999999999999</v>
      </c>
      <c r="BR197" s="2415">
        <f t="shared" si="771"/>
        <v>0.23499999999999999</v>
      </c>
      <c r="BS197" s="2154">
        <f>BS198/BS196</f>
        <v>0.23499999999999996</v>
      </c>
      <c r="BT197" s="20"/>
      <c r="BU197" s="20"/>
      <c r="BV197" s="20"/>
      <c r="BW197" s="20"/>
      <c r="BX197" s="74">
        <f>+BS197</f>
        <v>0.23499999999999996</v>
      </c>
      <c r="BY197" s="20"/>
      <c r="BZ197" s="20"/>
      <c r="CA197" s="20"/>
      <c r="CB197" s="20"/>
      <c r="CC197" s="74">
        <f>+BX197</f>
        <v>0.23499999999999996</v>
      </c>
      <c r="CD197" s="192"/>
      <c r="CE197" s="112"/>
      <c r="CF197" s="2426"/>
      <c r="CG197" s="173"/>
      <c r="CH197" s="173"/>
      <c r="CI197" s="239"/>
      <c r="CJ197" s="177"/>
      <c r="CK197" s="2070"/>
      <c r="CL197" s="18">
        <f t="shared" si="763"/>
        <v>0.39526066350711009</v>
      </c>
      <c r="CM197" s="18">
        <f t="shared" si="764"/>
        <v>0.38519924098671893</v>
      </c>
      <c r="CN197" s="20">
        <v>0.38</v>
      </c>
      <c r="CO197" s="2107">
        <f>IFERROR(($CL197-CM197)*10000,"")</f>
        <v>100.61422520391162</v>
      </c>
      <c r="CP197" s="2107">
        <f>IFERROR(($CL197-CN197)*10000,"")</f>
        <v>152.60663507110084</v>
      </c>
      <c r="CQ197" s="495" t="s">
        <v>643</v>
      </c>
      <c r="CR197" s="248"/>
      <c r="CS197" s="40"/>
      <c r="CT197" s="40"/>
      <c r="CU197" s="40"/>
      <c r="CV197" s="40"/>
      <c r="CW197" s="40"/>
      <c r="CX197" s="40"/>
      <c r="CY197" s="139"/>
      <c r="CZ197"/>
      <c r="DA197"/>
      <c r="DB197"/>
      <c r="DC197"/>
      <c r="DD197"/>
      <c r="DE197"/>
      <c r="DF197" s="3"/>
      <c r="DG197" s="3"/>
      <c r="DH197" s="3"/>
      <c r="DI197" s="3"/>
      <c r="DJ197" s="3"/>
    </row>
    <row r="198" spans="1:114" s="250" customFormat="1" ht="12.75" customHeight="1">
      <c r="A198" s="281" t="s">
        <v>4</v>
      </c>
      <c r="B198" s="370"/>
      <c r="C198" s="4"/>
      <c r="D198" s="4"/>
      <c r="E198" s="4"/>
      <c r="F198" s="271">
        <v>0</v>
      </c>
      <c r="G198" s="4">
        <v>0</v>
      </c>
      <c r="H198" s="4">
        <v>0</v>
      </c>
      <c r="I198" s="4">
        <v>0</v>
      </c>
      <c r="J198" s="4">
        <v>-1.1279999999999999</v>
      </c>
      <c r="K198" s="271">
        <f>SUM(J198,I198,H198,G198)</f>
        <v>-1.1279999999999999</v>
      </c>
      <c r="L198" s="4">
        <v>0.27800000000000002</v>
      </c>
      <c r="M198" s="4">
        <v>0.45700000000000002</v>
      </c>
      <c r="N198" s="4">
        <v>0.29899999999999999</v>
      </c>
      <c r="O198" s="4">
        <v>0.20899999999999999</v>
      </c>
      <c r="P198" s="271">
        <f>SUM(O198,N198,M198,L198)</f>
        <v>1.2430000000000001</v>
      </c>
      <c r="Q198" s="4">
        <v>0.34699999999999998</v>
      </c>
      <c r="R198" s="4">
        <v>0.50900000000000001</v>
      </c>
      <c r="S198" s="4">
        <v>0.67200000000000004</v>
      </c>
      <c r="T198" s="4">
        <v>0.38</v>
      </c>
      <c r="U198" s="271">
        <f>SUM(T198,S198,R198,Q198)</f>
        <v>1.9079999999999999</v>
      </c>
      <c r="V198" s="4">
        <v>-1.4E-2</v>
      </c>
      <c r="W198" s="4">
        <v>0.27300000000000002</v>
      </c>
      <c r="X198" s="4">
        <v>0.59899999999999998</v>
      </c>
      <c r="Y198" s="4">
        <v>0.438</v>
      </c>
      <c r="Z198" s="271">
        <f>SUM(Y198,X198,W198,V198)</f>
        <v>1.296</v>
      </c>
      <c r="AA198" s="4">
        <v>0.65</v>
      </c>
      <c r="AB198" s="4">
        <v>1.0149999999999999</v>
      </c>
      <c r="AC198" s="4">
        <v>1.1100000000000001</v>
      </c>
      <c r="AD198" s="4">
        <v>0.438</v>
      </c>
      <c r="AE198" s="271">
        <f>SUM(AD198,AC198,AB198,AA198)</f>
        <v>3.2129999999999996</v>
      </c>
      <c r="AF198" s="4">
        <v>0.80500000000000005</v>
      </c>
      <c r="AG198" s="4">
        <v>0.64900000000000002</v>
      </c>
      <c r="AH198" s="4">
        <v>0.23100000000000001</v>
      </c>
      <c r="AI198" s="4">
        <v>-0.96699999999999997</v>
      </c>
      <c r="AJ198" s="271">
        <f>SUM(AI198,AH198,AG198,AF198)</f>
        <v>0.71800000000000008</v>
      </c>
      <c r="AK198" s="4">
        <v>-1.5209999999999999</v>
      </c>
      <c r="AL198" s="4">
        <v>-1.2259999999999998</v>
      </c>
      <c r="AM198" s="4">
        <v>-3.66</v>
      </c>
      <c r="AN198" s="4">
        <v>-4.9939999999999998</v>
      </c>
      <c r="AO198" s="271">
        <f>SUM(AN198,AM198,AL198,AK198)</f>
        <v>-11.401</v>
      </c>
      <c r="AP198" s="250">
        <v>0.222</v>
      </c>
      <c r="AQ198" s="250">
        <v>7.3999999999999996E-2</v>
      </c>
      <c r="AR198" s="4">
        <v>-6.4439999999999991</v>
      </c>
      <c r="AS198" s="4">
        <v>-3.694</v>
      </c>
      <c r="AT198" s="271">
        <f>SUM(AS198,AR198,AQ198,AP198)</f>
        <v>-9.8419999999999987</v>
      </c>
      <c r="AU198" s="250">
        <v>0.8010000000000006</v>
      </c>
      <c r="AV198" s="250">
        <v>-0.24399999999999955</v>
      </c>
      <c r="AW198" s="4">
        <v>-4.5830000000000002</v>
      </c>
      <c r="AX198" s="4">
        <v>-3.4999999999998863</v>
      </c>
      <c r="AY198" s="370">
        <f>SUM(AX198,AW198,AV198,AU198)</f>
        <v>-7.5259999999998861</v>
      </c>
      <c r="AZ198" s="441">
        <v>-11.5</v>
      </c>
      <c r="BA198" s="250">
        <v>8.8999999999999986</v>
      </c>
      <c r="BB198" s="250">
        <f>1.9+9.6</f>
        <v>11.5</v>
      </c>
      <c r="BC198" s="250">
        <f>+-69.6+26.6+12.5+2+12</f>
        <v>-16.499999999999993</v>
      </c>
      <c r="BD198" s="1956">
        <f>SUM(BC198,BB198,BA198,AZ198)</f>
        <v>-7.5999999999999943</v>
      </c>
      <c r="BE198" s="441">
        <v>-6.6</v>
      </c>
      <c r="BF198" s="250">
        <v>39.200000000000166</v>
      </c>
      <c r="BG198" s="250">
        <v>40.9</v>
      </c>
      <c r="BH198" s="250">
        <v>20.3</v>
      </c>
      <c r="BI198" s="1956">
        <f>SUM(BH198,BG198,BF198,BE198)</f>
        <v>93.800000000000182</v>
      </c>
      <c r="BJ198" s="441">
        <v>15</v>
      </c>
      <c r="BK198" s="250">
        <v>50.2</v>
      </c>
      <c r="BL198" s="250">
        <v>43.399999999999949</v>
      </c>
      <c r="BM198" s="250">
        <v>41.699999999999989</v>
      </c>
      <c r="BN198" s="1956">
        <f>SUM(BM198,BL198,BK198,BJ198)</f>
        <v>150.29999999999995</v>
      </c>
      <c r="BO198" s="370">
        <f t="shared" ref="BO198:BP198" si="772">BO197*BO196</f>
        <v>22.918654320955891</v>
      </c>
      <c r="BP198" s="4">
        <f t="shared" si="772"/>
        <v>47.519795062236597</v>
      </c>
      <c r="BQ198" s="4">
        <f t="shared" ref="BQ198:BR198" si="773">BQ197*BQ196</f>
        <v>47.87705362752471</v>
      </c>
      <c r="BR198" s="2194">
        <f t="shared" si="773"/>
        <v>43.681317583959881</v>
      </c>
      <c r="BS198" s="1956">
        <f>SUM(BR198,BQ198,BP198,BO198)</f>
        <v>161.99682059467708</v>
      </c>
      <c r="BT198" s="4"/>
      <c r="BU198" s="4"/>
      <c r="BV198" s="4"/>
      <c r="BW198" s="4"/>
      <c r="BX198" s="271">
        <f>BX197*BX196</f>
        <v>198.82147106834103</v>
      </c>
      <c r="BY198" s="4"/>
      <c r="BZ198" s="4"/>
      <c r="CA198" s="4"/>
      <c r="CB198" s="4"/>
      <c r="CC198" s="271">
        <f>CC197*CC196</f>
        <v>232.46296289926354</v>
      </c>
      <c r="CE198" s="249"/>
      <c r="CF198" s="246"/>
      <c r="CG198" s="246"/>
      <c r="CH198" s="246"/>
      <c r="CI198" s="247"/>
      <c r="CJ198" s="279"/>
      <c r="CK198" s="2077"/>
      <c r="CL198" s="250">
        <f t="shared" si="763"/>
        <v>41.699999999999989</v>
      </c>
      <c r="CM198" s="250">
        <f t="shared" si="764"/>
        <v>20.3</v>
      </c>
      <c r="CN198" s="4">
        <v>39.213651984564777</v>
      </c>
      <c r="CO198" s="2092">
        <f t="shared" ref="CO198:CP203" si="774">IFERROR(($CL198/CM198)-1,"")</f>
        <v>1.054187192118226</v>
      </c>
      <c r="CP198" s="2092">
        <f t="shared" si="774"/>
        <v>6.340516349800529E-2</v>
      </c>
      <c r="CQ198" s="40"/>
      <c r="CR198" s="251" t="s">
        <v>602</v>
      </c>
      <c r="CS198" s="248"/>
      <c r="CT198" s="248"/>
      <c r="CU198" s="248"/>
      <c r="CV198" s="248"/>
      <c r="CW198" s="248"/>
      <c r="CX198" s="248"/>
      <c r="CY198" s="249"/>
      <c r="CZ198"/>
      <c r="DA198"/>
      <c r="DB198"/>
      <c r="DC198"/>
      <c r="DD198"/>
      <c r="DE198"/>
      <c r="DF198" s="4"/>
      <c r="DG198" s="4"/>
      <c r="DH198" s="4"/>
      <c r="DI198" s="4"/>
      <c r="DJ198" s="4"/>
    </row>
    <row r="199" spans="1:114" s="279" customFormat="1" ht="12.75" customHeight="1">
      <c r="A199" s="9" t="s">
        <v>42</v>
      </c>
      <c r="B199" s="554"/>
      <c r="C199" s="10"/>
      <c r="D199" s="10"/>
      <c r="E199" s="10"/>
      <c r="F199" s="62">
        <f>F196-F198</f>
        <v>-45.662999999999997</v>
      </c>
      <c r="G199" s="10">
        <f t="shared" ref="G199:AD199" si="775">G196-G198</f>
        <v>0.55700000000000005</v>
      </c>
      <c r="H199" s="10">
        <f t="shared" si="775"/>
        <v>0.84800000000000131</v>
      </c>
      <c r="I199" s="10">
        <f t="shared" si="775"/>
        <v>0.82499999999999751</v>
      </c>
      <c r="J199" s="10">
        <f t="shared" si="775"/>
        <v>1.593999999999995</v>
      </c>
      <c r="K199" s="62">
        <f>K196-K198</f>
        <v>4.2359999999999918</v>
      </c>
      <c r="L199" s="10">
        <f t="shared" si="775"/>
        <v>0.46099999999999897</v>
      </c>
      <c r="M199" s="10">
        <f t="shared" si="775"/>
        <v>0.75399999999999845</v>
      </c>
      <c r="N199" s="10">
        <f t="shared" si="775"/>
        <v>0.4990000000000005</v>
      </c>
      <c r="O199" s="10">
        <f t="shared" si="775"/>
        <v>0.36899999999999911</v>
      </c>
      <c r="P199" s="62">
        <f>P196-P198</f>
        <v>2.0649999999999968</v>
      </c>
      <c r="Q199" s="10">
        <f t="shared" si="775"/>
        <v>0.53000000000000091</v>
      </c>
      <c r="R199" s="10">
        <f t="shared" si="775"/>
        <v>0.74100000000000066</v>
      </c>
      <c r="S199" s="10">
        <f t="shared" si="775"/>
        <v>1.0179999999999962</v>
      </c>
      <c r="T199" s="10">
        <f t="shared" si="775"/>
        <v>0.51400000000000057</v>
      </c>
      <c r="U199" s="62">
        <f>U196-U198</f>
        <v>3.0129999999999879</v>
      </c>
      <c r="V199" s="10">
        <f t="shared" si="775"/>
        <v>-2.5000000000001021E-2</v>
      </c>
      <c r="W199" s="10">
        <f t="shared" si="775"/>
        <v>0.31299999999999306</v>
      </c>
      <c r="X199" s="10">
        <f t="shared" si="775"/>
        <v>0.80100000000000038</v>
      </c>
      <c r="Y199" s="10">
        <f t="shared" si="775"/>
        <v>0.62999999999999656</v>
      </c>
      <c r="Z199" s="62">
        <f>Z196-Z198</f>
        <v>1.8209999999999924</v>
      </c>
      <c r="AA199" s="10">
        <f t="shared" si="775"/>
        <v>0.8339999999999973</v>
      </c>
      <c r="AB199" s="10">
        <f t="shared" si="775"/>
        <v>1.5040000000000056</v>
      </c>
      <c r="AC199" s="10">
        <f t="shared" si="775"/>
        <v>1.7299999999999944</v>
      </c>
      <c r="AD199" s="10">
        <f t="shared" si="775"/>
        <v>0.82000000000000428</v>
      </c>
      <c r="AE199" s="62">
        <f>AE196-AE198</f>
        <v>5.1679999999999993</v>
      </c>
      <c r="AF199" s="10">
        <f t="shared" ref="AF199:AS199" si="776">AF196-AF198</f>
        <v>1.117</v>
      </c>
      <c r="AG199" s="10">
        <f t="shared" si="776"/>
        <v>0.91399999999999371</v>
      </c>
      <c r="AH199" s="10">
        <f t="shared" si="776"/>
        <v>0.19000000000001308</v>
      </c>
      <c r="AI199" s="10">
        <f t="shared" si="776"/>
        <v>-1.4620000000000029</v>
      </c>
      <c r="AJ199" s="62">
        <f t="shared" si="776"/>
        <v>0.75900000000004619</v>
      </c>
      <c r="AK199" s="10">
        <f t="shared" si="776"/>
        <v>-2.6939999999999964</v>
      </c>
      <c r="AL199" s="10">
        <f t="shared" si="776"/>
        <v>-2.1699999999999973</v>
      </c>
      <c r="AM199" s="10">
        <f t="shared" si="776"/>
        <v>-5.9520000000000017</v>
      </c>
      <c r="AN199" s="10">
        <f t="shared" si="776"/>
        <v>-9.3180000000000085</v>
      </c>
      <c r="AO199" s="62">
        <f t="shared" si="776"/>
        <v>-20.133999999999919</v>
      </c>
      <c r="AP199" s="279">
        <f>AP196-AP198</f>
        <v>-14.544000000000018</v>
      </c>
      <c r="AQ199" s="279">
        <f t="shared" si="776"/>
        <v>-17.361999999999991</v>
      </c>
      <c r="AR199" s="10">
        <f t="shared" si="776"/>
        <v>-12.524999999999959</v>
      </c>
      <c r="AS199" s="10">
        <f t="shared" si="776"/>
        <v>-10.599</v>
      </c>
      <c r="AT199" s="62">
        <f t="shared" ref="AT199:AY199" si="777">AT196-AT198</f>
        <v>-55.029999999999902</v>
      </c>
      <c r="AU199" s="279">
        <f t="shared" si="777"/>
        <v>-14.635000000000035</v>
      </c>
      <c r="AV199" s="279">
        <f t="shared" si="777"/>
        <v>-14.525999999999948</v>
      </c>
      <c r="AW199" s="10">
        <f t="shared" si="777"/>
        <v>-6.5709999999998949</v>
      </c>
      <c r="AX199" s="10">
        <f t="shared" si="777"/>
        <v>-5.7999999999999989</v>
      </c>
      <c r="AY199" s="554">
        <f t="shared" si="777"/>
        <v>-41.532000000000338</v>
      </c>
      <c r="AZ199" s="612">
        <f>AZ196-AZ198</f>
        <v>-9.2000000000000028</v>
      </c>
      <c r="BA199" s="279">
        <f t="shared" ref="BA199:BD199" si="778">BA196-BA198</f>
        <v>-10.699999999999953</v>
      </c>
      <c r="BB199" s="279">
        <f t="shared" si="778"/>
        <v>-7.9499999999999851</v>
      </c>
      <c r="BC199" s="279">
        <f t="shared" si="778"/>
        <v>-21.399999999999942</v>
      </c>
      <c r="BD199" s="1958">
        <f t="shared" si="778"/>
        <v>-49.249999999999773</v>
      </c>
      <c r="BE199" s="612">
        <f>BE196-BE198</f>
        <v>-5.0999999999998789</v>
      </c>
      <c r="BF199" s="279">
        <f t="shared" ref="BF199:BI199" si="779">BF196-BF198</f>
        <v>59.400000000000325</v>
      </c>
      <c r="BG199" s="279">
        <f t="shared" si="779"/>
        <v>57.000000000000078</v>
      </c>
      <c r="BH199" s="279">
        <f t="shared" si="779"/>
        <v>32.399999999999778</v>
      </c>
      <c r="BI199" s="1958">
        <f t="shared" si="779"/>
        <v>143.70000000000044</v>
      </c>
      <c r="BJ199" s="612">
        <f>BJ196-BJ198</f>
        <v>42.000000000000227</v>
      </c>
      <c r="BK199" s="279">
        <f t="shared" ref="BK199:BN199" si="780">BK196-BK198</f>
        <v>81.90000000000019</v>
      </c>
      <c r="BL199" s="279">
        <f t="shared" si="780"/>
        <v>86.399999999999807</v>
      </c>
      <c r="BM199" s="279">
        <f t="shared" si="780"/>
        <v>63.799999999999699</v>
      </c>
      <c r="BN199" s="1958">
        <f t="shared" si="780"/>
        <v>274.09999999999962</v>
      </c>
      <c r="BO199" s="554">
        <f>BO196-BO198</f>
        <v>74.60753427885642</v>
      </c>
      <c r="BP199" s="10">
        <f t="shared" ref="BP199:BS199" si="781">BP196-BP198</f>
        <v>154.69209881962126</v>
      </c>
      <c r="BQ199" s="10">
        <f>BQ196-BQ198</f>
        <v>155.85508946832513</v>
      </c>
      <c r="BR199" s="2041">
        <f t="shared" si="781"/>
        <v>142.19662958182687</v>
      </c>
      <c r="BS199" s="1958">
        <f t="shared" si="781"/>
        <v>527.35135214862976</v>
      </c>
      <c r="BT199" s="10"/>
      <c r="BU199" s="10"/>
      <c r="BV199" s="10"/>
      <c r="BW199" s="10"/>
      <c r="BX199" s="62">
        <f>BX196-BX198</f>
        <v>647.22734198842943</v>
      </c>
      <c r="BY199" s="10"/>
      <c r="BZ199" s="10"/>
      <c r="CA199" s="10"/>
      <c r="CB199" s="10"/>
      <c r="CC199" s="62">
        <f>CC196-CC198</f>
        <v>756.74113454441135</v>
      </c>
      <c r="CE199" s="280"/>
      <c r="CF199" s="246"/>
      <c r="CG199" s="246"/>
      <c r="CH199" s="246"/>
      <c r="CI199" s="247"/>
      <c r="CK199" s="2077"/>
      <c r="CL199" s="279">
        <f t="shared" si="763"/>
        <v>63.799999999999699</v>
      </c>
      <c r="CM199" s="279">
        <f t="shared" si="764"/>
        <v>32.399999999999778</v>
      </c>
      <c r="CN199" s="10">
        <v>63.980169027447786</v>
      </c>
      <c r="CO199" s="2088">
        <f t="shared" si="774"/>
        <v>0.96913580246913988</v>
      </c>
      <c r="CP199" s="2088">
        <f t="shared" si="774"/>
        <v>-2.816013620889235E-3</v>
      </c>
      <c r="CQ199" s="495"/>
      <c r="CR199" s="40" t="s">
        <v>567</v>
      </c>
      <c r="CS199" s="17"/>
      <c r="CT199" s="17"/>
      <c r="CU199" s="17"/>
      <c r="CV199" s="17"/>
      <c r="CW199" s="17"/>
      <c r="CX199" s="17"/>
      <c r="CY199" s="280"/>
      <c r="CZ199"/>
      <c r="DA199"/>
      <c r="DB199"/>
      <c r="DC199"/>
      <c r="DD199"/>
      <c r="DE199"/>
      <c r="DF199" s="10"/>
      <c r="DG199" s="10"/>
      <c r="DH199" s="10"/>
      <c r="DI199" s="10"/>
      <c r="DJ199" s="10"/>
    </row>
    <row r="200" spans="1:114" s="250" customFormat="1" ht="12.75" customHeight="1">
      <c r="A200" s="281" t="s">
        <v>126</v>
      </c>
      <c r="B200" s="370"/>
      <c r="C200" s="4"/>
      <c r="D200" s="4"/>
      <c r="E200" s="4"/>
      <c r="F200" s="271">
        <v>0</v>
      </c>
      <c r="G200" s="4">
        <v>0</v>
      </c>
      <c r="H200" s="4">
        <v>0</v>
      </c>
      <c r="I200" s="4">
        <v>0</v>
      </c>
      <c r="J200" s="4">
        <v>0</v>
      </c>
      <c r="K200" s="271">
        <f>SUM(J200,I200,H200,G200)</f>
        <v>0</v>
      </c>
      <c r="L200" s="4">
        <v>0</v>
      </c>
      <c r="M200" s="4">
        <v>0</v>
      </c>
      <c r="N200" s="4">
        <v>0</v>
      </c>
      <c r="O200" s="4">
        <v>0</v>
      </c>
      <c r="P200" s="271">
        <f>SUM(O200,N200,M200,L200)</f>
        <v>0</v>
      </c>
      <c r="Q200" s="4">
        <v>0</v>
      </c>
      <c r="R200" s="4">
        <v>0</v>
      </c>
      <c r="S200" s="4">
        <v>0</v>
      </c>
      <c r="T200" s="4">
        <v>0</v>
      </c>
      <c r="U200" s="271">
        <f>SUM(T200,S200,R200,Q200)</f>
        <v>0</v>
      </c>
      <c r="V200" s="4">
        <v>0</v>
      </c>
      <c r="W200" s="4">
        <v>0</v>
      </c>
      <c r="X200" s="4">
        <v>0</v>
      </c>
      <c r="Y200" s="4">
        <v>0</v>
      </c>
      <c r="Z200" s="271">
        <f>SUM(Y200,X200,W200,V200)</f>
        <v>0</v>
      </c>
      <c r="AA200" s="4">
        <v>0</v>
      </c>
      <c r="AB200" s="4">
        <v>0</v>
      </c>
      <c r="AC200" s="4">
        <v>0</v>
      </c>
      <c r="AD200" s="4">
        <v>0</v>
      </c>
      <c r="AE200" s="271">
        <f>SUM(AD200,AC200,AB200,AA200)</f>
        <v>0</v>
      </c>
      <c r="AF200" s="4">
        <v>0</v>
      </c>
      <c r="AG200" s="4">
        <v>0</v>
      </c>
      <c r="AH200" s="4">
        <v>-44.585999999999999</v>
      </c>
      <c r="AI200" s="4">
        <v>-0.75</v>
      </c>
      <c r="AJ200" s="271">
        <f>SUM(AI200,AH200,AG200,AF200)</f>
        <v>-45.335999999999999</v>
      </c>
      <c r="AK200" s="4">
        <v>-0.75</v>
      </c>
      <c r="AL200" s="4">
        <v>-0.75</v>
      </c>
      <c r="AM200" s="4">
        <v>-0.75</v>
      </c>
      <c r="AN200" s="4">
        <v>-0.74299999999999999</v>
      </c>
      <c r="AO200" s="271">
        <f>SUM(AN200,AM200,AL200,AK200)</f>
        <v>-2.9929999999999999</v>
      </c>
      <c r="AP200" s="250">
        <v>-0.74299999999999999</v>
      </c>
      <c r="AQ200" s="250">
        <v>-0.74299999999999999</v>
      </c>
      <c r="AR200" s="4">
        <v>-0.74299999999999999</v>
      </c>
      <c r="AS200" s="4">
        <v>-0.74299999999999999</v>
      </c>
      <c r="AT200" s="271">
        <f>SUM(AS200,AR200,AQ200,AP200)</f>
        <v>-2.972</v>
      </c>
      <c r="AU200" s="250">
        <v>-0.74199999999999999</v>
      </c>
      <c r="AV200" s="250">
        <v>-0.73299999999999998</v>
      </c>
      <c r="AW200" s="4">
        <v>-0.73299999999999998</v>
      </c>
      <c r="AX200" s="4">
        <v>-0.7</v>
      </c>
      <c r="AY200" s="370">
        <f>SUM(AX200,AW200,AV200,AU200)</f>
        <v>-2.9079999999999999</v>
      </c>
      <c r="AZ200" s="441">
        <v>-0.7</v>
      </c>
      <c r="BA200" s="250">
        <v>-0.7</v>
      </c>
      <c r="BB200" s="250">
        <v>-0.7</v>
      </c>
      <c r="BC200" s="250">
        <v>-0.7</v>
      </c>
      <c r="BD200" s="1956">
        <f>SUM(BC200,BB200,BA200,AZ200)</f>
        <v>-2.8</v>
      </c>
      <c r="BE200" s="441">
        <v>-0.7</v>
      </c>
      <c r="BF200" s="250">
        <v>-4</v>
      </c>
      <c r="BG200" s="250">
        <v>-0.7</v>
      </c>
      <c r="BH200" s="250">
        <v>-0.7</v>
      </c>
      <c r="BI200" s="1956">
        <f>SUM(BH200,BG200,BF200,BE200)</f>
        <v>-6.1000000000000005</v>
      </c>
      <c r="BJ200" s="441">
        <f>+BH200</f>
        <v>-0.7</v>
      </c>
      <c r="BK200" s="250">
        <v>-0.7</v>
      </c>
      <c r="BL200" s="250">
        <v>-0.7</v>
      </c>
      <c r="BM200" s="250">
        <v>-0.7</v>
      </c>
      <c r="BN200" s="1956">
        <f>SUM(BM200,BL200,BK200,BJ200)</f>
        <v>-2.8</v>
      </c>
      <c r="BO200" s="2355">
        <f>+BM200</f>
        <v>-0.7</v>
      </c>
      <c r="BP200" s="284">
        <f t="shared" ref="BP200" si="782">+BO200</f>
        <v>-0.7</v>
      </c>
      <c r="BQ200" s="284">
        <f t="shared" ref="BQ200:BR200" si="783">+BP200</f>
        <v>-0.7</v>
      </c>
      <c r="BR200" s="2368">
        <f t="shared" si="783"/>
        <v>-0.7</v>
      </c>
      <c r="BS200" s="1956">
        <f>SUM(BR200,BQ200,BP200,BO200)</f>
        <v>-2.8</v>
      </c>
      <c r="BT200" s="282"/>
      <c r="BU200" s="282"/>
      <c r="BV200" s="282"/>
      <c r="BW200" s="282"/>
      <c r="BX200" s="283">
        <f>+BS200</f>
        <v>-2.8</v>
      </c>
      <c r="BY200" s="282"/>
      <c r="BZ200" s="282"/>
      <c r="CA200" s="282"/>
      <c r="CB200" s="282"/>
      <c r="CC200" s="283">
        <f>+BX200</f>
        <v>-2.8</v>
      </c>
      <c r="CD200" s="284"/>
      <c r="CE200" s="285"/>
      <c r="CF200" s="246"/>
      <c r="CG200" s="246"/>
      <c r="CH200" s="246"/>
      <c r="CI200" s="247"/>
      <c r="CJ200" s="279"/>
      <c r="CK200" s="2077"/>
      <c r="CL200" s="250">
        <f t="shared" si="763"/>
        <v>-0.7</v>
      </c>
      <c r="CM200" s="250">
        <f t="shared" si="764"/>
        <v>-0.7</v>
      </c>
      <c r="CN200" s="282">
        <v>-0.7</v>
      </c>
      <c r="CO200" s="2092">
        <f t="shared" si="774"/>
        <v>0</v>
      </c>
      <c r="CP200" s="2092">
        <f t="shared" si="774"/>
        <v>0</v>
      </c>
      <c r="CQ200" s="251" t="s">
        <v>576</v>
      </c>
      <c r="CR200" s="248"/>
      <c r="CS200" s="248"/>
      <c r="CT200" s="248"/>
      <c r="CU200" s="248"/>
      <c r="CV200" s="248"/>
      <c r="CW200" s="248"/>
      <c r="CX200" s="248"/>
      <c r="CY200" s="249"/>
      <c r="CZ200"/>
      <c r="DA200"/>
      <c r="DB200"/>
      <c r="DC200"/>
      <c r="DD200"/>
      <c r="DE200"/>
      <c r="DF200" s="4"/>
      <c r="DG200" s="4"/>
      <c r="DH200" s="4"/>
      <c r="DI200" s="4"/>
      <c r="DJ200" s="4"/>
    </row>
    <row r="201" spans="1:114" s="250" customFormat="1" ht="12.75" customHeight="1">
      <c r="A201" s="281" t="s">
        <v>227</v>
      </c>
      <c r="B201" s="370"/>
      <c r="C201" s="4"/>
      <c r="D201" s="4"/>
      <c r="E201" s="4"/>
      <c r="F201" s="271"/>
      <c r="G201" s="4"/>
      <c r="H201" s="4"/>
      <c r="I201" s="4"/>
      <c r="J201" s="4"/>
      <c r="K201" s="271"/>
      <c r="L201" s="4"/>
      <c r="M201" s="4"/>
      <c r="N201" s="4"/>
      <c r="O201" s="4"/>
      <c r="P201" s="271"/>
      <c r="Q201" s="4"/>
      <c r="R201" s="4"/>
      <c r="S201" s="4"/>
      <c r="T201" s="4"/>
      <c r="U201" s="271"/>
      <c r="V201" s="4"/>
      <c r="W201" s="4"/>
      <c r="X201" s="4"/>
      <c r="Y201" s="4"/>
      <c r="Z201" s="271"/>
      <c r="AA201" s="4"/>
      <c r="AB201" s="4"/>
      <c r="AC201" s="4"/>
      <c r="AD201" s="4"/>
      <c r="AE201" s="271"/>
      <c r="AF201" s="4"/>
      <c r="AG201" s="4"/>
      <c r="AH201" s="4"/>
      <c r="AI201" s="4"/>
      <c r="AJ201" s="271"/>
      <c r="AK201" s="4"/>
      <c r="AL201" s="4"/>
      <c r="AM201" s="4"/>
      <c r="AN201" s="4"/>
      <c r="AO201" s="271"/>
      <c r="AR201" s="4"/>
      <c r="AS201" s="4"/>
      <c r="AT201" s="271"/>
      <c r="AW201" s="4"/>
      <c r="AX201" s="4"/>
      <c r="AY201" s="370"/>
      <c r="AZ201" s="441"/>
      <c r="BA201" s="250">
        <v>2.1999999999999993</v>
      </c>
      <c r="BB201" s="250">
        <f>5+1.55</f>
        <v>6.55</v>
      </c>
      <c r="BC201" s="250">
        <f>+-1+1.5</f>
        <v>0.5</v>
      </c>
      <c r="BD201" s="1956">
        <f>+SUM(AZ201:BC201)</f>
        <v>9.25</v>
      </c>
      <c r="BE201" s="441">
        <f>3.2+0.3</f>
        <v>3.5</v>
      </c>
      <c r="BF201" s="250">
        <f>3.8+1.2</f>
        <v>5</v>
      </c>
      <c r="BG201" s="250">
        <f>6.2+0.3</f>
        <v>6.5</v>
      </c>
      <c r="BH201" s="250">
        <f>2.3-0.4</f>
        <v>1.9</v>
      </c>
      <c r="BI201" s="1956">
        <f>+SUM(BE201:BH201)</f>
        <v>16.899999999999999</v>
      </c>
      <c r="BJ201" s="441">
        <v>4.0999999999999996</v>
      </c>
      <c r="BK201" s="250">
        <f>5.3+0.9</f>
        <v>6.2</v>
      </c>
      <c r="BL201" s="250">
        <f>8.5+0.5</f>
        <v>9</v>
      </c>
      <c r="BM201" s="250">
        <f>2.6+1.3</f>
        <v>3.9000000000000004</v>
      </c>
      <c r="BN201" s="1956">
        <f>+SUM(BJ201:BM201)</f>
        <v>23.200000000000003</v>
      </c>
      <c r="BO201" s="2355">
        <v>5.8</v>
      </c>
      <c r="BP201" s="284">
        <f>+BO201</f>
        <v>5.8</v>
      </c>
      <c r="BQ201" s="284">
        <f>+BP201</f>
        <v>5.8</v>
      </c>
      <c r="BR201" s="284">
        <f>+BQ201</f>
        <v>5.8</v>
      </c>
      <c r="BS201" s="1956">
        <f>+SUM(BO201:BR201)</f>
        <v>23.2</v>
      </c>
      <c r="BT201" s="282"/>
      <c r="BU201" s="282"/>
      <c r="BV201" s="282"/>
      <c r="BW201" s="282"/>
      <c r="BX201" s="283">
        <f>+BS201*1.1</f>
        <v>25.52</v>
      </c>
      <c r="BY201" s="282"/>
      <c r="BZ201" s="282"/>
      <c r="CA201" s="282"/>
      <c r="CB201" s="282"/>
      <c r="CC201" s="283">
        <f>+BX201*1.08</f>
        <v>27.561600000000002</v>
      </c>
      <c r="CD201" s="284"/>
      <c r="CE201" s="285"/>
      <c r="CF201" s="246"/>
      <c r="CG201" s="246"/>
      <c r="CH201" s="246"/>
      <c r="CI201" s="247"/>
      <c r="CJ201" s="279"/>
      <c r="CK201" s="2077"/>
      <c r="CL201" s="250">
        <f t="shared" si="763"/>
        <v>3.9000000000000004</v>
      </c>
      <c r="CM201" s="250">
        <f t="shared" si="764"/>
        <v>1.9</v>
      </c>
      <c r="CN201" s="284">
        <v>9</v>
      </c>
      <c r="CO201" s="2092">
        <f t="shared" si="774"/>
        <v>1.0526315789473686</v>
      </c>
      <c r="CP201" s="2092">
        <f t="shared" si="774"/>
        <v>-0.56666666666666665</v>
      </c>
      <c r="CQ201" s="251" t="s">
        <v>251</v>
      </c>
      <c r="CR201" s="248"/>
      <c r="CS201" s="248"/>
      <c r="CT201" s="248"/>
      <c r="CU201" s="248"/>
      <c r="CV201" s="248"/>
      <c r="CW201" s="248"/>
      <c r="CX201" s="248"/>
      <c r="CY201" s="249"/>
      <c r="CZ201"/>
      <c r="DA201"/>
      <c r="DB201"/>
      <c r="DC201"/>
      <c r="DD201"/>
      <c r="DE201"/>
      <c r="DF201" s="4"/>
      <c r="DG201" s="4"/>
      <c r="DH201" s="4"/>
      <c r="DI201" s="4"/>
      <c r="DJ201" s="4"/>
    </row>
    <row r="202" spans="1:114" s="279" customFormat="1" ht="12.75" customHeight="1">
      <c r="A202" s="9" t="s">
        <v>116</v>
      </c>
      <c r="B202" s="554"/>
      <c r="C202" s="10"/>
      <c r="D202" s="10"/>
      <c r="E202" s="10"/>
      <c r="F202" s="62">
        <f t="shared" ref="F202:AI202" si="784">F199+F200</f>
        <v>-45.662999999999997</v>
      </c>
      <c r="G202" s="10">
        <f t="shared" si="784"/>
        <v>0.55700000000000005</v>
      </c>
      <c r="H202" s="10">
        <f t="shared" si="784"/>
        <v>0.84800000000000131</v>
      </c>
      <c r="I202" s="10">
        <f t="shared" si="784"/>
        <v>0.82499999999999751</v>
      </c>
      <c r="J202" s="10">
        <f t="shared" si="784"/>
        <v>1.593999999999995</v>
      </c>
      <c r="K202" s="62">
        <f t="shared" si="784"/>
        <v>4.2359999999999918</v>
      </c>
      <c r="L202" s="10">
        <f t="shared" si="784"/>
        <v>0.46099999999999897</v>
      </c>
      <c r="M202" s="10">
        <f t="shared" si="784"/>
        <v>0.75399999999999845</v>
      </c>
      <c r="N202" s="10">
        <f t="shared" si="784"/>
        <v>0.4990000000000005</v>
      </c>
      <c r="O202" s="10">
        <f t="shared" si="784"/>
        <v>0.36899999999999911</v>
      </c>
      <c r="P202" s="62">
        <f t="shared" si="784"/>
        <v>2.0649999999999968</v>
      </c>
      <c r="Q202" s="10">
        <f t="shared" si="784"/>
        <v>0.53000000000000091</v>
      </c>
      <c r="R202" s="10">
        <f t="shared" si="784"/>
        <v>0.74100000000000066</v>
      </c>
      <c r="S202" s="10">
        <f t="shared" si="784"/>
        <v>1.0179999999999962</v>
      </c>
      <c r="T202" s="10">
        <f t="shared" si="784"/>
        <v>0.51400000000000057</v>
      </c>
      <c r="U202" s="62">
        <f t="shared" si="784"/>
        <v>3.0129999999999879</v>
      </c>
      <c r="V202" s="10">
        <f t="shared" si="784"/>
        <v>-2.5000000000001021E-2</v>
      </c>
      <c r="W202" s="10">
        <f t="shared" si="784"/>
        <v>0.31299999999999306</v>
      </c>
      <c r="X202" s="10">
        <f t="shared" si="784"/>
        <v>0.80100000000000038</v>
      </c>
      <c r="Y202" s="10">
        <f t="shared" si="784"/>
        <v>0.62999999999999656</v>
      </c>
      <c r="Z202" s="62">
        <f t="shared" si="784"/>
        <v>1.8209999999999924</v>
      </c>
      <c r="AA202" s="10">
        <f t="shared" si="784"/>
        <v>0.8339999999999973</v>
      </c>
      <c r="AB202" s="10">
        <f t="shared" si="784"/>
        <v>1.5040000000000056</v>
      </c>
      <c r="AC202" s="10">
        <f t="shared" si="784"/>
        <v>1.7299999999999944</v>
      </c>
      <c r="AD202" s="10">
        <f t="shared" si="784"/>
        <v>0.82000000000000428</v>
      </c>
      <c r="AE202" s="62">
        <f t="shared" si="784"/>
        <v>5.1679999999999993</v>
      </c>
      <c r="AF202" s="10">
        <f t="shared" si="784"/>
        <v>1.117</v>
      </c>
      <c r="AG202" s="10">
        <f t="shared" si="784"/>
        <v>0.91399999999999371</v>
      </c>
      <c r="AH202" s="10">
        <f t="shared" si="784"/>
        <v>-44.395999999999987</v>
      </c>
      <c r="AI202" s="10">
        <f t="shared" si="784"/>
        <v>-2.2120000000000029</v>
      </c>
      <c r="AJ202" s="62">
        <f t="shared" ref="AJ202:AS202" si="785">AJ199+AJ200</f>
        <v>-44.576999999999956</v>
      </c>
      <c r="AK202" s="10">
        <f t="shared" si="785"/>
        <v>-3.4439999999999964</v>
      </c>
      <c r="AL202" s="10">
        <f t="shared" si="785"/>
        <v>-2.9199999999999973</v>
      </c>
      <c r="AM202" s="10">
        <f t="shared" si="785"/>
        <v>-6.7020000000000017</v>
      </c>
      <c r="AN202" s="10">
        <f t="shared" si="785"/>
        <v>-10.061000000000009</v>
      </c>
      <c r="AO202" s="62">
        <f t="shared" si="785"/>
        <v>-23.126999999999917</v>
      </c>
      <c r="AP202" s="279">
        <f>AP199+AP200</f>
        <v>-15.287000000000019</v>
      </c>
      <c r="AQ202" s="279">
        <f t="shared" si="785"/>
        <v>-18.10499999999999</v>
      </c>
      <c r="AR202" s="10">
        <f t="shared" si="785"/>
        <v>-13.26799999999996</v>
      </c>
      <c r="AS202" s="10">
        <f t="shared" si="785"/>
        <v>-11.342000000000001</v>
      </c>
      <c r="AT202" s="62">
        <f t="shared" ref="AT202:AY202" si="786">AT199+AT200</f>
        <v>-58.001999999999903</v>
      </c>
      <c r="AU202" s="279">
        <f t="shared" si="786"/>
        <v>-15.377000000000034</v>
      </c>
      <c r="AV202" s="279">
        <f t="shared" si="786"/>
        <v>-15.258999999999949</v>
      </c>
      <c r="AW202" s="10">
        <f t="shared" si="786"/>
        <v>-7.3039999999998946</v>
      </c>
      <c r="AX202" s="10">
        <f t="shared" si="786"/>
        <v>-6.4999999999999991</v>
      </c>
      <c r="AY202" s="554">
        <f t="shared" si="786"/>
        <v>-44.440000000000339</v>
      </c>
      <c r="AZ202" s="612">
        <f>AZ199+AZ200</f>
        <v>-9.9000000000000021</v>
      </c>
      <c r="BA202" s="279">
        <f t="shared" ref="BA202" si="787">BA199+BA200-BA201</f>
        <v>-13.599999999999952</v>
      </c>
      <c r="BB202" s="279">
        <f t="shared" ref="BB202:BE202" si="788">BB199+BB200-BB201</f>
        <v>-15.199999999999985</v>
      </c>
      <c r="BC202" s="279">
        <f t="shared" si="788"/>
        <v>-22.599999999999941</v>
      </c>
      <c r="BD202" s="1958">
        <f t="shared" si="788"/>
        <v>-61.29999999999977</v>
      </c>
      <c r="BE202" s="612">
        <f t="shared" si="788"/>
        <v>-9.2999999999998799</v>
      </c>
      <c r="BF202" s="279">
        <f>BF199+BF200-BF201</f>
        <v>50.400000000000325</v>
      </c>
      <c r="BG202" s="279">
        <f>BG199+BG200-BG201</f>
        <v>49.800000000000075</v>
      </c>
      <c r="BH202" s="279">
        <f>BH199+BH200-BH201</f>
        <v>29.79999999999978</v>
      </c>
      <c r="BI202" s="1958">
        <f t="shared" ref="BI202:BJ202" si="789">BI199+BI200-BI201</f>
        <v>120.70000000000044</v>
      </c>
      <c r="BJ202" s="612">
        <f t="shared" si="789"/>
        <v>37.200000000000223</v>
      </c>
      <c r="BK202" s="279">
        <f>BK199+BK200-BK201</f>
        <v>75.000000000000185</v>
      </c>
      <c r="BL202" s="279">
        <f>BL199+BL200-BL201</f>
        <v>76.699999999999804</v>
      </c>
      <c r="BM202" s="279">
        <f>BM199+BM200-BM201</f>
        <v>59.199999999999697</v>
      </c>
      <c r="BN202" s="1958">
        <f t="shared" ref="BN202" si="790">BN199+BN200-BN201</f>
        <v>248.09999999999962</v>
      </c>
      <c r="BO202" s="612">
        <f t="shared" ref="BO202:BP202" si="791">BO199+BO200-BO201</f>
        <v>68.10753427885642</v>
      </c>
      <c r="BP202" s="279">
        <f t="shared" si="791"/>
        <v>148.19209881962126</v>
      </c>
      <c r="BQ202" s="279">
        <f t="shared" ref="BQ202:BR202" si="792">BQ199+BQ200-BQ201</f>
        <v>149.35508946832513</v>
      </c>
      <c r="BR202" s="2373">
        <f t="shared" si="792"/>
        <v>135.69662958182687</v>
      </c>
      <c r="BS202" s="2001">
        <f>BS199+BS200-BS201</f>
        <v>501.35135214862981</v>
      </c>
      <c r="BT202" s="10"/>
      <c r="BU202" s="10"/>
      <c r="BV202" s="10"/>
      <c r="BW202" s="10"/>
      <c r="BX202" s="640">
        <f>BX199+BX200-BX201</f>
        <v>618.90734198842949</v>
      </c>
      <c r="BY202" s="10"/>
      <c r="BZ202" s="10"/>
      <c r="CA202" s="10"/>
      <c r="CB202" s="10"/>
      <c r="CC202" s="641">
        <f>CC199+CC200-CC201</f>
        <v>726.3795345444114</v>
      </c>
      <c r="CE202" s="280"/>
      <c r="CF202" s="246"/>
      <c r="CG202" s="246"/>
      <c r="CH202" s="246"/>
      <c r="CI202" s="247"/>
      <c r="CK202" s="2077"/>
      <c r="CL202" s="279">
        <f t="shared" si="763"/>
        <v>59.199999999999697</v>
      </c>
      <c r="CM202" s="279">
        <f t="shared" si="764"/>
        <v>29.79999999999978</v>
      </c>
      <c r="CN202" s="279">
        <v>54.280169027447783</v>
      </c>
      <c r="CO202" s="2088">
        <f t="shared" si="774"/>
        <v>0.98657718120805815</v>
      </c>
      <c r="CP202" s="2088">
        <f t="shared" si="774"/>
        <v>9.0637723881517474E-2</v>
      </c>
      <c r="CQ202" s="495"/>
      <c r="CR202" s="248"/>
      <c r="CS202" s="17"/>
      <c r="CT202" s="17"/>
      <c r="CU202" s="17"/>
      <c r="CV202" s="51"/>
      <c r="CW202" s="51"/>
      <c r="CX202" s="17"/>
      <c r="CY202" s="280"/>
      <c r="CZ202"/>
      <c r="DA202"/>
      <c r="DB202"/>
      <c r="DC202"/>
      <c r="DD202"/>
      <c r="DE202"/>
      <c r="DF202" s="10"/>
      <c r="DG202" s="10"/>
      <c r="DH202" s="10"/>
      <c r="DI202" s="10"/>
      <c r="DJ202" s="10"/>
    </row>
    <row r="203" spans="1:114" s="201" customFormat="1" ht="12.75" customHeight="1">
      <c r="A203" s="77" t="s">
        <v>101</v>
      </c>
      <c r="B203" s="555"/>
      <c r="C203" s="78"/>
      <c r="D203" s="78"/>
      <c r="E203" s="78"/>
      <c r="F203" s="79">
        <f t="shared" ref="F203:AK203" si="793">F202/F216</f>
        <v>-6.8834389156130333</v>
      </c>
      <c r="G203" s="78">
        <f t="shared" si="793"/>
        <v>8.4585824258675307E-2</v>
      </c>
      <c r="H203" s="78">
        <f t="shared" si="793"/>
        <v>0.12828169207333753</v>
      </c>
      <c r="I203" s="78">
        <f t="shared" si="793"/>
        <v>0.12352823131043091</v>
      </c>
      <c r="J203" s="78">
        <f t="shared" si="793"/>
        <v>0.23771808238609227</v>
      </c>
      <c r="K203" s="79">
        <f t="shared" si="793"/>
        <v>0.63748288768160133</v>
      </c>
      <c r="L203" s="78">
        <f t="shared" si="793"/>
        <v>6.7030833601844267E-2</v>
      </c>
      <c r="M203" s="78">
        <f t="shared" si="793"/>
        <v>0.10963394476310322</v>
      </c>
      <c r="N203" s="78">
        <f t="shared" si="793"/>
        <v>7.305564380469115E-2</v>
      </c>
      <c r="O203" s="78">
        <f t="shared" si="793"/>
        <v>5.4303009468369724E-2</v>
      </c>
      <c r="P203" s="79">
        <f t="shared" si="793"/>
        <v>0.30167479730767982</v>
      </c>
      <c r="Q203" s="78">
        <f t="shared" si="793"/>
        <v>7.0505814701007904E-2</v>
      </c>
      <c r="R203" s="78">
        <f t="shared" si="793"/>
        <v>9.2428669951439488E-2</v>
      </c>
      <c r="S203" s="78">
        <f t="shared" si="793"/>
        <v>0.12599401683127787</v>
      </c>
      <c r="T203" s="78">
        <f t="shared" si="793"/>
        <v>6.3615839539564956E-2</v>
      </c>
      <c r="U203" s="79">
        <f t="shared" si="793"/>
        <v>0.38026603540569437</v>
      </c>
      <c r="V203" s="78">
        <f t="shared" si="793"/>
        <v>-3.1103617627553548E-3</v>
      </c>
      <c r="W203" s="78">
        <f t="shared" si="793"/>
        <v>3.894530635647038E-2</v>
      </c>
      <c r="X203" s="78">
        <f t="shared" si="793"/>
        <v>9.9692319755336919E-2</v>
      </c>
      <c r="Y203" s="78">
        <f t="shared" si="793"/>
        <v>7.8089985879656765E-2</v>
      </c>
      <c r="Z203" s="79">
        <f t="shared" si="793"/>
        <v>0.22637358383747838</v>
      </c>
      <c r="AA203" s="78">
        <f t="shared" si="793"/>
        <v>0.10240242976163284</v>
      </c>
      <c r="AB203" s="78">
        <f t="shared" si="793"/>
        <v>0.18428324309958727</v>
      </c>
      <c r="AC203" s="78">
        <f t="shared" si="793"/>
        <v>0.20964142107315498</v>
      </c>
      <c r="AD203" s="78">
        <f t="shared" si="793"/>
        <v>9.6397643571359215E-2</v>
      </c>
      <c r="AE203" s="79">
        <f t="shared" si="793"/>
        <v>0.62520592920660356</v>
      </c>
      <c r="AF203" s="78">
        <f t="shared" si="793"/>
        <v>0.13107995507607126</v>
      </c>
      <c r="AG203" s="78">
        <f t="shared" si="793"/>
        <v>0.10648443614626928</v>
      </c>
      <c r="AH203" s="78">
        <f t="shared" si="793"/>
        <v>-5.3794482442576772</v>
      </c>
      <c r="AI203" s="78">
        <f t="shared" si="793"/>
        <v>-0.2663920853129087</v>
      </c>
      <c r="AJ203" s="79">
        <f t="shared" si="793"/>
        <v>-5.2971103687798289</v>
      </c>
      <c r="AK203" s="78">
        <f t="shared" si="793"/>
        <v>-0.36248815914114269</v>
      </c>
      <c r="AL203" s="78">
        <f t="shared" ref="AL203:BB203" si="794">AL202/AL216</f>
        <v>-0.16556103645744724</v>
      </c>
      <c r="AM203" s="78">
        <f t="shared" si="794"/>
        <v>-0.37943724169167192</v>
      </c>
      <c r="AN203" s="78">
        <f t="shared" si="794"/>
        <v>-0.56835385832109409</v>
      </c>
      <c r="AO203" s="79">
        <f t="shared" si="794"/>
        <v>-1.480056957266046</v>
      </c>
      <c r="AP203" s="78">
        <f t="shared" si="794"/>
        <v>-0.84777062999112796</v>
      </c>
      <c r="AQ203" s="78">
        <f t="shared" si="794"/>
        <v>-0.99587458745874535</v>
      </c>
      <c r="AR203" s="78">
        <f t="shared" si="794"/>
        <v>-0.5477664932705788</v>
      </c>
      <c r="AS203" s="78">
        <f t="shared" si="794"/>
        <v>-0.37281004503171944</v>
      </c>
      <c r="AT203" s="79">
        <f t="shared" si="794"/>
        <v>-2.5535511848289025</v>
      </c>
      <c r="AU203" s="78">
        <f t="shared" si="794"/>
        <v>-0.37220729552441201</v>
      </c>
      <c r="AV203" s="78">
        <f t="shared" si="794"/>
        <v>-0.29028821459145726</v>
      </c>
      <c r="AW203" s="78">
        <f t="shared" si="794"/>
        <v>-0.13409216082246916</v>
      </c>
      <c r="AX203" s="78">
        <f t="shared" si="794"/>
        <v>-9.8634294385432447E-2</v>
      </c>
      <c r="AY203" s="555">
        <f t="shared" si="794"/>
        <v>-0.8296926925805671</v>
      </c>
      <c r="AZ203" s="555">
        <f t="shared" si="794"/>
        <v>-0.12563451776649751</v>
      </c>
      <c r="BA203" s="78">
        <f t="shared" ref="BA203" si="795">BA202/BA216</f>
        <v>-0.16132858837485115</v>
      </c>
      <c r="BB203" s="78">
        <f t="shared" si="794"/>
        <v>-0.15415821501014185</v>
      </c>
      <c r="BC203" s="78">
        <f t="shared" ref="BC203:BE203" si="796">BC202/BC216</f>
        <v>-0.2075298438934797</v>
      </c>
      <c r="BD203" s="79">
        <f t="shared" si="796"/>
        <v>-0.66162978953048857</v>
      </c>
      <c r="BE203" s="555">
        <f t="shared" si="796"/>
        <v>-8.4854014598539057E-2</v>
      </c>
      <c r="BF203" s="78">
        <f>BF202/BF216</f>
        <v>0.4121013900245325</v>
      </c>
      <c r="BG203" s="78">
        <f>BG202/BG216</f>
        <v>0.40520748576078169</v>
      </c>
      <c r="BH203" s="78">
        <f t="shared" ref="BH203:BJ203" si="797">BH202/BH216</f>
        <v>0.23993558776167295</v>
      </c>
      <c r="BI203" s="79">
        <f t="shared" si="797"/>
        <v>1.0079331941544922</v>
      </c>
      <c r="BJ203" s="555">
        <f t="shared" si="797"/>
        <v>0.2990353697749214</v>
      </c>
      <c r="BK203" s="78">
        <f>BK202/BK216</f>
        <v>0.60144346431435591</v>
      </c>
      <c r="BL203" s="78">
        <f>BL202/BL216</f>
        <v>0.59090909090908939</v>
      </c>
      <c r="BM203" s="78">
        <f t="shared" ref="BM203:BN203" si="798">BM202/BM216</f>
        <v>0.4454477050413822</v>
      </c>
      <c r="BN203" s="79">
        <f t="shared" si="798"/>
        <v>1.9390386869871012</v>
      </c>
      <c r="BO203" s="555">
        <f t="shared" ref="BO203:BP203" si="799">BO202/BO216</f>
        <v>0.51247204122540568</v>
      </c>
      <c r="BP203" s="78">
        <f t="shared" si="799"/>
        <v>1.1150647014267965</v>
      </c>
      <c r="BQ203" s="78">
        <f t="shared" ref="BQ203:BR203" si="800">BQ202/BQ216</f>
        <v>1.1238155716202041</v>
      </c>
      <c r="BR203" s="2376">
        <f t="shared" si="800"/>
        <v>1.0210431119776289</v>
      </c>
      <c r="BS203" s="79">
        <f>BS202/BS216</f>
        <v>3.7723954262500361</v>
      </c>
      <c r="BT203" s="78"/>
      <c r="BU203" s="78"/>
      <c r="BV203" s="78"/>
      <c r="BW203" s="78"/>
      <c r="BX203" s="516">
        <f>BX202/BX216</f>
        <v>5.1187440409265523</v>
      </c>
      <c r="BY203" s="78"/>
      <c r="BZ203" s="78"/>
      <c r="CA203" s="78"/>
      <c r="CB203" s="78"/>
      <c r="CC203" s="516">
        <f>CC202/CC216</f>
        <v>6.5963143012959735</v>
      </c>
      <c r="CD203" s="227"/>
      <c r="CE203" s="228"/>
      <c r="CF203" s="2224">
        <f>+BS203/4.05-1</f>
        <v>-6.8544339197521897E-2</v>
      </c>
      <c r="CG203" s="2224">
        <f>+BX203/5.38-1</f>
        <v>-4.8560587188373194E-2</v>
      </c>
      <c r="CH203" s="2224">
        <f>+CC203/6.93-1</f>
        <v>-4.8150894473885431E-2</v>
      </c>
      <c r="CI203" s="239"/>
      <c r="CJ203" s="177"/>
      <c r="CK203" s="2070"/>
      <c r="CL203" s="78">
        <f t="shared" si="763"/>
        <v>0.4454477050413822</v>
      </c>
      <c r="CM203" s="78">
        <f t="shared" si="764"/>
        <v>0.23993558776167295</v>
      </c>
      <c r="CN203" s="78">
        <v>0.41818312039636191</v>
      </c>
      <c r="CO203" s="2098">
        <f t="shared" si="774"/>
        <v>0.85653036799127769</v>
      </c>
      <c r="CP203" s="2098">
        <f t="shared" si="774"/>
        <v>6.5197716778186532E-2</v>
      </c>
      <c r="CQ203" s="44"/>
      <c r="CR203" s="47"/>
      <c r="CS203" s="229"/>
      <c r="CT203" s="229"/>
      <c r="CU203" s="229"/>
      <c r="CV203" s="2210" t="s">
        <v>535</v>
      </c>
      <c r="CW203" s="2211"/>
      <c r="CX203" s="229"/>
      <c r="CY203" s="123"/>
      <c r="CZ203"/>
      <c r="DA203"/>
      <c r="DB203"/>
      <c r="DC203"/>
      <c r="DD203"/>
      <c r="DE203"/>
      <c r="DF203" s="80"/>
      <c r="DG203" s="80"/>
      <c r="DH203" s="80"/>
      <c r="DI203" s="80"/>
      <c r="DJ203" s="80"/>
    </row>
    <row r="204" spans="1:114" s="1" customFormat="1" ht="12.75" customHeight="1">
      <c r="A204" s="58" t="s">
        <v>85</v>
      </c>
      <c r="B204" s="368"/>
      <c r="C204" s="18"/>
      <c r="D204" s="18"/>
      <c r="E204" s="18"/>
      <c r="F204" s="60" t="str">
        <f>IF(ISERROR((F203-#REF!)/#REF!),"",(F203-#REF!)/#REF!)</f>
        <v/>
      </c>
      <c r="G204" s="18" t="str">
        <f>IF(ISERROR((G203-B203)/B203),"",(G203-B203)/B203)</f>
        <v/>
      </c>
      <c r="H204" s="18" t="str">
        <f>IF(ISERROR((H203-C203)/C203),"",(H203-C203)/C203)</f>
        <v/>
      </c>
      <c r="I204" s="18" t="str">
        <f>IF(ISERROR((I203-D203)/D203),"",(I203-D203)/D203)</f>
        <v/>
      </c>
      <c r="J204" s="18" t="str">
        <f>IF(ISERROR((J203-E203)/E203),"",(J203-E203)/E203)</f>
        <v/>
      </c>
      <c r="K204" s="60">
        <f t="shared" ref="K204:BA204" si="801">(K203-F203)/ABS(F203)</f>
        <v>1.0926111055094367</v>
      </c>
      <c r="L204" s="18">
        <f t="shared" si="801"/>
        <v>-0.20754057563056214</v>
      </c>
      <c r="M204" s="18">
        <f t="shared" si="801"/>
        <v>-0.14536561693911521</v>
      </c>
      <c r="N204" s="18">
        <f t="shared" si="801"/>
        <v>-0.40859151766611407</v>
      </c>
      <c r="O204" s="18">
        <f t="shared" si="801"/>
        <v>-0.77156550766645959</v>
      </c>
      <c r="P204" s="60">
        <f t="shared" si="801"/>
        <v>-0.52677192888296787</v>
      </c>
      <c r="Q204" s="18">
        <f t="shared" si="801"/>
        <v>5.1841531910592681E-2</v>
      </c>
      <c r="R204" s="18">
        <f t="shared" si="801"/>
        <v>-0.15693382965322325</v>
      </c>
      <c r="S204" s="18">
        <f t="shared" si="801"/>
        <v>0.72463084670246058</v>
      </c>
      <c r="T204" s="18">
        <f t="shared" si="801"/>
        <v>0.17149749456555893</v>
      </c>
      <c r="U204" s="60">
        <f t="shared" si="801"/>
        <v>0.26051641966583938</v>
      </c>
      <c r="V204" s="18">
        <f t="shared" si="801"/>
        <v>-1.0441149680483146</v>
      </c>
      <c r="W204" s="18">
        <f t="shared" si="801"/>
        <v>-0.57864473894375401</v>
      </c>
      <c r="X204" s="18">
        <f t="shared" si="801"/>
        <v>-0.20875354034598556</v>
      </c>
      <c r="Y204" s="18">
        <f t="shared" si="801"/>
        <v>0.22752425252660263</v>
      </c>
      <c r="Z204" s="60">
        <f t="shared" si="801"/>
        <v>-0.4046968102319019</v>
      </c>
      <c r="AA204" s="18">
        <f t="shared" si="801"/>
        <v>33.922996606966485</v>
      </c>
      <c r="AB204" s="18">
        <f t="shared" si="801"/>
        <v>3.731847309476112</v>
      </c>
      <c r="AC204" s="18">
        <f t="shared" si="801"/>
        <v>1.1028843705077096</v>
      </c>
      <c r="AD204" s="18">
        <f t="shared" si="801"/>
        <v>0.23444309133204469</v>
      </c>
      <c r="AE204" s="60">
        <f t="shared" si="801"/>
        <v>1.7618325363239424</v>
      </c>
      <c r="AF204" s="18">
        <f t="shared" si="801"/>
        <v>0.28004731314669484</v>
      </c>
      <c r="AG204" s="18">
        <f t="shared" si="801"/>
        <v>-0.42216972983959949</v>
      </c>
      <c r="AH204" s="18">
        <f t="shared" si="801"/>
        <v>-26.660235542767584</v>
      </c>
      <c r="AI204" s="18">
        <f t="shared" si="801"/>
        <v>-3.7634709256737131</v>
      </c>
      <c r="AJ204" s="60">
        <f t="shared" si="801"/>
        <v>-9.4725849857213404</v>
      </c>
      <c r="AK204" s="18">
        <f t="shared" si="801"/>
        <v>-3.7653973403544074</v>
      </c>
      <c r="AL204" s="18">
        <f t="shared" si="801"/>
        <v>-2.5547909389314802</v>
      </c>
      <c r="AM204" s="18">
        <f t="shared" si="801"/>
        <v>0.92946539785066162</v>
      </c>
      <c r="AN204" s="18">
        <f t="shared" si="801"/>
        <v>-1.1335238156700336</v>
      </c>
      <c r="AO204" s="60">
        <f t="shared" si="801"/>
        <v>0.72059163313091923</v>
      </c>
      <c r="AP204" s="18">
        <f>(AP203-AK203)/ABS(AK203)</f>
        <v>-1.3387539940608928</v>
      </c>
      <c r="AQ204" s="18">
        <f t="shared" si="801"/>
        <v>-5.0151507188390099</v>
      </c>
      <c r="AR204" s="18">
        <f t="shared" si="801"/>
        <v>-0.44362870346735778</v>
      </c>
      <c r="AS204" s="18">
        <f t="shared" si="801"/>
        <v>0.34405293537903858</v>
      </c>
      <c r="AT204" s="60">
        <f t="shared" si="801"/>
        <v>-0.72530602440179726</v>
      </c>
      <c r="AU204" s="18">
        <f>(AU203-AP203)/ABS(AP203)</f>
        <v>0.56095754870830195</v>
      </c>
      <c r="AV204" s="18">
        <f t="shared" si="801"/>
        <v>0.70850926587833774</v>
      </c>
      <c r="AW204" s="18">
        <f t="shared" si="801"/>
        <v>0.7552019656736616</v>
      </c>
      <c r="AX204" s="18">
        <f t="shared" si="801"/>
        <v>0.73543015887074481</v>
      </c>
      <c r="AY204" s="368">
        <f t="shared" si="801"/>
        <v>0.67508280330939996</v>
      </c>
      <c r="AZ204" s="368">
        <f>(AZ203-AU203)/ABS(AU203)</f>
        <v>0.66246089403087072</v>
      </c>
      <c r="BA204" s="18">
        <f t="shared" si="801"/>
        <v>0.44424685445153173</v>
      </c>
      <c r="BB204" s="18">
        <f t="shared" ref="BB204:BG204" si="802">(BB203-AW203)/ABS(AW203)</f>
        <v>-0.14964375295763235</v>
      </c>
      <c r="BC204" s="18">
        <f t="shared" ref="BC204" si="803">(BC203-AX203)/ABS(AX203)</f>
        <v>-1.1040333403969718</v>
      </c>
      <c r="BD204" s="1936">
        <f t="shared" ref="BD204" si="804">(BD203-AY203)/ABS(AY203)</f>
        <v>0.20256042333861923</v>
      </c>
      <c r="BE204" s="368">
        <f>(BE203-AZ203)/ABS(AZ203)</f>
        <v>0.32459632824597218</v>
      </c>
      <c r="BF204" s="18">
        <f t="shared" ref="BF204" si="805">(BF203-BA203)/ABS(BA203)</f>
        <v>3.5544225866961927</v>
      </c>
      <c r="BG204" s="18">
        <f t="shared" si="802"/>
        <v>3.6285169800008625</v>
      </c>
      <c r="BH204" s="18">
        <f t="shared" ref="BH204" si="806">(BH203-BC203)/ABS(BC203)</f>
        <v>2.1561498012055864</v>
      </c>
      <c r="BI204" s="1936">
        <f t="shared" ref="BI204" si="807">(BI203-BD203)/ABS(BD203)</f>
        <v>2.5234096319480273</v>
      </c>
      <c r="BJ204" s="368">
        <f>(BJ203-BE203)/ABS(BE203)</f>
        <v>4.5241157556270757</v>
      </c>
      <c r="BK204" s="18">
        <f t="shared" ref="BK204:BL204" si="808">(BK203-BF203)/ABS(BF203)</f>
        <v>0.45945507312788203</v>
      </c>
      <c r="BL204" s="18">
        <f t="shared" si="808"/>
        <v>0.45828769623949767</v>
      </c>
      <c r="BM204" s="18">
        <f t="shared" ref="BM204" si="809">(BM203-BH203)/ABS(BH203)</f>
        <v>0.85653036799127769</v>
      </c>
      <c r="BN204" s="1936">
        <f t="shared" ref="BN204" si="810">(BN203-BI203)/ABS(BI203)</f>
        <v>0.92377699061064222</v>
      </c>
      <c r="BO204" s="368">
        <f t="shared" ref="BO204" si="811">(BO203-BJ203)/ABS(BJ203)</f>
        <v>0.7137505894741959</v>
      </c>
      <c r="BP204" s="18">
        <f t="shared" ref="BP204" si="812">(BP203-BK203)/ABS(BK203)</f>
        <v>0.85398091023894906</v>
      </c>
      <c r="BQ204" s="18">
        <f t="shared" ref="BQ204:BS204" si="813">(BQ203-BL203)/ABS(BL203)</f>
        <v>0.90184173658804256</v>
      </c>
      <c r="BR204" s="2162">
        <f t="shared" si="813"/>
        <v>1.2921727969903307</v>
      </c>
      <c r="BS204" s="1936">
        <f t="shared" si="813"/>
        <v>0.94549776214708947</v>
      </c>
      <c r="BT204" s="18"/>
      <c r="BU204" s="18"/>
      <c r="BV204" s="18"/>
      <c r="BW204" s="18"/>
      <c r="BX204" s="60">
        <f>(BX203-BS203)/ABS(BS203)</f>
        <v>0.35689488045394518</v>
      </c>
      <c r="BY204" s="18"/>
      <c r="BZ204" s="18"/>
      <c r="CA204" s="18"/>
      <c r="CB204" s="18"/>
      <c r="CC204" s="60">
        <f>(CC203-BX203)/ABS(BX203)</f>
        <v>0.28865875077081676</v>
      </c>
      <c r="CD204" s="191"/>
      <c r="CE204" s="111"/>
      <c r="CF204" s="173"/>
      <c r="CG204" s="173"/>
      <c r="CH204" s="173"/>
      <c r="CI204" s="239"/>
      <c r="CJ204" s="177"/>
      <c r="CK204" s="2070"/>
      <c r="CL204" s="18">
        <f t="shared" si="763"/>
        <v>0.85653036799127769</v>
      </c>
      <c r="CM204" s="18">
        <f t="shared" si="764"/>
        <v>2.1561498012055864</v>
      </c>
      <c r="CN204" s="18">
        <v>0.74289743467209834</v>
      </c>
      <c r="CO204" s="2107">
        <f>IFERROR(($CL204-CM204)*10000,"")</f>
        <v>-12996.194332143088</v>
      </c>
      <c r="CP204" s="2107">
        <f>IFERROR(($CL204-CN204)*10000,"")</f>
        <v>1136.3293331917935</v>
      </c>
      <c r="CQ204" s="44"/>
      <c r="CR204" s="40"/>
      <c r="CS204" s="40"/>
      <c r="CT204" s="40"/>
      <c r="CU204" s="40"/>
      <c r="CV204" s="2212" t="s">
        <v>580</v>
      </c>
      <c r="CW204" s="2213">
        <f>BX203</f>
        <v>5.1187440409265523</v>
      </c>
      <c r="CX204" s="40"/>
      <c r="CY204" s="139"/>
      <c r="CZ204"/>
      <c r="DA204"/>
      <c r="DB204"/>
      <c r="DC204"/>
      <c r="DD204"/>
      <c r="DE204"/>
      <c r="DF204" s="3"/>
      <c r="DG204" s="3"/>
      <c r="DH204" s="3"/>
      <c r="DI204" s="3"/>
      <c r="DJ204" s="3"/>
    </row>
    <row r="205" spans="1:114" s="230" customFormat="1" ht="12.75" customHeight="1">
      <c r="A205" s="82" t="s">
        <v>43</v>
      </c>
      <c r="B205" s="556"/>
      <c r="C205" s="82"/>
      <c r="D205" s="82"/>
      <c r="E205" s="82"/>
      <c r="F205" s="83">
        <f>F202/F210</f>
        <v>-6.8843480078398152</v>
      </c>
      <c r="G205" s="82">
        <f>G202/G210</f>
        <v>8.4763063270148334E-2</v>
      </c>
      <c r="H205" s="82">
        <f>H202/H210</f>
        <v>0.12904681804862816</v>
      </c>
      <c r="I205" s="82">
        <f>I202/I210</f>
        <v>0.12554573876648079</v>
      </c>
      <c r="J205" s="82">
        <f>J202/J210</f>
        <v>0.24213170688878302</v>
      </c>
      <c r="K205" s="83">
        <f t="shared" ref="K205:T205" si="814">K202/K210</f>
        <v>0.6443315324164316</v>
      </c>
      <c r="L205" s="82">
        <f t="shared" si="814"/>
        <v>6.9047895424640654E-2</v>
      </c>
      <c r="M205" s="82">
        <f t="shared" si="814"/>
        <v>0.11293300032576804</v>
      </c>
      <c r="N205" s="82">
        <f t="shared" si="814"/>
        <v>7.465157518002688E-2</v>
      </c>
      <c r="O205" s="82">
        <f t="shared" si="814"/>
        <v>5.5160327078316543E-2</v>
      </c>
      <c r="P205" s="83">
        <f t="shared" si="814"/>
        <v>0.30905045752890409</v>
      </c>
      <c r="Q205" s="82">
        <f t="shared" si="814"/>
        <v>7.1338343326478135E-2</v>
      </c>
      <c r="R205" s="82">
        <f t="shared" si="814"/>
        <v>9.3431468317449071E-2</v>
      </c>
      <c r="S205" s="82">
        <f t="shared" si="814"/>
        <v>0.12745208324373766</v>
      </c>
      <c r="T205" s="82">
        <f t="shared" si="814"/>
        <v>6.4352034172182201E-2</v>
      </c>
      <c r="U205" s="83">
        <f t="shared" ref="U205:AG205" si="815">U202/U210</f>
        <v>0.38461829976659301</v>
      </c>
      <c r="V205" s="82">
        <f t="shared" si="815"/>
        <v>-3.1215645231446243E-3</v>
      </c>
      <c r="W205" s="82">
        <f t="shared" si="815"/>
        <v>3.9081987829768232E-2</v>
      </c>
      <c r="X205" s="82">
        <f t="shared" si="815"/>
        <v>0.10001492732154972</v>
      </c>
      <c r="Y205" s="82">
        <f t="shared" si="815"/>
        <v>7.8663425983240887E-2</v>
      </c>
      <c r="Z205" s="83">
        <f t="shared" si="815"/>
        <v>0.22737475986584418</v>
      </c>
      <c r="AA205" s="82">
        <f t="shared" si="815"/>
        <v>0.10413539249210008</v>
      </c>
      <c r="AB205" s="82">
        <f t="shared" si="815"/>
        <v>0.18774117532217216</v>
      </c>
      <c r="AC205" s="82">
        <f t="shared" si="815"/>
        <v>0.21370224187239659</v>
      </c>
      <c r="AD205" s="82">
        <f t="shared" si="815"/>
        <v>0.10092916372802842</v>
      </c>
      <c r="AE205" s="83">
        <f t="shared" si="815"/>
        <v>0.64119664564699441</v>
      </c>
      <c r="AF205" s="82">
        <f t="shared" si="815"/>
        <v>0.1366247044130024</v>
      </c>
      <c r="AG205" s="82">
        <f t="shared" si="815"/>
        <v>0.11075136104365027</v>
      </c>
      <c r="AH205" s="82">
        <f t="shared" ref="AH205:AO205" si="816">AH202/AH210</f>
        <v>-5.3794482442576772</v>
      </c>
      <c r="AI205" s="82">
        <f t="shared" si="816"/>
        <v>-0.2663920853129087</v>
      </c>
      <c r="AJ205" s="83">
        <f t="shared" si="816"/>
        <v>-5.4057557301187282</v>
      </c>
      <c r="AK205" s="82">
        <f t="shared" si="816"/>
        <v>-0.36248815914114269</v>
      </c>
      <c r="AL205" s="82">
        <f t="shared" si="816"/>
        <v>-0.16556103645744724</v>
      </c>
      <c r="AM205" s="82">
        <f>AM202/AM210</f>
        <v>-0.37943724169167192</v>
      </c>
      <c r="AN205" s="82">
        <f>AN202/AN210</f>
        <v>-0.56835385832109409</v>
      </c>
      <c r="AO205" s="83">
        <f t="shared" si="816"/>
        <v>-1.480056957266046</v>
      </c>
      <c r="AP205" s="82">
        <f>AP202/AP210</f>
        <v>-0.84777062999112796</v>
      </c>
      <c r="AQ205" s="82">
        <f>AQ202/AQ210</f>
        <v>-0.99589814280535738</v>
      </c>
      <c r="AR205" s="82">
        <f>AR202/AR210</f>
        <v>-0.5477664932705788</v>
      </c>
      <c r="AS205" s="82">
        <f>AS202/AS210</f>
        <v>-0.37281004503171944</v>
      </c>
      <c r="AT205" s="83">
        <f>AT202/AT210</f>
        <v>-2.5535632701080355</v>
      </c>
      <c r="AU205" s="82">
        <f t="shared" ref="AU205:AZ205" si="817">AU202/AU210</f>
        <v>-0.37220729552441201</v>
      </c>
      <c r="AV205" s="82">
        <f t="shared" si="817"/>
        <v>-0.29028821459145726</v>
      </c>
      <c r="AW205" s="82">
        <f t="shared" si="817"/>
        <v>-0.13409216082246916</v>
      </c>
      <c r="AX205" s="82">
        <f t="shared" si="817"/>
        <v>-9.8644706715931937E-2</v>
      </c>
      <c r="AY205" s="556">
        <f t="shared" si="817"/>
        <v>-0.82971963112727054</v>
      </c>
      <c r="AZ205" s="556">
        <f t="shared" si="817"/>
        <v>-0.12563451776649751</v>
      </c>
      <c r="BA205" s="82">
        <f t="shared" ref="BA205" si="818">BA202/BA210</f>
        <v>-0.1612608588141492</v>
      </c>
      <c r="BB205" s="82">
        <f t="shared" ref="BB205:BF205" si="819">BB202/BB210</f>
        <v>-0.15415821501014185</v>
      </c>
      <c r="BC205" s="82">
        <f t="shared" si="819"/>
        <v>-0.2075298438934797</v>
      </c>
      <c r="BD205" s="83">
        <f t="shared" si="819"/>
        <v>-0.66156658546539149</v>
      </c>
      <c r="BE205" s="556">
        <f t="shared" si="819"/>
        <v>-8.4832269363361176E-2</v>
      </c>
      <c r="BF205" s="82">
        <f t="shared" si="819"/>
        <v>0.45818181818182113</v>
      </c>
      <c r="BG205" s="82">
        <f t="shared" ref="BG205:BK205" si="820">BG202/BG210</f>
        <v>0.45149592021758911</v>
      </c>
      <c r="BH205" s="82">
        <f t="shared" si="820"/>
        <v>0.2684684684684665</v>
      </c>
      <c r="BI205" s="83">
        <f t="shared" si="820"/>
        <v>1.094963116593795</v>
      </c>
      <c r="BJ205" s="556">
        <f t="shared" si="820"/>
        <v>0.33393177737881707</v>
      </c>
      <c r="BK205" s="82">
        <f t="shared" si="820"/>
        <v>0.67084078711985851</v>
      </c>
      <c r="BL205" s="82">
        <f t="shared" ref="BL205:BN205" si="821">BL202/BL210</f>
        <v>0.65276595744680688</v>
      </c>
      <c r="BM205" s="82">
        <f t="shared" si="821"/>
        <v>0.49374478732276644</v>
      </c>
      <c r="BN205" s="83">
        <f t="shared" si="821"/>
        <v>2.1545809813286985</v>
      </c>
      <c r="BO205" s="556">
        <f t="shared" ref="BO205:BP205" si="822">BO202/BO210</f>
        <v>0.56803614911473244</v>
      </c>
      <c r="BP205" s="82">
        <f t="shared" si="822"/>
        <v>1.2359641269359571</v>
      </c>
      <c r="BQ205" s="82">
        <f t="shared" ref="BQ205:BS205" si="823">BQ202/BQ210</f>
        <v>1.2456637987349886</v>
      </c>
      <c r="BR205" s="522">
        <f t="shared" si="823"/>
        <v>1.1317483701570215</v>
      </c>
      <c r="BS205" s="83">
        <f t="shared" si="823"/>
        <v>4.1814124449427004</v>
      </c>
      <c r="BT205" s="82"/>
      <c r="BU205" s="82"/>
      <c r="BV205" s="82"/>
      <c r="BW205" s="82"/>
      <c r="BX205" s="83">
        <f>BX202/BX210</f>
        <v>5.7354030394627875</v>
      </c>
      <c r="BY205" s="82"/>
      <c r="BZ205" s="82"/>
      <c r="CA205" s="82"/>
      <c r="CB205" s="82"/>
      <c r="CC205" s="83">
        <f>CC202/CC210</f>
        <v>7.4792732065240717</v>
      </c>
      <c r="CD205" s="201"/>
      <c r="CE205" s="123"/>
      <c r="CF205" s="173"/>
      <c r="CG205" s="173"/>
      <c r="CH205" s="173"/>
      <c r="CI205" s="239"/>
      <c r="CJ205" s="177"/>
      <c r="CK205" s="2070"/>
      <c r="CL205" s="82">
        <f t="shared" si="763"/>
        <v>0.49374478732276644</v>
      </c>
      <c r="CM205" s="82">
        <f t="shared" si="764"/>
        <v>0.2684684684684665</v>
      </c>
      <c r="CN205" s="82">
        <v>0.46195888533998114</v>
      </c>
      <c r="CO205" s="2099">
        <f>IFERROR(($CL205/CM205)-1,"")</f>
        <v>0.83911648969219721</v>
      </c>
      <c r="CP205" s="2099">
        <f>IFERROR(($CL205/CN205)-1,"")</f>
        <v>6.8806776948109327E-2</v>
      </c>
      <c r="CQ205" s="44"/>
      <c r="CR205" s="47"/>
      <c r="CS205" s="47"/>
      <c r="CT205" s="47"/>
      <c r="CU205" s="47"/>
      <c r="CV205" s="2214" t="s">
        <v>581</v>
      </c>
      <c r="CW205" s="2215">
        <f>CW206/CW204</f>
        <v>24.420052849013629</v>
      </c>
      <c r="CX205" s="47"/>
      <c r="CY205" s="142"/>
      <c r="CZ205"/>
      <c r="DA205"/>
      <c r="DB205"/>
      <c r="DC205"/>
      <c r="DD205"/>
      <c r="DE205"/>
      <c r="DF205" s="46"/>
      <c r="DG205" s="46"/>
      <c r="DH205" s="46"/>
      <c r="DI205" s="46"/>
      <c r="DJ205" s="46"/>
    </row>
    <row r="206" spans="1:114" s="1" customFormat="1" ht="12.75" customHeight="1">
      <c r="A206" s="58" t="s">
        <v>85</v>
      </c>
      <c r="B206" s="368"/>
      <c r="C206" s="18"/>
      <c r="D206" s="18"/>
      <c r="E206" s="18"/>
      <c r="F206" s="60" t="str">
        <f>IF(ISERROR((F205-#REF!)/#REF!),"",(F205-#REF!)/#REF!)</f>
        <v/>
      </c>
      <c r="G206" s="18"/>
      <c r="H206" s="18"/>
      <c r="I206" s="18"/>
      <c r="J206" s="18"/>
      <c r="K206" s="60">
        <f t="shared" ref="K206:P206" si="824">IF(ISERROR((K205-F205)/F205),"",(K205-F205)/F205)</f>
        <v>-1.0935936898719638</v>
      </c>
      <c r="L206" s="18">
        <f t="shared" si="824"/>
        <v>-0.18540113156861585</v>
      </c>
      <c r="M206" s="18">
        <f t="shared" si="824"/>
        <v>-0.12486799726273003</v>
      </c>
      <c r="N206" s="18">
        <f t="shared" si="824"/>
        <v>-0.40538344101920282</v>
      </c>
      <c r="O206" s="18">
        <f t="shared" si="824"/>
        <v>-0.77218874889585176</v>
      </c>
      <c r="P206" s="60">
        <f t="shared" si="824"/>
        <v>-0.52035490740322066</v>
      </c>
      <c r="Q206" s="18">
        <f t="shared" ref="Q206:AD206" si="825">(Q205-L205)/L205</f>
        <v>3.3171871318471845E-2</v>
      </c>
      <c r="R206" s="18">
        <f t="shared" si="825"/>
        <v>-0.17268231563904787</v>
      </c>
      <c r="S206" s="18">
        <f t="shared" si="825"/>
        <v>0.70729261822512246</v>
      </c>
      <c r="T206" s="18">
        <f t="shared" si="825"/>
        <v>0.16663619635205004</v>
      </c>
      <c r="U206" s="60">
        <f>(U205-P205)/P205</f>
        <v>0.24451619596978399</v>
      </c>
      <c r="V206" s="18">
        <f t="shared" si="825"/>
        <v>-1.0437571771026257</v>
      </c>
      <c r="W206" s="18">
        <f t="shared" si="825"/>
        <v>-0.58170423163017593</v>
      </c>
      <c r="X206" s="18">
        <f t="shared" si="825"/>
        <v>-0.21527428366719978</v>
      </c>
      <c r="Y206" s="18">
        <f t="shared" si="825"/>
        <v>0.22239222108763032</v>
      </c>
      <c r="Z206" s="60">
        <f>(Z205-U205)/U205</f>
        <v>-0.4088301050578525</v>
      </c>
      <c r="AA206" s="18">
        <f t="shared" si="825"/>
        <v>-34.359999999998529</v>
      </c>
      <c r="AB206" s="18">
        <f t="shared" si="825"/>
        <v>3.803777539155063</v>
      </c>
      <c r="AC206" s="18">
        <f t="shared" si="825"/>
        <v>1.136703466127013</v>
      </c>
      <c r="AD206" s="18">
        <f t="shared" si="825"/>
        <v>0.28305069943853206</v>
      </c>
      <c r="AE206" s="60">
        <f>(AE205-Z205)/Z205</f>
        <v>1.8199992207812059</v>
      </c>
      <c r="AF206" s="18">
        <f t="shared" ref="AF206:AS206" si="826">(AF205-AA205)/AA205</f>
        <v>0.31199106416549999</v>
      </c>
      <c r="AG206" s="18">
        <f t="shared" si="826"/>
        <v>-0.41008486362357094</v>
      </c>
      <c r="AH206" s="18">
        <f t="shared" si="826"/>
        <v>-26.172633647286634</v>
      </c>
      <c r="AI206" s="18">
        <f t="shared" si="826"/>
        <v>-3.6393965378604496</v>
      </c>
      <c r="AJ206" s="60">
        <f t="shared" si="826"/>
        <v>-9.4307298966982174</v>
      </c>
      <c r="AK206" s="18">
        <f t="shared" si="826"/>
        <v>-3.6531670146958075</v>
      </c>
      <c r="AL206" s="18">
        <f t="shared" si="826"/>
        <v>-2.4948894072028143</v>
      </c>
      <c r="AM206" s="18">
        <f t="shared" si="826"/>
        <v>-0.92946539785066162</v>
      </c>
      <c r="AN206" s="18">
        <f t="shared" si="826"/>
        <v>1.1335238156700336</v>
      </c>
      <c r="AO206" s="60">
        <f t="shared" si="826"/>
        <v>-0.72620720743637091</v>
      </c>
      <c r="AP206" s="18">
        <f>(AP205-AK205)/AK205</f>
        <v>1.3387539940608928</v>
      </c>
      <c r="AQ206" s="18">
        <f t="shared" si="826"/>
        <v>5.015292994745927</v>
      </c>
      <c r="AR206" s="18">
        <f t="shared" si="826"/>
        <v>0.44362870346735778</v>
      </c>
      <c r="AS206" s="18">
        <f t="shared" si="826"/>
        <v>-0.34405293537903858</v>
      </c>
      <c r="AT206" s="60">
        <f t="shared" ref="AT206:BB206" si="827">(AT205-AO205)/AO205</f>
        <v>0.72531418981669804</v>
      </c>
      <c r="AU206" s="18">
        <f t="shared" si="827"/>
        <v>-0.56095754870830195</v>
      </c>
      <c r="AV206" s="18">
        <f t="shared" si="827"/>
        <v>-0.70851616032364417</v>
      </c>
      <c r="AW206" s="18">
        <f t="shared" si="827"/>
        <v>-0.7552019656736616</v>
      </c>
      <c r="AX206" s="18">
        <f t="shared" si="827"/>
        <v>-0.73540222955221324</v>
      </c>
      <c r="AY206" s="368">
        <f t="shared" si="827"/>
        <v>-0.67507379165421388</v>
      </c>
      <c r="AZ206" s="368">
        <f t="shared" si="827"/>
        <v>-0.66246089403087072</v>
      </c>
      <c r="BA206" s="18">
        <f t="shared" si="827"/>
        <v>-0.44448017277896457</v>
      </c>
      <c r="BB206" s="18">
        <f t="shared" si="827"/>
        <v>0.14964375295763235</v>
      </c>
      <c r="BC206" s="18">
        <f t="shared" ref="BC206" si="828">(BC205-AX205)/AX205</f>
        <v>1.1038112515363372</v>
      </c>
      <c r="BD206" s="1936">
        <f t="shared" ref="BD206:BG206" si="829">(BD205-AY205)/AY205</f>
        <v>-0.20266248905479506</v>
      </c>
      <c r="BE206" s="368">
        <f t="shared" si="829"/>
        <v>-0.32476941153203448</v>
      </c>
      <c r="BF206" s="18">
        <f t="shared" si="829"/>
        <v>-3.8412462983957503</v>
      </c>
      <c r="BG206" s="18">
        <f t="shared" si="829"/>
        <v>-3.9287827456219948</v>
      </c>
      <c r="BH206" s="18">
        <f t="shared" ref="BH206" si="830">(BH205-BC205)/BC205</f>
        <v>-2.2936378856732782</v>
      </c>
      <c r="BI206" s="1936">
        <f t="shared" ref="BI206:BL206" si="831">(BI205-BD205)/BD205</f>
        <v>-2.6551064407576184</v>
      </c>
      <c r="BJ206" s="368">
        <f t="shared" si="831"/>
        <v>-4.936376804308872</v>
      </c>
      <c r="BK206" s="18">
        <f t="shared" si="831"/>
        <v>0.46413663855523729</v>
      </c>
      <c r="BL206" s="18">
        <f t="shared" si="831"/>
        <v>0.44578484149362824</v>
      </c>
      <c r="BM206" s="18">
        <f t="shared" ref="BM206" si="832">(BM205-BH205)/BH205</f>
        <v>0.83911648969219721</v>
      </c>
      <c r="BN206" s="1936">
        <f t="shared" ref="BN206" si="833">(BN205-BI205)/BI205</f>
        <v>0.96772014388133609</v>
      </c>
      <c r="BO206" s="368">
        <f t="shared" ref="BO206" si="834">(BO205-BJ205)/BJ205</f>
        <v>0.70105448955324778</v>
      </c>
      <c r="BP206" s="18">
        <f t="shared" ref="BP206" si="835">(BP205-BK205)/BK205</f>
        <v>0.84241052521919568</v>
      </c>
      <c r="BQ206" s="18">
        <f t="shared" ref="BQ206:BS206" si="836">(BQ205-BL205)/BL205</f>
        <v>0.90828548046103674</v>
      </c>
      <c r="BR206" s="2162">
        <f t="shared" si="836"/>
        <v>1.2921727969903305</v>
      </c>
      <c r="BS206" s="1936">
        <f t="shared" si="836"/>
        <v>0.94070795258022033</v>
      </c>
      <c r="BT206" s="18"/>
      <c r="BU206" s="18"/>
      <c r="BV206" s="18"/>
      <c r="BW206" s="18"/>
      <c r="BX206" s="60">
        <f>(BX205-BS205)/BS205</f>
        <v>0.3716425047712274</v>
      </c>
      <c r="BY206" s="18"/>
      <c r="BZ206" s="18"/>
      <c r="CA206" s="18"/>
      <c r="CB206" s="18"/>
      <c r="CC206" s="60">
        <f>(CC205-BX205)/BX205</f>
        <v>0.30405363931052098</v>
      </c>
      <c r="CD206" s="191"/>
      <c r="CE206" s="111"/>
      <c r="CF206" s="173"/>
      <c r="CG206" s="173"/>
      <c r="CH206" s="173"/>
      <c r="CI206" s="239"/>
      <c r="CJ206" s="177"/>
      <c r="CK206" s="2070"/>
      <c r="CL206" s="18">
        <f t="shared" si="763"/>
        <v>0.83911648969219721</v>
      </c>
      <c r="CM206" s="18">
        <f t="shared" si="764"/>
        <v>-2.2936378856732782</v>
      </c>
      <c r="CN206" s="18">
        <v>0.7207193380113518</v>
      </c>
      <c r="CO206" s="2107">
        <f>IFERROR(($CL206-CM206)*10000,"")</f>
        <v>31327.543753654754</v>
      </c>
      <c r="CP206" s="2107">
        <f>IFERROR(($CL206-CN206)*10000,"")</f>
        <v>1183.9715168084542</v>
      </c>
      <c r="CQ206" s="44"/>
      <c r="CR206" s="44"/>
      <c r="CS206" s="44"/>
      <c r="CT206" s="44"/>
      <c r="CU206" s="44"/>
      <c r="CV206" s="2214" t="s">
        <v>582</v>
      </c>
      <c r="CW206" s="2216">
        <f>fair_value</f>
        <v>125</v>
      </c>
      <c r="CX206" s="44"/>
      <c r="CY206" s="139"/>
      <c r="CZ206"/>
      <c r="DA206"/>
      <c r="DB206"/>
      <c r="DC206"/>
      <c r="DD206"/>
      <c r="DE206"/>
      <c r="DF206" s="3"/>
      <c r="DG206" s="3"/>
      <c r="DH206" s="3"/>
      <c r="DI206" s="3"/>
      <c r="DJ206" s="3"/>
    </row>
    <row r="207" spans="1:114" s="230" customFormat="1" ht="12.75" customHeight="1">
      <c r="A207" s="82" t="s">
        <v>212</v>
      </c>
      <c r="B207" s="556"/>
      <c r="C207" s="82"/>
      <c r="D207" s="82"/>
      <c r="E207" s="82"/>
      <c r="F207" s="83"/>
      <c r="G207" s="82"/>
      <c r="H207" s="82"/>
      <c r="I207" s="82"/>
      <c r="J207" s="82"/>
      <c r="K207" s="83"/>
      <c r="L207" s="82"/>
      <c r="M207" s="82"/>
      <c r="N207" s="82"/>
      <c r="O207" s="82"/>
      <c r="P207" s="83"/>
      <c r="Q207" s="82"/>
      <c r="R207" s="82"/>
      <c r="S207" s="82"/>
      <c r="T207" s="82"/>
      <c r="U207" s="83"/>
      <c r="V207" s="82"/>
      <c r="W207" s="82"/>
      <c r="X207" s="82"/>
      <c r="Y207" s="82"/>
      <c r="Z207" s="83"/>
      <c r="AA207" s="82"/>
      <c r="AB207" s="82"/>
      <c r="AC207" s="82"/>
      <c r="AD207" s="82"/>
      <c r="AE207" s="83"/>
      <c r="AF207" s="82"/>
      <c r="AG207" s="82"/>
      <c r="AH207" s="82"/>
      <c r="AI207" s="82"/>
      <c r="AJ207" s="83"/>
      <c r="AK207" s="82"/>
      <c r="AL207" s="82"/>
      <c r="AM207" s="82"/>
      <c r="AN207" s="82"/>
      <c r="AO207" s="83"/>
      <c r="AP207" s="82"/>
      <c r="AQ207" s="82"/>
      <c r="AR207" s="82"/>
      <c r="AS207" s="82"/>
      <c r="AT207" s="83"/>
      <c r="AU207" s="82"/>
      <c r="AV207" s="82"/>
      <c r="AW207" s="82"/>
      <c r="AX207" s="82"/>
      <c r="AY207" s="83">
        <f>+(AY202+AY162*(1-AY197)+AY239*(1-AY197))/AY216</f>
        <v>1.9821129569530166E-2</v>
      </c>
      <c r="AZ207" s="556"/>
      <c r="BA207" s="82"/>
      <c r="BB207" s="82"/>
      <c r="BC207" s="82"/>
      <c r="BD207" s="83">
        <f>+(BD202+BD162*(1-BD197)+BD239*(1-BD197))/BD216</f>
        <v>0.39870594215755273</v>
      </c>
      <c r="BE207" s="556"/>
      <c r="BF207" s="82"/>
      <c r="BG207" s="82"/>
      <c r="BH207" s="82"/>
      <c r="BI207" s="83">
        <f>+(BI202+BI162*(1-BI197)+BI239*(1-BI197))/BI216</f>
        <v>1.8456595099439674</v>
      </c>
      <c r="BJ207" s="556"/>
      <c r="BK207" s="82"/>
      <c r="BL207" s="82"/>
      <c r="BM207" s="82"/>
      <c r="BN207" s="83">
        <f>+(BN202+BN162*(1-BN197)+BN239*(1-BN197))/BN216</f>
        <v>2.7194128096249863</v>
      </c>
      <c r="BO207" s="556"/>
      <c r="BP207" s="82"/>
      <c r="BQ207" s="82"/>
      <c r="BR207" s="522"/>
      <c r="BS207" s="83">
        <f>+(BS202+BS162*(1-BS197)+BS239*(1-BS197))/BS216</f>
        <v>4.9305444104486824</v>
      </c>
      <c r="BT207" s="82"/>
      <c r="BU207" s="82"/>
      <c r="BV207" s="82"/>
      <c r="BW207" s="82"/>
      <c r="BX207" s="83">
        <f>+(BX202+BX162*(1-BX197)+BX239*(1-BX197))/BX216</f>
        <v>6.401148953822517</v>
      </c>
      <c r="BY207" s="82"/>
      <c r="BZ207" s="82"/>
      <c r="CA207" s="82"/>
      <c r="CB207" s="82"/>
      <c r="CC207" s="83">
        <f>+(CC202+CC162*(1-CC197)+CC239*(1-CC197))/CC216</f>
        <v>7.969904392682138</v>
      </c>
      <c r="CD207" s="201"/>
      <c r="CE207" s="123"/>
      <c r="CF207" s="173"/>
      <c r="CG207" s="173"/>
      <c r="CH207" s="173"/>
      <c r="CI207" s="239"/>
      <c r="CJ207" s="177"/>
      <c r="CK207" s="2070"/>
      <c r="CL207" s="82">
        <f t="shared" si="763"/>
        <v>0</v>
      </c>
      <c r="CM207" s="82">
        <f t="shared" si="764"/>
        <v>0</v>
      </c>
      <c r="CN207" s="82"/>
      <c r="CO207" s="2099" t="str">
        <f>IFERROR(($CL207/CM207)-1,"")</f>
        <v/>
      </c>
      <c r="CP207" s="2099" t="str">
        <f>IFERROR(($CL207/CN207)-1,"")</f>
        <v/>
      </c>
      <c r="CQ207" s="44" t="s">
        <v>550</v>
      </c>
      <c r="CR207" s="47"/>
      <c r="CS207" s="47"/>
      <c r="CT207" s="47"/>
      <c r="CU207" s="47"/>
      <c r="CV207" s="2214" t="s">
        <v>583</v>
      </c>
      <c r="CW207" s="2217">
        <v>99</v>
      </c>
      <c r="CX207" s="47"/>
      <c r="CY207" s="142"/>
      <c r="CZ207"/>
      <c r="DA207"/>
      <c r="DB207"/>
      <c r="DC207"/>
      <c r="DD207"/>
      <c r="DE207"/>
      <c r="DF207" s="46"/>
      <c r="DG207" s="46"/>
      <c r="DH207" s="46"/>
      <c r="DI207" s="46"/>
      <c r="DJ207" s="46"/>
    </row>
    <row r="208" spans="1:114" s="1" customFormat="1" ht="12.75" customHeight="1">
      <c r="A208" s="58" t="s">
        <v>85</v>
      </c>
      <c r="B208" s="368"/>
      <c r="C208" s="18"/>
      <c r="D208" s="18"/>
      <c r="E208" s="18"/>
      <c r="F208" s="60"/>
      <c r="G208" s="18"/>
      <c r="H208" s="18"/>
      <c r="I208" s="18"/>
      <c r="J208" s="18"/>
      <c r="K208" s="60"/>
      <c r="L208" s="18"/>
      <c r="M208" s="18"/>
      <c r="N208" s="18"/>
      <c r="O208" s="18"/>
      <c r="P208" s="60"/>
      <c r="Q208" s="18"/>
      <c r="R208" s="18"/>
      <c r="S208" s="18"/>
      <c r="T208" s="18"/>
      <c r="U208" s="60"/>
      <c r="V208" s="18"/>
      <c r="W208" s="18"/>
      <c r="X208" s="18"/>
      <c r="Y208" s="18"/>
      <c r="Z208" s="60"/>
      <c r="AA208" s="18"/>
      <c r="AB208" s="18"/>
      <c r="AC208" s="18"/>
      <c r="AD208" s="18"/>
      <c r="AE208" s="60"/>
      <c r="AF208" s="18"/>
      <c r="AG208" s="18"/>
      <c r="AH208" s="18"/>
      <c r="AI208" s="18"/>
      <c r="AJ208" s="60"/>
      <c r="AK208" s="18"/>
      <c r="AL208" s="18"/>
      <c r="AM208" s="18"/>
      <c r="AN208" s="18"/>
      <c r="AO208" s="60"/>
      <c r="AP208" s="18"/>
      <c r="AQ208" s="18"/>
      <c r="AR208" s="18"/>
      <c r="AS208" s="18"/>
      <c r="AT208" s="60"/>
      <c r="AU208" s="18"/>
      <c r="AV208" s="18"/>
      <c r="AW208" s="18"/>
      <c r="AX208" s="18"/>
      <c r="AY208" s="368"/>
      <c r="AZ208" s="368"/>
      <c r="BA208" s="18"/>
      <c r="BB208" s="18"/>
      <c r="BC208" s="18"/>
      <c r="BD208" s="1936"/>
      <c r="BE208" s="368"/>
      <c r="BF208" s="18"/>
      <c r="BG208" s="18"/>
      <c r="BH208" s="18"/>
      <c r="BI208" s="1936"/>
      <c r="BJ208" s="368"/>
      <c r="BK208" s="18"/>
      <c r="BL208" s="18"/>
      <c r="BM208" s="18"/>
      <c r="BN208" s="1936"/>
      <c r="BO208" s="368"/>
      <c r="BP208" s="18"/>
      <c r="BQ208" s="18"/>
      <c r="BR208" s="2162"/>
      <c r="BS208" s="1936">
        <f>(BS207-BN207)/ABS(BN207)</f>
        <v>0.81309155895629415</v>
      </c>
      <c r="BT208" s="18"/>
      <c r="BU208" s="18"/>
      <c r="BV208" s="18"/>
      <c r="BW208" s="18"/>
      <c r="BX208" s="60">
        <f>(BX207-BS207)/ABS(BS207)</f>
        <v>0.29826413088529685</v>
      </c>
      <c r="BY208" s="18"/>
      <c r="BZ208" s="18"/>
      <c r="CA208" s="18"/>
      <c r="CB208" s="18"/>
      <c r="CC208" s="60">
        <f>(CC207-BX207)/ABS(BX207)</f>
        <v>0.2450740406412229</v>
      </c>
      <c r="CD208" s="191"/>
      <c r="CE208" s="111"/>
      <c r="CF208" s="173"/>
      <c r="CG208" s="173"/>
      <c r="CH208" s="173"/>
      <c r="CI208" s="239"/>
      <c r="CJ208" s="177"/>
      <c r="CK208" s="2070"/>
      <c r="CL208" s="18"/>
      <c r="CM208" s="18"/>
      <c r="CN208" s="18"/>
      <c r="CO208" s="18"/>
      <c r="CP208" s="18"/>
      <c r="CQ208" s="44"/>
      <c r="CR208" s="44"/>
      <c r="CS208" s="44"/>
      <c r="CT208" s="44"/>
      <c r="CU208" s="44"/>
      <c r="CV208" s="2218" t="s">
        <v>584</v>
      </c>
      <c r="CW208" s="2219">
        <f>+CW206/CW207-1</f>
        <v>0.26262626262626254</v>
      </c>
      <c r="CX208" s="44"/>
      <c r="CY208" s="139"/>
      <c r="CZ208"/>
      <c r="DA208"/>
      <c r="DB208"/>
      <c r="DC208"/>
      <c r="DD208"/>
      <c r="DE208"/>
      <c r="DF208" s="3"/>
      <c r="DG208" s="3"/>
      <c r="DH208" s="3"/>
      <c r="DI208" s="3"/>
      <c r="DJ208" s="3"/>
    </row>
    <row r="209" spans="1:114" s="177" customFormat="1" ht="12.75" customHeight="1">
      <c r="A209" s="57" t="s">
        <v>92</v>
      </c>
      <c r="B209" s="371"/>
      <c r="C209" s="51"/>
      <c r="D209" s="51"/>
      <c r="E209" s="51"/>
      <c r="F209" s="63"/>
      <c r="G209" s="51"/>
      <c r="H209" s="51"/>
      <c r="I209" s="51"/>
      <c r="J209" s="51"/>
      <c r="K209" s="63"/>
      <c r="L209" s="51"/>
      <c r="M209" s="51"/>
      <c r="N209" s="51"/>
      <c r="O209" s="51"/>
      <c r="P209" s="63"/>
      <c r="Q209" s="51"/>
      <c r="R209" s="51"/>
      <c r="S209" s="51"/>
      <c r="T209" s="51"/>
      <c r="U209" s="63"/>
      <c r="V209" s="51"/>
      <c r="W209" s="51"/>
      <c r="X209" s="51"/>
      <c r="Y209" s="51"/>
      <c r="Z209" s="63"/>
      <c r="AA209" s="51"/>
      <c r="AB209" s="51"/>
      <c r="AC209" s="51"/>
      <c r="AD209" s="51"/>
      <c r="AE209" s="63"/>
      <c r="AF209" s="51"/>
      <c r="AG209" s="51"/>
      <c r="AH209" s="51"/>
      <c r="AI209" s="51"/>
      <c r="AJ209" s="63"/>
      <c r="AK209" s="51"/>
      <c r="AL209" s="51"/>
      <c r="AM209" s="51"/>
      <c r="AN209" s="51"/>
      <c r="AO209" s="63"/>
      <c r="AP209" s="51"/>
      <c r="AQ209" s="51"/>
      <c r="AR209" s="51"/>
      <c r="AS209" s="51"/>
      <c r="AT209" s="413"/>
      <c r="AU209" s="51"/>
      <c r="AV209" s="51"/>
      <c r="AW209" s="51"/>
      <c r="AX209" s="51"/>
      <c r="AY209" s="585"/>
      <c r="AZ209" s="371"/>
      <c r="BA209" s="2147"/>
      <c r="BB209" s="514"/>
      <c r="BC209" s="51"/>
      <c r="BD209" s="1961"/>
      <c r="BE209" s="2146"/>
      <c r="BF209" s="2147"/>
      <c r="BG209" s="514"/>
      <c r="BH209" s="51"/>
      <c r="BI209" s="1961"/>
      <c r="BJ209" s="453"/>
      <c r="BK209" s="453"/>
      <c r="BL209" s="453"/>
      <c r="BM209" s="453"/>
      <c r="BN209" s="1961"/>
      <c r="BO209" s="453"/>
      <c r="BP209" s="229"/>
      <c r="BQ209" s="229"/>
      <c r="BR209" s="2326"/>
      <c r="BS209" s="1961"/>
      <c r="BT209" s="229"/>
      <c r="BU209" s="229"/>
      <c r="BV209" s="229"/>
      <c r="BW209" s="229"/>
      <c r="BX209" s="413"/>
      <c r="BY209" s="229"/>
      <c r="BZ209" s="229"/>
      <c r="CA209" s="229"/>
      <c r="CB209" s="229"/>
      <c r="CC209" s="413"/>
      <c r="CE209" s="110"/>
      <c r="CF209" s="173"/>
      <c r="CG209" s="173"/>
      <c r="CH209" s="173"/>
      <c r="CI209" s="239"/>
      <c r="CK209" s="2070"/>
      <c r="CL209" s="51"/>
      <c r="CM209" s="51"/>
      <c r="CN209" s="229"/>
      <c r="CO209" s="51"/>
      <c r="CP209" s="51"/>
      <c r="CQ209" s="44"/>
      <c r="CR209" s="456"/>
      <c r="CS209" s="51"/>
      <c r="CT209" s="51"/>
      <c r="CU209" s="51"/>
      <c r="CV209" s="51"/>
      <c r="CW209" s="51"/>
      <c r="CX209" s="51"/>
      <c r="CY209" s="110"/>
      <c r="CZ209"/>
      <c r="DA209"/>
      <c r="DB209"/>
      <c r="DC209"/>
      <c r="DD209"/>
      <c r="DE209"/>
      <c r="DF209" s="103"/>
      <c r="DG209" s="103"/>
      <c r="DH209" s="103"/>
      <c r="DI209" s="103"/>
      <c r="DJ209" s="103"/>
    </row>
    <row r="210" spans="1:114" s="1" customFormat="1" ht="12.75" customHeight="1">
      <c r="A210" s="3" t="s">
        <v>44</v>
      </c>
      <c r="B210" s="367"/>
      <c r="C210" s="14"/>
      <c r="D210" s="14"/>
      <c r="E210" s="14"/>
      <c r="F210" s="67">
        <v>6.6328721250000005</v>
      </c>
      <c r="G210" s="14">
        <v>6.5712584999999999</v>
      </c>
      <c r="H210" s="14">
        <v>6.5712584999999999</v>
      </c>
      <c r="I210" s="14">
        <v>6.5713102499999998</v>
      </c>
      <c r="J210" s="14">
        <v>6.5831939999999998</v>
      </c>
      <c r="K210" s="67">
        <f>AVERAGE(G210:J210)</f>
        <v>6.5742553125000001</v>
      </c>
      <c r="L210" s="14">
        <v>6.6765249999999998</v>
      </c>
      <c r="M210" s="14">
        <v>6.6765249999999998</v>
      </c>
      <c r="N210" s="14">
        <v>6.6843867499999998</v>
      </c>
      <c r="O210" s="14">
        <v>6.6895905000000004</v>
      </c>
      <c r="P210" s="67">
        <f>AVERAGE(L210:O210)</f>
        <v>6.6817568124999998</v>
      </c>
      <c r="Q210" s="14">
        <v>7.4293847499999996</v>
      </c>
      <c r="R210" s="14">
        <v>7.9309467500000004</v>
      </c>
      <c r="S210" s="14">
        <v>7.9873155000000002</v>
      </c>
      <c r="T210" s="14">
        <v>7.9873155000000002</v>
      </c>
      <c r="U210" s="67">
        <f>AVERAGE(Q210:T210)</f>
        <v>7.8337406250000008</v>
      </c>
      <c r="V210" s="14">
        <v>8.0088045000000001</v>
      </c>
      <c r="W210" s="14">
        <v>8.0088045000000001</v>
      </c>
      <c r="X210" s="14">
        <v>8.0088045000000001</v>
      </c>
      <c r="Y210" s="14">
        <v>8.0088045000000001</v>
      </c>
      <c r="Z210" s="67">
        <f>AVERAGE(V210:Y210)</f>
        <v>8.0088045000000001</v>
      </c>
      <c r="AA210" s="14">
        <v>8.0088045000000001</v>
      </c>
      <c r="AB210" s="14">
        <v>8.0110290000000006</v>
      </c>
      <c r="AC210" s="14">
        <v>8.0953759999999999</v>
      </c>
      <c r="AD210" s="14">
        <v>8.1245100000000008</v>
      </c>
      <c r="AE210" s="67">
        <f>AVERAGE(AA210:AD210)</f>
        <v>8.0599298749999999</v>
      </c>
      <c r="AF210" s="14">
        <v>8.1756810000000009</v>
      </c>
      <c r="AG210" s="14">
        <v>8.2527202499999994</v>
      </c>
      <c r="AH210" s="14">
        <v>8.252891</v>
      </c>
      <c r="AI210" s="14">
        <v>8.3035499999999995</v>
      </c>
      <c r="AJ210" s="67">
        <f>AVERAGE(AF210:AI210)</f>
        <v>8.2462105625</v>
      </c>
      <c r="AK210" s="14">
        <v>9.5009999999999994</v>
      </c>
      <c r="AL210" s="14">
        <v>17.637</v>
      </c>
      <c r="AM210" s="14">
        <v>17.663</v>
      </c>
      <c r="AN210" s="14">
        <v>17.702000000000002</v>
      </c>
      <c r="AO210" s="67">
        <f>AVERAGE(AK210:AN210)</f>
        <v>15.62575</v>
      </c>
      <c r="AP210" s="164">
        <v>18.032</v>
      </c>
      <c r="AQ210" s="164">
        <v>18.179569999999998</v>
      </c>
      <c r="AR210" s="14">
        <v>24.222000000000001</v>
      </c>
      <c r="AS210" s="14">
        <v>30.422999999999998</v>
      </c>
      <c r="AT210" s="67">
        <f>AVERAGE(AP210:AS210)</f>
        <v>22.714142499999998</v>
      </c>
      <c r="AU210" s="164">
        <v>41.313000000000002</v>
      </c>
      <c r="AV210" s="164">
        <v>52.564999999999998</v>
      </c>
      <c r="AW210" s="14">
        <v>54.47</v>
      </c>
      <c r="AX210" s="14">
        <v>65.893044000000003</v>
      </c>
      <c r="AY210" s="367">
        <f>AVERAGE(AU210:AX210)</f>
        <v>53.560261000000004</v>
      </c>
      <c r="AZ210" s="438">
        <v>78.8</v>
      </c>
      <c r="BA210" s="164">
        <v>84.335406000000006</v>
      </c>
      <c r="BB210" s="164">
        <v>98.6</v>
      </c>
      <c r="BC210" s="14">
        <v>108.9</v>
      </c>
      <c r="BD210" s="1962">
        <f>AVERAGE(AZ210:BC210)</f>
        <v>92.658851499999997</v>
      </c>
      <c r="BE210" s="438">
        <v>109.628094</v>
      </c>
      <c r="BF210" s="164">
        <v>110</v>
      </c>
      <c r="BG210" s="164">
        <v>110.3</v>
      </c>
      <c r="BH210" s="14">
        <v>111</v>
      </c>
      <c r="BI210" s="1962">
        <f>AVERAGE(BE210:BH210)</f>
        <v>110.2320235</v>
      </c>
      <c r="BJ210" s="438">
        <v>111.4</v>
      </c>
      <c r="BK210" s="164">
        <v>111.8</v>
      </c>
      <c r="BL210" s="164">
        <v>117.5</v>
      </c>
      <c r="BM210" s="14">
        <v>119.9</v>
      </c>
      <c r="BN210" s="1962">
        <f>AVERAGE(BJ210:BM210)</f>
        <v>115.15</v>
      </c>
      <c r="BO210" s="367">
        <f>+BM210+(BO257/BO219)</f>
        <v>119.9</v>
      </c>
      <c r="BP210" s="14">
        <f t="shared" ref="BP210" si="837">+BO210+(BP257/BP219)</f>
        <v>119.9</v>
      </c>
      <c r="BQ210" s="14">
        <f>+BP210+(BQ257/BQ219)</f>
        <v>119.9</v>
      </c>
      <c r="BR210" s="2327">
        <f t="shared" ref="BR210" si="838">+BQ210+(BR257/BR219)</f>
        <v>119.9</v>
      </c>
      <c r="BS210" s="1962">
        <f>AVERAGE(BO210:BR210)</f>
        <v>119.9</v>
      </c>
      <c r="BT210" s="14"/>
      <c r="BU210" s="14"/>
      <c r="BV210" s="14"/>
      <c r="BW210" s="14"/>
      <c r="BX210" s="67">
        <f>+BS210*(1+BX218)</f>
        <v>107.91000000000001</v>
      </c>
      <c r="BY210" s="14"/>
      <c r="BZ210" s="14"/>
      <c r="CA210" s="14"/>
      <c r="CB210" s="14"/>
      <c r="CC210" s="67">
        <f>+BX210*(1+CC218)</f>
        <v>97.119000000000014</v>
      </c>
      <c r="CD210" s="164"/>
      <c r="CE210" s="124"/>
      <c r="CF210" s="173"/>
      <c r="CG210" s="173"/>
      <c r="CH210" s="173"/>
      <c r="CI210" s="239"/>
      <c r="CJ210" s="177"/>
      <c r="CK210" s="2070"/>
      <c r="CL210" s="164">
        <f t="shared" ref="CL210:CL220" si="839">BM210</f>
        <v>119.9</v>
      </c>
      <c r="CM210" s="164">
        <f t="shared" ref="CM210:CM220" si="840">BH210</f>
        <v>111</v>
      </c>
      <c r="CN210" s="14">
        <v>117.5</v>
      </c>
      <c r="CO210" s="2092">
        <f t="shared" ref="CO210:CP217" si="841">IFERROR(($CL210/CM210)-1,"")</f>
        <v>8.0180180180180249E-2</v>
      </c>
      <c r="CP210" s="2092">
        <f t="shared" si="841"/>
        <v>2.0425531914893602E-2</v>
      </c>
      <c r="CQ210" s="374"/>
      <c r="CR210" s="40"/>
      <c r="CS210" s="40"/>
      <c r="CT210" s="40"/>
      <c r="CU210" s="40"/>
      <c r="CV210" s="40"/>
      <c r="CW210" s="40"/>
      <c r="CX210" s="40"/>
      <c r="CY210" s="139"/>
      <c r="CZ210"/>
      <c r="DA210"/>
      <c r="DB210"/>
      <c r="DC210"/>
      <c r="DD210"/>
      <c r="DE210"/>
      <c r="DF210" s="3"/>
      <c r="DG210" s="3"/>
      <c r="DH210" s="3"/>
      <c r="DI210" s="3"/>
      <c r="DJ210" s="3"/>
    </row>
    <row r="211" spans="1:114" s="176" customFormat="1" ht="12.75" customHeight="1">
      <c r="A211" s="354" t="s">
        <v>46</v>
      </c>
      <c r="B211" s="557"/>
      <c r="C211" s="355"/>
      <c r="D211" s="355"/>
      <c r="E211" s="355"/>
      <c r="F211" s="356">
        <f t="shared" ref="F211:AZ211" si="842">F216-F210</f>
        <v>8.7599999999987688E-4</v>
      </c>
      <c r="G211" s="355">
        <f t="shared" si="842"/>
        <v>1.3769250000000177E-2</v>
      </c>
      <c r="H211" s="355">
        <f t="shared" si="842"/>
        <v>3.9193749999999916E-2</v>
      </c>
      <c r="I211" s="355">
        <f t="shared" si="842"/>
        <v>0.10732500000000034</v>
      </c>
      <c r="J211" s="355">
        <f t="shared" si="842"/>
        <v>0.12222775000000041</v>
      </c>
      <c r="K211" s="356">
        <f t="shared" si="842"/>
        <v>7.0628937499999545E-2</v>
      </c>
      <c r="L211" s="355">
        <f t="shared" si="842"/>
        <v>0.20090699999999995</v>
      </c>
      <c r="M211" s="355">
        <f t="shared" si="842"/>
        <v>0.20090699999999995</v>
      </c>
      <c r="N211" s="355">
        <f t="shared" si="842"/>
        <v>0.14602324999999983</v>
      </c>
      <c r="O211" s="355">
        <f t="shared" si="842"/>
        <v>0.10561299999999996</v>
      </c>
      <c r="P211" s="356">
        <f t="shared" si="842"/>
        <v>0.1633625624999997</v>
      </c>
      <c r="Q211" s="355">
        <f t="shared" si="842"/>
        <v>8.7725750000000602E-2</v>
      </c>
      <c r="R211" s="355">
        <f t="shared" si="842"/>
        <v>8.6046249999998992E-2</v>
      </c>
      <c r="S211" s="355">
        <f t="shared" si="842"/>
        <v>9.2433250000000022E-2</v>
      </c>
      <c r="T211" s="355">
        <f t="shared" si="842"/>
        <v>9.2433250000000022E-2</v>
      </c>
      <c r="U211" s="356">
        <f t="shared" si="842"/>
        <v>8.9659624999999465E-2</v>
      </c>
      <c r="V211" s="355">
        <f t="shared" si="842"/>
        <v>2.8845750000000336E-2</v>
      </c>
      <c r="W211" s="355">
        <f t="shared" si="842"/>
        <v>2.8107499999999064E-2</v>
      </c>
      <c r="X211" s="355">
        <f t="shared" si="842"/>
        <v>2.5916750000000377E-2</v>
      </c>
      <c r="Y211" s="355">
        <f t="shared" si="842"/>
        <v>5.881124999999976E-2</v>
      </c>
      <c r="Z211" s="356">
        <f t="shared" si="842"/>
        <v>3.542031249999944E-2</v>
      </c>
      <c r="AA211" s="355">
        <f t="shared" si="842"/>
        <v>0.13553349999999931</v>
      </c>
      <c r="AB211" s="355">
        <f t="shared" si="842"/>
        <v>0.15032074999999878</v>
      </c>
      <c r="AC211" s="355">
        <f t="shared" si="842"/>
        <v>0.15681000000000012</v>
      </c>
      <c r="AD211" s="355">
        <f t="shared" si="842"/>
        <v>0.38192199999999943</v>
      </c>
      <c r="AE211" s="356">
        <f t="shared" si="842"/>
        <v>0.20614656250000074</v>
      </c>
      <c r="AF211" s="355">
        <f t="shared" si="842"/>
        <v>0.34583549999999974</v>
      </c>
      <c r="AG211" s="355">
        <f t="shared" si="842"/>
        <v>0.33069375000000001</v>
      </c>
      <c r="AH211" s="355">
        <f t="shared" si="842"/>
        <v>0</v>
      </c>
      <c r="AI211" s="355">
        <f t="shared" si="842"/>
        <v>0</v>
      </c>
      <c r="AJ211" s="356">
        <f t="shared" si="842"/>
        <v>0.16913231250000038</v>
      </c>
      <c r="AK211" s="355">
        <f t="shared" si="842"/>
        <v>0</v>
      </c>
      <c r="AL211" s="355">
        <f t="shared" si="842"/>
        <v>0</v>
      </c>
      <c r="AM211" s="355">
        <f t="shared" si="842"/>
        <v>0</v>
      </c>
      <c r="AN211" s="355">
        <f t="shared" si="842"/>
        <v>0</v>
      </c>
      <c r="AO211" s="356">
        <f t="shared" si="842"/>
        <v>0</v>
      </c>
      <c r="AP211" s="355">
        <f t="shared" si="842"/>
        <v>0</v>
      </c>
      <c r="AQ211" s="355">
        <f t="shared" si="842"/>
        <v>4.3000000000148475E-4</v>
      </c>
      <c r="AR211" s="355">
        <f t="shared" si="842"/>
        <v>0</v>
      </c>
      <c r="AS211" s="355">
        <f t="shared" si="842"/>
        <v>0</v>
      </c>
      <c r="AT211" s="356">
        <f t="shared" si="842"/>
        <v>1.0750000000214754E-4</v>
      </c>
      <c r="AU211" s="355">
        <f t="shared" si="842"/>
        <v>0</v>
      </c>
      <c r="AV211" s="355">
        <f t="shared" si="842"/>
        <v>0</v>
      </c>
      <c r="AW211" s="355">
        <f t="shared" si="842"/>
        <v>0</v>
      </c>
      <c r="AX211" s="355">
        <f t="shared" si="842"/>
        <v>6.9560000000024047E-3</v>
      </c>
      <c r="AY211" s="557">
        <f t="shared" si="842"/>
        <v>1.7390000000006012E-3</v>
      </c>
      <c r="AZ211" s="557">
        <f t="shared" si="842"/>
        <v>0</v>
      </c>
      <c r="BA211" s="355">
        <f t="shared" ref="BA211:BE211" si="843">BA216-BA210</f>
        <v>-3.540600000000893E-2</v>
      </c>
      <c r="BB211" s="355">
        <f t="shared" si="843"/>
        <v>0</v>
      </c>
      <c r="BC211" s="355">
        <f t="shared" si="843"/>
        <v>0</v>
      </c>
      <c r="BD211" s="356">
        <f t="shared" si="843"/>
        <v>-8.8514999999915744E-3</v>
      </c>
      <c r="BE211" s="557">
        <f t="shared" si="843"/>
        <v>-2.8094000000010055E-2</v>
      </c>
      <c r="BF211" s="355">
        <f t="shared" ref="BF211:BJ211" si="844">BF216-BF210</f>
        <v>12.299999999999997</v>
      </c>
      <c r="BG211" s="355">
        <f t="shared" si="844"/>
        <v>12.600000000000009</v>
      </c>
      <c r="BH211" s="355">
        <f t="shared" si="844"/>
        <v>13.200000000000003</v>
      </c>
      <c r="BI211" s="356">
        <f t="shared" si="844"/>
        <v>9.517976499999989</v>
      </c>
      <c r="BJ211" s="557">
        <f t="shared" si="844"/>
        <v>13</v>
      </c>
      <c r="BK211" s="355">
        <f t="shared" ref="BK211:BN211" si="845">BK216-BK210</f>
        <v>12.900000000000006</v>
      </c>
      <c r="BL211" s="355">
        <f t="shared" si="845"/>
        <v>12.300000000000011</v>
      </c>
      <c r="BM211" s="355">
        <f t="shared" si="845"/>
        <v>13</v>
      </c>
      <c r="BN211" s="356">
        <f t="shared" si="845"/>
        <v>12.800000000000011</v>
      </c>
      <c r="BO211" s="557">
        <f>+BM211</f>
        <v>13</v>
      </c>
      <c r="BP211" s="355">
        <f t="shared" ref="BP211" si="846">+BO211</f>
        <v>13</v>
      </c>
      <c r="BQ211" s="355">
        <f t="shared" ref="BQ211:BR211" si="847">+BP211</f>
        <v>13</v>
      </c>
      <c r="BR211" s="2377">
        <f t="shared" si="847"/>
        <v>13</v>
      </c>
      <c r="BS211" s="356">
        <f>BS216-BS210</f>
        <v>13</v>
      </c>
      <c r="BT211" s="355"/>
      <c r="BU211" s="355"/>
      <c r="BV211" s="355"/>
      <c r="BW211" s="355"/>
      <c r="BX211" s="521">
        <f>+BS211</f>
        <v>13</v>
      </c>
      <c r="BY211" s="355"/>
      <c r="BZ211" s="355"/>
      <c r="CA211" s="355"/>
      <c r="CB211" s="355"/>
      <c r="CC211" s="521">
        <f>+BX211</f>
        <v>13</v>
      </c>
      <c r="CD211" s="202"/>
      <c r="CE211" s="125"/>
      <c r="CF211" s="173"/>
      <c r="CG211" s="173"/>
      <c r="CH211" s="173"/>
      <c r="CI211" s="239"/>
      <c r="CJ211" s="177"/>
      <c r="CK211" s="2070"/>
      <c r="CL211" s="355">
        <f t="shared" si="839"/>
        <v>13</v>
      </c>
      <c r="CM211" s="355">
        <f t="shared" si="840"/>
        <v>13.200000000000003</v>
      </c>
      <c r="CN211" s="355">
        <v>12.300000000000011</v>
      </c>
      <c r="CO211" s="2100">
        <f t="shared" si="841"/>
        <v>-1.515151515151536E-2</v>
      </c>
      <c r="CP211" s="2100">
        <f t="shared" si="841"/>
        <v>5.6910569105690145E-2</v>
      </c>
      <c r="CQ211" s="44"/>
      <c r="CR211" s="16"/>
      <c r="CS211" s="16"/>
      <c r="CT211" s="16"/>
      <c r="CU211" s="16"/>
      <c r="CV211" s="16"/>
      <c r="CW211" s="16"/>
      <c r="CX211" s="16"/>
      <c r="CY211" s="141"/>
      <c r="CZ211"/>
      <c r="DA211"/>
      <c r="DB211"/>
      <c r="DC211"/>
      <c r="DD211"/>
      <c r="DE211"/>
      <c r="DF211" s="8"/>
      <c r="DG211" s="8"/>
      <c r="DH211" s="8"/>
      <c r="DI211" s="8"/>
      <c r="DJ211" s="8"/>
    </row>
    <row r="212" spans="1:114" s="1" customFormat="1" ht="12.75" hidden="1" customHeight="1" outlineLevel="1">
      <c r="A212" s="353" t="s">
        <v>132</v>
      </c>
      <c r="B212" s="367"/>
      <c r="C212" s="14"/>
      <c r="D212" s="14"/>
      <c r="E212" s="14"/>
      <c r="F212" s="67"/>
      <c r="G212" s="14"/>
      <c r="H212" s="14"/>
      <c r="I212" s="14"/>
      <c r="J212" s="14"/>
      <c r="K212" s="67"/>
      <c r="L212" s="14"/>
      <c r="M212" s="14"/>
      <c r="N212" s="14"/>
      <c r="O212" s="14"/>
      <c r="P212" s="67"/>
      <c r="Q212" s="14"/>
      <c r="R212" s="14"/>
      <c r="S212" s="14"/>
      <c r="T212" s="14"/>
      <c r="U212" s="67"/>
      <c r="V212" s="14"/>
      <c r="W212" s="14"/>
      <c r="X212" s="14"/>
      <c r="Y212" s="14"/>
      <c r="Z212" s="67"/>
      <c r="AA212" s="14"/>
      <c r="AB212" s="14"/>
      <c r="AC212" s="14"/>
      <c r="AD212" s="14"/>
      <c r="AE212" s="67"/>
      <c r="AF212" s="14"/>
      <c r="AG212" s="14"/>
      <c r="AH212" s="14"/>
      <c r="AI212" s="14"/>
      <c r="AJ212" s="67"/>
      <c r="AK212" s="14">
        <v>10.714286</v>
      </c>
      <c r="AL212" s="14">
        <v>10.714286</v>
      </c>
      <c r="AM212" s="14">
        <v>10.714286</v>
      </c>
      <c r="AN212" s="14">
        <v>10.522399</v>
      </c>
      <c r="AO212" s="67">
        <f>AVERAGE(AK212:AN212)</f>
        <v>10.666314249999999</v>
      </c>
      <c r="AP212" s="164">
        <v>10.610714</v>
      </c>
      <c r="AQ212" s="164">
        <v>10.610714</v>
      </c>
      <c r="AR212" s="164">
        <v>10.604891</v>
      </c>
      <c r="AS212" s="164">
        <v>10.60295</v>
      </c>
      <c r="AT212" s="67">
        <f>AVERAGE(AP212:AS212)</f>
        <v>10.607317249999999</v>
      </c>
      <c r="AU212" s="164">
        <v>10.503285999999999</v>
      </c>
      <c r="AV212" s="164">
        <v>10.476430000000001</v>
      </c>
      <c r="AW212" s="164">
        <v>10.476430000000001</v>
      </c>
      <c r="AX212" s="164">
        <v>10.476430000000001</v>
      </c>
      <c r="AY212" s="367">
        <f>AVERAGE(AU212:AX212)</f>
        <v>10.483143999999999</v>
      </c>
      <c r="AZ212" s="438">
        <v>10.503285999999999</v>
      </c>
      <c r="BA212" s="164">
        <v>10.451860999999999</v>
      </c>
      <c r="BB212" s="164">
        <v>10.412145000000001</v>
      </c>
      <c r="BC212" s="164">
        <v>10.412145000000001</v>
      </c>
      <c r="BD212" s="1962">
        <f>AVERAGE(AZ212:BC212)</f>
        <v>10.44485925</v>
      </c>
      <c r="BE212" s="438">
        <v>10.412145000000001</v>
      </c>
      <c r="BF212" s="164">
        <v>10.4</v>
      </c>
      <c r="BG212" s="2225">
        <v>10.4</v>
      </c>
      <c r="BH212" s="2240">
        <v>10.4</v>
      </c>
      <c r="BI212" s="1962">
        <f>AVERAGE(BE212:BH212)</f>
        <v>10.40303625</v>
      </c>
      <c r="BJ212" s="2251">
        <f>+BH212</f>
        <v>10.4</v>
      </c>
      <c r="BK212" s="2240">
        <v>10.3</v>
      </c>
      <c r="BL212" s="2240">
        <v>10.3</v>
      </c>
      <c r="BM212" s="2240">
        <v>10.3</v>
      </c>
      <c r="BN212" s="1962">
        <f>AVERAGE(BJ212:BM212)</f>
        <v>10.325000000000001</v>
      </c>
      <c r="BO212" s="2363">
        <v>10.25</v>
      </c>
      <c r="BP212" s="22">
        <f>+BO212</f>
        <v>10.25</v>
      </c>
      <c r="BQ212" s="22">
        <f>+BP212</f>
        <v>10.25</v>
      </c>
      <c r="BR212" s="2328">
        <f>+BQ212</f>
        <v>10.25</v>
      </c>
      <c r="BS212" s="1962">
        <f>AVERAGE(BO212:BR212)</f>
        <v>10.25</v>
      </c>
      <c r="BT212" s="22"/>
      <c r="BU212" s="22"/>
      <c r="BV212" s="22"/>
      <c r="BW212" s="22"/>
      <c r="BX212" s="517">
        <f>BS212</f>
        <v>10.25</v>
      </c>
      <c r="BY212" s="22"/>
      <c r="BZ212" s="22"/>
      <c r="CA212" s="22"/>
      <c r="CB212" s="22"/>
      <c r="CC212" s="517">
        <f>BX212</f>
        <v>10.25</v>
      </c>
      <c r="CD212" s="164"/>
      <c r="CE212" s="124"/>
      <c r="CF212" s="173"/>
      <c r="CG212" s="173"/>
      <c r="CH212" s="173"/>
      <c r="CI212" s="239"/>
      <c r="CJ212" s="177"/>
      <c r="CK212" s="2070"/>
      <c r="CL212" s="164">
        <f t="shared" si="839"/>
        <v>10.3</v>
      </c>
      <c r="CM212" s="164">
        <f t="shared" si="840"/>
        <v>10.4</v>
      </c>
      <c r="CN212" s="22">
        <v>10.3</v>
      </c>
      <c r="CO212" s="2092">
        <f t="shared" si="841"/>
        <v>-9.6153846153845812E-3</v>
      </c>
      <c r="CP212" s="2092">
        <f t="shared" si="841"/>
        <v>0</v>
      </c>
      <c r="CQ212" s="44"/>
      <c r="CR212" s="40"/>
      <c r="CS212" s="40"/>
      <c r="CT212" s="40"/>
      <c r="CU212" s="40"/>
      <c r="CV212" s="40"/>
      <c r="CW212" s="40"/>
      <c r="CX212" s="40"/>
      <c r="CY212" s="139"/>
      <c r="CZ212"/>
      <c r="DA212"/>
      <c r="DB212"/>
      <c r="DC212"/>
      <c r="DD212"/>
      <c r="DE212"/>
      <c r="DF212" s="3"/>
      <c r="DG212" s="3"/>
      <c r="DH212" s="3"/>
      <c r="DI212" s="3"/>
      <c r="DJ212" s="3"/>
    </row>
    <row r="213" spans="1:114" s="1" customFormat="1" ht="12.75" hidden="1" customHeight="1" outlineLevel="1">
      <c r="A213" s="353" t="s">
        <v>175</v>
      </c>
      <c r="B213" s="367"/>
      <c r="C213" s="14"/>
      <c r="D213" s="14"/>
      <c r="E213" s="14"/>
      <c r="F213" s="67"/>
      <c r="G213" s="14"/>
      <c r="H213" s="14"/>
      <c r="I213" s="14"/>
      <c r="J213" s="14"/>
      <c r="K213" s="67"/>
      <c r="L213" s="14"/>
      <c r="M213" s="14"/>
      <c r="N213" s="14"/>
      <c r="O213" s="14"/>
      <c r="P213" s="67"/>
      <c r="Q213" s="14"/>
      <c r="R213" s="14"/>
      <c r="S213" s="14"/>
      <c r="T213" s="14"/>
      <c r="U213" s="67"/>
      <c r="V213" s="14"/>
      <c r="W213" s="14"/>
      <c r="X213" s="14"/>
      <c r="Y213" s="14"/>
      <c r="Z213" s="67"/>
      <c r="AA213" s="14"/>
      <c r="AB213" s="14"/>
      <c r="AC213" s="14"/>
      <c r="AD213" s="14"/>
      <c r="AE213" s="67"/>
      <c r="AF213" s="14"/>
      <c r="AG213" s="14"/>
      <c r="AH213" s="14"/>
      <c r="AI213" s="14"/>
      <c r="AJ213" s="67"/>
      <c r="AK213" s="14"/>
      <c r="AL213" s="14"/>
      <c r="AM213" s="14"/>
      <c r="AN213" s="14">
        <v>8.5755769999999991</v>
      </c>
      <c r="AO213" s="67"/>
      <c r="AP213" s="164"/>
      <c r="AQ213" s="164"/>
      <c r="AR213" s="164"/>
      <c r="AS213" s="164">
        <v>8.2572069999999993</v>
      </c>
      <c r="AT213" s="67">
        <v>8.6233310000000003</v>
      </c>
      <c r="AU213" s="164">
        <v>7.7416429999999998</v>
      </c>
      <c r="AV213" s="164">
        <v>7.3415239999999997</v>
      </c>
      <c r="AW213" s="164">
        <v>7.3413409999999999</v>
      </c>
      <c r="AX213" s="164">
        <v>6.9554520000000002</v>
      </c>
      <c r="AY213" s="367">
        <f>AVERAGE(AU213:AX213)</f>
        <v>7.3449900000000001</v>
      </c>
      <c r="AZ213" s="438">
        <v>5.1713529999999999</v>
      </c>
      <c r="BA213" s="164">
        <v>4.3840769999999996</v>
      </c>
      <c r="BB213" s="164">
        <v>3.984502</v>
      </c>
      <c r="BC213" s="164">
        <v>3.5838749999999999</v>
      </c>
      <c r="BD213" s="1962">
        <f>AVERAGE(AZ213:BC213)</f>
        <v>4.2809517499999998</v>
      </c>
      <c r="BE213" s="438">
        <v>3.180806</v>
      </c>
      <c r="BF213" s="164">
        <v>3.2</v>
      </c>
      <c r="BG213" s="2225">
        <v>3.2</v>
      </c>
      <c r="BH213" s="2240">
        <v>3.2</v>
      </c>
      <c r="BI213" s="1962">
        <f>AVERAGE(BE213:BH213)</f>
        <v>3.1952014999999996</v>
      </c>
      <c r="BJ213" s="2251">
        <v>3.2</v>
      </c>
      <c r="BK213" s="2240">
        <f t="shared" ref="BK213:BK214" si="848">+BJ213</f>
        <v>3.2</v>
      </c>
      <c r="BL213" s="2240">
        <v>3.2</v>
      </c>
      <c r="BM213" s="2240">
        <v>3.2</v>
      </c>
      <c r="BN213" s="1962">
        <f>AVERAGE(BJ213:BM213)</f>
        <v>3.2</v>
      </c>
      <c r="BO213" s="2363">
        <f t="shared" ref="BO213:BO215" si="849">+BN213</f>
        <v>3.2</v>
      </c>
      <c r="BP213" s="22">
        <f t="shared" ref="BP213:BP215" si="850">+BO213</f>
        <v>3.2</v>
      </c>
      <c r="BQ213" s="22">
        <f t="shared" ref="BQ213:BR215" si="851">+BP213</f>
        <v>3.2</v>
      </c>
      <c r="BR213" s="2328">
        <f t="shared" si="851"/>
        <v>3.2</v>
      </c>
      <c r="BS213" s="1962">
        <f>AVERAGE(BO213:BR213)</f>
        <v>3.2</v>
      </c>
      <c r="BT213" s="22"/>
      <c r="BU213" s="22"/>
      <c r="BV213" s="22"/>
      <c r="BW213" s="22"/>
      <c r="BX213" s="517">
        <f t="shared" ref="BX213:BX215" si="852">BS213</f>
        <v>3.2</v>
      </c>
      <c r="BY213" s="22"/>
      <c r="BZ213" s="22"/>
      <c r="CA213" s="22"/>
      <c r="CB213" s="22"/>
      <c r="CC213" s="517">
        <f t="shared" ref="CC213:CC215" si="853">BX213</f>
        <v>3.2</v>
      </c>
      <c r="CD213" s="164"/>
      <c r="CE213" s="124"/>
      <c r="CF213" s="173"/>
      <c r="CG213" s="173"/>
      <c r="CH213" s="173"/>
      <c r="CI213" s="239"/>
      <c r="CJ213" s="177"/>
      <c r="CK213" s="2070"/>
      <c r="CL213" s="164">
        <f t="shared" si="839"/>
        <v>3.2</v>
      </c>
      <c r="CM213" s="164">
        <f t="shared" si="840"/>
        <v>3.2</v>
      </c>
      <c r="CN213" s="22">
        <v>3.2</v>
      </c>
      <c r="CO213" s="2092">
        <f t="shared" si="841"/>
        <v>0</v>
      </c>
      <c r="CP213" s="2092">
        <f t="shared" si="841"/>
        <v>0</v>
      </c>
      <c r="CQ213" s="44" t="s">
        <v>202</v>
      </c>
      <c r="CR213" s="40"/>
      <c r="CS213" s="40"/>
      <c r="CT213" s="40"/>
      <c r="CU213" s="40"/>
      <c r="CV213" s="40"/>
      <c r="CW213" s="40"/>
      <c r="CX213" s="40"/>
      <c r="CY213" s="139"/>
      <c r="CZ213"/>
      <c r="DA213"/>
      <c r="DB213"/>
      <c r="DC213"/>
      <c r="DD213"/>
      <c r="DE213"/>
      <c r="DF213" s="3"/>
      <c r="DG213" s="3"/>
      <c r="DH213" s="3"/>
      <c r="DI213" s="3"/>
      <c r="DJ213" s="3"/>
    </row>
    <row r="214" spans="1:114" s="1" customFormat="1" ht="12.75" hidden="1" customHeight="1" outlineLevel="1">
      <c r="A214" s="353" t="s">
        <v>134</v>
      </c>
      <c r="B214" s="367"/>
      <c r="C214" s="14"/>
      <c r="D214" s="14"/>
      <c r="E214" s="14"/>
      <c r="F214" s="67"/>
      <c r="G214" s="14"/>
      <c r="H214" s="14"/>
      <c r="I214" s="14"/>
      <c r="J214" s="14"/>
      <c r="K214" s="67"/>
      <c r="L214" s="14"/>
      <c r="M214" s="14"/>
      <c r="N214" s="14"/>
      <c r="O214" s="14"/>
      <c r="P214" s="67"/>
      <c r="Q214" s="14"/>
      <c r="R214" s="14"/>
      <c r="S214" s="14"/>
      <c r="T214" s="14"/>
      <c r="U214" s="67"/>
      <c r="V214" s="14"/>
      <c r="W214" s="14"/>
      <c r="X214" s="14"/>
      <c r="Y214" s="14"/>
      <c r="Z214" s="67"/>
      <c r="AA214" s="14"/>
      <c r="AB214" s="14"/>
      <c r="AC214" s="14"/>
      <c r="AD214" s="14"/>
      <c r="AE214" s="67"/>
      <c r="AF214" s="14"/>
      <c r="AG214" s="14"/>
      <c r="AH214" s="14"/>
      <c r="AI214" s="14"/>
      <c r="AJ214" s="67"/>
      <c r="AK214" s="14">
        <f>AK212-(75/AK219)</f>
        <v>5.4112660515956437</v>
      </c>
      <c r="AL214" s="14">
        <v>6.2826589999999998</v>
      </c>
      <c r="AM214" s="14">
        <f>AM212-(75/AM219)</f>
        <v>5.5165519533127076</v>
      </c>
      <c r="AN214" s="14">
        <v>5.5480219999999996</v>
      </c>
      <c r="AO214" s="67">
        <f>AVERAGE(AK214:AN214)</f>
        <v>5.6896247512270879</v>
      </c>
      <c r="AP214" s="164">
        <f>AP212-(75/AP219)</f>
        <v>6.2387243613978152</v>
      </c>
      <c r="AQ214" s="164">
        <f>AQ212-(75/AQ219)</f>
        <v>6.1588068937496647</v>
      </c>
      <c r="AR214" s="14">
        <f>AR212-(75/AR219)</f>
        <v>7.2436631071494801</v>
      </c>
      <c r="AS214" s="164">
        <v>7.3416290000000002</v>
      </c>
      <c r="AT214" s="67">
        <f>AVERAGE(AP214:AS214)</f>
        <v>6.7457058405742405</v>
      </c>
      <c r="AU214" s="164">
        <v>8.0049670000000006</v>
      </c>
      <c r="AV214" s="164">
        <v>7.7654569999999996</v>
      </c>
      <c r="AW214" s="164">
        <v>8.6020260000000004</v>
      </c>
      <c r="AX214" s="164">
        <v>8.6272359999999999</v>
      </c>
      <c r="AY214" s="367">
        <f>AVERAGE(AU214:AX214)</f>
        <v>8.2499214999999992</v>
      </c>
      <c r="AZ214" s="438">
        <v>8.7763650000000002</v>
      </c>
      <c r="BA214" s="164">
        <v>8.9029299999999996</v>
      </c>
      <c r="BB214" s="164">
        <v>7.3891359999999997</v>
      </c>
      <c r="BC214" s="164">
        <v>7.9106370000000004</v>
      </c>
      <c r="BD214" s="1962">
        <f>AVERAGE(AZ214:BC214)</f>
        <v>8.2447669999999995</v>
      </c>
      <c r="BE214" s="438">
        <v>7.5573699999999997</v>
      </c>
      <c r="BF214" s="164">
        <v>7.6</v>
      </c>
      <c r="BG214" s="2225">
        <v>7.5</v>
      </c>
      <c r="BH214" s="2240">
        <v>7.5</v>
      </c>
      <c r="BI214" s="1962">
        <f>AVERAGE(BE214:BH214)</f>
        <v>7.5393425000000001</v>
      </c>
      <c r="BJ214" s="2251">
        <v>7.6</v>
      </c>
      <c r="BK214" s="2240">
        <f t="shared" si="848"/>
        <v>7.6</v>
      </c>
      <c r="BL214" s="2240">
        <v>7.6</v>
      </c>
      <c r="BM214" s="2240">
        <v>7.6</v>
      </c>
      <c r="BN214" s="1962">
        <f>AVERAGE(BJ214:BM214)</f>
        <v>7.6</v>
      </c>
      <c r="BO214" s="2363">
        <f t="shared" si="849"/>
        <v>7.6</v>
      </c>
      <c r="BP214" s="22">
        <f t="shared" si="850"/>
        <v>7.6</v>
      </c>
      <c r="BQ214" s="22">
        <f t="shared" si="851"/>
        <v>7.6</v>
      </c>
      <c r="BR214" s="2328">
        <f t="shared" si="851"/>
        <v>7.6</v>
      </c>
      <c r="BS214" s="1962">
        <f>AVERAGE(BO214:BR214)</f>
        <v>7.6</v>
      </c>
      <c r="BT214" s="22"/>
      <c r="BU214" s="22"/>
      <c r="BV214" s="22"/>
      <c r="BW214" s="22"/>
      <c r="BX214" s="75">
        <f t="shared" si="852"/>
        <v>7.6</v>
      </c>
      <c r="BY214" s="22"/>
      <c r="BZ214" s="22"/>
      <c r="CA214" s="22"/>
      <c r="CB214" s="22"/>
      <c r="CC214" s="75">
        <f t="shared" si="853"/>
        <v>7.6</v>
      </c>
      <c r="CD214" s="164"/>
      <c r="CE214" s="124"/>
      <c r="CF214" s="173"/>
      <c r="CG214" s="173"/>
      <c r="CH214" s="173"/>
      <c r="CI214" s="239"/>
      <c r="CJ214" s="177"/>
      <c r="CK214" s="2070"/>
      <c r="CL214" s="164">
        <f t="shared" si="839"/>
        <v>7.6</v>
      </c>
      <c r="CM214" s="164">
        <f t="shared" si="840"/>
        <v>7.5</v>
      </c>
      <c r="CN214" s="22">
        <v>7.6</v>
      </c>
      <c r="CO214" s="2092">
        <f t="shared" si="841"/>
        <v>1.3333333333333197E-2</v>
      </c>
      <c r="CP214" s="2092">
        <f t="shared" si="841"/>
        <v>0</v>
      </c>
      <c r="CQ214" s="44"/>
      <c r="CR214" s="40"/>
      <c r="CS214" s="40"/>
      <c r="CT214" s="40"/>
      <c r="CU214" s="40"/>
      <c r="CV214" s="40"/>
      <c r="CW214" s="40"/>
      <c r="CX214" s="40"/>
      <c r="CY214" s="139"/>
      <c r="CZ214"/>
      <c r="DA214"/>
      <c r="DB214"/>
      <c r="DC214"/>
      <c r="DD214"/>
      <c r="DE214"/>
      <c r="DF214" s="3"/>
      <c r="DG214" s="3"/>
      <c r="DH214" s="3"/>
      <c r="DI214" s="3"/>
      <c r="DJ214" s="3"/>
    </row>
    <row r="215" spans="1:114" s="1" customFormat="1" ht="12.75" hidden="1" customHeight="1" outlineLevel="1">
      <c r="A215" s="357" t="s">
        <v>133</v>
      </c>
      <c r="B215" s="558"/>
      <c r="C215" s="358"/>
      <c r="D215" s="358"/>
      <c r="E215" s="358"/>
      <c r="F215" s="359"/>
      <c r="G215" s="358"/>
      <c r="H215" s="358"/>
      <c r="I215" s="358"/>
      <c r="J215" s="358"/>
      <c r="K215" s="359"/>
      <c r="L215" s="358"/>
      <c r="M215" s="358"/>
      <c r="N215" s="358"/>
      <c r="O215" s="358"/>
      <c r="P215" s="359"/>
      <c r="Q215" s="358"/>
      <c r="R215" s="358"/>
      <c r="S215" s="358"/>
      <c r="T215" s="358"/>
      <c r="U215" s="359"/>
      <c r="V215" s="358"/>
      <c r="W215" s="358"/>
      <c r="X215" s="358"/>
      <c r="Y215" s="358"/>
      <c r="Z215" s="359"/>
      <c r="AA215" s="358"/>
      <c r="AB215" s="358"/>
      <c r="AC215" s="358"/>
      <c r="AD215" s="358"/>
      <c r="AE215" s="359"/>
      <c r="AF215" s="358"/>
      <c r="AG215" s="358"/>
      <c r="AH215" s="358"/>
      <c r="AI215" s="358"/>
      <c r="AJ215" s="359"/>
      <c r="AK215" s="358">
        <f>0.293578+0.0978943</f>
        <v>0.3914723</v>
      </c>
      <c r="AL215" s="358">
        <v>0.40179300000000001</v>
      </c>
      <c r="AM215" s="358">
        <f>0.507425+0.138921</f>
        <v>0.64634599999999998</v>
      </c>
      <c r="AN215" s="358">
        <f>0.447545+0.237453</f>
        <v>0.684998</v>
      </c>
      <c r="AO215" s="359">
        <f>AVERAGE(AK215:AN215)</f>
        <v>0.53115232500000009</v>
      </c>
      <c r="AP215" s="358">
        <f>0.550611+0.414088</f>
        <v>0.96469899999999997</v>
      </c>
      <c r="AQ215" s="358">
        <f>0.526813+0.436275</f>
        <v>0.96308799999999994</v>
      </c>
      <c r="AR215" s="358">
        <f>0.424122+0.432888</f>
        <v>0.85701000000000005</v>
      </c>
      <c r="AS215" s="358">
        <f>0.43891+0.427409</f>
        <v>0.86631900000000006</v>
      </c>
      <c r="AT215" s="359">
        <f>AVERAGE(AP215:AS215)</f>
        <v>0.91277900000000001</v>
      </c>
      <c r="AU215" s="471">
        <f>0.529385+0.565825</f>
        <v>1.09521</v>
      </c>
      <c r="AV215" s="471">
        <f>0.497716+0.714896</f>
        <v>1.212612</v>
      </c>
      <c r="AW215" s="483">
        <f>0.557973+0.821892</f>
        <v>1.3798650000000001</v>
      </c>
      <c r="AX215" s="483">
        <f>0.611814+0.999459</f>
        <v>1.611273</v>
      </c>
      <c r="AY215" s="558">
        <f>AVERAGE(AU215:AX215)</f>
        <v>1.32474</v>
      </c>
      <c r="AZ215" s="613">
        <f>0.633392+1.025632</f>
        <v>1.6590240000000001</v>
      </c>
      <c r="BA215" s="471">
        <f>0.650244+1.177131</f>
        <v>1.827375</v>
      </c>
      <c r="BB215" s="471">
        <f>0.524388+2.228975</f>
        <v>2.7533630000000002</v>
      </c>
      <c r="BC215" s="483">
        <f>0.628921+1.596764</f>
        <v>2.2256849999999999</v>
      </c>
      <c r="BD215" s="359">
        <f>AVERAGE(AZ215:BC215)</f>
        <v>2.1163617500000003</v>
      </c>
      <c r="BE215" s="613">
        <f>1.607032+0.570684</f>
        <v>2.1777160000000002</v>
      </c>
      <c r="BF215" s="471">
        <v>2.1777160000000002</v>
      </c>
      <c r="BG215" s="2226">
        <v>2</v>
      </c>
      <c r="BH215" s="2239">
        <v>2</v>
      </c>
      <c r="BI215" s="359">
        <f>AVERAGE(BE215:BH215)</f>
        <v>2.0888580000000001</v>
      </c>
      <c r="BJ215" s="2252">
        <v>2.1</v>
      </c>
      <c r="BK215" s="2311">
        <v>2</v>
      </c>
      <c r="BL215" s="2311">
        <v>2</v>
      </c>
      <c r="BM215" s="2239">
        <v>2</v>
      </c>
      <c r="BN215" s="359">
        <f>AVERAGE(BJ215:BM215)</f>
        <v>2.0249999999999999</v>
      </c>
      <c r="BO215" s="558">
        <f t="shared" si="849"/>
        <v>2.0249999999999999</v>
      </c>
      <c r="BP215" s="358">
        <f t="shared" si="850"/>
        <v>2.0249999999999999</v>
      </c>
      <c r="BQ215" s="358">
        <f t="shared" si="851"/>
        <v>2.0249999999999999</v>
      </c>
      <c r="BR215" s="2378">
        <f t="shared" si="851"/>
        <v>2.0249999999999999</v>
      </c>
      <c r="BS215" s="359">
        <f>AVERAGE(BO215:BR215)</f>
        <v>2.0249999999999999</v>
      </c>
      <c r="BT215" s="358"/>
      <c r="BU215" s="358"/>
      <c r="BV215" s="358"/>
      <c r="BW215" s="358"/>
      <c r="BX215" s="361">
        <f t="shared" si="852"/>
        <v>2.0249999999999999</v>
      </c>
      <c r="BY215" s="358"/>
      <c r="BZ215" s="358"/>
      <c r="CA215" s="358"/>
      <c r="CB215" s="358"/>
      <c r="CC215" s="361">
        <f t="shared" si="853"/>
        <v>2.0249999999999999</v>
      </c>
      <c r="CD215" s="164"/>
      <c r="CE215" s="124"/>
      <c r="CF215" s="173"/>
      <c r="CG215" s="173"/>
      <c r="CH215" s="173"/>
      <c r="CI215" s="239"/>
      <c r="CJ215" s="177"/>
      <c r="CK215" s="2070"/>
      <c r="CL215" s="471">
        <f t="shared" si="839"/>
        <v>2</v>
      </c>
      <c r="CM215" s="471">
        <f t="shared" si="840"/>
        <v>2</v>
      </c>
      <c r="CN215" s="360">
        <v>2</v>
      </c>
      <c r="CO215" s="2101">
        <f t="shared" si="841"/>
        <v>0</v>
      </c>
      <c r="CP215" s="2101">
        <f t="shared" si="841"/>
        <v>0</v>
      </c>
      <c r="CQ215" s="44"/>
      <c r="CR215" s="40"/>
      <c r="CS215" s="40"/>
      <c r="CT215" s="40"/>
      <c r="CU215" s="40"/>
      <c r="CV215" s="40"/>
      <c r="CW215" s="40"/>
      <c r="CX215" s="40"/>
      <c r="CY215" s="139"/>
      <c r="CZ215"/>
      <c r="DA215"/>
      <c r="DB215"/>
      <c r="DC215"/>
      <c r="DD215"/>
      <c r="DE215"/>
      <c r="DF215" s="3"/>
      <c r="DG215" s="3"/>
      <c r="DH215" s="3"/>
      <c r="DI215" s="3"/>
      <c r="DJ215" s="3"/>
    </row>
    <row r="216" spans="1:114" s="176" customFormat="1" ht="12.75" customHeight="1" collapsed="1">
      <c r="A216" s="8" t="s">
        <v>203</v>
      </c>
      <c r="B216" s="367"/>
      <c r="C216" s="14"/>
      <c r="D216" s="14"/>
      <c r="E216" s="21"/>
      <c r="F216" s="66">
        <v>6.6337481250000003</v>
      </c>
      <c r="G216" s="21">
        <v>6.5850277500000001</v>
      </c>
      <c r="H216" s="21">
        <v>6.6104522499999998</v>
      </c>
      <c r="I216" s="21">
        <v>6.6786352500000001</v>
      </c>
      <c r="J216" s="21">
        <v>6.7054217500000002</v>
      </c>
      <c r="K216" s="66">
        <f>AVERAGE(G216:J216)</f>
        <v>6.6448842499999996</v>
      </c>
      <c r="L216" s="21">
        <v>6.8774319999999998</v>
      </c>
      <c r="M216" s="21">
        <v>6.8774319999999998</v>
      </c>
      <c r="N216" s="21">
        <v>6.8304099999999996</v>
      </c>
      <c r="O216" s="21">
        <v>6.7952035000000004</v>
      </c>
      <c r="P216" s="66">
        <f>AVERAGE(L216:O216)</f>
        <v>6.8451193749999995</v>
      </c>
      <c r="Q216" s="21">
        <v>7.5171105000000003</v>
      </c>
      <c r="R216" s="21">
        <v>8.0169929999999994</v>
      </c>
      <c r="S216" s="21">
        <v>8.0797487500000003</v>
      </c>
      <c r="T216" s="21">
        <v>8.0797487500000003</v>
      </c>
      <c r="U216" s="66">
        <f>AVERAGE(Q216:T216)</f>
        <v>7.9234002500000003</v>
      </c>
      <c r="V216" s="21">
        <v>8.0376502500000004</v>
      </c>
      <c r="W216" s="21">
        <v>8.0369119999999992</v>
      </c>
      <c r="X216" s="21">
        <v>8.0347212500000005</v>
      </c>
      <c r="Y216" s="21">
        <v>8.0676157499999999</v>
      </c>
      <c r="Z216" s="66">
        <f>AVERAGE(V216:Y216)</f>
        <v>8.0442248124999995</v>
      </c>
      <c r="AA216" s="21">
        <v>8.1443379999999994</v>
      </c>
      <c r="AB216" s="21">
        <v>8.1613497499999994</v>
      </c>
      <c r="AC216" s="21">
        <v>8.252186</v>
      </c>
      <c r="AD216" s="21">
        <v>8.5064320000000002</v>
      </c>
      <c r="AE216" s="66">
        <f>AVERAGE(AA216:AD216)</f>
        <v>8.2660764375000007</v>
      </c>
      <c r="AF216" s="21">
        <v>8.5215165000000006</v>
      </c>
      <c r="AG216" s="21">
        <v>8.5834139999999994</v>
      </c>
      <c r="AH216" s="21">
        <v>8.252891</v>
      </c>
      <c r="AI216" s="21">
        <v>8.3035499999999995</v>
      </c>
      <c r="AJ216" s="66">
        <f>AVERAGE(AF216:AI216)</f>
        <v>8.4153428750000003</v>
      </c>
      <c r="AK216" s="21">
        <v>9.5009999999999994</v>
      </c>
      <c r="AL216" s="21">
        <v>17.637</v>
      </c>
      <c r="AM216" s="21">
        <v>17.663</v>
      </c>
      <c r="AN216" s="21">
        <v>17.702000000000002</v>
      </c>
      <c r="AO216" s="66">
        <f>AVERAGE(AK216:AN216)</f>
        <v>15.62575</v>
      </c>
      <c r="AP216" s="203">
        <v>18.032</v>
      </c>
      <c r="AQ216" s="203">
        <v>18.18</v>
      </c>
      <c r="AR216" s="21">
        <v>24.222000000000001</v>
      </c>
      <c r="AS216" s="21">
        <v>30.422999999999998</v>
      </c>
      <c r="AT216" s="66">
        <f>AVERAGE(AP216:AS216)</f>
        <v>22.71425</v>
      </c>
      <c r="AU216" s="203">
        <v>41.313000000000002</v>
      </c>
      <c r="AV216" s="203">
        <v>52.564999999999998</v>
      </c>
      <c r="AW216" s="21">
        <v>54.47</v>
      </c>
      <c r="AX216" s="21">
        <v>65.900000000000006</v>
      </c>
      <c r="AY216" s="586">
        <f>AVERAGE(AU216:AX216)</f>
        <v>53.562000000000005</v>
      </c>
      <c r="AZ216" s="614">
        <v>78.8</v>
      </c>
      <c r="BA216" s="203">
        <v>84.3</v>
      </c>
      <c r="BB216" s="203">
        <v>98.6</v>
      </c>
      <c r="BC216" s="21">
        <v>108.9</v>
      </c>
      <c r="BD216" s="1963">
        <f>AVERAGE(AZ216:BC216)</f>
        <v>92.65</v>
      </c>
      <c r="BE216" s="614">
        <v>109.6</v>
      </c>
      <c r="BF216" s="203">
        <v>122.3</v>
      </c>
      <c r="BG216" s="203">
        <v>122.9</v>
      </c>
      <c r="BH216" s="21">
        <v>124.2</v>
      </c>
      <c r="BI216" s="1963">
        <f>AVERAGE(BE216:BH216)</f>
        <v>119.74999999999999</v>
      </c>
      <c r="BJ216" s="614">
        <v>124.4</v>
      </c>
      <c r="BK216" s="203">
        <v>124.7</v>
      </c>
      <c r="BL216" s="203">
        <v>129.80000000000001</v>
      </c>
      <c r="BM216" s="203">
        <v>132.9</v>
      </c>
      <c r="BN216" s="2425">
        <f>AVERAGE(BJ216:BM216)</f>
        <v>127.95000000000002</v>
      </c>
      <c r="BO216" s="614">
        <f t="shared" ref="BO216:BP216" si="854">BO210+BO211</f>
        <v>132.9</v>
      </c>
      <c r="BP216" s="21">
        <f t="shared" si="854"/>
        <v>132.9</v>
      </c>
      <c r="BQ216" s="21">
        <f t="shared" ref="BQ216:BR216" si="855">BQ210+BQ211</f>
        <v>132.9</v>
      </c>
      <c r="BR216" s="2329">
        <f t="shared" si="855"/>
        <v>132.9</v>
      </c>
      <c r="BS216" s="1963">
        <f>AVERAGE(BO216:BR216)</f>
        <v>132.9</v>
      </c>
      <c r="BT216" s="21"/>
      <c r="BU216" s="21"/>
      <c r="BV216" s="21"/>
      <c r="BW216" s="21"/>
      <c r="BX216" s="66">
        <f>BX210+BX211</f>
        <v>120.91000000000001</v>
      </c>
      <c r="BY216" s="21"/>
      <c r="BZ216" s="21"/>
      <c r="CA216" s="21"/>
      <c r="CB216" s="21"/>
      <c r="CC216" s="66">
        <f>CC210+CC211</f>
        <v>110.11900000000001</v>
      </c>
      <c r="CD216" s="203"/>
      <c r="CE216" s="126"/>
      <c r="CF216" s="173"/>
      <c r="CG216" s="173"/>
      <c r="CH216" s="173"/>
      <c r="CI216" s="239"/>
      <c r="CJ216" s="177"/>
      <c r="CK216" s="2070"/>
      <c r="CL216" s="203">
        <f t="shared" si="839"/>
        <v>132.9</v>
      </c>
      <c r="CM216" s="203">
        <f t="shared" si="840"/>
        <v>124.2</v>
      </c>
      <c r="CN216" s="21">
        <v>129.80000000000001</v>
      </c>
      <c r="CO216" s="2088">
        <f t="shared" si="841"/>
        <v>7.004830917874405E-2</v>
      </c>
      <c r="CP216" s="2088">
        <f t="shared" si="841"/>
        <v>2.3882896764252592E-2</v>
      </c>
      <c r="CQ216" s="374" t="s">
        <v>577</v>
      </c>
      <c r="CR216" s="40"/>
      <c r="CS216" s="16"/>
      <c r="CT216" s="16"/>
      <c r="CU216" s="16"/>
      <c r="CV216" s="16"/>
      <c r="CW216" s="16"/>
      <c r="CX216" s="16"/>
      <c r="CY216" s="141"/>
      <c r="CZ216"/>
      <c r="DA216"/>
      <c r="DB216"/>
      <c r="DC216"/>
      <c r="DD216"/>
      <c r="DE216"/>
      <c r="DF216" s="8"/>
      <c r="DG216" s="8"/>
      <c r="DH216" s="8"/>
      <c r="DI216" s="8"/>
      <c r="DJ216" s="8"/>
    </row>
    <row r="217" spans="1:114" s="176" customFormat="1" ht="12.75" customHeight="1">
      <c r="A217" s="8" t="s">
        <v>204</v>
      </c>
      <c r="B217" s="367"/>
      <c r="C217" s="14"/>
      <c r="D217" s="14"/>
      <c r="E217" s="21"/>
      <c r="F217" s="66"/>
      <c r="G217" s="21"/>
      <c r="H217" s="21"/>
      <c r="I217" s="21"/>
      <c r="J217" s="21"/>
      <c r="K217" s="66"/>
      <c r="L217" s="21"/>
      <c r="M217" s="21"/>
      <c r="N217" s="21"/>
      <c r="O217" s="21"/>
      <c r="P217" s="66"/>
      <c r="Q217" s="21"/>
      <c r="R217" s="21"/>
      <c r="S217" s="21"/>
      <c r="T217" s="21"/>
      <c r="U217" s="66"/>
      <c r="V217" s="21"/>
      <c r="W217" s="21"/>
      <c r="X217" s="21"/>
      <c r="Y217" s="21"/>
      <c r="Z217" s="66"/>
      <c r="AA217" s="21"/>
      <c r="AB217" s="21"/>
      <c r="AC217" s="21"/>
      <c r="AD217" s="21"/>
      <c r="AE217" s="66"/>
      <c r="AF217" s="21"/>
      <c r="AG217" s="21"/>
      <c r="AH217" s="21"/>
      <c r="AI217" s="21"/>
      <c r="AJ217" s="66"/>
      <c r="AK217" s="21"/>
      <c r="AL217" s="21"/>
      <c r="AM217" s="21"/>
      <c r="AN217" s="21"/>
      <c r="AO217" s="66"/>
      <c r="AP217" s="203"/>
      <c r="AQ217" s="203"/>
      <c r="AR217" s="21"/>
      <c r="AS217" s="21"/>
      <c r="AT217" s="66"/>
      <c r="AU217" s="203">
        <f>+AU210+SUM(AU212:AU215)</f>
        <v>68.658106000000004</v>
      </c>
      <c r="AV217" s="203">
        <f t="shared" ref="AV217:AZ217" si="856">+AV210+SUM(AV212:AV215)</f>
        <v>79.361022999999989</v>
      </c>
      <c r="AW217" s="21">
        <f t="shared" si="856"/>
        <v>82.269661999999997</v>
      </c>
      <c r="AX217" s="21">
        <f t="shared" si="856"/>
        <v>93.563434999999998</v>
      </c>
      <c r="AY217" s="586">
        <f t="shared" si="856"/>
        <v>80.963056499999993</v>
      </c>
      <c r="AZ217" s="614">
        <f t="shared" si="856"/>
        <v>104.910028</v>
      </c>
      <c r="BA217" s="203">
        <f t="shared" ref="BA217:BC217" si="857">+BA210+SUM(BA212:BA215)</f>
        <v>109.90164900000001</v>
      </c>
      <c r="BB217" s="203">
        <f t="shared" si="857"/>
        <v>123.139146</v>
      </c>
      <c r="BC217" s="203">
        <f t="shared" si="857"/>
        <v>133.032342</v>
      </c>
      <c r="BD217" s="1963">
        <f t="shared" ref="BD217" si="858">+BD210+SUM(BD212:BD215)</f>
        <v>117.74579125</v>
      </c>
      <c r="BE217" s="614">
        <f>+BE210+SUM(BE212:BE215)</f>
        <v>132.956131</v>
      </c>
      <c r="BF217" s="203">
        <f t="shared" ref="BF217:CC217" si="859">+BF210+SUM(BF212:BF215)</f>
        <v>133.37771599999999</v>
      </c>
      <c r="BG217" s="203">
        <f t="shared" si="859"/>
        <v>133.4</v>
      </c>
      <c r="BH217" s="203">
        <f t="shared" si="859"/>
        <v>134.1</v>
      </c>
      <c r="BI217" s="1963">
        <f t="shared" si="859"/>
        <v>133.45846175</v>
      </c>
      <c r="BJ217" s="614">
        <f>+BJ210+SUM(BJ212:BJ215)</f>
        <v>134.70000000000002</v>
      </c>
      <c r="BK217" s="21">
        <f t="shared" ref="BK217:BN217" si="860">+BK210+SUM(BK212:BK215)</f>
        <v>134.9</v>
      </c>
      <c r="BL217" s="203">
        <f t="shared" si="860"/>
        <v>140.6</v>
      </c>
      <c r="BM217" s="203">
        <f t="shared" si="860"/>
        <v>143</v>
      </c>
      <c r="BN217" s="1963">
        <f t="shared" si="860"/>
        <v>138.30000000000001</v>
      </c>
      <c r="BO217" s="586">
        <f t="shared" ref="BO217:BP217" si="861">+BO210+SUM(BO212:BO215)</f>
        <v>142.97499999999999</v>
      </c>
      <c r="BP217" s="21">
        <f t="shared" si="861"/>
        <v>142.97499999999999</v>
      </c>
      <c r="BQ217" s="21">
        <f t="shared" si="859"/>
        <v>142.97499999999999</v>
      </c>
      <c r="BR217" s="2329">
        <f t="shared" si="859"/>
        <v>142.97499999999999</v>
      </c>
      <c r="BS217" s="1963">
        <f t="shared" si="859"/>
        <v>142.97499999999999</v>
      </c>
      <c r="BT217" s="21">
        <f t="shared" si="859"/>
        <v>0</v>
      </c>
      <c r="BU217" s="21">
        <f t="shared" si="859"/>
        <v>0</v>
      </c>
      <c r="BV217" s="21">
        <f t="shared" si="859"/>
        <v>0</v>
      </c>
      <c r="BW217" s="21">
        <f t="shared" si="859"/>
        <v>0</v>
      </c>
      <c r="BX217" s="66">
        <f t="shared" si="859"/>
        <v>130.98500000000001</v>
      </c>
      <c r="BY217" s="21">
        <f t="shared" si="859"/>
        <v>0</v>
      </c>
      <c r="BZ217" s="21">
        <f t="shared" si="859"/>
        <v>0</v>
      </c>
      <c r="CA217" s="21">
        <f t="shared" si="859"/>
        <v>0</v>
      </c>
      <c r="CB217" s="21">
        <f t="shared" si="859"/>
        <v>0</v>
      </c>
      <c r="CC217" s="66">
        <f t="shared" si="859"/>
        <v>120.19400000000002</v>
      </c>
      <c r="CD217" s="203"/>
      <c r="CE217" s="126"/>
      <c r="CF217" s="173"/>
      <c r="CG217" s="173"/>
      <c r="CH217" s="173"/>
      <c r="CI217" s="239"/>
      <c r="CJ217" s="177"/>
      <c r="CK217" s="2070"/>
      <c r="CL217" s="203">
        <f t="shared" si="839"/>
        <v>143</v>
      </c>
      <c r="CM217" s="203">
        <f t="shared" si="840"/>
        <v>134.1</v>
      </c>
      <c r="CN217" s="21">
        <v>140.6</v>
      </c>
      <c r="CO217" s="2088">
        <f t="shared" si="841"/>
        <v>6.6368381804623455E-2</v>
      </c>
      <c r="CP217" s="2088">
        <f t="shared" si="841"/>
        <v>1.7069701280227667E-2</v>
      </c>
      <c r="CQ217" s="374" t="s">
        <v>655</v>
      </c>
      <c r="CR217" s="40"/>
      <c r="CS217" s="16"/>
      <c r="CT217" s="16"/>
      <c r="CU217" s="16"/>
      <c r="CV217" s="16"/>
      <c r="CW217" s="16"/>
      <c r="CX217" s="16"/>
      <c r="CY217" s="141"/>
      <c r="CZ217"/>
      <c r="DA217"/>
      <c r="DB217"/>
      <c r="DC217"/>
      <c r="DD217"/>
      <c r="DE217"/>
      <c r="DF217" s="8"/>
      <c r="DG217" s="8"/>
      <c r="DH217" s="8"/>
      <c r="DI217" s="8"/>
      <c r="DJ217" s="8"/>
    </row>
    <row r="218" spans="1:114" s="178" customFormat="1" ht="12.75" customHeight="1">
      <c r="A218" s="19" t="s">
        <v>47</v>
      </c>
      <c r="B218" s="368" t="str">
        <f>IF(ISERROR(((B308+#REF!)/#REF!-1)*4),"",((B308+#REF!)/#REF!-1)*4)</f>
        <v/>
      </c>
      <c r="C218" s="18" t="str">
        <f>IF(ISERROR(((C308+#REF!)/B308-1)*4),"",((C308+#REF!)/B308-1)*4)</f>
        <v/>
      </c>
      <c r="D218" s="18" t="str">
        <f>IF(ISERROR(((D308+#REF!)/C308-1)*4),"",((D308+#REF!)/C308-1)*4)</f>
        <v/>
      </c>
      <c r="E218" s="18" t="str">
        <f>IF(ISERROR(((E308+#REF!)/D308-1)*4),"",((E308+#REF!)/D308-1)*4)</f>
        <v/>
      </c>
      <c r="F218" s="69"/>
      <c r="G218" s="18" t="str">
        <f>IF(ISERROR(((G308+#REF!)/F308-1)*4),"",((G308+#REF!)/F308-1)*4)</f>
        <v/>
      </c>
      <c r="H218" s="18" t="str">
        <f>IF(ISERROR(((H308+#REF!)/G308-1)*4),"",((H308+#REF!)/G308-1)*4)</f>
        <v/>
      </c>
      <c r="I218" s="18" t="str">
        <f>IF(ISERROR(((I308+#REF!)/H308-1)*4),"",((I308+#REF!)/H308-1)*4)</f>
        <v/>
      </c>
      <c r="J218" s="18" t="str">
        <f>IF(ISERROR(((J308+#REF!)/I308-1)*4),"",((J308+#REF!)/I308-1)*4)</f>
        <v/>
      </c>
      <c r="K218" s="69">
        <f>K210/F210-1</f>
        <v>-8.8373198510894868E-3</v>
      </c>
      <c r="L218" s="18" t="str">
        <f>IF(ISERROR(((L308+#REF!)/K308-1)*4),"",((L308+#REF!)/K308-1)*4)</f>
        <v/>
      </c>
      <c r="M218" s="18" t="str">
        <f>IF(ISERROR(((M308+#REF!)/L308-1)*4),"",((M308+#REF!)/L308-1)*4)</f>
        <v/>
      </c>
      <c r="N218" s="18" t="str">
        <f>IF(ISERROR(((N308+#REF!)/M308-1)*4),"",((N308+#REF!)/M308-1)*4)</f>
        <v/>
      </c>
      <c r="O218" s="18" t="str">
        <f>IF(ISERROR(((O308+#REF!)/N308-1)*4),"",((O308+#REF!)/N308-1)*4)</f>
        <v/>
      </c>
      <c r="P218" s="69">
        <f>P210/K210-1</f>
        <v>1.6351890045341211E-2</v>
      </c>
      <c r="Q218" s="18" t="str">
        <f>IF(ISERROR(((Q308+#REF!)/P308-1)*4),"",((Q308+#REF!)/P308-1)*4)</f>
        <v/>
      </c>
      <c r="R218" s="18" t="str">
        <f>IF(ISERROR(((R308+#REF!)/Q308-1)*4),"",((R308+#REF!)/Q308-1)*4)</f>
        <v/>
      </c>
      <c r="S218" s="18" t="str">
        <f>IF(ISERROR(((S308+#REF!)/R308-1)*4),"",((S308+#REF!)/R308-1)*4)</f>
        <v/>
      </c>
      <c r="T218" s="18" t="str">
        <f>IF(ISERROR(((T308+#REF!)/S308-1)*4),"",((T308+#REF!)/S308-1)*4)</f>
        <v/>
      </c>
      <c r="U218" s="69">
        <f>U210/P210-1</f>
        <v>0.17240732412543203</v>
      </c>
      <c r="V218" s="18" t="str">
        <f>IF(ISERROR(((V308+#REF!)/U308-1)*4),"",((V308+#REF!)/U308-1)*4)</f>
        <v/>
      </c>
      <c r="W218" s="18" t="str">
        <f>IF(ISERROR(((W308+#REF!)/V308-1)*4),"",((W308+#REF!)/V308-1)*4)</f>
        <v/>
      </c>
      <c r="X218" s="18" t="str">
        <f>IF(ISERROR(((X308+#REF!)/W308-1)*4),"",((X308+#REF!)/W308-1)*4)</f>
        <v/>
      </c>
      <c r="Y218" s="18" t="str">
        <f>IF(ISERROR(((Y308+#REF!)/X308-1)*4),"",((Y308+#REF!)/X308-1)*4)</f>
        <v/>
      </c>
      <c r="Z218" s="69">
        <f>Z210/U210-1</f>
        <v>2.2347417840375527E-2</v>
      </c>
      <c r="AA218" s="18" t="str">
        <f>IF(ISERROR(((AA308+#REF!)/Z308-1)*4),"",((AA308+#REF!)/Z308-1)*4)</f>
        <v/>
      </c>
      <c r="AB218" s="18" t="str">
        <f>IF(ISERROR(((AB308+#REF!)/AA308-1)*4),"",((AB308+#REF!)/AA308-1)*4)</f>
        <v/>
      </c>
      <c r="AC218" s="18" t="str">
        <f>IF(ISERROR(((AC308+#REF!)/AB308-1)*4),"",((AC308+#REF!)/AB308-1)*4)</f>
        <v/>
      </c>
      <c r="AD218" s="18" t="str">
        <f>IF(ISERROR(((AD308+#REF!)/AC308-1)*4),"",((AD308+#REF!)/AC308-1)*4)</f>
        <v/>
      </c>
      <c r="AE218" s="69">
        <f>AE210/Z210-1</f>
        <v>6.383646273298238E-3</v>
      </c>
      <c r="AF218" s="18">
        <f>((AF210/AD210)-1)*4</f>
        <v>2.5193396278668345E-2</v>
      </c>
      <c r="AG218" s="18">
        <f>((AG210/AF210)-1)*4</f>
        <v>3.7691906032047306E-2</v>
      </c>
      <c r="AH218" s="18">
        <f>((AH210/AG210)-1)*4</f>
        <v>8.2760590364827635E-5</v>
      </c>
      <c r="AI218" s="18">
        <f>((AI210/AH210)-1)*4</f>
        <v>2.4553335310014468E-2</v>
      </c>
      <c r="AJ218" s="69">
        <f>AJ210/AE210-1</f>
        <v>2.3111948911342051E-2</v>
      </c>
      <c r="AK218" s="18">
        <f>((AK210/AI210)-1)*4</f>
        <v>0.57683761764546482</v>
      </c>
      <c r="AL218" s="18">
        <f>((AL210/AK210)-1)*4</f>
        <v>3.4253236501420909</v>
      </c>
      <c r="AM218" s="18">
        <f>((AM210/AL210)-1)*4</f>
        <v>5.896694449169182E-3</v>
      </c>
      <c r="AN218" s="18">
        <f>((AN210/AM210)-1)*4</f>
        <v>8.832021740361462E-3</v>
      </c>
      <c r="AO218" s="69">
        <f>AO210/AJ210-1</f>
        <v>0.89490067972054654</v>
      </c>
      <c r="AP218" s="18">
        <f>((AP210/AN210)-1)*4</f>
        <v>7.4567845441192659E-2</v>
      </c>
      <c r="AQ218" s="18">
        <f>((AQ210/AP210)-1)*4</f>
        <v>3.2735137533273395E-2</v>
      </c>
      <c r="AR218" s="18">
        <f>((AR210/AQ210)-1)*4</f>
        <v>1.3294989925504295</v>
      </c>
      <c r="AS218" s="18">
        <f>((AS210/AR210)-1)*4</f>
        <v>1.0240277433737921</v>
      </c>
      <c r="AT218" s="69">
        <f>AT210/AO210-1</f>
        <v>0.45363534550341567</v>
      </c>
      <c r="AU218" s="18">
        <f>((AU210/AS210)-1)*4</f>
        <v>1.4318114584360524</v>
      </c>
      <c r="AV218" s="345">
        <f>AV210/AQ210-1</f>
        <v>1.8914325256317945</v>
      </c>
      <c r="AW218" s="18">
        <f>((AW210/AV210)-1)*4</f>
        <v>0.14496337867402254</v>
      </c>
      <c r="AX218" s="18">
        <f>((AX210/AW210)-1)*4</f>
        <v>0.83885030291903817</v>
      </c>
      <c r="AY218" s="587">
        <f>AY210/AT210-1</f>
        <v>1.3580137793007157</v>
      </c>
      <c r="AZ218" s="368">
        <f>((AZ210/AX210)-1)*4</f>
        <v>0.7835094702864227</v>
      </c>
      <c r="BA218" s="345">
        <f t="shared" ref="BA218:BG218" si="862">BA210/AV210-1</f>
        <v>0.60440228288785325</v>
      </c>
      <c r="BB218" s="345">
        <f t="shared" si="862"/>
        <v>0.81017073618505586</v>
      </c>
      <c r="BC218" s="18">
        <f t="shared" si="862"/>
        <v>0.65267824020999843</v>
      </c>
      <c r="BD218" s="1964">
        <f>BD210/AY210-1</f>
        <v>0.72999253121638064</v>
      </c>
      <c r="BE218" s="368">
        <f t="shared" si="862"/>
        <v>0.39121946700507615</v>
      </c>
      <c r="BF218" s="345">
        <f t="shared" si="862"/>
        <v>0.30431576982032893</v>
      </c>
      <c r="BG218" s="345">
        <f t="shared" si="862"/>
        <v>0.11866125760649093</v>
      </c>
      <c r="BH218" s="18">
        <f t="shared" ref="BH218" si="863">BH210/BC210-1</f>
        <v>1.9283746556473691E-2</v>
      </c>
      <c r="BI218" s="1964">
        <f>BI210/BD210-1</f>
        <v>0.18965454153076777</v>
      </c>
      <c r="BJ218" s="368">
        <f t="shared" ref="BJ218:BL218" si="864">BJ210/BE210-1</f>
        <v>1.6162882481565388E-2</v>
      </c>
      <c r="BK218" s="345">
        <f t="shared" si="864"/>
        <v>1.6363636363636358E-2</v>
      </c>
      <c r="BL218" s="345">
        <f t="shared" si="864"/>
        <v>6.5276518585675403E-2</v>
      </c>
      <c r="BM218" s="18">
        <f t="shared" ref="BM218" si="865">BM210/BH210-1</f>
        <v>8.0180180180180249E-2</v>
      </c>
      <c r="BN218" s="1964">
        <f>BN210/BI210-1</f>
        <v>4.4614771133181685E-2</v>
      </c>
      <c r="BO218" s="2364">
        <f t="shared" ref="BO218" si="866">BO210/BJ210-1</f>
        <v>7.6301615798922695E-2</v>
      </c>
      <c r="BP218" s="345">
        <f t="shared" ref="BP218" si="867">BP210/BK210-1</f>
        <v>7.2450805008944519E-2</v>
      </c>
      <c r="BQ218" s="345">
        <f t="shared" ref="BQ218:BS218" si="868">BQ210/BL210-1</f>
        <v>2.0425531914893602E-2</v>
      </c>
      <c r="BR218" s="473">
        <f t="shared" si="868"/>
        <v>0</v>
      </c>
      <c r="BS218" s="1964">
        <f t="shared" si="868"/>
        <v>4.1250542770299603E-2</v>
      </c>
      <c r="BT218" s="20"/>
      <c r="BU218" s="20"/>
      <c r="BV218" s="20"/>
      <c r="BW218" s="20"/>
      <c r="BX218" s="350">
        <v>-0.1</v>
      </c>
      <c r="BY218" s="2403"/>
      <c r="BZ218" s="2403"/>
      <c r="CA218" s="2403"/>
      <c r="CB218" s="2403"/>
      <c r="CC218" s="350">
        <v>-0.1</v>
      </c>
      <c r="CD218" s="192"/>
      <c r="CE218" s="112"/>
      <c r="CF218" s="173"/>
      <c r="CG218" s="173"/>
      <c r="CH218" s="173"/>
      <c r="CI218" s="239"/>
      <c r="CJ218" s="177"/>
      <c r="CK218" s="2070"/>
      <c r="CL218" s="345">
        <f t="shared" si="839"/>
        <v>8.0180180180180249E-2</v>
      </c>
      <c r="CM218" s="345">
        <f t="shared" si="840"/>
        <v>1.9283746556473691E-2</v>
      </c>
      <c r="CN218" s="345">
        <v>5.8558558558558627E-2</v>
      </c>
      <c r="CO218" s="2117">
        <f>IFERROR(($CL218-CM218)*10000,"")</f>
        <v>608.9643362370656</v>
      </c>
      <c r="CP218" s="2117">
        <f>IFERROR(($CL218-CN218)*10000,"")</f>
        <v>216.21621621621622</v>
      </c>
      <c r="CQ218" s="44"/>
      <c r="CR218" s="44" t="s">
        <v>624</v>
      </c>
      <c r="CS218" s="41"/>
      <c r="CT218" s="41"/>
      <c r="CU218" s="41"/>
      <c r="CV218" s="41"/>
      <c r="CW218" s="41"/>
      <c r="CX218" s="16"/>
      <c r="CY218" s="116"/>
      <c r="CZ218"/>
      <c r="DA218"/>
      <c r="DB218"/>
      <c r="DC218"/>
      <c r="DD218"/>
      <c r="DE218"/>
      <c r="DF218" s="19"/>
      <c r="DG218" s="19"/>
      <c r="DH218" s="19"/>
      <c r="DI218" s="19"/>
      <c r="DJ218" s="19"/>
    </row>
    <row r="219" spans="1:114" s="180" customFormat="1" ht="12.75" customHeight="1">
      <c r="A219" s="38" t="s">
        <v>56</v>
      </c>
      <c r="B219" s="508"/>
      <c r="C219" s="106"/>
      <c r="D219" s="106"/>
      <c r="E219" s="106"/>
      <c r="F219" s="187">
        <v>3.1981971544223087</v>
      </c>
      <c r="G219" s="38"/>
      <c r="H219" s="106"/>
      <c r="I219" s="106"/>
      <c r="J219" s="106"/>
      <c r="K219" s="187">
        <v>4.2554431535743005</v>
      </c>
      <c r="L219" s="106"/>
      <c r="M219" s="106"/>
      <c r="N219" s="106"/>
      <c r="O219" s="106"/>
      <c r="P219" s="187">
        <v>5.2548478039840694</v>
      </c>
      <c r="Q219" s="106"/>
      <c r="R219" s="106"/>
      <c r="S219" s="106"/>
      <c r="T219" s="106"/>
      <c r="U219" s="187">
        <v>4.6524888283003998</v>
      </c>
      <c r="V219" s="107"/>
      <c r="W219" s="107"/>
      <c r="X219" s="107"/>
      <c r="Y219" s="107"/>
      <c r="Z219" s="187">
        <v>3.703730192350593</v>
      </c>
      <c r="AA219" s="107">
        <v>5.424995441269842</v>
      </c>
      <c r="AB219" s="107">
        <v>5.7289890158730152</v>
      </c>
      <c r="AC219" s="107">
        <v>5.8070672749999996</v>
      </c>
      <c r="AD219" s="107">
        <v>9.5616358500000018</v>
      </c>
      <c r="AE219" s="187">
        <v>6.6306718955357145</v>
      </c>
      <c r="AF219" s="107">
        <v>10.052195154098365</v>
      </c>
      <c r="AG219" s="107">
        <v>9.5320618158730195</v>
      </c>
      <c r="AH219" s="107">
        <v>12.195155017187501</v>
      </c>
      <c r="AI219" s="107">
        <v>10.49584274126984</v>
      </c>
      <c r="AJ219" s="187">
        <f>AVERAGE(AF219:AI219)</f>
        <v>10.568813682107182</v>
      </c>
      <c r="AK219" s="107">
        <v>14.142884758064509</v>
      </c>
      <c r="AL219" s="407">
        <v>16.923803777777781</v>
      </c>
      <c r="AM219" s="407">
        <v>14.429364666666674</v>
      </c>
      <c r="AN219" s="107">
        <v>12.58</v>
      </c>
      <c r="AO219" s="72">
        <f>AVERAGE(AK219:AN219)</f>
        <v>14.51901330062724</v>
      </c>
      <c r="AP219" s="204">
        <v>17.154660966666665</v>
      </c>
      <c r="AQ219" s="204">
        <v>16.846712703125004</v>
      </c>
      <c r="AR219" s="433">
        <v>22.313274312499999</v>
      </c>
      <c r="AS219" s="433">
        <v>22.272648812499998</v>
      </c>
      <c r="AT219" s="72">
        <f>AVERAGE(AP219:AS219)</f>
        <v>19.646824198697917</v>
      </c>
      <c r="AU219" s="433" t="s">
        <v>182</v>
      </c>
      <c r="AV219" s="433">
        <v>26.41459584126984</v>
      </c>
      <c r="AW219" s="433" t="s">
        <v>230</v>
      </c>
      <c r="AX219" s="433">
        <v>38.162810093749989</v>
      </c>
      <c r="AY219" s="508">
        <f>AVERAGE(AU219:AX219)</f>
        <v>32.288702967509913</v>
      </c>
      <c r="AZ219" s="615" t="s">
        <v>231</v>
      </c>
      <c r="BA219" s="433" t="s">
        <v>232</v>
      </c>
      <c r="BB219" s="107">
        <v>37.925625578125</v>
      </c>
      <c r="BC219" s="433">
        <v>28.703906015624995</v>
      </c>
      <c r="BD219" s="1965">
        <f>AVERAGE(AZ219:BC219)</f>
        <v>33.314765796874994</v>
      </c>
      <c r="BE219" s="615">
        <v>25.208688180327876</v>
      </c>
      <c r="BF219" s="433" t="s">
        <v>568</v>
      </c>
      <c r="BG219" s="107">
        <v>32.693906796874998</v>
      </c>
      <c r="BH219" s="2241">
        <v>40.270000000000003</v>
      </c>
      <c r="BI219" s="1965">
        <f>AVERAGE(BE219:BH219)</f>
        <v>32.724198325734292</v>
      </c>
      <c r="BJ219" s="615">
        <v>47.216613241935491</v>
      </c>
      <c r="BK219" s="433">
        <v>54.140636174603173</v>
      </c>
      <c r="BL219" s="107">
        <v>60.553016063492088</v>
      </c>
      <c r="BM219" s="2241">
        <v>73.930635476190474</v>
      </c>
      <c r="BN219" s="1965">
        <f>AVERAGE(BJ219:BM219)</f>
        <v>58.960225239055305</v>
      </c>
      <c r="BO219" s="615">
        <v>96.45</v>
      </c>
      <c r="BP219" s="107">
        <f t="shared" ref="BP219:BS219" si="869">BO219</f>
        <v>96.45</v>
      </c>
      <c r="BQ219" s="433">
        <f t="shared" si="869"/>
        <v>96.45</v>
      </c>
      <c r="BR219" s="2330">
        <f t="shared" si="869"/>
        <v>96.45</v>
      </c>
      <c r="BS219" s="1965">
        <f t="shared" si="869"/>
        <v>96.45</v>
      </c>
      <c r="BT219" s="107"/>
      <c r="BU219" s="107"/>
      <c r="BV219" s="107"/>
      <c r="BW219" s="107"/>
      <c r="BX219" s="108">
        <f>BS219</f>
        <v>96.45</v>
      </c>
      <c r="BY219" s="107"/>
      <c r="BZ219" s="107"/>
      <c r="CA219" s="107"/>
      <c r="CB219" s="107"/>
      <c r="CC219" s="108">
        <f>BX219</f>
        <v>96.45</v>
      </c>
      <c r="CD219" s="204"/>
      <c r="CE219" s="127"/>
      <c r="CF219" s="173"/>
      <c r="CG219" s="173"/>
      <c r="CH219" s="173"/>
      <c r="CI219" s="239"/>
      <c r="CJ219" s="177"/>
      <c r="CK219" s="2070"/>
      <c r="CL219" s="433">
        <f t="shared" si="839"/>
        <v>73.930635476190474</v>
      </c>
      <c r="CM219" s="433">
        <f t="shared" si="840"/>
        <v>40.270000000000003</v>
      </c>
      <c r="CN219" s="107">
        <v>68.17</v>
      </c>
      <c r="CO219" s="2102">
        <f>IFERROR(($CL219/CM219)-1,"")</f>
        <v>0.8358737391653952</v>
      </c>
      <c r="CP219" s="2102">
        <f>IFERROR(($CL219/CN219)-1,"")</f>
        <v>8.4503967671856639E-2</v>
      </c>
      <c r="CQ219" s="44"/>
      <c r="CR219" s="487"/>
      <c r="CS219" s="109"/>
      <c r="CT219" s="2246"/>
      <c r="CU219" s="2246"/>
      <c r="CV219" s="2246"/>
      <c r="CW219" s="2246"/>
      <c r="CX219" s="109"/>
      <c r="CY219" s="143"/>
      <c r="CZ219"/>
      <c r="DA219"/>
      <c r="DB219"/>
      <c r="DC219"/>
      <c r="DD219"/>
      <c r="DE219"/>
      <c r="DF219" s="105"/>
      <c r="DG219" s="105"/>
      <c r="DH219" s="105"/>
      <c r="DI219" s="105"/>
      <c r="DJ219" s="105"/>
    </row>
    <row r="220" spans="1:114" s="181" customFormat="1" ht="12.75" customHeight="1">
      <c r="A220" s="39" t="s">
        <v>57</v>
      </c>
      <c r="B220" s="559"/>
      <c r="C220" s="48"/>
      <c r="D220" s="18" t="str">
        <f>IF(ISERROR((D219-#REF!)/#REF!),"",(D219-#REF!)/#REF!)</f>
        <v/>
      </c>
      <c r="E220" s="48"/>
      <c r="F220" s="60" t="str">
        <f>IF(ISERROR((F219-#REF!)/#REF!),"",(F219-#REF!)/#REF!)</f>
        <v/>
      </c>
      <c r="G220" s="48"/>
      <c r="H220" s="18" t="str">
        <f>IF(ISERROR((H219-C219)/C219),"",(H219-C219)/C219)</f>
        <v/>
      </c>
      <c r="I220" s="18" t="str">
        <f>IF(ISERROR((I219-D219)/D219),"",(I219-D219)/D219)</f>
        <v/>
      </c>
      <c r="J220" s="18" t="str">
        <f>IF(ISERROR((J219-E219)/E219),"",(J219-E219)/E219)</f>
        <v/>
      </c>
      <c r="K220" s="60">
        <f t="shared" ref="K220:AJ220" si="870">IF(ISERROR((K219-F219)/F219),"",(K219-F219)/F219)</f>
        <v>0.33057561748189424</v>
      </c>
      <c r="L220" s="18" t="str">
        <f t="shared" si="870"/>
        <v/>
      </c>
      <c r="M220" s="18" t="str">
        <f t="shared" si="870"/>
        <v/>
      </c>
      <c r="N220" s="18" t="str">
        <f t="shared" si="870"/>
        <v/>
      </c>
      <c r="O220" s="18" t="str">
        <f t="shared" si="870"/>
        <v/>
      </c>
      <c r="P220" s="60">
        <f t="shared" si="870"/>
        <v>0.23485324896664</v>
      </c>
      <c r="Q220" s="18" t="str">
        <f t="shared" si="870"/>
        <v/>
      </c>
      <c r="R220" s="18" t="str">
        <f t="shared" si="870"/>
        <v/>
      </c>
      <c r="S220" s="18" t="str">
        <f t="shared" si="870"/>
        <v/>
      </c>
      <c r="T220" s="18" t="str">
        <f t="shared" si="870"/>
        <v/>
      </c>
      <c r="U220" s="60">
        <f t="shared" si="870"/>
        <v>-0.1146291953930576</v>
      </c>
      <c r="V220" s="18" t="str">
        <f t="shared" si="870"/>
        <v/>
      </c>
      <c r="W220" s="18" t="str">
        <f t="shared" si="870"/>
        <v/>
      </c>
      <c r="X220" s="18" t="str">
        <f t="shared" si="870"/>
        <v/>
      </c>
      <c r="Y220" s="18" t="str">
        <f t="shared" si="870"/>
        <v/>
      </c>
      <c r="Z220" s="60">
        <f t="shared" si="870"/>
        <v>-0.20392496811140065</v>
      </c>
      <c r="AA220" s="18" t="str">
        <f t="shared" si="870"/>
        <v/>
      </c>
      <c r="AB220" s="18" t="str">
        <f t="shared" si="870"/>
        <v/>
      </c>
      <c r="AC220" s="18" t="str">
        <f t="shared" si="870"/>
        <v/>
      </c>
      <c r="AD220" s="18" t="str">
        <f t="shared" si="870"/>
        <v/>
      </c>
      <c r="AE220" s="60">
        <f t="shared" si="870"/>
        <v>0.7902686079105351</v>
      </c>
      <c r="AF220" s="18">
        <f t="shared" si="870"/>
        <v>0.85294075597332175</v>
      </c>
      <c r="AG220" s="18">
        <f t="shared" si="870"/>
        <v>0.66382965466734634</v>
      </c>
      <c r="AH220" s="18">
        <f t="shared" si="870"/>
        <v>1.1000540272176373</v>
      </c>
      <c r="AI220" s="18">
        <f t="shared" si="870"/>
        <v>9.7703667649070514E-2</v>
      </c>
      <c r="AJ220" s="60">
        <f t="shared" si="870"/>
        <v>0.59392801342243029</v>
      </c>
      <c r="AK220" s="18">
        <f>AK219/AF219-1</f>
        <v>0.40694490519300497</v>
      </c>
      <c r="AL220" s="18">
        <f>AL219/AG219-1</f>
        <v>0.77546097630166999</v>
      </c>
      <c r="AM220" s="18">
        <f>IF(ISERROR((AM219-AH219)/AH219),"",(AM219-AH219)/AH219)</f>
        <v>0.18320469451436588</v>
      </c>
      <c r="AN220" s="18">
        <f>IF(ISERROR((AN219-AI219)/AI219),"",(AN219-AI219)/AI219)</f>
        <v>0.19856978711535159</v>
      </c>
      <c r="AO220" s="60">
        <f>AO219/AJ219-1</f>
        <v>0.37375998265611177</v>
      </c>
      <c r="AP220" s="191">
        <f>AP219/AK219-1</f>
        <v>0.2129534575246248</v>
      </c>
      <c r="AQ220" s="18">
        <f>AQ219/AL219-1</f>
        <v>-4.5551860364868579E-3</v>
      </c>
      <c r="AR220" s="18">
        <f>IF(ISERROR((AR219-AM219)/AM219),"",(AR219-AM219)/AM219)</f>
        <v>0.54637954116205634</v>
      </c>
      <c r="AS220" s="18">
        <f>IF(ISERROR((AS219-AN219)/AN219),"",(AS219-AN219)/AN219)</f>
        <v>0.77048082770270254</v>
      </c>
      <c r="AT220" s="60">
        <f>AT219/AO219-1</f>
        <v>0.35317902063283801</v>
      </c>
      <c r="AU220" s="191">
        <f>AU219/AP219-1</f>
        <v>0.6817586809823073</v>
      </c>
      <c r="AV220" s="18">
        <f>AV219/AQ219-1</f>
        <v>0.56793769245973014</v>
      </c>
      <c r="AW220" s="18">
        <f>IF(ISERROR((AW219-AR219)/AR219),"",(AW219-AR219)/AR219)</f>
        <v>0.41485286103054542</v>
      </c>
      <c r="AX220" s="18">
        <f>IF(ISERROR((AX219-AS219)/AS219),"",(AX219-AS219)/AS219)</f>
        <v>0.71343832585965317</v>
      </c>
      <c r="AY220" s="368">
        <f t="shared" ref="AY220:BB220" si="871">AY219/AT219-1</f>
        <v>0.6434566035181315</v>
      </c>
      <c r="AZ220" s="439">
        <f t="shared" si="871"/>
        <v>0.45025996533795509</v>
      </c>
      <c r="BA220" s="18">
        <f t="shared" si="871"/>
        <v>0.77515492880415904</v>
      </c>
      <c r="BB220" s="18">
        <f t="shared" si="871"/>
        <v>0.20131851688707636</v>
      </c>
      <c r="BC220" s="18">
        <f>IF(ISERROR((BC219-AX219)/AX219),"",(BC219-AX219)/AX219)</f>
        <v>-0.24785659271129254</v>
      </c>
      <c r="BD220" s="1936">
        <f t="shared" ref="BD220" si="872">BD219/AY219-1</f>
        <v>3.1777765443150363E-2</v>
      </c>
      <c r="BE220" s="439">
        <f>IF(ISERROR((BE219-AZ219)/AZ219),"",(BE219-AZ219)/AZ219)</f>
        <v>-0.39749789243958239</v>
      </c>
      <c r="BF220" s="18">
        <f t="shared" ref="BF220:BH220" si="873">BF219/BA219-1</f>
        <v>-0.38750266581360637</v>
      </c>
      <c r="BG220" s="18">
        <f t="shared" si="873"/>
        <v>-0.13794680249829783</v>
      </c>
      <c r="BH220" s="18">
        <f t="shared" si="873"/>
        <v>0.40294495035201816</v>
      </c>
      <c r="BI220" s="1936">
        <f t="shared" ref="BI220" si="874">BI219/BD219-1</f>
        <v>-1.7726898479235254E-2</v>
      </c>
      <c r="BJ220" s="439">
        <f>IF(ISERROR((BJ219-BE219)/BE219),"",(BJ219-BE219)/BE219)</f>
        <v>0.87302936607316028</v>
      </c>
      <c r="BK220" s="18">
        <f t="shared" ref="BK220:BL220" si="875">BK219/BF219-1</f>
        <v>0.8851196439625062</v>
      </c>
      <c r="BL220" s="18">
        <f t="shared" si="875"/>
        <v>0.85211930894964083</v>
      </c>
      <c r="BM220" s="18">
        <f t="shared" ref="BM220:BO220" si="876">BM219/BH219-1</f>
        <v>0.8358737391653952</v>
      </c>
      <c r="BN220" s="1936">
        <f t="shared" ref="BN220" si="877">BN219/BI219-1</f>
        <v>0.80173169261992316</v>
      </c>
      <c r="BO220" s="368">
        <f t="shared" si="876"/>
        <v>1.0427132184554444</v>
      </c>
      <c r="BP220" s="18"/>
      <c r="BQ220" s="18"/>
      <c r="BR220" s="2162"/>
      <c r="BS220" s="1936"/>
      <c r="BT220" s="48"/>
      <c r="BU220" s="48"/>
      <c r="BV220" s="48"/>
      <c r="BW220" s="48"/>
      <c r="BX220" s="74"/>
      <c r="BY220" s="48"/>
      <c r="BZ220" s="48"/>
      <c r="CA220" s="48"/>
      <c r="CB220" s="48"/>
      <c r="CC220" s="74"/>
      <c r="CD220" s="192"/>
      <c r="CE220" s="128"/>
      <c r="CF220" s="173"/>
      <c r="CG220" s="173"/>
      <c r="CH220" s="173"/>
      <c r="CI220" s="239"/>
      <c r="CJ220" s="177"/>
      <c r="CK220" s="2070"/>
      <c r="CL220" s="18">
        <f t="shared" si="839"/>
        <v>0.8358737391653952</v>
      </c>
      <c r="CM220" s="18">
        <f t="shared" si="840"/>
        <v>0.40294495035201816</v>
      </c>
      <c r="CN220" s="20">
        <v>0.69282344176806543</v>
      </c>
      <c r="CO220" s="2107">
        <f>IFERROR(($CL220-CM220)*10000,"")</f>
        <v>4329.2878881337701</v>
      </c>
      <c r="CP220" s="2107">
        <f>IFERROR(($CL220-CN220)*10000,"")</f>
        <v>1430.5029739732977</v>
      </c>
      <c r="CQ220" s="44"/>
      <c r="CR220" s="44"/>
      <c r="CS220" s="43"/>
      <c r="CT220" s="347"/>
      <c r="CU220" s="43"/>
      <c r="CV220" s="43"/>
      <c r="CW220" s="43"/>
      <c r="CX220" s="43"/>
      <c r="CY220" s="144"/>
      <c r="CZ220"/>
      <c r="DA220"/>
      <c r="DB220"/>
      <c r="DC220"/>
      <c r="DD220"/>
      <c r="DE220"/>
      <c r="DF220" s="28"/>
      <c r="DG220" s="28"/>
      <c r="DH220" s="28"/>
      <c r="DI220" s="28"/>
      <c r="DJ220" s="28"/>
    </row>
    <row r="221" spans="1:114" s="177" customFormat="1" ht="12.75" customHeight="1">
      <c r="A221" s="57" t="s">
        <v>48</v>
      </c>
      <c r="B221" s="371"/>
      <c r="C221" s="51"/>
      <c r="D221" s="51"/>
      <c r="E221" s="51"/>
      <c r="F221" s="63"/>
      <c r="G221" s="51"/>
      <c r="H221" s="51"/>
      <c r="I221" s="51"/>
      <c r="J221" s="51"/>
      <c r="K221" s="63"/>
      <c r="L221" s="51"/>
      <c r="M221" s="51"/>
      <c r="N221" s="51"/>
      <c r="O221" s="51"/>
      <c r="P221" s="63"/>
      <c r="Q221" s="51"/>
      <c r="R221" s="51"/>
      <c r="S221" s="51"/>
      <c r="T221" s="51"/>
      <c r="U221" s="63"/>
      <c r="V221" s="51"/>
      <c r="W221" s="51"/>
      <c r="X221" s="51"/>
      <c r="Y221" s="51"/>
      <c r="Z221" s="63"/>
      <c r="AA221" s="51"/>
      <c r="AB221" s="51"/>
      <c r="AC221" s="51"/>
      <c r="AD221" s="51"/>
      <c r="AE221" s="63"/>
      <c r="AF221" s="51"/>
      <c r="AG221" s="51"/>
      <c r="AH221" s="51"/>
      <c r="AI221" s="51"/>
      <c r="AJ221" s="63"/>
      <c r="AK221" s="51"/>
      <c r="AL221" s="51"/>
      <c r="AM221" s="51"/>
      <c r="AN221" s="51"/>
      <c r="AO221" s="63"/>
      <c r="AP221" s="51"/>
      <c r="AQ221" s="51"/>
      <c r="AR221" s="51"/>
      <c r="AS221" s="51"/>
      <c r="AT221" s="63"/>
      <c r="AU221" s="51"/>
      <c r="AV221" s="51"/>
      <c r="AW221" s="51"/>
      <c r="AX221" s="51"/>
      <c r="AY221" s="371"/>
      <c r="AZ221" s="371"/>
      <c r="BA221" s="51"/>
      <c r="BB221" s="51"/>
      <c r="BC221" s="51"/>
      <c r="BD221" s="1960"/>
      <c r="BE221" s="371"/>
      <c r="BF221" s="51"/>
      <c r="BG221" s="51"/>
      <c r="BH221" s="51"/>
      <c r="BI221" s="1960"/>
      <c r="BJ221" s="371"/>
      <c r="BK221" s="51"/>
      <c r="BL221" s="51"/>
      <c r="BM221" s="51"/>
      <c r="BN221" s="1960"/>
      <c r="BO221" s="371"/>
      <c r="BP221" s="51"/>
      <c r="BQ221" s="51"/>
      <c r="BR221" s="2325"/>
      <c r="BS221" s="1960"/>
      <c r="BT221" s="51"/>
      <c r="BU221" s="51"/>
      <c r="BV221" s="51"/>
      <c r="BW221" s="51"/>
      <c r="BX221" s="63"/>
      <c r="BY221" s="51"/>
      <c r="BZ221" s="51"/>
      <c r="CA221" s="51"/>
      <c r="CB221" s="51"/>
      <c r="CC221" s="63"/>
      <c r="CE221" s="110"/>
      <c r="CF221" s="173"/>
      <c r="CG221" s="173"/>
      <c r="CH221" s="173"/>
      <c r="CI221" s="239"/>
      <c r="CK221" s="2070"/>
      <c r="CL221" s="51"/>
      <c r="CM221" s="51"/>
      <c r="CN221" s="51"/>
      <c r="CO221" s="51"/>
      <c r="CP221" s="51"/>
      <c r="CQ221" s="44"/>
      <c r="CR221" s="456"/>
      <c r="CS221" s="51"/>
      <c r="CT221" s="229"/>
      <c r="CU221" s="51"/>
      <c r="CV221" s="51"/>
      <c r="CW221" s="51"/>
      <c r="CX221" s="51"/>
      <c r="CY221" s="110"/>
      <c r="CZ221"/>
      <c r="DA221"/>
      <c r="DB221"/>
      <c r="DC221"/>
      <c r="DD221"/>
      <c r="DE221"/>
      <c r="DF221" s="103"/>
      <c r="DG221" s="103"/>
      <c r="DH221" s="103"/>
      <c r="DI221" s="103"/>
      <c r="DJ221" s="103"/>
    </row>
    <row r="222" spans="1:114" s="294" customFormat="1" ht="12.75" customHeight="1">
      <c r="A222" s="286" t="s">
        <v>49</v>
      </c>
      <c r="B222" s="560"/>
      <c r="C222" s="288"/>
      <c r="D222" s="288"/>
      <c r="E222" s="288"/>
      <c r="F222" s="287">
        <v>0</v>
      </c>
      <c r="G222" s="288">
        <v>0</v>
      </c>
      <c r="H222" s="288">
        <v>0</v>
      </c>
      <c r="I222" s="288">
        <v>0</v>
      </c>
      <c r="J222" s="288">
        <v>0</v>
      </c>
      <c r="K222" s="287">
        <f>SUM(G222:J222)</f>
        <v>0</v>
      </c>
      <c r="L222" s="288">
        <v>0</v>
      </c>
      <c r="M222" s="288">
        <v>0</v>
      </c>
      <c r="N222" s="288">
        <v>0</v>
      </c>
      <c r="O222" s="288">
        <v>0</v>
      </c>
      <c r="P222" s="287">
        <f>SUM(L222:O222)</f>
        <v>0</v>
      </c>
      <c r="Q222" s="288"/>
      <c r="R222" s="288"/>
      <c r="S222" s="288"/>
      <c r="T222" s="288">
        <v>0.4</v>
      </c>
      <c r="U222" s="287">
        <f>SUM(Q222:T222)</f>
        <v>0.4</v>
      </c>
      <c r="V222" s="288"/>
      <c r="W222" s="288"/>
      <c r="X222" s="288"/>
      <c r="Y222" s="288">
        <v>0</v>
      </c>
      <c r="Z222" s="287">
        <f>SUM(V222:Y222)</f>
        <v>0</v>
      </c>
      <c r="AA222" s="288">
        <v>0</v>
      </c>
      <c r="AB222" s="288">
        <v>0</v>
      </c>
      <c r="AC222" s="288">
        <v>0</v>
      </c>
      <c r="AD222" s="288">
        <v>0</v>
      </c>
      <c r="AE222" s="287">
        <f>SUM(AA222:AD222)</f>
        <v>0</v>
      </c>
      <c r="AF222" s="288"/>
      <c r="AG222" s="288"/>
      <c r="AH222" s="288"/>
      <c r="AI222" s="288"/>
      <c r="AJ222" s="287">
        <f>SUM(AF222:AI222)</f>
        <v>0</v>
      </c>
      <c r="AK222" s="288"/>
      <c r="AL222" s="288"/>
      <c r="AM222" s="288"/>
      <c r="AN222" s="288"/>
      <c r="AO222" s="287">
        <f>SUM(AK222:AN222)</f>
        <v>0</v>
      </c>
      <c r="AP222" s="288"/>
      <c r="AQ222" s="288"/>
      <c r="AR222" s="288"/>
      <c r="AS222" s="288"/>
      <c r="AT222" s="287">
        <f>SUM(AP222:AS222)</f>
        <v>0</v>
      </c>
      <c r="AU222" s="288">
        <v>-12.800916392210423</v>
      </c>
      <c r="AV222" s="288">
        <v>-3.1861560953169317</v>
      </c>
      <c r="AW222" s="288">
        <v>-8.8676931060723749</v>
      </c>
      <c r="AX222" s="288">
        <v>-72.155172413792215</v>
      </c>
      <c r="AY222" s="560">
        <f>SUM(AU222:AX222)</f>
        <v>-97.009938007391952</v>
      </c>
      <c r="AZ222" s="560">
        <v>0</v>
      </c>
      <c r="BA222" s="289">
        <f>+-78.8-8.6-0.4-1.9+5.7-2.5+6.6</f>
        <v>-79.900000000000006</v>
      </c>
      <c r="BB222" s="288">
        <f>+BB223/0.8</f>
        <v>-97.375</v>
      </c>
      <c r="BC222" s="288">
        <f>+BC223/0.8</f>
        <v>-50.250000000000071</v>
      </c>
      <c r="BD222" s="1966">
        <f>SUM(AZ222:BC222)</f>
        <v>-227.52500000000009</v>
      </c>
      <c r="BE222" s="560">
        <f>+BE223/0.8</f>
        <v>-17.375000000000149</v>
      </c>
      <c r="BF222" s="2136">
        <f>+BF223/0.8</f>
        <v>-9.750000000000405</v>
      </c>
      <c r="BG222" s="288">
        <f>+BG223/0.8</f>
        <v>-45.000000000000085</v>
      </c>
      <c r="BH222" s="288">
        <f>+BH223/0.8</f>
        <v>-3.1249999999997247</v>
      </c>
      <c r="BI222" s="1966">
        <f>SUM(BE222:BH222)</f>
        <v>-75.250000000000369</v>
      </c>
      <c r="BJ222" s="560">
        <f>+BJ223/0.8</f>
        <v>-21.500000000000277</v>
      </c>
      <c r="BK222" s="2136">
        <f>+BK223/0.8</f>
        <v>-34.375000000000227</v>
      </c>
      <c r="BL222" s="288">
        <f>+BL223/0.8</f>
        <v>-24.624999999999755</v>
      </c>
      <c r="BM222" s="288">
        <f>+BM223/0.8</f>
        <v>162.25000000000037</v>
      </c>
      <c r="BN222" s="1966">
        <f>SUM(BJ222:BM222)</f>
        <v>81.750000000000114</v>
      </c>
      <c r="BO222" s="2365">
        <v>0</v>
      </c>
      <c r="BP222" s="1898">
        <v>0</v>
      </c>
      <c r="BQ222" s="1898">
        <v>0</v>
      </c>
      <c r="BR222" s="2374">
        <v>0</v>
      </c>
      <c r="BS222" s="1966">
        <f>SUM(BO222:BR222)</f>
        <v>0</v>
      </c>
      <c r="BT222" s="288"/>
      <c r="BU222" s="288"/>
      <c r="BV222" s="288"/>
      <c r="BW222" s="288"/>
      <c r="BX222" s="287"/>
      <c r="BY222" s="288"/>
      <c r="BZ222" s="288"/>
      <c r="CA222" s="288"/>
      <c r="CB222" s="288"/>
      <c r="CC222" s="287"/>
      <c r="CD222" s="289"/>
      <c r="CE222" s="290"/>
      <c r="CF222" s="246"/>
      <c r="CG222" s="246"/>
      <c r="CH222" s="246"/>
      <c r="CI222" s="247"/>
      <c r="CJ222" s="279"/>
      <c r="CK222" s="2077"/>
      <c r="CL222" s="289">
        <f t="shared" ref="CL222:CL227" si="878">BM222</f>
        <v>162.25000000000037</v>
      </c>
      <c r="CM222" s="289">
        <f t="shared" ref="CM222:CM227" si="879">BH222</f>
        <v>-3.1249999999997247</v>
      </c>
      <c r="CN222" s="1898">
        <v>0</v>
      </c>
      <c r="CO222" s="2103">
        <f t="shared" ref="CO222:CP226" si="880">IFERROR(($CL222/CM222)-1,"")</f>
        <v>-52.920000000004691</v>
      </c>
      <c r="CP222" s="2103" t="str">
        <f t="shared" si="880"/>
        <v/>
      </c>
      <c r="CQ222" s="251" t="s">
        <v>530</v>
      </c>
      <c r="CR222" s="291"/>
      <c r="CS222" s="291"/>
      <c r="CT222" s="291"/>
      <c r="CU222" s="291"/>
      <c r="CV222" s="291"/>
      <c r="CW222" s="291"/>
      <c r="CX222" s="291"/>
      <c r="CY222" s="292"/>
      <c r="CZ222"/>
      <c r="DA222"/>
      <c r="DB222"/>
      <c r="DC222"/>
      <c r="DD222"/>
      <c r="DE222"/>
      <c r="DF222" s="293"/>
      <c r="DG222" s="293"/>
      <c r="DH222" s="293"/>
      <c r="DI222" s="293"/>
      <c r="DJ222" s="293"/>
    </row>
    <row r="223" spans="1:114" s="294" customFormat="1" ht="12.75" customHeight="1">
      <c r="A223" s="286" t="s">
        <v>50</v>
      </c>
      <c r="B223" s="560"/>
      <c r="C223" s="288"/>
      <c r="D223" s="288"/>
      <c r="E223" s="288"/>
      <c r="F223" s="287">
        <f>F222*(1-F197)</f>
        <v>0</v>
      </c>
      <c r="G223" s="288">
        <f>G222*(1-G197)</f>
        <v>0</v>
      </c>
      <c r="H223" s="288">
        <f>H222*(1-H197)</f>
        <v>0</v>
      </c>
      <c r="I223" s="288">
        <f>I222*(1-I197)</f>
        <v>0</v>
      </c>
      <c r="J223" s="288">
        <f>J222*(1-J197)</f>
        <v>0</v>
      </c>
      <c r="K223" s="287">
        <f>SUM(G223:J223)</f>
        <v>0</v>
      </c>
      <c r="L223" s="288">
        <f>L222*(1-L197)</f>
        <v>0</v>
      </c>
      <c r="M223" s="288">
        <f>M222*(1-M197)</f>
        <v>0</v>
      </c>
      <c r="N223" s="288">
        <f>N222*(1-N197)</f>
        <v>0</v>
      </c>
      <c r="O223" s="288">
        <f>O222*(1-O197)</f>
        <v>0</v>
      </c>
      <c r="P223" s="287">
        <f>SUM(L223:O223)</f>
        <v>0</v>
      </c>
      <c r="Q223" s="288">
        <v>-0.113</v>
      </c>
      <c r="R223" s="288">
        <v>3.3000000000000002E-2</v>
      </c>
      <c r="S223" s="288">
        <v>0.13400000000000001</v>
      </c>
      <c r="T223" s="288">
        <f>(T222*(1-(0.38/0.894)))+0.073</f>
        <v>0.30297762863534677</v>
      </c>
      <c r="U223" s="287">
        <f>SUM(Q223:T223)</f>
        <v>0.35697762863534677</v>
      </c>
      <c r="V223" s="288">
        <v>-2.5000000000000001E-2</v>
      </c>
      <c r="W223" s="288">
        <v>-2.5000000000000001E-2</v>
      </c>
      <c r="X223" s="288">
        <v>0.01</v>
      </c>
      <c r="Y223" s="288">
        <f>Y222*(1-Y197)</f>
        <v>0</v>
      </c>
      <c r="Z223" s="287">
        <f>SUM(V223:Y223)</f>
        <v>-0.04</v>
      </c>
      <c r="AA223" s="288">
        <f>AA222*(1-AA197)</f>
        <v>0</v>
      </c>
      <c r="AB223" s="288">
        <f>AB222*(1-AB197)</f>
        <v>0</v>
      </c>
      <c r="AC223" s="288">
        <f>AC222*(1-AC197)</f>
        <v>0</v>
      </c>
      <c r="AD223" s="288">
        <f>AD222*(1-AD197)</f>
        <v>0</v>
      </c>
      <c r="AE223" s="287">
        <f>SUM(AA223:AD223)</f>
        <v>0</v>
      </c>
      <c r="AF223" s="288">
        <f>AF222*(1-AF197)</f>
        <v>0</v>
      </c>
      <c r="AG223" s="288">
        <f>AG222*(1-AG197)</f>
        <v>0</v>
      </c>
      <c r="AH223" s="288">
        <f>AH222*(1-AH197)</f>
        <v>0</v>
      </c>
      <c r="AI223" s="288">
        <f>AI222*(1-AI197)</f>
        <v>0</v>
      </c>
      <c r="AJ223" s="287">
        <f>SUM(AF223:AI223)</f>
        <v>0</v>
      </c>
      <c r="AK223" s="288">
        <f>AK222*(1-AK197)</f>
        <v>0</v>
      </c>
      <c r="AL223" s="288">
        <v>-3</v>
      </c>
      <c r="AM223" s="288">
        <f>AM222*(1-AM197)</f>
        <v>0</v>
      </c>
      <c r="AN223" s="288">
        <f>AN222*(1-AN197)</f>
        <v>0</v>
      </c>
      <c r="AO223" s="287">
        <f>SUM(AK223:AN223)</f>
        <v>-3</v>
      </c>
      <c r="AP223" s="288">
        <f>AP222*(1-AP197)</f>
        <v>0</v>
      </c>
      <c r="AQ223" s="288">
        <f>AQ222*(1-AQ197)</f>
        <v>0</v>
      </c>
      <c r="AR223" s="288">
        <f>AR222*(1-AR197)</f>
        <v>0</v>
      </c>
      <c r="AS223" s="288">
        <f>AS222*(1-AS197)</f>
        <v>0</v>
      </c>
      <c r="AT223" s="287">
        <f>SUM(AP223:AS223)</f>
        <v>0</v>
      </c>
      <c r="AU223" s="288">
        <f>AU222*(1-AU197)</f>
        <v>-13.542099999999966</v>
      </c>
      <c r="AV223" s="288">
        <f>AV222*(1-AV197)</f>
        <v>-3.1335208829095293</v>
      </c>
      <c r="AW223" s="288">
        <f>AW222*(1-AW197)</f>
        <v>-5.2241000000001074</v>
      </c>
      <c r="AX223" s="288">
        <f>AX222*(1-AX197)</f>
        <v>-45</v>
      </c>
      <c r="AY223" s="560">
        <f>SUM(AU223:AX223)</f>
        <v>-66.899720882909605</v>
      </c>
      <c r="AZ223" s="560">
        <f>AZ222*(1-AZ197)</f>
        <v>0</v>
      </c>
      <c r="BA223" s="289">
        <f>+BA222+18.4</f>
        <v>-61.500000000000007</v>
      </c>
      <c r="BB223" s="288">
        <f>+BB224-BB202</f>
        <v>-77.900000000000006</v>
      </c>
      <c r="BC223" s="288">
        <f>+BC224-BC202</f>
        <v>-40.20000000000006</v>
      </c>
      <c r="BD223" s="1966">
        <f>SUM(AZ223:BC223)</f>
        <v>-179.60000000000008</v>
      </c>
      <c r="BE223" s="560">
        <f>+BE224-BE202</f>
        <v>-13.900000000000119</v>
      </c>
      <c r="BF223" s="289">
        <f>+BF224-BF202</f>
        <v>-7.800000000000324</v>
      </c>
      <c r="BG223" s="289">
        <f>+BG224-BG202</f>
        <v>-36.000000000000071</v>
      </c>
      <c r="BH223" s="288">
        <f>+BH224-BH202</f>
        <v>-2.4999999999997797</v>
      </c>
      <c r="BI223" s="1966">
        <f>SUM(BE223:BH223)</f>
        <v>-60.200000000000294</v>
      </c>
      <c r="BJ223" s="560">
        <f>+BJ224-BJ202</f>
        <v>-17.200000000000223</v>
      </c>
      <c r="BK223" s="289">
        <f>+BK224-BK202</f>
        <v>-27.500000000000185</v>
      </c>
      <c r="BL223" s="289">
        <f>+BL224-BL202</f>
        <v>-19.699999999999804</v>
      </c>
      <c r="BM223" s="288">
        <f>+BM224-BM202</f>
        <v>129.8000000000003</v>
      </c>
      <c r="BN223" s="1966">
        <f>SUM(BJ223:BM223)</f>
        <v>65.400000000000091</v>
      </c>
      <c r="BO223" s="560">
        <f t="shared" ref="BO223:BP223" si="881">BO222*(1-BO197)</f>
        <v>0</v>
      </c>
      <c r="BP223" s="288">
        <f t="shared" si="881"/>
        <v>0</v>
      </c>
      <c r="BQ223" s="288">
        <f t="shared" ref="BQ223:BR223" si="882">BQ222*(1-BQ197)</f>
        <v>0</v>
      </c>
      <c r="BR223" s="2331">
        <f t="shared" si="882"/>
        <v>0</v>
      </c>
      <c r="BS223" s="1966">
        <f>SUM(BO223:BR223)</f>
        <v>0</v>
      </c>
      <c r="BT223" s="288"/>
      <c r="BU223" s="288"/>
      <c r="BV223" s="288"/>
      <c r="BW223" s="288"/>
      <c r="BX223" s="287">
        <f>BX222*(1-BX197)</f>
        <v>0</v>
      </c>
      <c r="BY223" s="288"/>
      <c r="BZ223" s="288"/>
      <c r="CA223" s="288"/>
      <c r="CB223" s="288"/>
      <c r="CC223" s="287">
        <f>CC222*(1-CC197)</f>
        <v>0</v>
      </c>
      <c r="CD223" s="289"/>
      <c r="CE223" s="290"/>
      <c r="CF223" s="246"/>
      <c r="CG223" s="246"/>
      <c r="CH223" s="246"/>
      <c r="CI223" s="247"/>
      <c r="CJ223" s="279"/>
      <c r="CK223" s="2077"/>
      <c r="CL223" s="289">
        <f t="shared" si="878"/>
        <v>129.8000000000003</v>
      </c>
      <c r="CM223" s="289">
        <f t="shared" si="879"/>
        <v>-2.4999999999997797</v>
      </c>
      <c r="CN223" s="288">
        <v>0</v>
      </c>
      <c r="CO223" s="2103">
        <f t="shared" si="880"/>
        <v>-52.920000000004691</v>
      </c>
      <c r="CP223" s="2103" t="str">
        <f t="shared" si="880"/>
        <v/>
      </c>
      <c r="CQ223" s="495" t="s">
        <v>566</v>
      </c>
      <c r="CR223" s="291"/>
      <c r="CS223" s="291"/>
      <c r="CT223" s="291"/>
      <c r="CU223" s="291"/>
      <c r="CV223" s="291"/>
      <c r="CW223" s="291"/>
      <c r="CX223" s="291"/>
      <c r="CY223" s="292"/>
      <c r="CZ223"/>
      <c r="DA223"/>
      <c r="DB223"/>
      <c r="DC223"/>
      <c r="DD223"/>
      <c r="DE223"/>
      <c r="DF223" s="293"/>
      <c r="DG223" s="293"/>
      <c r="DH223" s="293"/>
      <c r="DI223" s="293"/>
      <c r="DJ223" s="293"/>
    </row>
    <row r="224" spans="1:114" s="294" customFormat="1" ht="12.75" customHeight="1">
      <c r="A224" s="295" t="s">
        <v>51</v>
      </c>
      <c r="B224" s="560"/>
      <c r="C224" s="288"/>
      <c r="D224" s="288"/>
      <c r="E224" s="288"/>
      <c r="F224" s="287">
        <f t="shared" ref="F224:AK224" si="883">F202+F223</f>
        <v>-45.662999999999997</v>
      </c>
      <c r="G224" s="288">
        <f t="shared" si="883"/>
        <v>0.55700000000000005</v>
      </c>
      <c r="H224" s="288">
        <f t="shared" si="883"/>
        <v>0.84800000000000131</v>
      </c>
      <c r="I224" s="288">
        <f t="shared" si="883"/>
        <v>0.82499999999999751</v>
      </c>
      <c r="J224" s="288">
        <f t="shared" si="883"/>
        <v>1.593999999999995</v>
      </c>
      <c r="K224" s="287">
        <f t="shared" si="883"/>
        <v>4.2359999999999918</v>
      </c>
      <c r="L224" s="288">
        <f t="shared" si="883"/>
        <v>0.46099999999999897</v>
      </c>
      <c r="M224" s="288">
        <f t="shared" si="883"/>
        <v>0.75399999999999845</v>
      </c>
      <c r="N224" s="288">
        <f t="shared" si="883"/>
        <v>0.4990000000000005</v>
      </c>
      <c r="O224" s="288">
        <f t="shared" si="883"/>
        <v>0.36899999999999911</v>
      </c>
      <c r="P224" s="287">
        <f t="shared" si="883"/>
        <v>2.0649999999999968</v>
      </c>
      <c r="Q224" s="288">
        <f t="shared" si="883"/>
        <v>0.41700000000000093</v>
      </c>
      <c r="R224" s="288">
        <f t="shared" si="883"/>
        <v>0.77400000000000069</v>
      </c>
      <c r="S224" s="288">
        <f t="shared" si="883"/>
        <v>1.1519999999999961</v>
      </c>
      <c r="T224" s="288">
        <f t="shared" si="883"/>
        <v>0.8169776286353474</v>
      </c>
      <c r="U224" s="287">
        <f t="shared" si="883"/>
        <v>3.3699776286353345</v>
      </c>
      <c r="V224" s="288">
        <f t="shared" si="883"/>
        <v>-5.0000000000001023E-2</v>
      </c>
      <c r="W224" s="288">
        <f t="shared" si="883"/>
        <v>0.28799999999999304</v>
      </c>
      <c r="X224" s="288">
        <f t="shared" si="883"/>
        <v>0.81100000000000039</v>
      </c>
      <c r="Y224" s="288">
        <f t="shared" si="883"/>
        <v>0.62999999999999656</v>
      </c>
      <c r="Z224" s="287">
        <f t="shared" si="883"/>
        <v>1.7809999999999924</v>
      </c>
      <c r="AA224" s="288">
        <f t="shared" si="883"/>
        <v>0.8339999999999973</v>
      </c>
      <c r="AB224" s="288">
        <f t="shared" si="883"/>
        <v>1.5040000000000056</v>
      </c>
      <c r="AC224" s="288">
        <f t="shared" si="883"/>
        <v>1.7299999999999944</v>
      </c>
      <c r="AD224" s="288">
        <f t="shared" si="883"/>
        <v>0.82000000000000428</v>
      </c>
      <c r="AE224" s="287">
        <f t="shared" si="883"/>
        <v>5.1679999999999993</v>
      </c>
      <c r="AF224" s="288">
        <f t="shared" si="883"/>
        <v>1.117</v>
      </c>
      <c r="AG224" s="288">
        <f t="shared" si="883"/>
        <v>0.91399999999999371</v>
      </c>
      <c r="AH224" s="288">
        <f t="shared" si="883"/>
        <v>-44.395999999999987</v>
      </c>
      <c r="AI224" s="288">
        <f t="shared" si="883"/>
        <v>-2.2120000000000029</v>
      </c>
      <c r="AJ224" s="287">
        <f t="shared" si="883"/>
        <v>-44.576999999999956</v>
      </c>
      <c r="AK224" s="288">
        <f t="shared" si="883"/>
        <v>-3.4439999999999964</v>
      </c>
      <c r="AL224" s="288">
        <f t="shared" ref="AL224:AZ224" si="884">AL202+AL223</f>
        <v>-5.9199999999999973</v>
      </c>
      <c r="AM224" s="288">
        <f t="shared" si="884"/>
        <v>-6.7020000000000017</v>
      </c>
      <c r="AN224" s="288">
        <f t="shared" si="884"/>
        <v>-10.061000000000009</v>
      </c>
      <c r="AO224" s="287">
        <f t="shared" si="884"/>
        <v>-26.126999999999917</v>
      </c>
      <c r="AP224" s="288">
        <f t="shared" si="884"/>
        <v>-15.287000000000019</v>
      </c>
      <c r="AQ224" s="288">
        <f t="shared" si="884"/>
        <v>-18.10499999999999</v>
      </c>
      <c r="AR224" s="288">
        <f t="shared" si="884"/>
        <v>-13.26799999999996</v>
      </c>
      <c r="AS224" s="288">
        <f t="shared" si="884"/>
        <v>-11.342000000000001</v>
      </c>
      <c r="AT224" s="287">
        <f t="shared" si="884"/>
        <v>-58.001999999999903</v>
      </c>
      <c r="AU224" s="288">
        <f t="shared" si="884"/>
        <v>-28.9191</v>
      </c>
      <c r="AV224" s="288">
        <f t="shared" si="884"/>
        <v>-18.39252088290948</v>
      </c>
      <c r="AW224" s="288">
        <f t="shared" si="884"/>
        <v>-12.528100000000002</v>
      </c>
      <c r="AX224" s="288">
        <f t="shared" si="884"/>
        <v>-51.5</v>
      </c>
      <c r="AY224" s="560">
        <f t="shared" si="884"/>
        <v>-111.33972088290994</v>
      </c>
      <c r="AZ224" s="560">
        <f t="shared" si="884"/>
        <v>-9.9000000000000021</v>
      </c>
      <c r="BA224" s="288">
        <f t="shared" ref="BA224" si="885">BA202+BA223</f>
        <v>-75.099999999999966</v>
      </c>
      <c r="BB224" s="288">
        <v>-93.1</v>
      </c>
      <c r="BC224" s="289">
        <v>-62.8</v>
      </c>
      <c r="BD224" s="1966">
        <f t="shared" ref="BD224" si="886">BD202+BD223</f>
        <v>-240.89999999999986</v>
      </c>
      <c r="BE224" s="2127">
        <v>-23.2</v>
      </c>
      <c r="BF224" s="289">
        <v>42.6</v>
      </c>
      <c r="BG224" s="289">
        <v>13.8</v>
      </c>
      <c r="BH224" s="289">
        <v>27.3</v>
      </c>
      <c r="BI224" s="1966">
        <f t="shared" ref="BI224" si="887">BI202+BI223</f>
        <v>60.500000000000149</v>
      </c>
      <c r="BJ224" s="288">
        <v>20</v>
      </c>
      <c r="BK224" s="288">
        <v>47.5</v>
      </c>
      <c r="BL224" s="288">
        <v>57</v>
      </c>
      <c r="BM224" s="289">
        <v>189</v>
      </c>
      <c r="BN224" s="1966">
        <f t="shared" ref="BN224" si="888">BN202+BN223</f>
        <v>313.49999999999972</v>
      </c>
      <c r="BO224" s="560">
        <f t="shared" ref="BO224:BP224" si="889">BO202+BO223</f>
        <v>68.10753427885642</v>
      </c>
      <c r="BP224" s="288">
        <f t="shared" si="889"/>
        <v>148.19209881962126</v>
      </c>
      <c r="BQ224" s="288">
        <f t="shared" ref="BQ224:BR224" si="890">BQ202+BQ223</f>
        <v>149.35508946832513</v>
      </c>
      <c r="BR224" s="2331">
        <f t="shared" si="890"/>
        <v>135.69662958182687</v>
      </c>
      <c r="BS224" s="1966">
        <f>BS202+BS223</f>
        <v>501.35135214862981</v>
      </c>
      <c r="BT224" s="288"/>
      <c r="BU224" s="288"/>
      <c r="BV224" s="288"/>
      <c r="BW224" s="288"/>
      <c r="BX224" s="287">
        <f>BX202+BX223</f>
        <v>618.90734198842949</v>
      </c>
      <c r="BY224" s="288"/>
      <c r="BZ224" s="288"/>
      <c r="CA224" s="288"/>
      <c r="CB224" s="288"/>
      <c r="CC224" s="287">
        <f>CC202+CC223</f>
        <v>726.3795345444114</v>
      </c>
      <c r="CD224" s="289"/>
      <c r="CE224" s="290"/>
      <c r="CF224" s="246"/>
      <c r="CG224" s="246"/>
      <c r="CH224" s="246"/>
      <c r="CI224" s="247"/>
      <c r="CJ224" s="279"/>
      <c r="CK224" s="2077"/>
      <c r="CL224" s="288">
        <f t="shared" si="878"/>
        <v>189</v>
      </c>
      <c r="CM224" s="288">
        <f t="shared" si="879"/>
        <v>27.3</v>
      </c>
      <c r="CN224" s="288">
        <v>54.280169027447783</v>
      </c>
      <c r="CO224" s="2104">
        <f t="shared" si="880"/>
        <v>5.9230769230769225</v>
      </c>
      <c r="CP224" s="2104">
        <f t="shared" si="880"/>
        <v>2.4819346252298629</v>
      </c>
      <c r="CQ224" s="251"/>
      <c r="CR224" s="291"/>
      <c r="CS224" s="291"/>
      <c r="CT224" s="291"/>
      <c r="CU224" s="291"/>
      <c r="CV224" s="291"/>
      <c r="CW224" s="291"/>
      <c r="CX224" s="291"/>
      <c r="CY224" s="292"/>
      <c r="CZ224"/>
      <c r="DA224"/>
      <c r="DB224"/>
      <c r="DC224"/>
      <c r="DD224"/>
      <c r="DE224"/>
      <c r="DF224" s="293"/>
      <c r="DG224" s="293"/>
      <c r="DH224" s="293"/>
      <c r="DI224" s="293"/>
      <c r="DJ224" s="293"/>
    </row>
    <row r="225" spans="1:114" s="1" customFormat="1" ht="12.75" customHeight="1">
      <c r="A225" s="231" t="s">
        <v>52</v>
      </c>
      <c r="B225" s="561"/>
      <c r="C225" s="84"/>
      <c r="D225" s="84"/>
      <c r="E225" s="84"/>
      <c r="F225" s="85">
        <f t="shared" ref="F225:AO225" si="891">F223/F216</f>
        <v>0</v>
      </c>
      <c r="G225" s="84">
        <f t="shared" si="891"/>
        <v>0</v>
      </c>
      <c r="H225" s="84">
        <f t="shared" si="891"/>
        <v>0</v>
      </c>
      <c r="I225" s="84">
        <f t="shared" si="891"/>
        <v>0</v>
      </c>
      <c r="J225" s="84">
        <f t="shared" si="891"/>
        <v>0</v>
      </c>
      <c r="K225" s="85">
        <f t="shared" si="891"/>
        <v>0</v>
      </c>
      <c r="L225" s="84">
        <f t="shared" si="891"/>
        <v>0</v>
      </c>
      <c r="M225" s="84">
        <f t="shared" si="891"/>
        <v>0</v>
      </c>
      <c r="N225" s="84">
        <f t="shared" si="891"/>
        <v>0</v>
      </c>
      <c r="O225" s="84">
        <f t="shared" si="891"/>
        <v>0</v>
      </c>
      <c r="P225" s="85">
        <f t="shared" si="891"/>
        <v>0</v>
      </c>
      <c r="Q225" s="84">
        <f t="shared" si="891"/>
        <v>-1.5032371813611094E-2</v>
      </c>
      <c r="R225" s="84">
        <f t="shared" si="891"/>
        <v>4.1162565565418365E-3</v>
      </c>
      <c r="S225" s="84">
        <f t="shared" si="891"/>
        <v>1.6584674121209526E-2</v>
      </c>
      <c r="T225" s="84">
        <f t="shared" si="891"/>
        <v>3.7498397290552724E-2</v>
      </c>
      <c r="U225" s="85">
        <f t="shared" si="891"/>
        <v>4.5053590298602772E-2</v>
      </c>
      <c r="V225" s="84">
        <f t="shared" si="891"/>
        <v>-3.1103617627552282E-3</v>
      </c>
      <c r="W225" s="84">
        <f t="shared" si="891"/>
        <v>-3.1106474725616012E-3</v>
      </c>
      <c r="X225" s="84">
        <f t="shared" si="891"/>
        <v>1.244598249130298E-3</v>
      </c>
      <c r="Y225" s="84">
        <f t="shared" si="891"/>
        <v>0</v>
      </c>
      <c r="Z225" s="85">
        <f t="shared" si="891"/>
        <v>-4.9725114516744493E-3</v>
      </c>
      <c r="AA225" s="84">
        <f t="shared" si="891"/>
        <v>0</v>
      </c>
      <c r="AB225" s="84">
        <f t="shared" si="891"/>
        <v>0</v>
      </c>
      <c r="AC225" s="84">
        <f t="shared" si="891"/>
        <v>0</v>
      </c>
      <c r="AD225" s="84">
        <f t="shared" si="891"/>
        <v>0</v>
      </c>
      <c r="AE225" s="85">
        <f t="shared" si="891"/>
        <v>0</v>
      </c>
      <c r="AF225" s="84">
        <f t="shared" si="891"/>
        <v>0</v>
      </c>
      <c r="AG225" s="84">
        <f t="shared" si="891"/>
        <v>0</v>
      </c>
      <c r="AH225" s="84">
        <f t="shared" si="891"/>
        <v>0</v>
      </c>
      <c r="AI225" s="84">
        <f t="shared" si="891"/>
        <v>0</v>
      </c>
      <c r="AJ225" s="85">
        <f t="shared" si="891"/>
        <v>0</v>
      </c>
      <c r="AK225" s="84">
        <f t="shared" si="891"/>
        <v>0</v>
      </c>
      <c r="AL225" s="84">
        <f t="shared" si="891"/>
        <v>-0.17009695526450075</v>
      </c>
      <c r="AM225" s="84">
        <f>AM223/AM216</f>
        <v>0</v>
      </c>
      <c r="AN225" s="84">
        <f>AN223/AN216</f>
        <v>0</v>
      </c>
      <c r="AO225" s="85">
        <f t="shared" si="891"/>
        <v>-0.19199078444234677</v>
      </c>
      <c r="AP225" s="84">
        <f>AP223/AP216</f>
        <v>0</v>
      </c>
      <c r="AQ225" s="84">
        <f>AQ223/AQ216</f>
        <v>0</v>
      </c>
      <c r="AR225" s="84">
        <f>AR223/AR216</f>
        <v>0</v>
      </c>
      <c r="AS225" s="84">
        <f>AS223/AS216</f>
        <v>0</v>
      </c>
      <c r="AT225" s="85">
        <f>AT223/AT216</f>
        <v>0</v>
      </c>
      <c r="AU225" s="84">
        <f t="shared" ref="AU225:AZ225" si="892">AU223/AU216</f>
        <v>-0.32779270447558795</v>
      </c>
      <c r="AV225" s="84">
        <f t="shared" si="892"/>
        <v>-5.9612306342804705E-2</v>
      </c>
      <c r="AW225" s="84">
        <f t="shared" si="892"/>
        <v>-9.5907839177530887E-2</v>
      </c>
      <c r="AX225" s="84">
        <f t="shared" si="892"/>
        <v>-0.68285280728376319</v>
      </c>
      <c r="AY225" s="561">
        <f t="shared" si="892"/>
        <v>-1.2490146163867966</v>
      </c>
      <c r="AZ225" s="561">
        <f t="shared" si="892"/>
        <v>0</v>
      </c>
      <c r="BA225" s="84">
        <f t="shared" ref="BA225" si="893">BA223/BA216</f>
        <v>-0.7295373665480428</v>
      </c>
      <c r="BB225" s="84">
        <f t="shared" ref="BB225:BF225" si="894">BB223/BB216</f>
        <v>-0.79006085192697784</v>
      </c>
      <c r="BC225" s="84">
        <f t="shared" si="894"/>
        <v>-0.36914600550964238</v>
      </c>
      <c r="BD225" s="1967">
        <f t="shared" si="894"/>
        <v>-1.938478143550999</v>
      </c>
      <c r="BE225" s="561">
        <f t="shared" si="894"/>
        <v>-0.12682481751824928</v>
      </c>
      <c r="BF225" s="84">
        <f t="shared" si="894"/>
        <v>-6.3777596075227511E-2</v>
      </c>
      <c r="BG225" s="84">
        <f t="shared" ref="BG225:BK225" si="895">BG223/BG216</f>
        <v>-0.29292107404393875</v>
      </c>
      <c r="BH225" s="84">
        <f t="shared" si="895"/>
        <v>-2.012882447664879E-2</v>
      </c>
      <c r="BI225" s="1967">
        <f t="shared" si="895"/>
        <v>-0.5027139874739065</v>
      </c>
      <c r="BJ225" s="561">
        <f t="shared" si="895"/>
        <v>-0.13826366559485709</v>
      </c>
      <c r="BK225" s="84">
        <f t="shared" si="895"/>
        <v>-0.22052927024859811</v>
      </c>
      <c r="BL225" s="84">
        <f t="shared" ref="BL225:BN225" si="896">BL223/BL216</f>
        <v>-0.15177195685670108</v>
      </c>
      <c r="BM225" s="84">
        <f t="shared" si="896"/>
        <v>0.97667419112114595</v>
      </c>
      <c r="BN225" s="1967">
        <f t="shared" si="896"/>
        <v>0.51113716295427969</v>
      </c>
      <c r="BO225" s="561">
        <f t="shared" ref="BO225:BP225" si="897">BO223/BO216</f>
        <v>0</v>
      </c>
      <c r="BP225" s="84">
        <f t="shared" si="897"/>
        <v>0</v>
      </c>
      <c r="BQ225" s="84">
        <f t="shared" ref="BQ225:BS225" si="898">BQ223/BQ216</f>
        <v>0</v>
      </c>
      <c r="BR225" s="2332">
        <f t="shared" si="898"/>
        <v>0</v>
      </c>
      <c r="BS225" s="1967">
        <f t="shared" si="898"/>
        <v>0</v>
      </c>
      <c r="BT225" s="232"/>
      <c r="BU225" s="232"/>
      <c r="BV225" s="232"/>
      <c r="BW225" s="232"/>
      <c r="BX225" s="85">
        <f>BX223/BX216</f>
        <v>0</v>
      </c>
      <c r="BY225" s="232"/>
      <c r="BZ225" s="232"/>
      <c r="CA225" s="232"/>
      <c r="CB225" s="232"/>
      <c r="CC225" s="85">
        <f>CC223/CC216</f>
        <v>0</v>
      </c>
      <c r="CD225" s="205"/>
      <c r="CE225" s="129"/>
      <c r="CF225" s="173"/>
      <c r="CG225" s="173"/>
      <c r="CH225" s="173"/>
      <c r="CI225" s="239"/>
      <c r="CJ225" s="177"/>
      <c r="CK225" s="2070"/>
      <c r="CL225" s="84">
        <f t="shared" si="878"/>
        <v>0.97667419112114595</v>
      </c>
      <c r="CM225" s="84">
        <f t="shared" si="879"/>
        <v>-2.012882447664879E-2</v>
      </c>
      <c r="CN225" s="84">
        <v>0</v>
      </c>
      <c r="CO225" s="2105">
        <f t="shared" si="880"/>
        <v>-49.521173814902809</v>
      </c>
      <c r="CP225" s="2105" t="str">
        <f t="shared" si="880"/>
        <v/>
      </c>
      <c r="CQ225" s="44"/>
      <c r="CR225" s="40"/>
      <c r="CS225" s="40"/>
      <c r="CT225" s="40"/>
      <c r="CU225" s="40"/>
      <c r="CV225" s="40"/>
      <c r="CW225" s="40"/>
      <c r="CX225" s="40"/>
      <c r="CY225" s="139"/>
      <c r="CZ225"/>
      <c r="DA225"/>
      <c r="DB225"/>
      <c r="DC225"/>
      <c r="DD225"/>
      <c r="DE225"/>
      <c r="DF225" s="3"/>
      <c r="DG225" s="3"/>
      <c r="DH225" s="3"/>
      <c r="DI225" s="3"/>
      <c r="DJ225" s="3"/>
    </row>
    <row r="226" spans="1:114" s="230" customFormat="1" ht="12.75" customHeight="1">
      <c r="A226" s="80" t="s">
        <v>53</v>
      </c>
      <c r="B226" s="562"/>
      <c r="C226" s="80"/>
      <c r="D226" s="80"/>
      <c r="E226" s="80"/>
      <c r="F226" s="81">
        <f t="shared" ref="F226:AO226" si="899">F224/F216</f>
        <v>-6.8834389156130333</v>
      </c>
      <c r="G226" s="80">
        <f t="shared" si="899"/>
        <v>8.4585824258675307E-2</v>
      </c>
      <c r="H226" s="80">
        <f t="shared" si="899"/>
        <v>0.12828169207333753</v>
      </c>
      <c r="I226" s="80">
        <f t="shared" si="899"/>
        <v>0.12352823131043091</v>
      </c>
      <c r="J226" s="80">
        <f t="shared" si="899"/>
        <v>0.23771808238609227</v>
      </c>
      <c r="K226" s="81">
        <f t="shared" si="899"/>
        <v>0.63748288768160133</v>
      </c>
      <c r="L226" s="80">
        <f t="shared" si="899"/>
        <v>6.7030833601844267E-2</v>
      </c>
      <c r="M226" s="80">
        <f t="shared" si="899"/>
        <v>0.10963394476310322</v>
      </c>
      <c r="N226" s="80">
        <f t="shared" si="899"/>
        <v>7.305564380469115E-2</v>
      </c>
      <c r="O226" s="80">
        <f t="shared" si="899"/>
        <v>5.4303009468369724E-2</v>
      </c>
      <c r="P226" s="81">
        <f t="shared" si="899"/>
        <v>0.30167479730767982</v>
      </c>
      <c r="Q226" s="80">
        <f t="shared" si="899"/>
        <v>5.5473442887396814E-2</v>
      </c>
      <c r="R226" s="80">
        <f t="shared" si="899"/>
        <v>9.6544926507981327E-2</v>
      </c>
      <c r="S226" s="80">
        <f t="shared" si="899"/>
        <v>0.14257869095248737</v>
      </c>
      <c r="T226" s="80">
        <f t="shared" si="899"/>
        <v>0.10111423683011769</v>
      </c>
      <c r="U226" s="81">
        <f t="shared" si="899"/>
        <v>0.42531962570429716</v>
      </c>
      <c r="V226" s="80">
        <f t="shared" si="899"/>
        <v>-6.220723525510583E-3</v>
      </c>
      <c r="W226" s="80">
        <f t="shared" si="899"/>
        <v>3.5834658883908778E-2</v>
      </c>
      <c r="X226" s="80">
        <f t="shared" si="899"/>
        <v>0.10093691800446722</v>
      </c>
      <c r="Y226" s="80">
        <f t="shared" si="899"/>
        <v>7.8089985879656765E-2</v>
      </c>
      <c r="Z226" s="81">
        <f t="shared" si="899"/>
        <v>0.22140107238580392</v>
      </c>
      <c r="AA226" s="80">
        <f t="shared" si="899"/>
        <v>0.10240242976163284</v>
      </c>
      <c r="AB226" s="80">
        <f t="shared" si="899"/>
        <v>0.18428324309958727</v>
      </c>
      <c r="AC226" s="80">
        <f t="shared" si="899"/>
        <v>0.20964142107315498</v>
      </c>
      <c r="AD226" s="80">
        <f t="shared" si="899"/>
        <v>9.6397643571359215E-2</v>
      </c>
      <c r="AE226" s="81">
        <f t="shared" si="899"/>
        <v>0.62520592920660356</v>
      </c>
      <c r="AF226" s="80">
        <f t="shared" si="899"/>
        <v>0.13107995507607126</v>
      </c>
      <c r="AG226" s="80">
        <f t="shared" si="899"/>
        <v>0.10648443614626928</v>
      </c>
      <c r="AH226" s="80">
        <f t="shared" si="899"/>
        <v>-5.3794482442576772</v>
      </c>
      <c r="AI226" s="80">
        <f t="shared" si="899"/>
        <v>-0.2663920853129087</v>
      </c>
      <c r="AJ226" s="81">
        <f t="shared" si="899"/>
        <v>-5.2971103687798289</v>
      </c>
      <c r="AK226" s="80">
        <f t="shared" si="899"/>
        <v>-0.36248815914114269</v>
      </c>
      <c r="AL226" s="80">
        <f t="shared" si="899"/>
        <v>-0.33565799172194799</v>
      </c>
      <c r="AM226" s="80">
        <f>AM224/AM216</f>
        <v>-0.37943724169167192</v>
      </c>
      <c r="AN226" s="80">
        <f>AN224/AN216</f>
        <v>-0.56835385832109409</v>
      </c>
      <c r="AO226" s="81">
        <f t="shared" si="899"/>
        <v>-1.6720477417083928</v>
      </c>
      <c r="AP226" s="80">
        <f>AP224/AP216</f>
        <v>-0.84777062999112796</v>
      </c>
      <c r="AQ226" s="80">
        <f>AQ224/AQ216</f>
        <v>-0.99587458745874535</v>
      </c>
      <c r="AR226" s="80">
        <f>AR224/AR216</f>
        <v>-0.5477664932705788</v>
      </c>
      <c r="AS226" s="80">
        <f>AS224/AS216</f>
        <v>-0.37281004503171944</v>
      </c>
      <c r="AT226" s="81">
        <f>AT224/AT216</f>
        <v>-2.5535511848289025</v>
      </c>
      <c r="AU226" s="80">
        <f t="shared" ref="AU226:AZ226" si="900">AU224/AU216</f>
        <v>-0.7</v>
      </c>
      <c r="AV226" s="80">
        <f t="shared" si="900"/>
        <v>-0.34990052093426199</v>
      </c>
      <c r="AW226" s="80">
        <f t="shared" si="900"/>
        <v>-0.23000000000000004</v>
      </c>
      <c r="AX226" s="80">
        <f t="shared" si="900"/>
        <v>-0.78148710166919566</v>
      </c>
      <c r="AY226" s="562">
        <f t="shared" si="900"/>
        <v>-2.0787073089673638</v>
      </c>
      <c r="AZ226" s="562">
        <f t="shared" si="900"/>
        <v>-0.12563451776649751</v>
      </c>
      <c r="BA226" s="80">
        <f t="shared" ref="BA226" si="901">BA224/BA216</f>
        <v>-0.890865954922894</v>
      </c>
      <c r="BB226" s="80">
        <f t="shared" ref="BB226:BF226" si="902">BB224/BB216</f>
        <v>-0.94421906693711966</v>
      </c>
      <c r="BC226" s="80">
        <f t="shared" si="902"/>
        <v>-0.57667584940312211</v>
      </c>
      <c r="BD226" s="1968">
        <f t="shared" si="902"/>
        <v>-2.600107933081488</v>
      </c>
      <c r="BE226" s="562">
        <f t="shared" si="902"/>
        <v>-0.21167883211678831</v>
      </c>
      <c r="BF226" s="80">
        <f t="shared" si="902"/>
        <v>0.34832379394930502</v>
      </c>
      <c r="BG226" s="80">
        <f t="shared" ref="BG226:BK226" si="903">BG224/BG216</f>
        <v>0.11228641171684296</v>
      </c>
      <c r="BH226" s="80">
        <f t="shared" si="903"/>
        <v>0.21980676328502416</v>
      </c>
      <c r="BI226" s="1968">
        <f t="shared" si="903"/>
        <v>0.50521920668058584</v>
      </c>
      <c r="BJ226" s="562">
        <f t="shared" si="903"/>
        <v>0.16077170418006431</v>
      </c>
      <c r="BK226" s="80">
        <f t="shared" si="903"/>
        <v>0.38091419406575783</v>
      </c>
      <c r="BL226" s="80">
        <f t="shared" ref="BL226:BN226" si="904">BL224/BL216</f>
        <v>0.43913713405238824</v>
      </c>
      <c r="BM226" s="80">
        <f t="shared" si="904"/>
        <v>1.4221218961625282</v>
      </c>
      <c r="BN226" s="1968">
        <f t="shared" si="904"/>
        <v>2.4501758499413806</v>
      </c>
      <c r="BO226" s="562">
        <f t="shared" ref="BO226:BP226" si="905">BO224/BO216</f>
        <v>0.51247204122540568</v>
      </c>
      <c r="BP226" s="80">
        <f t="shared" si="905"/>
        <v>1.1150647014267965</v>
      </c>
      <c r="BQ226" s="80">
        <f t="shared" ref="BQ226:BS226" si="906">BQ224/BQ216</f>
        <v>1.1238155716202041</v>
      </c>
      <c r="BR226" s="2333">
        <f t="shared" si="906"/>
        <v>1.0210431119776289</v>
      </c>
      <c r="BS226" s="1968">
        <f t="shared" si="906"/>
        <v>3.7723954262500361</v>
      </c>
      <c r="BT226" s="80"/>
      <c r="BU226" s="80"/>
      <c r="BV226" s="80"/>
      <c r="BW226" s="80"/>
      <c r="BX226" s="81">
        <f>BX224/BX216</f>
        <v>5.1187440409265523</v>
      </c>
      <c r="BY226" s="80"/>
      <c r="BZ226" s="80"/>
      <c r="CA226" s="80"/>
      <c r="CB226" s="80"/>
      <c r="CC226" s="81">
        <f>CC224/CC216</f>
        <v>6.5963143012959735</v>
      </c>
      <c r="CD226" s="201"/>
      <c r="CE226" s="123"/>
      <c r="CF226" s="173"/>
      <c r="CG226" s="173"/>
      <c r="CH226" s="173"/>
      <c r="CI226" s="239"/>
      <c r="CJ226" s="177"/>
      <c r="CK226" s="2070"/>
      <c r="CL226" s="80">
        <f t="shared" si="878"/>
        <v>1.4221218961625282</v>
      </c>
      <c r="CM226" s="80">
        <f t="shared" si="879"/>
        <v>0.21980676328502416</v>
      </c>
      <c r="CN226" s="80">
        <v>0.41818312039636191</v>
      </c>
      <c r="CO226" s="2096">
        <f t="shared" si="880"/>
        <v>5.4698732418822704</v>
      </c>
      <c r="CP226" s="2096">
        <f t="shared" si="880"/>
        <v>2.4007156836330794</v>
      </c>
      <c r="CQ226" s="44"/>
      <c r="CR226" s="47"/>
      <c r="CS226" s="51"/>
      <c r="CT226" s="2301" t="s">
        <v>570</v>
      </c>
      <c r="CU226" s="2302" t="s">
        <v>207</v>
      </c>
      <c r="CV226" s="2302" t="s">
        <v>206</v>
      </c>
      <c r="CW226" s="2302" t="s">
        <v>205</v>
      </c>
      <c r="CX226" s="2303">
        <v>2018</v>
      </c>
      <c r="CY226" s="142"/>
      <c r="CZ226"/>
      <c r="DA226"/>
      <c r="DB226"/>
      <c r="DC226"/>
      <c r="DD226"/>
      <c r="DE226"/>
      <c r="DF226" s="46"/>
      <c r="DG226" s="46"/>
      <c r="DH226" s="46"/>
      <c r="DI226" s="46"/>
      <c r="DJ226" s="46"/>
    </row>
    <row r="227" spans="1:114" s="175" customFormat="1" ht="12.75" customHeight="1">
      <c r="A227" s="58" t="s">
        <v>85</v>
      </c>
      <c r="B227" s="368" t="str">
        <f>IF(ISERROR((B226-#REF!)/#REF!),"",(B226-#REF!)/#REF!)</f>
        <v/>
      </c>
      <c r="C227" s="18" t="str">
        <f>IF(ISERROR((C226-#REF!)/#REF!),"",(C226-#REF!)/#REF!)</f>
        <v/>
      </c>
      <c r="D227" s="18" t="str">
        <f>IF(ISERROR((D226-#REF!)/#REF!),"",(D226-#REF!)/#REF!)</f>
        <v/>
      </c>
      <c r="E227" s="18" t="str">
        <f>IF(ISERROR((E226-#REF!)/#REF!),"",(E226-#REF!)/#REF!)</f>
        <v/>
      </c>
      <c r="F227" s="60" t="str">
        <f>IF(ISERROR((F226-#REF!)/#REF!),"",(F226-#REF!)/#REF!)</f>
        <v/>
      </c>
      <c r="G227" s="18" t="str">
        <f>IF(ISERROR((G226-B226)/B226),"",(G226-B226)/B226)</f>
        <v/>
      </c>
      <c r="H227" s="18" t="str">
        <f>IF(ISERROR((H226-C226)/C226),"",(H226-C226)/C226)</f>
        <v/>
      </c>
      <c r="I227" s="18" t="str">
        <f>IF(ISERROR((I226-D226)/D226),"",(I226-D226)/D226)</f>
        <v/>
      </c>
      <c r="J227" s="18" t="str">
        <f>IF(ISERROR((J226-E226)/E226),"",(J226-E226)/E226)</f>
        <v/>
      </c>
      <c r="K227" s="60">
        <f t="shared" ref="K227:P227" si="907">IF(ISERROR((K226-F226)/F226),"",(K226-F226)/F226)</f>
        <v>-1.0926111055094367</v>
      </c>
      <c r="L227" s="18">
        <f t="shared" si="907"/>
        <v>-0.20754057563056214</v>
      </c>
      <c r="M227" s="18">
        <f t="shared" si="907"/>
        <v>-0.14536561693911521</v>
      </c>
      <c r="N227" s="18">
        <f t="shared" si="907"/>
        <v>-0.40859151766611407</v>
      </c>
      <c r="O227" s="18">
        <f t="shared" si="907"/>
        <v>-0.77156550766645959</v>
      </c>
      <c r="P227" s="60">
        <f t="shared" si="907"/>
        <v>-0.52677192888296787</v>
      </c>
      <c r="Q227" s="23">
        <f t="shared" ref="Q227:AD227" si="908">Q226/L226-1</f>
        <v>-0.17241902111940122</v>
      </c>
      <c r="R227" s="23">
        <f t="shared" si="908"/>
        <v>-0.11938837267421698</v>
      </c>
      <c r="S227" s="23">
        <f t="shared" si="908"/>
        <v>0.95164512318392447</v>
      </c>
      <c r="T227" s="23">
        <f t="shared" si="908"/>
        <v>0.86203744175568109</v>
      </c>
      <c r="U227" s="86">
        <f>U226/P226-1</f>
        <v>0.40986131257929137</v>
      </c>
      <c r="V227" s="23">
        <f t="shared" si="908"/>
        <v>-1.1121387677007495</v>
      </c>
      <c r="W227" s="23">
        <f t="shared" si="908"/>
        <v>-0.62882918678335376</v>
      </c>
      <c r="X227" s="23">
        <f t="shared" si="908"/>
        <v>-0.29206168656645037</v>
      </c>
      <c r="Y227" s="23">
        <f t="shared" si="908"/>
        <v>-0.22770533282216265</v>
      </c>
      <c r="Z227" s="86">
        <f>Z226/U226-1</f>
        <v>-0.47944778701622226</v>
      </c>
      <c r="AA227" s="23">
        <f t="shared" si="908"/>
        <v>-17.461498303483577</v>
      </c>
      <c r="AB227" s="23">
        <f t="shared" si="908"/>
        <v>4.142597943979256</v>
      </c>
      <c r="AC227" s="23">
        <f t="shared" si="908"/>
        <v>1.0769548468269732</v>
      </c>
      <c r="AD227" s="23">
        <f t="shared" si="908"/>
        <v>0.23444309133204477</v>
      </c>
      <c r="AE227" s="86">
        <f>AE226/Z226-1</f>
        <v>1.8238613411824258</v>
      </c>
      <c r="AF227" s="23">
        <f t="shared" ref="AF227:BA227" si="909">AF226/AA226-1</f>
        <v>0.28004731314669473</v>
      </c>
      <c r="AG227" s="23">
        <f t="shared" si="909"/>
        <v>-0.42216972983959944</v>
      </c>
      <c r="AH227" s="23">
        <f t="shared" si="909"/>
        <v>-26.660235542767587</v>
      </c>
      <c r="AI227" s="23">
        <f t="shared" si="909"/>
        <v>-3.7634709256737131</v>
      </c>
      <c r="AJ227" s="86">
        <f t="shared" si="909"/>
        <v>-9.4725849857213404</v>
      </c>
      <c r="AK227" s="23">
        <f t="shared" si="909"/>
        <v>-3.7653973403544074</v>
      </c>
      <c r="AL227" s="23">
        <f t="shared" si="909"/>
        <v>-4.1521788898884822</v>
      </c>
      <c r="AM227" s="23">
        <f t="shared" si="909"/>
        <v>-0.92946539785066162</v>
      </c>
      <c r="AN227" s="23">
        <f t="shared" si="909"/>
        <v>1.1335238156700336</v>
      </c>
      <c r="AO227" s="86">
        <f t="shared" si="909"/>
        <v>-0.68434719586680171</v>
      </c>
      <c r="AP227" s="23">
        <f t="shared" si="909"/>
        <v>1.3387539940608928</v>
      </c>
      <c r="AQ227" s="23">
        <f t="shared" si="909"/>
        <v>1.9669324491570781</v>
      </c>
      <c r="AR227" s="23">
        <f t="shared" si="909"/>
        <v>0.44362870346735783</v>
      </c>
      <c r="AS227" s="23">
        <f t="shared" si="909"/>
        <v>-0.34405293537903858</v>
      </c>
      <c r="AT227" s="86">
        <f>AT226/AO226-1</f>
        <v>0.52719992445900221</v>
      </c>
      <c r="AU227" s="23">
        <f t="shared" si="909"/>
        <v>-0.17430496500294479</v>
      </c>
      <c r="AV227" s="23">
        <f t="shared" si="909"/>
        <v>-0.6486500154330358</v>
      </c>
      <c r="AW227" s="23">
        <f t="shared" si="909"/>
        <v>-0.58011305396442436</v>
      </c>
      <c r="AX227" s="23">
        <f t="shared" si="909"/>
        <v>1.0962072027933289</v>
      </c>
      <c r="AY227" s="588">
        <f t="shared" ref="AY227:BB227" si="910">AY226/AT226-1</f>
        <v>-0.18595432066632145</v>
      </c>
      <c r="AZ227" s="588">
        <f t="shared" si="909"/>
        <v>-0.82052211747643211</v>
      </c>
      <c r="BA227" s="23">
        <f t="shared" si="909"/>
        <v>1.546054954545971</v>
      </c>
      <c r="BB227" s="23">
        <f t="shared" si="910"/>
        <v>3.1053002910309546</v>
      </c>
      <c r="BC227" s="23">
        <f t="shared" ref="BC227" si="911">BC226/AX226-1</f>
        <v>-0.26207886455017959</v>
      </c>
      <c r="BD227" s="1969">
        <f t="shared" ref="BD227:BG227" si="912">BD226/AY226-1</f>
        <v>0.25082926387223781</v>
      </c>
      <c r="BE227" s="588">
        <f t="shared" si="912"/>
        <v>0.68487797684877916</v>
      </c>
      <c r="BF227" s="23">
        <f t="shared" si="912"/>
        <v>-1.3909946182413639</v>
      </c>
      <c r="BG227" s="23">
        <f t="shared" si="912"/>
        <v>-1.1189198732038745</v>
      </c>
      <c r="BH227" s="23">
        <f t="shared" ref="BH227" si="913">BH226/BC226-1</f>
        <v>-1.3811617280531709</v>
      </c>
      <c r="BI227" s="1969">
        <f t="shared" ref="BI227:BL227" si="914">BI226/BD226-1</f>
        <v>-1.1943070132791878</v>
      </c>
      <c r="BJ227" s="588">
        <f t="shared" si="914"/>
        <v>-1.7595077059540971</v>
      </c>
      <c r="BK227" s="23">
        <f t="shared" si="914"/>
        <v>9.3563519583149679E-2</v>
      </c>
      <c r="BL227" s="23">
        <f t="shared" si="914"/>
        <v>2.9108662155825011</v>
      </c>
      <c r="BM227" s="23">
        <f t="shared" ref="BM227" si="915">BM226/BH226-1</f>
        <v>5.4698732418822704</v>
      </c>
      <c r="BN227" s="1969">
        <f t="shared" ref="BN227" si="916">BN226/BI226-1</f>
        <v>3.8497282319087534</v>
      </c>
      <c r="BO227" s="588">
        <f t="shared" ref="BO227" si="917">BO226/BJ226-1</f>
        <v>2.1875760964220232</v>
      </c>
      <c r="BP227" s="23">
        <f t="shared" ref="BP227" si="918">BP226/BK226-1</f>
        <v>1.9273382793246636</v>
      </c>
      <c r="BQ227" s="23">
        <f t="shared" ref="BQ227:BS227" si="919">BQ226/BL226-1</f>
        <v>1.559144933268465</v>
      </c>
      <c r="BR227" s="2334">
        <f t="shared" si="919"/>
        <v>-0.28202841491096886</v>
      </c>
      <c r="BS227" s="1969">
        <f t="shared" si="919"/>
        <v>0.53964272659870072</v>
      </c>
      <c r="BT227" s="23"/>
      <c r="BU227" s="23"/>
      <c r="BV227" s="23"/>
      <c r="BW227" s="23"/>
      <c r="BX227" s="86">
        <f>BX226/BS226-1</f>
        <v>0.35689488045394513</v>
      </c>
      <c r="BY227" s="23"/>
      <c r="BZ227" s="23"/>
      <c r="CA227" s="23"/>
      <c r="CB227" s="23"/>
      <c r="CC227" s="86">
        <f>CC226/BX226-1</f>
        <v>0.28865875077081671</v>
      </c>
      <c r="CD227" s="206"/>
      <c r="CE227" s="130"/>
      <c r="CF227" s="173"/>
      <c r="CG227" s="173"/>
      <c r="CH227" s="173"/>
      <c r="CI227" s="239"/>
      <c r="CJ227" s="177"/>
      <c r="CK227" s="2070"/>
      <c r="CL227" s="23">
        <f t="shared" si="878"/>
        <v>5.4698732418822704</v>
      </c>
      <c r="CM227" s="23">
        <f t="shared" si="879"/>
        <v>-1.3811617280531709</v>
      </c>
      <c r="CN227" s="23">
        <v>0.90250342685817397</v>
      </c>
      <c r="CO227" s="2118">
        <f>IFERROR(($CL227-CM227)*10000,"")</f>
        <v>68510.34969935441</v>
      </c>
      <c r="CP227" s="2118">
        <f>IFERROR(($CL227-CN227)*10000,"")</f>
        <v>45673.698150240962</v>
      </c>
      <c r="CQ227" s="44"/>
      <c r="CR227" s="42"/>
      <c r="CS227" s="42" t="s">
        <v>59</v>
      </c>
      <c r="CT227" s="2300">
        <f>+BN186</f>
        <v>1367.0999999999997</v>
      </c>
      <c r="CU227" s="291">
        <f>BK186</f>
        <v>370.80000000000018</v>
      </c>
      <c r="CV227" s="291">
        <f>BL186</f>
        <v>369.59999999999974</v>
      </c>
      <c r="CW227" s="291">
        <f>BM186</f>
        <v>336.6999999999997</v>
      </c>
      <c r="CX227" s="2142">
        <f>+BS186</f>
        <v>1634.548172743308</v>
      </c>
      <c r="CY227" s="140"/>
      <c r="CZ227"/>
      <c r="DA227"/>
      <c r="DB227"/>
      <c r="DC227"/>
      <c r="DD227"/>
      <c r="DE227"/>
      <c r="DF227" s="32"/>
      <c r="DG227" s="32"/>
      <c r="DH227" s="32"/>
      <c r="DI227" s="32"/>
      <c r="DJ227" s="32"/>
    </row>
    <row r="228" spans="1:114" s="177" customFormat="1" ht="12.75" customHeight="1">
      <c r="A228" s="57" t="s">
        <v>93</v>
      </c>
      <c r="B228" s="371"/>
      <c r="C228" s="51"/>
      <c r="D228" s="51"/>
      <c r="E228" s="51"/>
      <c r="F228" s="63"/>
      <c r="G228" s="51"/>
      <c r="H228" s="51"/>
      <c r="I228" s="51"/>
      <c r="J228" s="51"/>
      <c r="K228" s="63"/>
      <c r="L228" s="51"/>
      <c r="M228" s="51"/>
      <c r="N228" s="51"/>
      <c r="O228" s="51"/>
      <c r="P228" s="63"/>
      <c r="Q228" s="51"/>
      <c r="R228" s="51"/>
      <c r="S228" s="51"/>
      <c r="T228" s="51"/>
      <c r="U228" s="63"/>
      <c r="V228" s="51"/>
      <c r="W228" s="51"/>
      <c r="X228" s="51"/>
      <c r="Y228" s="51"/>
      <c r="Z228" s="63"/>
      <c r="AA228" s="51"/>
      <c r="AB228" s="51"/>
      <c r="AC228" s="51"/>
      <c r="AD228" s="51"/>
      <c r="AE228" s="63"/>
      <c r="AF228" s="51"/>
      <c r="AG228" s="51"/>
      <c r="AH228" s="51"/>
      <c r="AI228" s="51"/>
      <c r="AJ228" s="63"/>
      <c r="AK228" s="51"/>
      <c r="AL228" s="51"/>
      <c r="AM228" s="51"/>
      <c r="AN228" s="51"/>
      <c r="AO228" s="63"/>
      <c r="AP228" s="51"/>
      <c r="AQ228" s="51"/>
      <c r="AR228" s="51"/>
      <c r="AS228" s="51"/>
      <c r="AT228" s="63"/>
      <c r="AU228" s="51"/>
      <c r="AV228" s="51"/>
      <c r="AW228" s="51"/>
      <c r="AX228" s="51"/>
      <c r="AY228" s="371"/>
      <c r="AZ228" s="371"/>
      <c r="BA228" s="51"/>
      <c r="BB228" s="51"/>
      <c r="BC228" s="51"/>
      <c r="BD228" s="1960"/>
      <c r="BE228" s="371"/>
      <c r="BF228" s="51"/>
      <c r="BG228" s="51"/>
      <c r="BH228" s="51"/>
      <c r="BI228" s="1960"/>
      <c r="BJ228" s="371"/>
      <c r="BK228" s="51"/>
      <c r="BL228" s="51"/>
      <c r="BM228" s="51"/>
      <c r="BN228" s="1960"/>
      <c r="BO228" s="371"/>
      <c r="BP228" s="51"/>
      <c r="BQ228" s="51"/>
      <c r="BR228" s="2325"/>
      <c r="BS228" s="1944">
        <f>85/BS196</f>
        <v>0.12330488911247398</v>
      </c>
      <c r="BT228" s="51"/>
      <c r="BU228" s="51"/>
      <c r="BV228" s="51"/>
      <c r="BW228" s="51"/>
      <c r="BX228" s="63"/>
      <c r="BY228" s="51"/>
      <c r="BZ228" s="51"/>
      <c r="CA228" s="51"/>
      <c r="CB228" s="51"/>
      <c r="CC228" s="63"/>
      <c r="CE228" s="110"/>
      <c r="CF228" s="173"/>
      <c r="CG228" s="173"/>
      <c r="CH228" s="173"/>
      <c r="CI228" s="239"/>
      <c r="CK228" s="2070"/>
      <c r="CL228" s="51"/>
      <c r="CM228" s="51"/>
      <c r="CN228" s="51"/>
      <c r="CO228" s="51"/>
      <c r="CP228" s="51"/>
      <c r="CQ228" s="44"/>
      <c r="CR228" s="456"/>
      <c r="CS228" s="42" t="s">
        <v>572</v>
      </c>
      <c r="CT228" s="2142">
        <v>280</v>
      </c>
      <c r="CU228" s="2142">
        <f>300/4</f>
        <v>75</v>
      </c>
      <c r="CV228" s="2142">
        <f>+CU228</f>
        <v>75</v>
      </c>
      <c r="CW228" s="2142">
        <f>+CV228/4</f>
        <v>18.75</v>
      </c>
      <c r="CX228" s="2142">
        <f>+CT228-40</f>
        <v>240</v>
      </c>
      <c r="CY228" s="110"/>
      <c r="CZ228"/>
      <c r="DA228"/>
      <c r="DB228"/>
      <c r="DC228"/>
      <c r="DD228"/>
      <c r="DE228"/>
      <c r="DF228" s="103"/>
      <c r="DG228" s="103"/>
      <c r="DH228" s="103"/>
      <c r="DI228" s="103"/>
      <c r="DJ228" s="103"/>
    </row>
    <row r="229" spans="1:114" s="182" customFormat="1" ht="12.75" customHeight="1">
      <c r="A229" s="33" t="s">
        <v>54</v>
      </c>
      <c r="B229" s="563"/>
      <c r="C229" s="30"/>
      <c r="D229" s="30"/>
      <c r="E229" s="30"/>
      <c r="F229" s="68">
        <f>SUM(B229:E229)</f>
        <v>0</v>
      </c>
      <c r="G229" s="30">
        <v>0</v>
      </c>
      <c r="H229" s="30">
        <v>0</v>
      </c>
      <c r="I229" s="30">
        <v>0</v>
      </c>
      <c r="J229" s="30">
        <v>0</v>
      </c>
      <c r="K229" s="68">
        <f>SUM(G229:J229)</f>
        <v>0</v>
      </c>
      <c r="L229" s="30">
        <v>0</v>
      </c>
      <c r="M229" s="30">
        <v>0</v>
      </c>
      <c r="N229" s="30">
        <v>0</v>
      </c>
      <c r="O229" s="30">
        <v>0</v>
      </c>
      <c r="P229" s="68">
        <f>SUM(L229:O229)</f>
        <v>0</v>
      </c>
      <c r="Q229" s="30">
        <v>0</v>
      </c>
      <c r="R229" s="30">
        <v>0</v>
      </c>
      <c r="S229" s="30">
        <v>0</v>
      </c>
      <c r="T229" s="30">
        <v>0</v>
      </c>
      <c r="U229" s="68">
        <f>SUM(Q229:T229)</f>
        <v>0</v>
      </c>
      <c r="V229" s="30">
        <v>0</v>
      </c>
      <c r="W229" s="30">
        <v>0</v>
      </c>
      <c r="X229" s="30">
        <v>0</v>
      </c>
      <c r="Y229" s="30">
        <v>0</v>
      </c>
      <c r="Z229" s="68">
        <f>SUM(V229:Y229)</f>
        <v>0</v>
      </c>
      <c r="AA229" s="30">
        <v>0</v>
      </c>
      <c r="AB229" s="30">
        <v>0</v>
      </c>
      <c r="AC229" s="30">
        <v>0</v>
      </c>
      <c r="AD229" s="30">
        <v>0</v>
      </c>
      <c r="AE229" s="68">
        <f>SUM(AA229:AD229)</f>
        <v>0</v>
      </c>
      <c r="AF229" s="30">
        <v>0</v>
      </c>
      <c r="AG229" s="30">
        <v>0</v>
      </c>
      <c r="AH229" s="30">
        <v>0</v>
      </c>
      <c r="AI229" s="30">
        <v>0</v>
      </c>
      <c r="AJ229" s="68">
        <f>SUM(AF229:AI229)</f>
        <v>0</v>
      </c>
      <c r="AK229" s="30">
        <v>0</v>
      </c>
      <c r="AL229" s="30">
        <v>0</v>
      </c>
      <c r="AM229" s="30">
        <v>0</v>
      </c>
      <c r="AN229" s="30">
        <v>0</v>
      </c>
      <c r="AO229" s="68">
        <f>SUM(AK229:AN229)</f>
        <v>0</v>
      </c>
      <c r="AP229" s="427">
        <v>0</v>
      </c>
      <c r="AQ229" s="427">
        <v>0</v>
      </c>
      <c r="AR229" s="30">
        <v>0</v>
      </c>
      <c r="AS229" s="30">
        <v>0</v>
      </c>
      <c r="AT229" s="68">
        <f>SUM(AP229:AS229)</f>
        <v>0</v>
      </c>
      <c r="AU229" s="427">
        <v>0</v>
      </c>
      <c r="AV229" s="427">
        <v>0</v>
      </c>
      <c r="AW229" s="427">
        <v>0</v>
      </c>
      <c r="AX229" s="30">
        <v>0</v>
      </c>
      <c r="AY229" s="589">
        <f>SUM(AU229:AX229)</f>
        <v>0</v>
      </c>
      <c r="AZ229" s="616">
        <v>0</v>
      </c>
      <c r="BA229" s="427">
        <v>0</v>
      </c>
      <c r="BB229" s="2014">
        <v>0</v>
      </c>
      <c r="BC229" s="30">
        <v>0</v>
      </c>
      <c r="BD229" s="1970">
        <f>SUM(AZ229:BC229)</f>
        <v>0</v>
      </c>
      <c r="BE229" s="2259">
        <v>0</v>
      </c>
      <c r="BF229" s="2260">
        <v>0</v>
      </c>
      <c r="BG229" s="2260">
        <v>0</v>
      </c>
      <c r="BH229" s="2260">
        <v>0</v>
      </c>
      <c r="BI229" s="2261">
        <f>SUM(BE229:BH229)</f>
        <v>0</v>
      </c>
      <c r="BJ229" s="2259">
        <v>0</v>
      </c>
      <c r="BK229" s="2260">
        <v>0</v>
      </c>
      <c r="BL229" s="2260">
        <v>0</v>
      </c>
      <c r="BM229" s="427">
        <v>0</v>
      </c>
      <c r="BN229" s="2261">
        <f>SUM(BJ229:BM229)</f>
        <v>0</v>
      </c>
      <c r="BO229" s="2366">
        <v>0</v>
      </c>
      <c r="BP229" s="2262">
        <v>0</v>
      </c>
      <c r="BQ229" s="2262">
        <v>0</v>
      </c>
      <c r="BR229" s="2335">
        <v>0</v>
      </c>
      <c r="BS229" s="2261">
        <f>SUM(BO229:BR229)</f>
        <v>0</v>
      </c>
      <c r="BT229" s="2262"/>
      <c r="BU229" s="2262"/>
      <c r="BV229" s="2262"/>
      <c r="BW229" s="2262"/>
      <c r="BX229" s="2263">
        <v>0</v>
      </c>
      <c r="BY229" s="2262"/>
      <c r="BZ229" s="2262"/>
      <c r="CA229" s="2262"/>
      <c r="CB229" s="2262"/>
      <c r="CC229" s="2263">
        <v>0</v>
      </c>
      <c r="CD229" s="207"/>
      <c r="CE229" s="131"/>
      <c r="CF229" s="173"/>
      <c r="CG229" s="173"/>
      <c r="CH229" s="173"/>
      <c r="CI229" s="239"/>
      <c r="CJ229" s="177"/>
      <c r="CK229" s="2070"/>
      <c r="CL229" s="427">
        <f>BM229</f>
        <v>0</v>
      </c>
      <c r="CM229" s="427">
        <f>BH229</f>
        <v>0</v>
      </c>
      <c r="CN229" s="26">
        <v>0</v>
      </c>
      <c r="CO229" s="2106" t="str">
        <f>IFERROR(($CL229/CM229)-1,"")</f>
        <v/>
      </c>
      <c r="CP229" s="2106" t="str">
        <f>IFERROR(($CL229/CN229)-1,"")</f>
        <v/>
      </c>
      <c r="CQ229" s="44"/>
      <c r="CR229" s="42"/>
      <c r="CS229" s="42" t="s">
        <v>573</v>
      </c>
      <c r="CT229" s="2142">
        <v>85</v>
      </c>
      <c r="CU229" s="2142">
        <f>90/4</f>
        <v>22.5</v>
      </c>
      <c r="CV229" s="2142">
        <f>+CU229</f>
        <v>22.5</v>
      </c>
      <c r="CW229" s="2142">
        <f>+CV229/4</f>
        <v>5.625</v>
      </c>
      <c r="CX229" s="2142">
        <f>200-75</f>
        <v>125</v>
      </c>
      <c r="CY229" s="145"/>
      <c r="CZ229"/>
      <c r="DA229"/>
      <c r="DB229"/>
      <c r="DC229"/>
      <c r="DD229"/>
      <c r="DE229"/>
      <c r="DF229" s="33"/>
      <c r="DG229" s="33"/>
      <c r="DH229" s="33"/>
      <c r="DI229" s="33"/>
      <c r="DJ229" s="33"/>
    </row>
    <row r="230" spans="1:114" s="1" customFormat="1" ht="12.75" customHeight="1">
      <c r="A230" s="58" t="s">
        <v>85</v>
      </c>
      <c r="B230" s="368"/>
      <c r="C230" s="18"/>
      <c r="D230" s="18"/>
      <c r="E230" s="18"/>
      <c r="F230" s="60" t="str">
        <f>IF(ISERROR((F229-#REF!)/#REF!),"",(F229-#REF!)/#REF!)</f>
        <v/>
      </c>
      <c r="G230" s="18" t="str">
        <f>IF(ISERROR((G229-B229)/B229),"",(G229-B229)/B229)</f>
        <v/>
      </c>
      <c r="H230" s="18" t="str">
        <f>IF(ISERROR((H229-C229)/C229),"",(H229-C229)/C229)</f>
        <v/>
      </c>
      <c r="I230" s="18" t="str">
        <f>IF(ISERROR((I229-D229)/D229),"",(I229-D229)/D229)</f>
        <v/>
      </c>
      <c r="J230" s="18" t="str">
        <f>IF(ISERROR((J229-E229)/E229),"",(J229-E229)/E229)</f>
        <v/>
      </c>
      <c r="K230" s="60" t="str">
        <f t="shared" ref="K230:AJ230" si="920">IF(ISERROR((K229-F229)/F229),"",(K229-F229)/F229)</f>
        <v/>
      </c>
      <c r="L230" s="18" t="str">
        <f t="shared" si="920"/>
        <v/>
      </c>
      <c r="M230" s="18" t="str">
        <f t="shared" si="920"/>
        <v/>
      </c>
      <c r="N230" s="18" t="str">
        <f t="shared" si="920"/>
        <v/>
      </c>
      <c r="O230" s="18" t="str">
        <f t="shared" si="920"/>
        <v/>
      </c>
      <c r="P230" s="60" t="str">
        <f t="shared" si="920"/>
        <v/>
      </c>
      <c r="Q230" s="18" t="str">
        <f t="shared" si="920"/>
        <v/>
      </c>
      <c r="R230" s="18" t="str">
        <f t="shared" si="920"/>
        <v/>
      </c>
      <c r="S230" s="18" t="str">
        <f t="shared" si="920"/>
        <v/>
      </c>
      <c r="T230" s="18" t="str">
        <f t="shared" si="920"/>
        <v/>
      </c>
      <c r="U230" s="60" t="str">
        <f t="shared" si="920"/>
        <v/>
      </c>
      <c r="V230" s="18" t="str">
        <f t="shared" si="920"/>
        <v/>
      </c>
      <c r="W230" s="18" t="str">
        <f t="shared" si="920"/>
        <v/>
      </c>
      <c r="X230" s="18" t="str">
        <f t="shared" si="920"/>
        <v/>
      </c>
      <c r="Y230" s="18" t="str">
        <f t="shared" si="920"/>
        <v/>
      </c>
      <c r="Z230" s="60" t="str">
        <f t="shared" si="920"/>
        <v/>
      </c>
      <c r="AA230" s="18" t="str">
        <f t="shared" si="920"/>
        <v/>
      </c>
      <c r="AB230" s="18" t="str">
        <f t="shared" si="920"/>
        <v/>
      </c>
      <c r="AC230" s="18" t="str">
        <f t="shared" si="920"/>
        <v/>
      </c>
      <c r="AD230" s="18" t="str">
        <f t="shared" si="920"/>
        <v/>
      </c>
      <c r="AE230" s="60" t="str">
        <f t="shared" si="920"/>
        <v/>
      </c>
      <c r="AF230" s="18" t="str">
        <f t="shared" si="920"/>
        <v/>
      </c>
      <c r="AG230" s="18" t="str">
        <f t="shared" si="920"/>
        <v/>
      </c>
      <c r="AH230" s="18" t="str">
        <f t="shared" si="920"/>
        <v/>
      </c>
      <c r="AI230" s="18" t="str">
        <f t="shared" si="920"/>
        <v/>
      </c>
      <c r="AJ230" s="60" t="str">
        <f t="shared" si="920"/>
        <v/>
      </c>
      <c r="AK230" s="233"/>
      <c r="AL230" s="233"/>
      <c r="AM230" s="18" t="str">
        <f>IF(ISERROR((AM229-AH229)/AH229),"",(AM229-AH229)/AH229)</f>
        <v/>
      </c>
      <c r="AN230" s="18" t="str">
        <f>IF(ISERROR((AN229-AI229)/AI229),"",(AN229-AI229)/AI229)</f>
        <v/>
      </c>
      <c r="AO230" s="60" t="str">
        <f>IF(ISERROR((AO229-AJ229)/AJ229),"",(AO229-AJ229)/AJ229)</f>
        <v/>
      </c>
      <c r="AP230" s="233"/>
      <c r="AQ230" s="233"/>
      <c r="AR230" s="18" t="str">
        <f>IF(ISERROR((AR229-AM229)/AM229),"",(AR229-AM229)/AM229)</f>
        <v/>
      </c>
      <c r="AS230" s="18" t="str">
        <f>IF(ISERROR((AS229-AN229)/AN229),"",(AS229-AN229)/AN229)</f>
        <v/>
      </c>
      <c r="AT230" s="60" t="str">
        <f>IF(ISERROR((AT229-AO229)/AO229),"",(AT229-AO229)/AO229)</f>
        <v/>
      </c>
      <c r="AU230" s="233"/>
      <c r="AV230" s="233"/>
      <c r="AW230" s="18" t="str">
        <f>IF(ISERROR((AW229-AR229)/AR229),"",(AW229-AR229)/AR229)</f>
        <v/>
      </c>
      <c r="AX230" s="18" t="str">
        <f>IF(ISERROR((AX229-AS229)/AS229),"",(AX229-AS229)/AS229)</f>
        <v/>
      </c>
      <c r="AY230" s="368" t="str">
        <f>IF(ISERROR((AY229-AT229)/AT229),"",(AY229-AT229)/AT229)</f>
        <v/>
      </c>
      <c r="AZ230" s="617"/>
      <c r="BA230" s="233"/>
      <c r="BB230" s="233"/>
      <c r="BC230" s="18" t="str">
        <f>IF(ISERROR((BC229-AX229)/AX229),"",(BC229-AX229)/AX229)</f>
        <v/>
      </c>
      <c r="BD230" s="1936" t="str">
        <f>IF(ISERROR((BD229-AY229)/AY229),"",(BD229-AY229)/AY229)</f>
        <v/>
      </c>
      <c r="BE230" s="2264"/>
      <c r="BF230" s="2265"/>
      <c r="BG230" s="2265"/>
      <c r="BH230" s="2061" t="str">
        <f>IF(ISERROR((BH229-BC229)/BC229),"",(BH229-BC229)/BC229)</f>
        <v/>
      </c>
      <c r="BI230" s="2062" t="str">
        <f>IF(ISERROR((BI229-BD229)/BD229),"",(BI229-BD229)/BD229)</f>
        <v/>
      </c>
      <c r="BJ230" s="2264"/>
      <c r="BK230" s="2265"/>
      <c r="BL230" s="2265"/>
      <c r="BM230" s="2061" t="str">
        <f>IF(ISERROR((BM229-BH229)/BH229),"",(BM229-BH229)/BH229)</f>
        <v/>
      </c>
      <c r="BN230" s="2062" t="str">
        <f>IF(ISERROR((BN229-BI229)/BI229),"",(BN229-BI229)/BI229)</f>
        <v/>
      </c>
      <c r="BO230" s="2264"/>
      <c r="BP230" s="2265"/>
      <c r="BQ230" s="2265"/>
      <c r="BR230" s="2375"/>
      <c r="BS230" s="2062" t="str">
        <f>IF(ISERROR((BS229-BN229)/BN229),"",(BS229-BN229)/BN229)</f>
        <v/>
      </c>
      <c r="BT230" s="2262"/>
      <c r="BU230" s="2262"/>
      <c r="BV230" s="2262"/>
      <c r="BW230" s="2262"/>
      <c r="BX230" s="2256" t="str">
        <f>IF(ISERROR((BX229-BS229)/BS229),"",(BX229-BS229)/BS229)</f>
        <v/>
      </c>
      <c r="BY230" s="2262"/>
      <c r="BZ230" s="2262"/>
      <c r="CA230" s="2262"/>
      <c r="CB230" s="2262"/>
      <c r="CC230" s="2256" t="str">
        <f>IF(ISERROR((CC229-BX229)/BX229),"",(CC229-BX229)/BX229)</f>
        <v/>
      </c>
      <c r="CD230" s="234"/>
      <c r="CE230" s="235"/>
      <c r="CF230" s="173"/>
      <c r="CG230" s="173"/>
      <c r="CH230" s="173"/>
      <c r="CI230" s="239"/>
      <c r="CJ230" s="177"/>
      <c r="CK230" s="2070"/>
      <c r="CL230" s="233"/>
      <c r="CM230" s="233"/>
      <c r="CN230" s="233"/>
      <c r="CO230" s="233"/>
      <c r="CP230" s="233"/>
      <c r="CQ230" s="44"/>
      <c r="CR230" s="40"/>
      <c r="CS230" s="42" t="s">
        <v>571</v>
      </c>
      <c r="CT230" s="2400">
        <v>125</v>
      </c>
      <c r="CU230" s="2142">
        <v>60</v>
      </c>
      <c r="CV230" s="2142">
        <f>+(CT230-20-CU230)/2</f>
        <v>22.5</v>
      </c>
      <c r="CW230" s="2142">
        <f>+CV230</f>
        <v>22.5</v>
      </c>
      <c r="CX230" s="2420">
        <v>150</v>
      </c>
      <c r="CY230" s="139"/>
      <c r="CZ230"/>
      <c r="DA230"/>
      <c r="DB230"/>
      <c r="DC230"/>
      <c r="DD230"/>
      <c r="DE230"/>
      <c r="DF230" s="3"/>
      <c r="DG230" s="3"/>
      <c r="DH230" s="3"/>
      <c r="DI230" s="3"/>
      <c r="DJ230" s="3"/>
    </row>
    <row r="231" spans="1:114" s="182" customFormat="1" ht="12.75" customHeight="1">
      <c r="A231" s="13" t="s">
        <v>55</v>
      </c>
      <c r="B231" s="564"/>
      <c r="C231" s="87"/>
      <c r="D231" s="87"/>
      <c r="E231" s="87"/>
      <c r="F231" s="88">
        <f t="shared" ref="F231:AK231" si="921">F229/F203</f>
        <v>0</v>
      </c>
      <c r="G231" s="87">
        <f t="shared" si="921"/>
        <v>0</v>
      </c>
      <c r="H231" s="87">
        <f t="shared" si="921"/>
        <v>0</v>
      </c>
      <c r="I231" s="87">
        <f t="shared" si="921"/>
        <v>0</v>
      </c>
      <c r="J231" s="87">
        <f t="shared" si="921"/>
        <v>0</v>
      </c>
      <c r="K231" s="88">
        <f t="shared" si="921"/>
        <v>0</v>
      </c>
      <c r="L231" s="87">
        <f t="shared" si="921"/>
        <v>0</v>
      </c>
      <c r="M231" s="87">
        <f t="shared" si="921"/>
        <v>0</v>
      </c>
      <c r="N231" s="87">
        <f t="shared" si="921"/>
        <v>0</v>
      </c>
      <c r="O231" s="87">
        <f t="shared" si="921"/>
        <v>0</v>
      </c>
      <c r="P231" s="88">
        <f t="shared" si="921"/>
        <v>0</v>
      </c>
      <c r="Q231" s="87">
        <f t="shared" si="921"/>
        <v>0</v>
      </c>
      <c r="R231" s="87">
        <f t="shared" si="921"/>
        <v>0</v>
      </c>
      <c r="S231" s="87">
        <f t="shared" si="921"/>
        <v>0</v>
      </c>
      <c r="T231" s="87">
        <f t="shared" si="921"/>
        <v>0</v>
      </c>
      <c r="U231" s="88">
        <f t="shared" si="921"/>
        <v>0</v>
      </c>
      <c r="V231" s="87">
        <f t="shared" si="921"/>
        <v>0</v>
      </c>
      <c r="W231" s="87">
        <f t="shared" si="921"/>
        <v>0</v>
      </c>
      <c r="X231" s="87">
        <f t="shared" si="921"/>
        <v>0</v>
      </c>
      <c r="Y231" s="87">
        <f t="shared" si="921"/>
        <v>0</v>
      </c>
      <c r="Z231" s="88">
        <f t="shared" si="921"/>
        <v>0</v>
      </c>
      <c r="AA231" s="87">
        <f t="shared" si="921"/>
        <v>0</v>
      </c>
      <c r="AB231" s="87">
        <f t="shared" si="921"/>
        <v>0</v>
      </c>
      <c r="AC231" s="87">
        <f t="shared" si="921"/>
        <v>0</v>
      </c>
      <c r="AD231" s="87">
        <f t="shared" si="921"/>
        <v>0</v>
      </c>
      <c r="AE231" s="88">
        <f t="shared" si="921"/>
        <v>0</v>
      </c>
      <c r="AF231" s="87">
        <f t="shared" si="921"/>
        <v>0</v>
      </c>
      <c r="AG231" s="87">
        <f t="shared" si="921"/>
        <v>0</v>
      </c>
      <c r="AH231" s="87">
        <f t="shared" si="921"/>
        <v>0</v>
      </c>
      <c r="AI231" s="87">
        <f t="shared" si="921"/>
        <v>0</v>
      </c>
      <c r="AJ231" s="88">
        <f t="shared" si="921"/>
        <v>0</v>
      </c>
      <c r="AK231" s="87">
        <f t="shared" si="921"/>
        <v>0</v>
      </c>
      <c r="AL231" s="87">
        <f t="shared" ref="AL231:BB231" si="922">AL229/AL203</f>
        <v>0</v>
      </c>
      <c r="AM231" s="87">
        <f t="shared" si="922"/>
        <v>0</v>
      </c>
      <c r="AN231" s="87">
        <f t="shared" si="922"/>
        <v>0</v>
      </c>
      <c r="AO231" s="88">
        <f t="shared" si="922"/>
        <v>0</v>
      </c>
      <c r="AP231" s="87">
        <f t="shared" si="922"/>
        <v>0</v>
      </c>
      <c r="AQ231" s="87">
        <f t="shared" si="922"/>
        <v>0</v>
      </c>
      <c r="AR231" s="87">
        <f t="shared" si="922"/>
        <v>0</v>
      </c>
      <c r="AS231" s="87">
        <f t="shared" si="922"/>
        <v>0</v>
      </c>
      <c r="AT231" s="88">
        <f t="shared" si="922"/>
        <v>0</v>
      </c>
      <c r="AU231" s="87">
        <f t="shared" si="922"/>
        <v>0</v>
      </c>
      <c r="AV231" s="87">
        <f t="shared" si="922"/>
        <v>0</v>
      </c>
      <c r="AW231" s="87">
        <f t="shared" si="922"/>
        <v>0</v>
      </c>
      <c r="AX231" s="87">
        <f t="shared" si="922"/>
        <v>0</v>
      </c>
      <c r="AY231" s="564">
        <f t="shared" si="922"/>
        <v>0</v>
      </c>
      <c r="AZ231" s="564">
        <f t="shared" si="922"/>
        <v>0</v>
      </c>
      <c r="BA231" s="87">
        <f t="shared" ref="BA231" si="923">BA229/BA203</f>
        <v>0</v>
      </c>
      <c r="BB231" s="87">
        <f t="shared" si="922"/>
        <v>0</v>
      </c>
      <c r="BC231" s="87">
        <f t="shared" ref="BC231:BG231" si="924">BC229/BC203</f>
        <v>0</v>
      </c>
      <c r="BD231" s="1971">
        <f t="shared" si="924"/>
        <v>0</v>
      </c>
      <c r="BE231" s="2266">
        <f t="shared" si="924"/>
        <v>0</v>
      </c>
      <c r="BF231" s="2267">
        <f t="shared" si="924"/>
        <v>0</v>
      </c>
      <c r="BG231" s="2267">
        <f t="shared" si="924"/>
        <v>0</v>
      </c>
      <c r="BH231" s="2267">
        <f t="shared" ref="BH231:BL231" si="925">BH229/BH203</f>
        <v>0</v>
      </c>
      <c r="BI231" s="2268">
        <f t="shared" si="925"/>
        <v>0</v>
      </c>
      <c r="BJ231" s="2266">
        <f t="shared" si="925"/>
        <v>0</v>
      </c>
      <c r="BK231" s="2267">
        <f t="shared" si="925"/>
        <v>0</v>
      </c>
      <c r="BL231" s="2267">
        <f t="shared" si="925"/>
        <v>0</v>
      </c>
      <c r="BM231" s="2267">
        <f t="shared" ref="BM231:BN231" si="926">BM229/BM203</f>
        <v>0</v>
      </c>
      <c r="BN231" s="2268">
        <f t="shared" si="926"/>
        <v>0</v>
      </c>
      <c r="BO231" s="2266">
        <f t="shared" ref="BO231:BP231" si="927">BO229/BO203</f>
        <v>0</v>
      </c>
      <c r="BP231" s="2267">
        <f t="shared" si="927"/>
        <v>0</v>
      </c>
      <c r="BQ231" s="2267">
        <f t="shared" ref="BQ231:BS231" si="928">BQ229/BQ203</f>
        <v>0</v>
      </c>
      <c r="BR231" s="2336">
        <f t="shared" si="928"/>
        <v>0</v>
      </c>
      <c r="BS231" s="2268">
        <f t="shared" si="928"/>
        <v>0</v>
      </c>
      <c r="BT231" s="2267"/>
      <c r="BU231" s="2267"/>
      <c r="BV231" s="2267"/>
      <c r="BW231" s="2267"/>
      <c r="BX231" s="2269">
        <f>BX229/BX203</f>
        <v>0</v>
      </c>
      <c r="BY231" s="2267"/>
      <c r="BZ231" s="2267"/>
      <c r="CA231" s="2267"/>
      <c r="CB231" s="2267"/>
      <c r="CC231" s="2269">
        <f>CC229/CC203</f>
        <v>0</v>
      </c>
      <c r="CD231" s="208"/>
      <c r="CE231" s="132"/>
      <c r="CF231" s="173"/>
      <c r="CG231" s="173"/>
      <c r="CH231" s="173"/>
      <c r="CI231" s="239"/>
      <c r="CJ231" s="177"/>
      <c r="CK231" s="2070"/>
      <c r="CL231" s="87">
        <f>BM231</f>
        <v>0</v>
      </c>
      <c r="CM231" s="87">
        <f>BH231</f>
        <v>0</v>
      </c>
      <c r="CN231" s="87">
        <v>0</v>
      </c>
      <c r="CO231" s="2119">
        <f>IFERROR(($CL231-CM231)*10000,"")</f>
        <v>0</v>
      </c>
      <c r="CP231" s="2119">
        <f>IFERROR(($CL231-CN231)*10000,"")</f>
        <v>0</v>
      </c>
      <c r="CQ231" s="44"/>
      <c r="CR231" s="42"/>
      <c r="CS231" s="42" t="s">
        <v>163</v>
      </c>
      <c r="CT231" s="2142">
        <f>-BN243</f>
        <v>424.69999999999993</v>
      </c>
      <c r="CU231" s="291">
        <f>-BK243</f>
        <v>117.89999999999999</v>
      </c>
      <c r="CV231" s="291">
        <f>+-BL243</f>
        <v>110.49999999999997</v>
      </c>
      <c r="CW231" s="291">
        <f>+-BM243</f>
        <v>94.399999999999977</v>
      </c>
      <c r="CX231" s="2420">
        <v>450</v>
      </c>
      <c r="CY231" s="145"/>
      <c r="CZ231"/>
      <c r="DA231"/>
      <c r="DB231"/>
      <c r="DC231"/>
      <c r="DD231"/>
      <c r="DE231"/>
      <c r="DF231" s="33"/>
      <c r="DG231" s="33"/>
      <c r="DH231" s="33"/>
      <c r="DI231" s="33"/>
      <c r="DJ231" s="33"/>
    </row>
    <row r="232" spans="1:114" s="220" customFormat="1" ht="12.75" customHeight="1" collapsed="1">
      <c r="A232" s="214" t="s">
        <v>94</v>
      </c>
      <c r="B232" s="540"/>
      <c r="C232" s="215"/>
      <c r="D232" s="215"/>
      <c r="E232" s="215"/>
      <c r="F232" s="216"/>
      <c r="G232" s="215"/>
      <c r="H232" s="215"/>
      <c r="I232" s="215"/>
      <c r="J232" s="215"/>
      <c r="K232" s="216"/>
      <c r="L232" s="215"/>
      <c r="M232" s="215"/>
      <c r="N232" s="215"/>
      <c r="O232" s="215"/>
      <c r="P232" s="216"/>
      <c r="Q232" s="215"/>
      <c r="R232" s="215"/>
      <c r="S232" s="215"/>
      <c r="T232" s="215"/>
      <c r="U232" s="216"/>
      <c r="V232" s="215"/>
      <c r="W232" s="215"/>
      <c r="X232" s="215"/>
      <c r="Y232" s="215"/>
      <c r="Z232" s="216"/>
      <c r="AA232" s="215"/>
      <c r="AB232" s="215"/>
      <c r="AC232" s="215"/>
      <c r="AD232" s="215"/>
      <c r="AE232" s="216"/>
      <c r="AF232" s="215"/>
      <c r="AG232" s="215"/>
      <c r="AH232" s="215"/>
      <c r="AI232" s="215"/>
      <c r="AJ232" s="216"/>
      <c r="AK232" s="215"/>
      <c r="AL232" s="215"/>
      <c r="AM232" s="215"/>
      <c r="AN232" s="215"/>
      <c r="AO232" s="216"/>
      <c r="AP232" s="215"/>
      <c r="AQ232" s="215"/>
      <c r="AR232" s="215"/>
      <c r="AS232" s="215"/>
      <c r="AT232" s="216"/>
      <c r="AU232" s="215"/>
      <c r="AV232" s="215"/>
      <c r="AW232" s="215"/>
      <c r="AX232" s="215"/>
      <c r="AY232" s="540"/>
      <c r="AZ232" s="540"/>
      <c r="BA232" s="215"/>
      <c r="BB232" s="215"/>
      <c r="BC232" s="215"/>
      <c r="BD232" s="1933"/>
      <c r="BE232" s="215"/>
      <c r="BF232" s="215"/>
      <c r="BG232" s="215"/>
      <c r="BH232" s="215"/>
      <c r="BI232" s="216"/>
      <c r="BJ232" s="215"/>
      <c r="BK232" s="215"/>
      <c r="BL232" s="215"/>
      <c r="BM232" s="215"/>
      <c r="BN232" s="216"/>
      <c r="BO232" s="215"/>
      <c r="BP232" s="215"/>
      <c r="BQ232" s="215"/>
      <c r="BR232" s="215"/>
      <c r="BS232" s="216"/>
      <c r="BT232" s="215"/>
      <c r="BU232" s="215"/>
      <c r="BV232" s="215"/>
      <c r="BW232" s="215"/>
      <c r="BX232" s="216"/>
      <c r="BY232" s="215"/>
      <c r="BZ232" s="215"/>
      <c r="CA232" s="215"/>
      <c r="CB232" s="215"/>
      <c r="CC232" s="216"/>
      <c r="CD232" s="217"/>
      <c r="CE232" s="215"/>
      <c r="CF232" s="173"/>
      <c r="CG232" s="173"/>
      <c r="CH232" s="173"/>
      <c r="CI232" s="239"/>
      <c r="CJ232" s="177"/>
      <c r="CK232" s="2070"/>
      <c r="CL232" s="177"/>
      <c r="CM232" s="177"/>
      <c r="CN232" s="177"/>
      <c r="CO232" s="177"/>
      <c r="CP232" s="177"/>
      <c r="CQ232" s="44"/>
      <c r="CR232" s="40"/>
      <c r="CS232" s="304"/>
      <c r="CT232" s="2247">
        <f>CT227-SUM(CT228:CT231)</f>
        <v>452.39999999999975</v>
      </c>
      <c r="CU232" s="2247">
        <f>CU227-CU228-CU229-CU230-CU231</f>
        <v>95.40000000000019</v>
      </c>
      <c r="CV232" s="2247">
        <f>CV227-CV228-CV229-CV230-CV231</f>
        <v>139.09999999999977</v>
      </c>
      <c r="CW232" s="2247">
        <f>CW227-CW228-CW229-CW230-CW231</f>
        <v>195.42499999999973</v>
      </c>
      <c r="CX232" s="2247">
        <f>CX227-SUM(CX228:CX231)</f>
        <v>669.54817274330799</v>
      </c>
      <c r="CY232" s="218"/>
      <c r="CZ232"/>
      <c r="DA232"/>
      <c r="DB232"/>
      <c r="DC232"/>
      <c r="DD232"/>
      <c r="DE232"/>
      <c r="DF232" s="219"/>
      <c r="DG232" s="219"/>
      <c r="DH232" s="219"/>
      <c r="DI232" s="219"/>
      <c r="DJ232" s="219"/>
    </row>
    <row r="233" spans="1:114" s="306" customFormat="1" ht="12.75" customHeight="1">
      <c r="A233" s="297" t="s">
        <v>61</v>
      </c>
      <c r="B233" s="366"/>
      <c r="C233" s="301"/>
      <c r="D233" s="301"/>
      <c r="E233" s="301"/>
      <c r="F233" s="299">
        <v>-5.8150000000000004</v>
      </c>
      <c r="G233" s="301"/>
      <c r="H233" s="301"/>
      <c r="I233" s="301"/>
      <c r="J233" s="301"/>
      <c r="K233" s="299">
        <v>3.9039999999999999</v>
      </c>
      <c r="L233" s="301"/>
      <c r="M233" s="301"/>
      <c r="N233" s="301"/>
      <c r="O233" s="301"/>
      <c r="P233" s="299">
        <v>2.1709999999999998</v>
      </c>
      <c r="Q233" s="301"/>
      <c r="R233" s="301"/>
      <c r="S233" s="301"/>
      <c r="T233" s="301"/>
      <c r="U233" s="299">
        <v>3.1560000000000001</v>
      </c>
      <c r="V233" s="301"/>
      <c r="W233" s="301"/>
      <c r="X233" s="301"/>
      <c r="Y233" s="301"/>
      <c r="Z233" s="299">
        <v>1.7050000000000001</v>
      </c>
      <c r="AA233" s="301"/>
      <c r="AB233" s="301"/>
      <c r="AC233" s="301"/>
      <c r="AD233" s="301"/>
      <c r="AE233" s="299">
        <v>4.8879999999999999</v>
      </c>
      <c r="AF233" s="301"/>
      <c r="AG233" s="301"/>
      <c r="AH233" s="301"/>
      <c r="AI233" s="301"/>
      <c r="AJ233" s="299">
        <v>0.75900000000000001</v>
      </c>
      <c r="AK233" s="301">
        <v>-2.694</v>
      </c>
      <c r="AL233" s="301">
        <f>-7.871-AK233</f>
        <v>-5.1770000000000005</v>
      </c>
      <c r="AM233" s="301">
        <f>-11.02-SUM(AK233:AL233)</f>
        <v>-3.1489999999999991</v>
      </c>
      <c r="AN233" s="301"/>
      <c r="AO233" s="299">
        <v>-20.338999999999999</v>
      </c>
      <c r="AP233" s="496">
        <v>-14.544</v>
      </c>
      <c r="AQ233" s="496">
        <f>+-31.906-AP233</f>
        <v>-17.361999999999998</v>
      </c>
      <c r="AR233" s="496">
        <f>-37.932-SUM(AP233:AQ233)</f>
        <v>-6.0260000000000034</v>
      </c>
      <c r="AS233" s="496">
        <f>AT233-SUM(AP233:AR233)</f>
        <v>-10.597999999999999</v>
      </c>
      <c r="AT233" s="497">
        <v>-48.53</v>
      </c>
      <c r="AU233" s="496">
        <v>-28.135000000000002</v>
      </c>
      <c r="AV233" s="496">
        <f>+-41.897-AU233</f>
        <v>-13.761999999999997</v>
      </c>
      <c r="AW233" s="496">
        <f>-53.595-SUM(AU233:AV233)</f>
        <v>-11.698</v>
      </c>
      <c r="AX233" s="496">
        <f>AY233-SUM(AU233:AW233)</f>
        <v>-10.005000000000003</v>
      </c>
      <c r="AY233" s="590">
        <v>-63.6</v>
      </c>
      <c r="AZ233" s="590">
        <v>-14.7</v>
      </c>
      <c r="BA233" s="496">
        <f>+-93.2-AZ233</f>
        <v>-78.5</v>
      </c>
      <c r="BB233" s="301">
        <f>+-128.7-AZ233-BA233</f>
        <v>-35.499999999999986</v>
      </c>
      <c r="BC233" s="496">
        <f>BD233-SUM(AZ233:BB233)</f>
        <v>-62.900000000000006</v>
      </c>
      <c r="BD233" s="2015">
        <v>-191.6</v>
      </c>
      <c r="BE233" s="590">
        <v>-19.3</v>
      </c>
      <c r="BF233" s="496">
        <f>31.1-BE233</f>
        <v>50.400000000000006</v>
      </c>
      <c r="BG233" s="301">
        <f>52.4-BE233-BF233</f>
        <v>21.299999999999997</v>
      </c>
      <c r="BH233" s="496">
        <f>BI233-SUM(BE233:BG233)</f>
        <v>32.099999999999994</v>
      </c>
      <c r="BI233" s="299">
        <v>84.5</v>
      </c>
      <c r="BJ233" s="301">
        <v>24.9</v>
      </c>
      <c r="BK233" s="496">
        <f>82.1-BJ233</f>
        <v>57.199999999999996</v>
      </c>
      <c r="BL233" s="301">
        <f>153.1-BJ233-BK233</f>
        <v>71</v>
      </c>
      <c r="BM233" s="301">
        <v>59.2</v>
      </c>
      <c r="BN233" s="299">
        <f>+SUM(BJ233:BM233)</f>
        <v>212.3</v>
      </c>
      <c r="BO233" s="301">
        <f t="shared" ref="BO233:BR233" si="929">BO224-BO200</f>
        <v>68.807534278856423</v>
      </c>
      <c r="BP233" s="301">
        <f>BP224-BP200</f>
        <v>148.89209881962125</v>
      </c>
      <c r="BQ233" s="301">
        <f t="shared" si="929"/>
        <v>150.05508946832512</v>
      </c>
      <c r="BR233" s="301">
        <f t="shared" si="929"/>
        <v>136.39662958182686</v>
      </c>
      <c r="BS233" s="299">
        <f>+SUM(BO233:BR233)</f>
        <v>504.15135214862966</v>
      </c>
      <c r="BT233" s="301"/>
      <c r="BU233" s="301"/>
      <c r="BV233" s="301"/>
      <c r="BW233" s="301"/>
      <c r="BX233" s="299">
        <f>BX224-BX200</f>
        <v>621.70734198842945</v>
      </c>
      <c r="BY233" s="301"/>
      <c r="BZ233" s="301"/>
      <c r="CA233" s="301"/>
      <c r="CB233" s="301"/>
      <c r="CC233" s="299">
        <f>CC224-CC200</f>
        <v>729.17953454441135</v>
      </c>
      <c r="CD233" s="302"/>
      <c r="CE233" s="303"/>
      <c r="CF233" s="246"/>
      <c r="CG233" s="246"/>
      <c r="CH233" s="246"/>
      <c r="CI233" s="247"/>
      <c r="CJ233" s="279"/>
      <c r="CK233" s="2077"/>
      <c r="CL233" s="279"/>
      <c r="CM233" s="279"/>
      <c r="CN233" s="279"/>
      <c r="CO233" s="279"/>
      <c r="CP233" s="279"/>
      <c r="CQ233" s="251"/>
      <c r="CR233" s="304"/>
      <c r="CS233" s="304" t="s">
        <v>599</v>
      </c>
      <c r="CT233" s="304">
        <v>60</v>
      </c>
      <c r="CU233" s="304"/>
      <c r="CV233" s="304"/>
      <c r="CW233" s="304"/>
      <c r="CX233" s="304">
        <v>15</v>
      </c>
      <c r="CY233" s="305"/>
      <c r="CZ233"/>
      <c r="DA233"/>
      <c r="DB233"/>
      <c r="DC233"/>
      <c r="DD233"/>
      <c r="DE233"/>
      <c r="DF233" s="298"/>
      <c r="DG233" s="298"/>
      <c r="DH233" s="298"/>
      <c r="DI233" s="298"/>
      <c r="DJ233" s="298"/>
    </row>
    <row r="234" spans="1:114" s="306" customFormat="1" ht="12.75" customHeight="1">
      <c r="A234" s="297" t="s">
        <v>60</v>
      </c>
      <c r="B234" s="366"/>
      <c r="C234" s="301"/>
      <c r="D234" s="301"/>
      <c r="E234" s="301"/>
      <c r="F234" s="299">
        <v>1.4350000000000001</v>
      </c>
      <c r="G234" s="301"/>
      <c r="H234" s="301"/>
      <c r="I234" s="301"/>
      <c r="J234" s="301"/>
      <c r="K234" s="299">
        <v>1.054</v>
      </c>
      <c r="L234" s="301"/>
      <c r="M234" s="301"/>
      <c r="N234" s="301"/>
      <c r="O234" s="301"/>
      <c r="P234" s="299">
        <v>0.84299999999999997</v>
      </c>
      <c r="Q234" s="301"/>
      <c r="R234" s="301"/>
      <c r="S234" s="301"/>
      <c r="T234" s="301"/>
      <c r="U234" s="299">
        <v>1.1140000000000001</v>
      </c>
      <c r="V234" s="301"/>
      <c r="W234" s="301"/>
      <c r="X234" s="301"/>
      <c r="Y234" s="301"/>
      <c r="Z234" s="299">
        <v>1.1910000000000001</v>
      </c>
      <c r="AA234" s="301"/>
      <c r="AB234" s="301"/>
      <c r="AC234" s="301"/>
      <c r="AD234" s="301"/>
      <c r="AE234" s="299">
        <v>1.29</v>
      </c>
      <c r="AF234" s="301"/>
      <c r="AG234" s="301"/>
      <c r="AH234" s="301"/>
      <c r="AI234" s="301"/>
      <c r="AJ234" s="299">
        <v>1.24</v>
      </c>
      <c r="AK234" s="301">
        <v>0.317</v>
      </c>
      <c r="AL234" s="301">
        <f>0.741-AK234</f>
        <v>0.42399999999999999</v>
      </c>
      <c r="AM234" s="301">
        <f>1.463-SUM(AK234:AL234)</f>
        <v>0.72200000000000009</v>
      </c>
      <c r="AN234" s="301"/>
      <c r="AO234" s="299">
        <f>AO162</f>
        <v>2.66</v>
      </c>
      <c r="AP234" s="496">
        <v>1.554</v>
      </c>
      <c r="AQ234" s="496">
        <f>3.349-AP234</f>
        <v>1.7950000000000002</v>
      </c>
      <c r="AR234" s="496">
        <f>11.743-SUM(AP234:AQ234)</f>
        <v>8.3940000000000001</v>
      </c>
      <c r="AS234" s="496">
        <f>AT234-SUM(AP234:AR234)</f>
        <v>9.0520000000000014</v>
      </c>
      <c r="AT234" s="497">
        <v>20.795000000000002</v>
      </c>
      <c r="AU234" s="496">
        <v>11.273</v>
      </c>
      <c r="AV234" s="496">
        <f>36.5-AU234</f>
        <v>25.227</v>
      </c>
      <c r="AW234" s="496">
        <f>63.79-SUM(AU234:AV234)</f>
        <v>27.29</v>
      </c>
      <c r="AX234" s="496">
        <f>AY234-SUM(AU234:AW234)</f>
        <v>34.51</v>
      </c>
      <c r="AY234" s="590">
        <v>98.3</v>
      </c>
      <c r="AZ234" s="590">
        <v>33.799999999999997</v>
      </c>
      <c r="BA234" s="496">
        <f>89.9-AZ234</f>
        <v>56.100000000000009</v>
      </c>
      <c r="BB234" s="301">
        <f>191.9-BA234-AZ234</f>
        <v>102.00000000000001</v>
      </c>
      <c r="BC234" s="496">
        <f>BD234-SUM(AZ234:BB234)</f>
        <v>172.99999999999994</v>
      </c>
      <c r="BD234" s="2015">
        <v>364.9</v>
      </c>
      <c r="BE234" s="590">
        <v>162.1</v>
      </c>
      <c r="BF234" s="496">
        <f>323.6-BE234</f>
        <v>161.50000000000003</v>
      </c>
      <c r="BG234" s="301">
        <f>485.4-BF234-BE234</f>
        <v>161.79999999999998</v>
      </c>
      <c r="BH234" s="496">
        <f>BI234-SUM(BE234:BG234)</f>
        <v>158</v>
      </c>
      <c r="BI234" s="299">
        <v>643.4</v>
      </c>
      <c r="BJ234" s="301">
        <f t="shared" ref="BJ234:BM234" si="930">+BJ162</f>
        <v>157.4</v>
      </c>
      <c r="BK234" s="301">
        <f t="shared" si="930"/>
        <v>164.4</v>
      </c>
      <c r="BL234" s="301">
        <f>489.1-BK234-BJ234</f>
        <v>167.30000000000004</v>
      </c>
      <c r="BM234" s="301">
        <f t="shared" si="930"/>
        <v>169.3</v>
      </c>
      <c r="BN234" s="299">
        <f>+SUM(BJ234:BM234)</f>
        <v>658.40000000000009</v>
      </c>
      <c r="BO234" s="301">
        <f t="shared" ref="BO234:BR234" si="931">+BO162</f>
        <v>172.6</v>
      </c>
      <c r="BP234" s="301">
        <f t="shared" si="931"/>
        <v>171.7</v>
      </c>
      <c r="BQ234" s="301">
        <f t="shared" si="931"/>
        <v>173.7</v>
      </c>
      <c r="BR234" s="301">
        <f t="shared" si="931"/>
        <v>171.2</v>
      </c>
      <c r="BS234" s="299">
        <f>+SUM(BO234:BR234)</f>
        <v>689.2</v>
      </c>
      <c r="BT234" s="301"/>
      <c r="BU234" s="301"/>
      <c r="BV234" s="301"/>
      <c r="BW234" s="301"/>
      <c r="BX234" s="299">
        <f>BX162</f>
        <v>736.39064780123442</v>
      </c>
      <c r="BY234" s="301"/>
      <c r="BZ234" s="301"/>
      <c r="CA234" s="301"/>
      <c r="CB234" s="301"/>
      <c r="CC234" s="299">
        <f>CC162</f>
        <v>787.47465569212966</v>
      </c>
      <c r="CD234" s="307"/>
      <c r="CE234" s="303"/>
      <c r="CF234" s="246"/>
      <c r="CG234" s="246"/>
      <c r="CH234" s="246"/>
      <c r="CI234" s="247"/>
      <c r="CJ234" s="279"/>
      <c r="CK234" s="2077"/>
      <c r="CL234" s="279"/>
      <c r="CM234" s="279"/>
      <c r="CN234" s="279"/>
      <c r="CO234" s="279"/>
      <c r="CP234" s="279"/>
      <c r="CQ234" s="251"/>
      <c r="CR234" s="304"/>
      <c r="CS234" s="304"/>
      <c r="CT234" s="2304">
        <f>+CT232-CT233</f>
        <v>392.39999999999975</v>
      </c>
      <c r="CU234" s="316"/>
      <c r="CV234" s="2313"/>
      <c r="CW234" s="304"/>
      <c r="CX234" s="2401">
        <f>+CX232-CX233</f>
        <v>654.54817274330799</v>
      </c>
      <c r="CY234" s="305"/>
      <c r="CZ234"/>
      <c r="DA234"/>
      <c r="DB234"/>
      <c r="DC234"/>
      <c r="DD234"/>
      <c r="DE234"/>
      <c r="DF234" s="298"/>
      <c r="DG234" s="298"/>
      <c r="DH234" s="298"/>
      <c r="DI234" s="298"/>
      <c r="DJ234" s="298"/>
    </row>
    <row r="235" spans="1:114" s="306" customFormat="1" ht="12.75" customHeight="1">
      <c r="A235" s="297" t="s">
        <v>95</v>
      </c>
      <c r="B235" s="565"/>
      <c r="C235" s="300"/>
      <c r="D235" s="300"/>
      <c r="E235" s="300"/>
      <c r="F235" s="308">
        <f>F238-F233-F234</f>
        <v>5.7249999999999996</v>
      </c>
      <c r="G235" s="298"/>
      <c r="H235" s="298"/>
      <c r="I235" s="298"/>
      <c r="J235" s="298"/>
      <c r="K235" s="308">
        <f>K238-K233-K234</f>
        <v>-1.321</v>
      </c>
      <c r="L235" s="298"/>
      <c r="M235" s="298"/>
      <c r="N235" s="298"/>
      <c r="O235" s="298"/>
      <c r="P235" s="308">
        <f>P238-P233-P234</f>
        <v>1.0290000000000004</v>
      </c>
      <c r="Q235" s="298"/>
      <c r="R235" s="298"/>
      <c r="S235" s="298"/>
      <c r="T235" s="298"/>
      <c r="U235" s="308">
        <f>U238-U233-U234</f>
        <v>2.7779999999999996</v>
      </c>
      <c r="V235" s="298"/>
      <c r="W235" s="298"/>
      <c r="X235" s="298"/>
      <c r="Y235" s="298"/>
      <c r="Z235" s="308">
        <f>Z238-Z233-Z234</f>
        <v>-2.9950000000000001</v>
      </c>
      <c r="AA235" s="298"/>
      <c r="AB235" s="298"/>
      <c r="AC235" s="298"/>
      <c r="AD235" s="298"/>
      <c r="AE235" s="308">
        <f>AE238-AE233-AE234</f>
        <v>-3.9209999999999998</v>
      </c>
      <c r="AF235" s="298"/>
      <c r="AG235" s="298"/>
      <c r="AH235" s="300"/>
      <c r="AI235" s="300"/>
      <c r="AJ235" s="308">
        <f>AJ238-AJ233-AJ234</f>
        <v>4.6119999999999992</v>
      </c>
      <c r="AK235" s="300">
        <f>AK238-AK233-AK234</f>
        <v>-0.39899999999999985</v>
      </c>
      <c r="AL235" s="300">
        <f>AL238-AL233-AL234</f>
        <v>-2.6080000000000001</v>
      </c>
      <c r="AM235" s="300">
        <f>AM238-AM233-AM234</f>
        <v>-4.3449999999999998</v>
      </c>
      <c r="AN235" s="300"/>
      <c r="AO235" s="308">
        <f t="shared" ref="AO235:BG235" si="932">AO238-AO233-AO234</f>
        <v>-6.6210000000000022</v>
      </c>
      <c r="AP235" s="498">
        <f t="shared" si="932"/>
        <v>-15.023000000000001</v>
      </c>
      <c r="AQ235" s="498">
        <f t="shared" si="932"/>
        <v>-5.4930000000000003</v>
      </c>
      <c r="AR235" s="498">
        <f t="shared" si="932"/>
        <v>-14.839999999999998</v>
      </c>
      <c r="AS235" s="498">
        <f t="shared" si="932"/>
        <v>-3.2110000000000074</v>
      </c>
      <c r="AT235" s="499">
        <f t="shared" si="932"/>
        <v>-38.567000000000007</v>
      </c>
      <c r="AU235" s="498">
        <f t="shared" si="932"/>
        <v>8.120000000000001</v>
      </c>
      <c r="AV235" s="498">
        <f t="shared" si="932"/>
        <v>-29.329000000000004</v>
      </c>
      <c r="AW235" s="498">
        <f t="shared" si="932"/>
        <v>-2.242999999999995</v>
      </c>
      <c r="AX235" s="498">
        <f t="shared" si="932"/>
        <v>-32.547999999999995</v>
      </c>
      <c r="AY235" s="591">
        <f t="shared" si="932"/>
        <v>-56</v>
      </c>
      <c r="AZ235" s="591">
        <f t="shared" si="932"/>
        <v>28.200000000000003</v>
      </c>
      <c r="BA235" s="498">
        <f t="shared" si="932"/>
        <v>-48.100000000000009</v>
      </c>
      <c r="BB235" s="1906">
        <f t="shared" si="932"/>
        <v>-3.9000000000000199</v>
      </c>
      <c r="BC235" s="498">
        <f t="shared" si="932"/>
        <v>-58.699999999999946</v>
      </c>
      <c r="BD235" s="2016">
        <f t="shared" si="932"/>
        <v>-82.5</v>
      </c>
      <c r="BE235" s="591">
        <f t="shared" si="932"/>
        <v>-135.89999999999998</v>
      </c>
      <c r="BF235" s="498">
        <f t="shared" si="932"/>
        <v>48.800000000000011</v>
      </c>
      <c r="BG235" s="1906">
        <f t="shared" si="932"/>
        <v>-46.100000000000009</v>
      </c>
      <c r="BH235" s="498">
        <f t="shared" ref="BH235" si="933">BH238-BH233-BH234</f>
        <v>30.69999999999996</v>
      </c>
      <c r="BI235" s="2016">
        <f t="shared" ref="BI235:BN235" si="934">BI238-BI233-BI234</f>
        <v>-102.5</v>
      </c>
      <c r="BJ235" s="591">
        <f t="shared" si="934"/>
        <v>-167.3</v>
      </c>
      <c r="BK235" s="498">
        <f t="shared" si="934"/>
        <v>-5.5999999999999943</v>
      </c>
      <c r="BL235" s="1906">
        <f t="shared" si="934"/>
        <v>55.400000000000006</v>
      </c>
      <c r="BM235" s="498">
        <f t="shared" si="934"/>
        <v>45.399999999999977</v>
      </c>
      <c r="BN235" s="2016">
        <f t="shared" si="934"/>
        <v>-72.100000000000136</v>
      </c>
      <c r="BO235" s="523">
        <f t="shared" ref="BO235:BR235" si="935">-(BO268-BN268)-(BO270-BN270)+(BO278-BN278)+(BO280-BN280)</f>
        <v>-216.53361474753632</v>
      </c>
      <c r="BP235" s="523">
        <f t="shared" si="935"/>
        <v>60.57728104621242</v>
      </c>
      <c r="BQ235" s="523">
        <f t="shared" si="935"/>
        <v>58.146456562220578</v>
      </c>
      <c r="BR235" s="523">
        <f t="shared" si="935"/>
        <v>75.616753274690893</v>
      </c>
      <c r="BS235" s="2050">
        <f>+SUM(BO235:BR235)</f>
        <v>-22.193123864412428</v>
      </c>
      <c r="BT235" s="523"/>
      <c r="BU235" s="523"/>
      <c r="BV235" s="523"/>
      <c r="BW235" s="523"/>
      <c r="BX235" s="2050">
        <f>-(BX268-BS268)-(BX270-BS270)+(BX278-BS278)+(BX280-BS280)</f>
        <v>-27.513668429502843</v>
      </c>
      <c r="BY235" s="523"/>
      <c r="BZ235" s="523"/>
      <c r="CA235" s="523"/>
      <c r="CB235" s="523"/>
      <c r="CC235" s="2050">
        <f>-(CC268-BX268)-(CC270-BX270)+(CC278-BX278)+(CC280-BX280)</f>
        <v>-35.384021113173503</v>
      </c>
      <c r="CE235" s="305"/>
      <c r="CF235" s="246"/>
      <c r="CG235" s="246"/>
      <c r="CH235" s="246"/>
      <c r="CI235" s="247"/>
      <c r="CJ235" s="279"/>
      <c r="CK235" s="2077"/>
      <c r="CL235" s="279"/>
      <c r="CM235" s="279"/>
      <c r="CN235" s="279"/>
      <c r="CO235" s="279"/>
      <c r="CP235" s="279"/>
      <c r="CQ235" s="495" t="s">
        <v>574</v>
      </c>
      <c r="CR235" s="304"/>
      <c r="CS235" s="304"/>
      <c r="CT235" s="304"/>
      <c r="CU235" s="304"/>
      <c r="CV235" s="304"/>
      <c r="CW235" s="304"/>
      <c r="CX235" s="304"/>
      <c r="CY235" s="305"/>
      <c r="CZ235"/>
      <c r="DA235"/>
      <c r="DB235"/>
      <c r="DC235"/>
      <c r="DD235"/>
      <c r="DE235"/>
      <c r="DF235" s="298"/>
      <c r="DG235" s="298"/>
      <c r="DH235" s="298"/>
      <c r="DI235" s="298"/>
      <c r="DJ235" s="298"/>
    </row>
    <row r="236" spans="1:114" s="306" customFormat="1" ht="12.75" customHeight="1">
      <c r="A236" s="281" t="s">
        <v>243</v>
      </c>
      <c r="B236" s="565"/>
      <c r="C236" s="300"/>
      <c r="D236" s="300"/>
      <c r="E236" s="300"/>
      <c r="F236" s="308"/>
      <c r="G236" s="298"/>
      <c r="H236" s="298"/>
      <c r="I236" s="298"/>
      <c r="J236" s="298"/>
      <c r="K236" s="308"/>
      <c r="L236" s="298"/>
      <c r="M236" s="298"/>
      <c r="N236" s="298"/>
      <c r="O236" s="298"/>
      <c r="P236" s="308"/>
      <c r="Q236" s="298"/>
      <c r="R236" s="298"/>
      <c r="S236" s="298"/>
      <c r="T236" s="298"/>
      <c r="U236" s="308"/>
      <c r="V236" s="298"/>
      <c r="W236" s="298"/>
      <c r="X236" s="298"/>
      <c r="Y236" s="298"/>
      <c r="Z236" s="308"/>
      <c r="AA236" s="298"/>
      <c r="AB236" s="298"/>
      <c r="AC236" s="298"/>
      <c r="AD236" s="298"/>
      <c r="AE236" s="642">
        <f>+AE235/(AE182-Z182)</f>
        <v>-6.7777566507061238E-2</v>
      </c>
      <c r="AH236" s="523"/>
      <c r="AI236" s="523"/>
      <c r="AJ236" s="642">
        <f>+AJ235/(AJ182-AE182)</f>
        <v>0.24160511289224121</v>
      </c>
      <c r="AK236" s="523"/>
      <c r="AL236" s="523"/>
      <c r="AM236" s="523"/>
      <c r="AN236" s="523"/>
      <c r="AO236" s="642">
        <f>+AO235/(AO182-AJ182)</f>
        <v>-6.5221888390878183E-2</v>
      </c>
      <c r="AP236" s="523"/>
      <c r="AQ236" s="523"/>
      <c r="AR236" s="523"/>
      <c r="AS236" s="523"/>
      <c r="AT236" s="642">
        <f>+AT235/(AT182-AO182)</f>
        <v>-9.1021731742315537E-2</v>
      </c>
      <c r="AU236" s="523"/>
      <c r="AV236" s="523"/>
      <c r="AW236" s="523"/>
      <c r="AX236" s="523"/>
      <c r="AY236" s="642">
        <f>+AY235/(AY182-AT182)</f>
        <v>-3.3851605442612766E-2</v>
      </c>
      <c r="AZ236" s="643"/>
      <c r="BA236" s="523"/>
      <c r="BB236" s="523"/>
      <c r="BC236" s="523"/>
      <c r="BD236" s="2017">
        <f>+BD235/(BD182-AY182)</f>
        <v>-1.5664404283654454E-2</v>
      </c>
      <c r="BE236" s="643"/>
      <c r="BF236" s="523"/>
      <c r="BG236" s="523"/>
      <c r="BH236" s="523"/>
      <c r="BI236" s="2017">
        <f>+BI235/(BI182-BD182)</f>
        <v>-1.4651019853918611E-2</v>
      </c>
      <c r="BJ236" s="523"/>
      <c r="BK236" s="523"/>
      <c r="BL236" s="523"/>
      <c r="BM236" s="523"/>
      <c r="BN236" s="642">
        <f>+BN235/(BN182-BI182)</f>
        <v>-9.4693984764906744E-2</v>
      </c>
      <c r="BO236" s="523"/>
      <c r="BP236" s="523"/>
      <c r="BQ236" s="523"/>
      <c r="BR236" s="523"/>
      <c r="BS236" s="642">
        <f>+BS235/(BS182-BN182)</f>
        <v>-1.7485039426294539E-2</v>
      </c>
      <c r="BT236" s="523"/>
      <c r="BU236" s="523"/>
      <c r="BV236" s="523"/>
      <c r="BW236" s="523"/>
      <c r="BX236" s="642">
        <f>+BX235/(BX182-BS182)</f>
        <v>-2.4133590120554379E-2</v>
      </c>
      <c r="BY236" s="523"/>
      <c r="BZ236" s="523"/>
      <c r="CA236" s="523"/>
      <c r="CB236" s="523"/>
      <c r="CC236" s="642">
        <f>+CC235/(CC182-BX182)</f>
        <v>-2.8671577909445117E-2</v>
      </c>
      <c r="CE236" s="305"/>
      <c r="CF236" s="246"/>
      <c r="CG236" s="246"/>
      <c r="CH236" s="246"/>
      <c r="CI236" s="247"/>
      <c r="CJ236" s="279"/>
      <c r="CK236" s="2077"/>
      <c r="CL236" s="279"/>
      <c r="CM236" s="279"/>
      <c r="CN236" s="279"/>
      <c r="CO236" s="279"/>
      <c r="CP236" s="279"/>
      <c r="CQ236" s="251" t="s">
        <v>244</v>
      </c>
      <c r="CR236" s="304"/>
      <c r="CS236" s="304"/>
      <c r="CT236" s="304"/>
      <c r="CU236" s="304"/>
      <c r="CV236" s="304"/>
      <c r="CW236" s="304"/>
      <c r="CX236" s="304"/>
      <c r="CY236" s="305"/>
      <c r="CZ236"/>
      <c r="DA236"/>
      <c r="DB236"/>
      <c r="DC236"/>
      <c r="DD236"/>
      <c r="DE236"/>
      <c r="DF236" s="298"/>
      <c r="DG236" s="298"/>
      <c r="DH236" s="298"/>
      <c r="DI236" s="298"/>
      <c r="DJ236" s="298"/>
    </row>
    <row r="237" spans="1:114" s="306" customFormat="1" ht="12.75" customHeight="1">
      <c r="A237" s="281" t="s">
        <v>85</v>
      </c>
      <c r="B237" s="565"/>
      <c r="C237" s="300"/>
      <c r="D237" s="300"/>
      <c r="E237" s="300"/>
      <c r="F237" s="308"/>
      <c r="G237" s="298"/>
      <c r="H237" s="298"/>
      <c r="I237" s="298"/>
      <c r="J237" s="298"/>
      <c r="K237" s="308"/>
      <c r="L237" s="298"/>
      <c r="M237" s="298"/>
      <c r="N237" s="298"/>
      <c r="O237" s="298"/>
      <c r="P237" s="308"/>
      <c r="Q237" s="298"/>
      <c r="R237" s="298"/>
      <c r="S237" s="298"/>
      <c r="T237" s="298"/>
      <c r="U237" s="308"/>
      <c r="V237" s="298"/>
      <c r="W237" s="298"/>
      <c r="X237" s="298"/>
      <c r="Y237" s="298"/>
      <c r="Z237" s="308"/>
      <c r="AA237" s="298"/>
      <c r="AB237" s="298"/>
      <c r="AC237" s="298"/>
      <c r="AD237" s="298"/>
      <c r="AE237" s="642"/>
      <c r="AH237" s="523"/>
      <c r="AI237" s="523"/>
      <c r="AJ237" s="642"/>
      <c r="AK237" s="523"/>
      <c r="AL237" s="523"/>
      <c r="AM237" s="523"/>
      <c r="AN237" s="523"/>
      <c r="AO237" s="642"/>
      <c r="AP237" s="523"/>
      <c r="AQ237" s="523"/>
      <c r="AR237" s="523"/>
      <c r="AS237" s="523"/>
      <c r="AT237" s="642"/>
      <c r="AU237" s="523"/>
      <c r="AV237" s="523"/>
      <c r="AW237" s="523"/>
      <c r="AX237" s="523"/>
      <c r="AY237" s="685"/>
      <c r="AZ237" s="643"/>
      <c r="BA237" s="523"/>
      <c r="BB237" s="523"/>
      <c r="BC237" s="523"/>
      <c r="BD237" s="642">
        <f>+ABS(BD235)/ABS(AY235)-1</f>
        <v>0.47321428571428581</v>
      </c>
      <c r="BE237" s="643"/>
      <c r="BF237" s="523"/>
      <c r="BG237" s="523"/>
      <c r="BH237" s="523"/>
      <c r="BI237" s="642">
        <f>+ABS(BI235)/ABS(BD235)-1</f>
        <v>0.24242424242424243</v>
      </c>
      <c r="BJ237" s="523"/>
      <c r="BK237" s="523"/>
      <c r="BL237" s="523"/>
      <c r="BM237" s="523"/>
      <c r="BN237" s="642">
        <f>+ABS(BN235)/ABS(BI235)-1</f>
        <v>-0.29658536585365725</v>
      </c>
      <c r="BO237" s="523"/>
      <c r="BP237" s="523"/>
      <c r="BQ237" s="523"/>
      <c r="BR237" s="523"/>
      <c r="BS237" s="642">
        <f>+ABS(BS235)/ABS(BN235)-1</f>
        <v>-0.69218968287916249</v>
      </c>
      <c r="BT237" s="523"/>
      <c r="BU237" s="523"/>
      <c r="BV237" s="523"/>
      <c r="BW237" s="523"/>
      <c r="BX237" s="642">
        <f>+ABS(BX235)/ABS(BS235)-1</f>
        <v>0.23973842518051836</v>
      </c>
      <c r="BY237" s="523"/>
      <c r="BZ237" s="523"/>
      <c r="CA237" s="523"/>
      <c r="CB237" s="523"/>
      <c r="CC237" s="642">
        <f>+ABS(CC235)/ABS(BX235)-1</f>
        <v>0.28605246529871309</v>
      </c>
      <c r="CE237" s="305"/>
      <c r="CF237" s="246"/>
      <c r="CG237" s="246"/>
      <c r="CH237" s="246"/>
      <c r="CI237" s="247"/>
      <c r="CJ237" s="279"/>
      <c r="CK237" s="2077"/>
      <c r="CL237" s="279"/>
      <c r="CM237" s="279"/>
      <c r="CN237" s="279"/>
      <c r="CO237" s="279"/>
      <c r="CP237" s="279"/>
      <c r="CQ237" s="251"/>
      <c r="CR237" s="304"/>
      <c r="CS237" s="304"/>
      <c r="CT237" s="304"/>
      <c r="CU237" s="304"/>
      <c r="CV237" s="304"/>
      <c r="CW237" s="304"/>
      <c r="CX237" s="304"/>
      <c r="CY237" s="305"/>
      <c r="CZ237"/>
      <c r="DA237"/>
      <c r="DB237"/>
      <c r="DC237"/>
      <c r="DD237"/>
      <c r="DE237"/>
      <c r="DF237" s="298"/>
      <c r="DG237" s="298"/>
      <c r="DH237" s="298"/>
      <c r="DI237" s="298"/>
      <c r="DJ237" s="298"/>
    </row>
    <row r="238" spans="1:114" s="250" customFormat="1" ht="12.75" customHeight="1">
      <c r="A238" s="309" t="s">
        <v>96</v>
      </c>
      <c r="B238" s="566"/>
      <c r="C238" s="311"/>
      <c r="D238" s="311"/>
      <c r="E238" s="311"/>
      <c r="F238" s="310">
        <v>1.345</v>
      </c>
      <c r="G238" s="309"/>
      <c r="H238" s="309"/>
      <c r="I238" s="309"/>
      <c r="J238" s="309"/>
      <c r="K238" s="310">
        <v>3.637</v>
      </c>
      <c r="L238" s="309"/>
      <c r="M238" s="309"/>
      <c r="N238" s="309"/>
      <c r="O238" s="309"/>
      <c r="P238" s="310">
        <v>4.0430000000000001</v>
      </c>
      <c r="Q238" s="309"/>
      <c r="R238" s="309"/>
      <c r="S238" s="309"/>
      <c r="T238" s="309"/>
      <c r="U238" s="310">
        <v>7.048</v>
      </c>
      <c r="V238" s="309"/>
      <c r="W238" s="309"/>
      <c r="X238" s="309"/>
      <c r="Y238" s="309"/>
      <c r="Z238" s="310">
        <v>-9.9000000000000005E-2</v>
      </c>
      <c r="AA238" s="309"/>
      <c r="AB238" s="309"/>
      <c r="AC238" s="309"/>
      <c r="AD238" s="309"/>
      <c r="AE238" s="310">
        <v>2.2570000000000001</v>
      </c>
      <c r="AF238" s="309"/>
      <c r="AG238" s="309"/>
      <c r="AH238" s="309"/>
      <c r="AI238" s="309"/>
      <c r="AJ238" s="310">
        <v>6.6109999999999998</v>
      </c>
      <c r="AK238" s="309">
        <v>-2.7759999999999998</v>
      </c>
      <c r="AL238" s="309">
        <f>+-10.137-AK238</f>
        <v>-7.3610000000000007</v>
      </c>
      <c r="AM238" s="309">
        <f>+-16.909-SUM(AK238:AL238)</f>
        <v>-6.7719999999999985</v>
      </c>
      <c r="AN238" s="309"/>
      <c r="AO238" s="310">
        <v>-24.3</v>
      </c>
      <c r="AP238" s="309">
        <v>-28.013000000000002</v>
      </c>
      <c r="AQ238" s="309">
        <f>-49.073-AP238</f>
        <v>-21.06</v>
      </c>
      <c r="AR238" s="309">
        <f>+-61.545-SUM(AP238:AQ238)</f>
        <v>-12.472000000000001</v>
      </c>
      <c r="AS238" s="309">
        <f>AT238-SUM(AP238:AR238)</f>
        <v>-4.757000000000005</v>
      </c>
      <c r="AT238" s="310">
        <v>-66.302000000000007</v>
      </c>
      <c r="AU238" s="309">
        <v>-8.7420000000000009</v>
      </c>
      <c r="AV238" s="309">
        <f>-26.606-AU238</f>
        <v>-17.864000000000001</v>
      </c>
      <c r="AW238" s="309">
        <f>+-13.257-SUM(AU238:AV238)</f>
        <v>13.349000000000002</v>
      </c>
      <c r="AX238" s="309">
        <f>AY238-SUM(AU238:AW238)</f>
        <v>-8.043000000000001</v>
      </c>
      <c r="AY238" s="592">
        <v>-21.3</v>
      </c>
      <c r="AZ238" s="592">
        <v>47.3</v>
      </c>
      <c r="BA238" s="309">
        <f>-23.2-AZ238</f>
        <v>-70.5</v>
      </c>
      <c r="BB238" s="309">
        <f>39.4-BA238-AZ238</f>
        <v>62.600000000000009</v>
      </c>
      <c r="BC238" s="309">
        <f>BD238-SUM(AZ238:BB238)</f>
        <v>51.399999999999991</v>
      </c>
      <c r="BD238" s="2018">
        <v>90.8</v>
      </c>
      <c r="BE238" s="592">
        <v>6.9</v>
      </c>
      <c r="BF238" s="309">
        <f>267.6-BE238</f>
        <v>260.70000000000005</v>
      </c>
      <c r="BG238" s="309">
        <f>404.6-BF238-BE238</f>
        <v>136.99999999999997</v>
      </c>
      <c r="BH238" s="309">
        <f>BI238-SUM(BE238:BG238)</f>
        <v>220.79999999999995</v>
      </c>
      <c r="BI238" s="310">
        <v>625.4</v>
      </c>
      <c r="BJ238" s="309">
        <v>15</v>
      </c>
      <c r="BK238" s="309">
        <f>231-BJ238</f>
        <v>216</v>
      </c>
      <c r="BL238" s="309">
        <f>524.7-BK238-BJ238</f>
        <v>293.70000000000005</v>
      </c>
      <c r="BM238" s="309">
        <f>BN238-SUM(BJ238:BL238)</f>
        <v>273.89999999999998</v>
      </c>
      <c r="BN238" s="310">
        <v>798.6</v>
      </c>
      <c r="BO238" s="309">
        <f t="shared" ref="BO238:BR238" si="936">BO233+BO234+BO235</f>
        <v>24.873919531320098</v>
      </c>
      <c r="BP238" s="309">
        <f t="shared" si="936"/>
        <v>381.16937986583366</v>
      </c>
      <c r="BQ238" s="309">
        <f t="shared" si="936"/>
        <v>381.90154603054566</v>
      </c>
      <c r="BR238" s="309">
        <f t="shared" si="936"/>
        <v>383.21338285651774</v>
      </c>
      <c r="BS238" s="310">
        <f>BS233+BS234+BS235</f>
        <v>1171.1582282842173</v>
      </c>
      <c r="BT238" s="309"/>
      <c r="BU238" s="309"/>
      <c r="BV238" s="309"/>
      <c r="BW238" s="309"/>
      <c r="BX238" s="310">
        <f>BX233+BX234+BX235</f>
        <v>1330.5843213601611</v>
      </c>
      <c r="BY238" s="309"/>
      <c r="BZ238" s="309"/>
      <c r="CA238" s="309"/>
      <c r="CB238" s="309"/>
      <c r="CC238" s="310">
        <f>CC233+CC234+CC235</f>
        <v>1481.2701691233676</v>
      </c>
      <c r="CD238" s="279"/>
      <c r="CE238" s="280"/>
      <c r="CF238" s="246"/>
      <c r="CG238" s="246"/>
      <c r="CH238" s="246"/>
      <c r="CI238" s="247"/>
      <c r="CJ238" s="279"/>
      <c r="CK238" s="2077"/>
      <c r="CL238" s="279"/>
      <c r="CM238" s="279"/>
      <c r="CN238" s="279"/>
      <c r="CO238" s="279"/>
      <c r="CP238" s="279"/>
      <c r="CQ238" s="251"/>
      <c r="CR238" s="248"/>
      <c r="CS238" s="248"/>
      <c r="CT238" s="248"/>
      <c r="CU238" s="248"/>
      <c r="CV238" s="248"/>
      <c r="CW238" s="248"/>
      <c r="CX238" s="248">
        <f>250-15</f>
        <v>235</v>
      </c>
      <c r="CY238" s="249"/>
      <c r="CZ238"/>
      <c r="DA238"/>
      <c r="DB238"/>
      <c r="DC238"/>
      <c r="DD238"/>
      <c r="DE238"/>
      <c r="DF238" s="4"/>
      <c r="DG238" s="4"/>
      <c r="DH238" s="4"/>
      <c r="DI238" s="4"/>
      <c r="DJ238" s="4"/>
    </row>
    <row r="239" spans="1:114" s="306" customFormat="1" ht="12.75" customHeight="1">
      <c r="A239" s="297" t="s">
        <v>63</v>
      </c>
      <c r="B239" s="366"/>
      <c r="C239" s="301"/>
      <c r="D239" s="301"/>
      <c r="E239" s="301"/>
      <c r="F239" s="299">
        <v>-0.27</v>
      </c>
      <c r="G239" s="301"/>
      <c r="H239" s="301"/>
      <c r="I239" s="301"/>
      <c r="J239" s="301"/>
      <c r="K239" s="299">
        <v>-0.96099999999999997</v>
      </c>
      <c r="L239" s="301"/>
      <c r="M239" s="301"/>
      <c r="N239" s="301"/>
      <c r="O239" s="301"/>
      <c r="P239" s="299">
        <v>-0.47299999999999998</v>
      </c>
      <c r="Q239" s="301"/>
      <c r="R239" s="301"/>
      <c r="S239" s="301"/>
      <c r="T239" s="301"/>
      <c r="U239" s="299">
        <v>-1.109</v>
      </c>
      <c r="V239" s="301"/>
      <c r="W239" s="301"/>
      <c r="X239" s="301"/>
      <c r="Y239" s="301"/>
      <c r="Z239" s="299">
        <v>-0.186</v>
      </c>
      <c r="AA239" s="301"/>
      <c r="AB239" s="301"/>
      <c r="AC239" s="301"/>
      <c r="AD239" s="301"/>
      <c r="AE239" s="299">
        <v>-0.81100000000000005</v>
      </c>
      <c r="AF239" s="301"/>
      <c r="AG239" s="301"/>
      <c r="AH239" s="301"/>
      <c r="AI239" s="301"/>
      <c r="AJ239" s="299">
        <v>-0.754</v>
      </c>
      <c r="AK239" s="301">
        <v>-0.83599999999999997</v>
      </c>
      <c r="AL239" s="301">
        <f>-2.569-AK239</f>
        <v>-1.7330000000000001</v>
      </c>
      <c r="AM239" s="301">
        <f>-3.986-SUM(AK239:AL239)</f>
        <v>-1.4170000000000003</v>
      </c>
      <c r="AN239" s="301"/>
      <c r="AO239" s="299">
        <v>-6.9809999999999999</v>
      </c>
      <c r="AP239" s="434">
        <v>-1.081</v>
      </c>
      <c r="AQ239" s="446">
        <f>+-3.864-AP239</f>
        <v>-2.7829999999999999</v>
      </c>
      <c r="AR239" s="301">
        <f>-6.535-SUM(AP239:AQ239)</f>
        <v>-2.6710000000000003</v>
      </c>
      <c r="AS239" s="434">
        <f>AT239-SUM(AP239:AR239)</f>
        <v>-5.0500000000000007</v>
      </c>
      <c r="AT239" s="299">
        <v>-11.585000000000001</v>
      </c>
      <c r="AU239" s="434">
        <v>-3.9350000000000001</v>
      </c>
      <c r="AV239" s="446">
        <f>+-9.822-AU239</f>
        <v>-5.8869999999999987</v>
      </c>
      <c r="AW239" s="301">
        <f>-21.6-SUM(AU239:AV239)</f>
        <v>-11.778000000000002</v>
      </c>
      <c r="AX239" s="434">
        <f>AY239-SUM(AU239:AW239)</f>
        <v>-23</v>
      </c>
      <c r="AY239" s="366">
        <v>-44.6</v>
      </c>
      <c r="AZ239" s="437">
        <v>-11.4</v>
      </c>
      <c r="BA239" s="446">
        <f>+-41.9-AZ239</f>
        <v>-30.5</v>
      </c>
      <c r="BB239" s="301">
        <f>+-114.4-BA239-AZ239</f>
        <v>-72.5</v>
      </c>
      <c r="BC239" s="434">
        <f>BD239-SUM(AZ239:BB239)</f>
        <v>-134.6</v>
      </c>
      <c r="BD239" s="2019">
        <v>-249</v>
      </c>
      <c r="BE239" s="437">
        <v>-114.7</v>
      </c>
      <c r="BF239" s="446">
        <f>-224-BE239</f>
        <v>-109.3</v>
      </c>
      <c r="BG239" s="301">
        <f>+-318.5-BF239-BE239</f>
        <v>-94.499999999999986</v>
      </c>
      <c r="BH239" s="434">
        <f>BI239-SUM(BE239:BG239)</f>
        <v>-164.89999999999998</v>
      </c>
      <c r="BI239" s="2220">
        <v>-483.4</v>
      </c>
      <c r="BJ239" s="437">
        <v>-122.4</v>
      </c>
      <c r="BK239" s="446">
        <f>-262-BJ239</f>
        <v>-139.6</v>
      </c>
      <c r="BL239" s="301">
        <f>+-389.9-BK239-BJ239</f>
        <v>-127.89999999999998</v>
      </c>
      <c r="BM239" s="434">
        <f>BN239-SUM(BJ239:BL239)</f>
        <v>-113.89999999999998</v>
      </c>
      <c r="BN239" s="2220">
        <v>-503.79999999999995</v>
      </c>
      <c r="BO239" s="2143">
        <v>-122</v>
      </c>
      <c r="BP239" s="2143">
        <f>+BO239</f>
        <v>-122</v>
      </c>
      <c r="BQ239" s="2143">
        <f t="shared" ref="BQ239:BR239" si="937">+BP239</f>
        <v>-122</v>
      </c>
      <c r="BR239" s="2143">
        <f t="shared" si="937"/>
        <v>-122</v>
      </c>
      <c r="BS239" s="2220">
        <f>SUM(BO239:BR239)</f>
        <v>-488</v>
      </c>
      <c r="BT239" s="528"/>
      <c r="BU239" s="528"/>
      <c r="BV239" s="528"/>
      <c r="BW239" s="528"/>
      <c r="BX239" s="527">
        <f>-BX182*BX240</f>
        <v>-533.70361771201715</v>
      </c>
      <c r="BY239" s="528"/>
      <c r="BZ239" s="528"/>
      <c r="CA239" s="528"/>
      <c r="CB239" s="528"/>
      <c r="CC239" s="527">
        <f>-CC182*CC240</f>
        <v>-589.75129977924985</v>
      </c>
      <c r="CD239" s="307"/>
      <c r="CE239" s="303"/>
      <c r="CG239" s="246"/>
      <c r="CH239" s="246"/>
      <c r="CI239" s="247"/>
      <c r="CJ239" s="279"/>
      <c r="CK239" s="2077"/>
      <c r="CL239" s="279"/>
      <c r="CM239" s="279"/>
      <c r="CN239" s="279"/>
      <c r="CO239" s="279"/>
      <c r="CP239" s="279"/>
      <c r="CQ239" s="495"/>
      <c r="CR239" s="304"/>
      <c r="CS239" s="304"/>
      <c r="CT239" s="304"/>
      <c r="CU239" s="304"/>
      <c r="CV239" s="304"/>
      <c r="CW239" s="304"/>
      <c r="CX239" s="304">
        <f>265-10</f>
        <v>255</v>
      </c>
      <c r="CY239" s="305"/>
      <c r="CZ239"/>
      <c r="DA239"/>
      <c r="DB239"/>
      <c r="DC239"/>
      <c r="DD239"/>
      <c r="DE239"/>
      <c r="DF239" s="298"/>
      <c r="DG239" s="298"/>
      <c r="DH239" s="298"/>
      <c r="DI239" s="298"/>
      <c r="DJ239" s="298"/>
    </row>
    <row r="240" spans="1:114" s="1" customFormat="1" ht="12.75" customHeight="1">
      <c r="A240" s="89" t="s">
        <v>245</v>
      </c>
      <c r="B240" s="567"/>
      <c r="C240" s="19"/>
      <c r="D240" s="19"/>
      <c r="E240" s="19"/>
      <c r="F240" s="65"/>
      <c r="G240" s="19"/>
      <c r="H240" s="19"/>
      <c r="I240" s="19"/>
      <c r="J240" s="19"/>
      <c r="K240" s="65">
        <f>-K239/Model!K$45</f>
        <v>2.2777369581190303E-2</v>
      </c>
      <c r="L240" s="19"/>
      <c r="M240" s="19"/>
      <c r="N240" s="19"/>
      <c r="O240" s="19"/>
      <c r="P240" s="65">
        <f>-P239/Model!P$45</f>
        <v>9.1835744102514317E-3</v>
      </c>
      <c r="Q240" s="19"/>
      <c r="R240" s="19"/>
      <c r="S240" s="19"/>
      <c r="T240" s="19"/>
      <c r="U240" s="65">
        <f>-U239/Model!U$45</f>
        <v>1.0131369790429555E-2</v>
      </c>
      <c r="V240" s="19"/>
      <c r="W240" s="19"/>
      <c r="X240" s="19"/>
      <c r="Y240" s="19"/>
      <c r="Z240" s="65">
        <f>-Z239/Model!Z$45</f>
        <v>1.8574738355836063E-3</v>
      </c>
      <c r="AA240" s="19"/>
      <c r="AB240" s="19"/>
      <c r="AC240" s="19"/>
      <c r="AD240" s="19"/>
      <c r="AE240" s="65">
        <f>-AE239/Model!AE$45</f>
        <v>5.1333337553089815E-3</v>
      </c>
      <c r="AF240" s="19"/>
      <c r="AG240" s="19"/>
      <c r="AH240" s="19"/>
      <c r="AI240" s="19"/>
      <c r="AJ240" s="65">
        <f>-AJ239/Model!AJ$45</f>
        <v>4.2580586866656119E-3</v>
      </c>
      <c r="AK240" s="19"/>
      <c r="AL240" s="19"/>
      <c r="AM240" s="19"/>
      <c r="AN240" s="19"/>
      <c r="AO240" s="65">
        <f>-AO239/Model!AO$45</f>
        <v>2.5058239498045514E-2</v>
      </c>
      <c r="AP240" s="178"/>
      <c r="AQ240" s="19"/>
      <c r="AR240" s="19"/>
      <c r="AS240" s="178"/>
      <c r="AT240" s="65">
        <f>-AT239/Model!AT$45</f>
        <v>1.6495729051420823E-2</v>
      </c>
      <c r="AU240" s="178"/>
      <c r="AV240" s="19"/>
      <c r="AW240" s="19"/>
      <c r="AX240" s="178"/>
      <c r="AY240" s="65">
        <f>-AY239/Model!AY$45</f>
        <v>1.8925715294439153E-2</v>
      </c>
      <c r="AZ240" s="618"/>
      <c r="BA240" s="19"/>
      <c r="BB240" s="19"/>
      <c r="BC240" s="178"/>
      <c r="BD240" s="2020">
        <f>-BD239/Model!BD$45</f>
        <v>3.2663019951989301E-2</v>
      </c>
      <c r="BE240" s="439"/>
      <c r="BF240" s="18">
        <f>+BF239/BI239</f>
        <v>0.22610674389739346</v>
      </c>
      <c r="BG240" s="18"/>
      <c r="BH240" s="178"/>
      <c r="BI240" s="2020">
        <f>-BI239/Model!BI$45</f>
        <v>3.3065652489158243E-2</v>
      </c>
      <c r="BJ240" s="439"/>
      <c r="BK240" s="178"/>
      <c r="BL240" s="18"/>
      <c r="BM240" s="178"/>
      <c r="BN240" s="2020">
        <f>-BN239/Model!BN$45</f>
        <v>3.2755123270571097E-2</v>
      </c>
      <c r="BO240" s="178"/>
      <c r="BP240" s="178"/>
      <c r="BQ240" s="178"/>
      <c r="BR240" s="178"/>
      <c r="BS240" s="2020">
        <f>-BS239/Model!BS$45</f>
        <v>2.9309197376002318E-2</v>
      </c>
      <c r="BT240" s="645"/>
      <c r="BU240" s="645"/>
      <c r="BV240" s="645"/>
      <c r="BW240" s="645"/>
      <c r="BX240" s="644">
        <v>0.03</v>
      </c>
      <c r="BY240" s="645"/>
      <c r="BZ240" s="645"/>
      <c r="CA240" s="645"/>
      <c r="CB240" s="645"/>
      <c r="CC240" s="644">
        <v>3.1E-2</v>
      </c>
      <c r="CD240" s="178"/>
      <c r="CE240" s="116"/>
      <c r="CF240" s="173"/>
      <c r="CG240" s="173"/>
      <c r="CH240" s="173"/>
      <c r="CI240" s="239"/>
      <c r="CJ240" s="177"/>
      <c r="CK240" s="2070"/>
      <c r="CL240" s="177"/>
      <c r="CM240" s="177"/>
      <c r="CN240" s="177"/>
      <c r="CO240" s="177"/>
      <c r="CP240" s="177"/>
      <c r="CQ240" s="44"/>
      <c r="CR240" s="495"/>
      <c r="CS240" s="40"/>
      <c r="CT240" s="40"/>
      <c r="CU240" s="40"/>
      <c r="CV240" s="40"/>
      <c r="CW240" s="40"/>
      <c r="CX240" s="40"/>
      <c r="CY240" s="139"/>
      <c r="CZ240"/>
      <c r="DA240"/>
      <c r="DB240"/>
      <c r="DC240"/>
      <c r="DD240"/>
      <c r="DE240"/>
      <c r="DF240" s="3"/>
      <c r="DG240" s="3"/>
      <c r="DH240" s="3"/>
      <c r="DI240" s="3"/>
      <c r="DJ240" s="3"/>
    </row>
    <row r="241" spans="1:114" s="178" customFormat="1" ht="12.75" customHeight="1">
      <c r="A241" s="211" t="s">
        <v>62</v>
      </c>
      <c r="B241" s="567"/>
      <c r="C241" s="19"/>
      <c r="D241" s="19"/>
      <c r="E241" s="19"/>
      <c r="F241" s="60"/>
      <c r="G241" s="18"/>
      <c r="H241" s="18"/>
      <c r="I241" s="18"/>
      <c r="J241" s="18"/>
      <c r="K241" s="60">
        <f>-K239/F$273</f>
        <v>0.43113503813369219</v>
      </c>
      <c r="L241" s="18"/>
      <c r="M241" s="18"/>
      <c r="N241" s="18"/>
      <c r="O241" s="18"/>
      <c r="P241" s="60">
        <f>-P239/K$273</f>
        <v>0.19011254019292603</v>
      </c>
      <c r="Q241" s="18"/>
      <c r="R241" s="18"/>
      <c r="S241" s="18"/>
      <c r="T241" s="18"/>
      <c r="U241" s="60">
        <f>-U239/P$273</f>
        <v>0.47967128027681666</v>
      </c>
      <c r="V241" s="18"/>
      <c r="W241" s="18"/>
      <c r="X241" s="18"/>
      <c r="Y241" s="18"/>
      <c r="Z241" s="60">
        <f>-Z239/U$273</f>
        <v>5.9216809933142309E-2</v>
      </c>
      <c r="AA241" s="18"/>
      <c r="AB241" s="18"/>
      <c r="AC241" s="18"/>
      <c r="AD241" s="18"/>
      <c r="AE241" s="60">
        <f>-AE239/Z$273</f>
        <v>0.28995352163031818</v>
      </c>
      <c r="AF241" s="18"/>
      <c r="AG241" s="18"/>
      <c r="AH241" s="18"/>
      <c r="AI241" s="18"/>
      <c r="AJ241" s="60">
        <f>-AJ239/AE$273</f>
        <v>0.25472972972972974</v>
      </c>
      <c r="AK241" s="18"/>
      <c r="AL241" s="18"/>
      <c r="AM241" s="18"/>
      <c r="AN241" s="18"/>
      <c r="AO241" s="60">
        <f>-AO239/AJ$273</f>
        <v>2.3434038267875126</v>
      </c>
      <c r="AP241" s="191"/>
      <c r="AQ241" s="18"/>
      <c r="AR241" s="18"/>
      <c r="AS241" s="191"/>
      <c r="AT241" s="60">
        <f>-AT239/AO$273</f>
        <v>0.88502673796791453</v>
      </c>
      <c r="AU241" s="191"/>
      <c r="AV241" s="18"/>
      <c r="AW241" s="18"/>
      <c r="AX241" s="191"/>
      <c r="AY241" s="368">
        <f>-AY239/AT$273</f>
        <v>0.78838981103392203</v>
      </c>
      <c r="AZ241" s="439"/>
      <c r="BA241" s="18"/>
      <c r="BB241" s="18"/>
      <c r="BC241" s="191"/>
      <c r="BD241" s="1998">
        <f>-BD239/AY$273</f>
        <v>1.1221270842721947</v>
      </c>
      <c r="BE241" s="439"/>
      <c r="BF241" s="18"/>
      <c r="BG241" s="18"/>
      <c r="BH241" s="191"/>
      <c r="BI241" s="60">
        <f>-BI239/BD$273</f>
        <v>0.16948320594628707</v>
      </c>
      <c r="BJ241" s="439"/>
      <c r="BK241" s="18"/>
      <c r="BL241" s="18"/>
      <c r="BM241" s="191"/>
      <c r="BN241" s="60">
        <f>-BN239/BI$273</f>
        <v>0.19854969653976509</v>
      </c>
      <c r="BO241" s="18"/>
      <c r="BP241" s="18"/>
      <c r="BQ241" s="18"/>
      <c r="BR241" s="18"/>
      <c r="BS241" s="60">
        <f>-BS239/BN$273</f>
        <v>0.18320381424334573</v>
      </c>
      <c r="BT241" s="18"/>
      <c r="BU241" s="18"/>
      <c r="BV241" s="18"/>
      <c r="BW241" s="18"/>
      <c r="BX241" s="60">
        <f>-BX239/BS$273</f>
        <v>0.1871317935049604</v>
      </c>
      <c r="BY241" s="18"/>
      <c r="BZ241" s="18"/>
      <c r="CA241" s="18"/>
      <c r="CB241" s="18"/>
      <c r="CC241" s="60">
        <f>-CC239/BX$273</f>
        <v>0.19234152308312302</v>
      </c>
      <c r="CD241" s="191"/>
      <c r="CE241" s="112"/>
      <c r="CF241" s="212"/>
      <c r="CG241" s="212"/>
      <c r="CH241" s="212"/>
      <c r="CI241" s="241"/>
      <c r="CJ241" s="185"/>
      <c r="CK241" s="2080"/>
      <c r="CL241" s="185"/>
      <c r="CM241" s="185"/>
      <c r="CN241" s="185"/>
      <c r="CO241" s="185"/>
      <c r="CP241" s="185"/>
      <c r="CQ241" s="44"/>
      <c r="CR241" s="251"/>
      <c r="CS241" s="41"/>
      <c r="CT241" s="41"/>
      <c r="CU241" s="41"/>
      <c r="CV241" s="41"/>
      <c r="CW241" s="41"/>
      <c r="CX241" s="41"/>
      <c r="CY241" s="116"/>
      <c r="CZ241"/>
      <c r="DA241"/>
      <c r="DB241"/>
      <c r="DC241"/>
      <c r="DD241"/>
      <c r="DE241"/>
      <c r="DF241" s="19"/>
      <c r="DG241" s="19"/>
      <c r="DH241" s="19"/>
      <c r="DI241" s="19"/>
      <c r="DJ241" s="19"/>
    </row>
    <row r="242" spans="1:114" s="319" customFormat="1" ht="12.75" customHeight="1">
      <c r="A242" s="297" t="s">
        <v>64</v>
      </c>
      <c r="B242" s="565"/>
      <c r="C242" s="300"/>
      <c r="D242" s="300"/>
      <c r="E242" s="300"/>
      <c r="F242" s="299">
        <v>0.38800000000000001</v>
      </c>
      <c r="G242" s="300"/>
      <c r="H242" s="300"/>
      <c r="I242" s="300"/>
      <c r="J242" s="300"/>
      <c r="K242" s="299">
        <v>-5.0000000000000001E-3</v>
      </c>
      <c r="L242" s="300"/>
      <c r="M242" s="300"/>
      <c r="N242" s="300"/>
      <c r="O242" s="300"/>
      <c r="P242" s="299">
        <v>0.10100000000000001</v>
      </c>
      <c r="Q242" s="300"/>
      <c r="R242" s="300"/>
      <c r="S242" s="300"/>
      <c r="T242" s="300"/>
      <c r="U242" s="299">
        <v>2.8000000000000001E-2</v>
      </c>
      <c r="V242" s="300"/>
      <c r="W242" s="300"/>
      <c r="X242" s="300"/>
      <c r="Y242" s="300"/>
      <c r="Z242" s="299">
        <v>6.2E-2</v>
      </c>
      <c r="AA242" s="300"/>
      <c r="AB242" s="300"/>
      <c r="AC242" s="300"/>
      <c r="AD242" s="300"/>
      <c r="AE242" s="299">
        <v>2E-3</v>
      </c>
      <c r="AF242" s="300"/>
      <c r="AG242" s="300"/>
      <c r="AH242" s="300"/>
      <c r="AI242" s="314"/>
      <c r="AJ242" s="299">
        <v>1.2999999999999999E-2</v>
      </c>
      <c r="AK242" s="301">
        <v>0</v>
      </c>
      <c r="AL242" s="301">
        <v>0</v>
      </c>
      <c r="AM242" s="301">
        <v>0</v>
      </c>
      <c r="AN242" s="314"/>
      <c r="AO242" s="299">
        <v>0</v>
      </c>
      <c r="AP242" s="434">
        <v>0.125</v>
      </c>
      <c r="AQ242" s="301">
        <v>0</v>
      </c>
      <c r="AR242" s="301">
        <v>0</v>
      </c>
      <c r="AS242" s="434">
        <v>0</v>
      </c>
      <c r="AT242" s="299">
        <v>0</v>
      </c>
      <c r="AU242" s="434"/>
      <c r="AV242" s="301">
        <v>0</v>
      </c>
      <c r="AW242" s="301">
        <v>0</v>
      </c>
      <c r="AX242" s="434">
        <v>0</v>
      </c>
      <c r="AY242" s="366">
        <v>0</v>
      </c>
      <c r="AZ242" s="437">
        <v>0</v>
      </c>
      <c r="BA242" s="301">
        <f>24.3-AZ242</f>
        <v>24.3</v>
      </c>
      <c r="BB242" s="301">
        <f>38.7-BA242-AZ242</f>
        <v>14.400000000000002</v>
      </c>
      <c r="BC242" s="434">
        <f>BD242-SUM(AZ242:BB242)</f>
        <v>21.599999999999994</v>
      </c>
      <c r="BD242" s="2019">
        <v>60.3</v>
      </c>
      <c r="BE242" s="437">
        <v>17.5</v>
      </c>
      <c r="BF242" s="301">
        <f>35.6-BE242</f>
        <v>18.100000000000001</v>
      </c>
      <c r="BG242" s="301">
        <f>57.9-BF242-BE242</f>
        <v>22.299999999999997</v>
      </c>
      <c r="BH242" s="434">
        <f>BI242-SUM(BE242:BG242)</f>
        <v>11.000000000000007</v>
      </c>
      <c r="BI242" s="489">
        <v>68.900000000000006</v>
      </c>
      <c r="BJ242" s="437">
        <v>20.5</v>
      </c>
      <c r="BK242" s="301">
        <f>42.2-BJ242</f>
        <v>21.700000000000003</v>
      </c>
      <c r="BL242" s="301">
        <f>59.6-BK242-BJ242</f>
        <v>17.399999999999999</v>
      </c>
      <c r="BM242" s="434">
        <f>BN242-SUM(BJ242:BL242)</f>
        <v>19.499999999999993</v>
      </c>
      <c r="BN242" s="489">
        <v>79.099999999999994</v>
      </c>
      <c r="BO242" s="2130">
        <v>6</v>
      </c>
      <c r="BP242" s="2130">
        <f>+BO242</f>
        <v>6</v>
      </c>
      <c r="BQ242" s="2130">
        <f t="shared" ref="BQ242:BR242" si="938">+BP242</f>
        <v>6</v>
      </c>
      <c r="BR242" s="2130">
        <f t="shared" si="938"/>
        <v>6</v>
      </c>
      <c r="BS242" s="489">
        <f>+SUM(BO242:BR242)</f>
        <v>24</v>
      </c>
      <c r="BT242" s="301"/>
      <c r="BU242" s="301"/>
      <c r="BV242" s="301"/>
      <c r="BW242" s="301"/>
      <c r="BX242" s="313">
        <v>25</v>
      </c>
      <c r="BY242" s="301"/>
      <c r="BZ242" s="301"/>
      <c r="CA242" s="301"/>
      <c r="CB242" s="301"/>
      <c r="CC242" s="313">
        <f>+BX242</f>
        <v>25</v>
      </c>
      <c r="CD242" s="307"/>
      <c r="CE242" s="315"/>
      <c r="CF242" s="246"/>
      <c r="CG242" s="246"/>
      <c r="CH242" s="246"/>
      <c r="CI242" s="247"/>
      <c r="CJ242" s="279"/>
      <c r="CK242" s="2077"/>
      <c r="CL242" s="279"/>
      <c r="CM242" s="279"/>
      <c r="CN242" s="279"/>
      <c r="CO242" s="279"/>
      <c r="CP242" s="279"/>
      <c r="CQ242" s="495" t="s">
        <v>627</v>
      </c>
      <c r="CR242" s="304"/>
      <c r="CS242" s="316"/>
      <c r="CT242" s="316"/>
      <c r="CU242" s="316"/>
      <c r="CV242" s="316"/>
      <c r="CW242" s="316"/>
      <c r="CX242" s="316"/>
      <c r="CY242" s="317"/>
      <c r="CZ242"/>
      <c r="DA242"/>
      <c r="DB242"/>
      <c r="DC242"/>
      <c r="DD242"/>
      <c r="DE242"/>
      <c r="DF242" s="318"/>
      <c r="DG242" s="318"/>
      <c r="DH242" s="318"/>
      <c r="DI242" s="318"/>
      <c r="DJ242" s="318"/>
    </row>
    <row r="243" spans="1:114" s="319" customFormat="1" ht="12.75" customHeight="1">
      <c r="A243" s="297" t="s">
        <v>597</v>
      </c>
      <c r="B243" s="565"/>
      <c r="C243" s="300"/>
      <c r="D243" s="300"/>
      <c r="E243" s="300"/>
      <c r="F243" s="2242"/>
      <c r="G243" s="300"/>
      <c r="H243" s="300"/>
      <c r="I243" s="300"/>
      <c r="J243" s="300"/>
      <c r="K243" s="2242"/>
      <c r="L243" s="300"/>
      <c r="M243" s="300"/>
      <c r="N243" s="300"/>
      <c r="O243" s="300"/>
      <c r="P243" s="2242"/>
      <c r="Q243" s="300"/>
      <c r="R243" s="300"/>
      <c r="S243" s="300"/>
      <c r="T243" s="300"/>
      <c r="U243" s="2242"/>
      <c r="V243" s="300"/>
      <c r="W243" s="300"/>
      <c r="X243" s="300"/>
      <c r="Y243" s="300"/>
      <c r="Z243" s="2243">
        <f>+Z239+Z242</f>
        <v>-0.124</v>
      </c>
      <c r="AA243" s="300"/>
      <c r="AB243" s="300"/>
      <c r="AC243" s="300"/>
      <c r="AD243" s="300"/>
      <c r="AE243" s="2243">
        <f>+AE239+AE242</f>
        <v>-0.80900000000000005</v>
      </c>
      <c r="AF243" s="300"/>
      <c r="AG243" s="300"/>
      <c r="AH243" s="300"/>
      <c r="AI243" s="314"/>
      <c r="AJ243" s="2243">
        <f>+AJ239+AJ242</f>
        <v>-0.74099999999999999</v>
      </c>
      <c r="AK243" s="301"/>
      <c r="AL243" s="301"/>
      <c r="AM243" s="301"/>
      <c r="AN243" s="314"/>
      <c r="AO243" s="2243">
        <f>+AO239+AO242</f>
        <v>-6.9809999999999999</v>
      </c>
      <c r="AP243" s="434"/>
      <c r="AQ243" s="301"/>
      <c r="AR243" s="301"/>
      <c r="AS243" s="434"/>
      <c r="AT243" s="2243">
        <f>+AT239+AT242</f>
        <v>-11.585000000000001</v>
      </c>
      <c r="AU243" s="434"/>
      <c r="AV243" s="301"/>
      <c r="AW243" s="301"/>
      <c r="AX243" s="434"/>
      <c r="AY243" s="2243">
        <f>+AY239+AY242</f>
        <v>-44.6</v>
      </c>
      <c r="AZ243" s="437">
        <f t="shared" ref="AZ243:BC243" si="939">+AZ239+AZ242</f>
        <v>-11.4</v>
      </c>
      <c r="BA243" s="301">
        <f t="shared" si="939"/>
        <v>-6.1999999999999993</v>
      </c>
      <c r="BB243" s="301">
        <f t="shared" si="939"/>
        <v>-58.099999999999994</v>
      </c>
      <c r="BC243" s="434">
        <f t="shared" si="939"/>
        <v>-113</v>
      </c>
      <c r="BD243" s="2243">
        <f>+BD239+BD242</f>
        <v>-188.7</v>
      </c>
      <c r="BE243" s="437">
        <f t="shared" ref="BE243:BH243" si="940">+BE239+BE242</f>
        <v>-97.2</v>
      </c>
      <c r="BF243" s="301">
        <f t="shared" si="940"/>
        <v>-91.199999999999989</v>
      </c>
      <c r="BG243" s="301">
        <f t="shared" si="940"/>
        <v>-72.199999999999989</v>
      </c>
      <c r="BH243" s="434">
        <f t="shared" si="940"/>
        <v>-153.89999999999998</v>
      </c>
      <c r="BI243" s="2243">
        <f>+BI239+BI242</f>
        <v>-414.5</v>
      </c>
      <c r="BJ243" s="437">
        <f t="shared" ref="BJ243:CC243" si="941">+BJ239+BJ242</f>
        <v>-101.9</v>
      </c>
      <c r="BK243" s="434">
        <f t="shared" si="941"/>
        <v>-117.89999999999999</v>
      </c>
      <c r="BL243" s="301">
        <f t="shared" si="941"/>
        <v>-110.49999999999997</v>
      </c>
      <c r="BM243" s="434">
        <f t="shared" si="941"/>
        <v>-94.399999999999977</v>
      </c>
      <c r="BN243" s="2243">
        <f t="shared" si="941"/>
        <v>-424.69999999999993</v>
      </c>
      <c r="BO243" s="434">
        <f t="shared" ref="BO243:BS243" si="942">+BO239+BO242</f>
        <v>-116</v>
      </c>
      <c r="BP243" s="434">
        <f t="shared" si="942"/>
        <v>-116</v>
      </c>
      <c r="BQ243" s="434">
        <f t="shared" si="942"/>
        <v>-116</v>
      </c>
      <c r="BR243" s="434">
        <f t="shared" si="942"/>
        <v>-116</v>
      </c>
      <c r="BS243" s="2243">
        <f t="shared" si="942"/>
        <v>-464</v>
      </c>
      <c r="BT243" s="301">
        <f t="shared" si="941"/>
        <v>0</v>
      </c>
      <c r="BU243" s="301">
        <f t="shared" si="941"/>
        <v>0</v>
      </c>
      <c r="BV243" s="301">
        <f t="shared" si="941"/>
        <v>0</v>
      </c>
      <c r="BW243" s="301">
        <f t="shared" si="941"/>
        <v>0</v>
      </c>
      <c r="BX243" s="2244">
        <f t="shared" si="941"/>
        <v>-508.70361771201715</v>
      </c>
      <c r="BY243" s="301">
        <f t="shared" si="941"/>
        <v>0</v>
      </c>
      <c r="BZ243" s="301">
        <f t="shared" si="941"/>
        <v>0</v>
      </c>
      <c r="CA243" s="301">
        <f t="shared" si="941"/>
        <v>0</v>
      </c>
      <c r="CB243" s="301">
        <f t="shared" si="941"/>
        <v>0</v>
      </c>
      <c r="CC243" s="2244">
        <f t="shared" si="941"/>
        <v>-564.75129977924985</v>
      </c>
      <c r="CD243" s="307"/>
      <c r="CE243" s="315"/>
      <c r="CF243" s="2224"/>
      <c r="CG243" s="246"/>
      <c r="CH243" s="246"/>
      <c r="CI243" s="2001"/>
      <c r="CJ243" s="279"/>
      <c r="CK243" s="2077"/>
      <c r="CL243" s="279"/>
      <c r="CM243" s="279"/>
      <c r="CN243" s="279"/>
      <c r="CO243" s="279"/>
      <c r="CP243" s="279"/>
      <c r="CQ243" s="495" t="s">
        <v>647</v>
      </c>
      <c r="CR243" s="304"/>
      <c r="CS243" s="316"/>
      <c r="CT243" s="316"/>
      <c r="CU243" s="316"/>
      <c r="CV243" s="316"/>
      <c r="CW243" s="316"/>
      <c r="CX243" s="316"/>
      <c r="CY243" s="317"/>
      <c r="CZ243"/>
      <c r="DA243"/>
      <c r="DB243"/>
      <c r="DC243"/>
      <c r="DD243"/>
      <c r="DE243"/>
      <c r="DF243" s="318"/>
      <c r="DG243" s="318"/>
      <c r="DH243" s="318"/>
      <c r="DI243" s="318"/>
      <c r="DJ243" s="318"/>
    </row>
    <row r="244" spans="1:114" s="279" customFormat="1" ht="12.75" customHeight="1">
      <c r="A244" s="320" t="s">
        <v>23</v>
      </c>
      <c r="B244" s="568"/>
      <c r="C244" s="320"/>
      <c r="D244" s="320"/>
      <c r="E244" s="320"/>
      <c r="F244" s="321">
        <f>F238+F239+F242</f>
        <v>1.4630000000000001</v>
      </c>
      <c r="G244" s="320"/>
      <c r="H244" s="320"/>
      <c r="I244" s="320"/>
      <c r="J244" s="320"/>
      <c r="K244" s="321">
        <f>K238+K239+K242</f>
        <v>2.6710000000000003</v>
      </c>
      <c r="L244" s="320"/>
      <c r="M244" s="320"/>
      <c r="N244" s="320"/>
      <c r="O244" s="320"/>
      <c r="P244" s="321">
        <f>P238+P239+P242</f>
        <v>3.6710000000000003</v>
      </c>
      <c r="Q244" s="320"/>
      <c r="R244" s="320"/>
      <c r="S244" s="320"/>
      <c r="T244" s="320"/>
      <c r="U244" s="321">
        <f>U238+U239+U242</f>
        <v>5.9669999999999996</v>
      </c>
      <c r="V244" s="320"/>
      <c r="W244" s="320"/>
      <c r="X244" s="320"/>
      <c r="Y244" s="320"/>
      <c r="Z244" s="321">
        <f>Z238+Z239+Z242</f>
        <v>-0.22300000000000003</v>
      </c>
      <c r="AA244" s="320"/>
      <c r="AB244" s="320"/>
      <c r="AC244" s="320"/>
      <c r="AD244" s="320"/>
      <c r="AE244" s="321">
        <f>AE238+AE239+AE242</f>
        <v>1.4480000000000002</v>
      </c>
      <c r="AF244" s="320"/>
      <c r="AG244" s="320"/>
      <c r="AH244" s="320"/>
      <c r="AI244" s="320"/>
      <c r="AJ244" s="321">
        <f>AJ238+AJ239+AJ242</f>
        <v>5.8699999999999992</v>
      </c>
      <c r="AK244" s="320">
        <f>AK238+AK239+AK242</f>
        <v>-3.6119999999999997</v>
      </c>
      <c r="AL244" s="320">
        <f>AL238+AL239+AL242</f>
        <v>-9.0940000000000012</v>
      </c>
      <c r="AM244" s="320">
        <f>AM238+AM239+AM242</f>
        <v>-8.1889999999999983</v>
      </c>
      <c r="AN244" s="320"/>
      <c r="AO244" s="321">
        <f t="shared" ref="AO244:AU244" si="943">AO238+AO239+AO242</f>
        <v>-31.280999999999999</v>
      </c>
      <c r="AP244" s="435">
        <f t="shared" si="943"/>
        <v>-28.969000000000001</v>
      </c>
      <c r="AQ244" s="320">
        <f t="shared" si="943"/>
        <v>-23.843</v>
      </c>
      <c r="AR244" s="320">
        <f t="shared" si="943"/>
        <v>-15.143000000000001</v>
      </c>
      <c r="AS244" s="435">
        <f t="shared" si="943"/>
        <v>-9.8070000000000057</v>
      </c>
      <c r="AT244" s="321">
        <f t="shared" si="943"/>
        <v>-77.887</v>
      </c>
      <c r="AU244" s="435">
        <f t="shared" si="943"/>
        <v>-12.677000000000001</v>
      </c>
      <c r="AV244" s="320">
        <f t="shared" ref="AV244:BB244" si="944">AV238+AV239+AV242</f>
        <v>-23.750999999999998</v>
      </c>
      <c r="AW244" s="320">
        <f t="shared" si="944"/>
        <v>1.5709999999999997</v>
      </c>
      <c r="AX244" s="435">
        <f t="shared" si="944"/>
        <v>-31.042999999999999</v>
      </c>
      <c r="AY244" s="568">
        <f t="shared" si="944"/>
        <v>-65.900000000000006</v>
      </c>
      <c r="AZ244" s="619">
        <f t="shared" si="944"/>
        <v>35.9</v>
      </c>
      <c r="BA244" s="320">
        <f t="shared" si="944"/>
        <v>-76.7</v>
      </c>
      <c r="BB244" s="320">
        <f t="shared" si="944"/>
        <v>4.5000000000000107</v>
      </c>
      <c r="BC244" s="435">
        <f t="shared" ref="BC244:BG244" si="945">BC238+BC239+BC242</f>
        <v>-61.600000000000009</v>
      </c>
      <c r="BD244" s="2021">
        <f t="shared" si="945"/>
        <v>-97.899999999999991</v>
      </c>
      <c r="BE244" s="619">
        <f t="shared" si="945"/>
        <v>-90.3</v>
      </c>
      <c r="BF244" s="320">
        <f t="shared" si="945"/>
        <v>169.50000000000003</v>
      </c>
      <c r="BG244" s="320">
        <f t="shared" si="945"/>
        <v>64.799999999999983</v>
      </c>
      <c r="BH244" s="435">
        <f t="shared" ref="BH244" si="946">BH238+BH239+BH242</f>
        <v>66.899999999999977</v>
      </c>
      <c r="BI244" s="2144">
        <f>BI238+BI239+BI242</f>
        <v>210.9</v>
      </c>
      <c r="BJ244" s="619">
        <f t="shared" ref="BJ244:BM244" si="947">BJ238+BJ239+BJ242</f>
        <v>-86.9</v>
      </c>
      <c r="BK244" s="320">
        <f t="shared" si="947"/>
        <v>98.100000000000009</v>
      </c>
      <c r="BL244" s="320">
        <f t="shared" si="947"/>
        <v>183.20000000000007</v>
      </c>
      <c r="BM244" s="435">
        <f t="shared" si="947"/>
        <v>179.5</v>
      </c>
      <c r="BN244" s="2144">
        <f>BN238+BN239+BN242</f>
        <v>373.90000000000009</v>
      </c>
      <c r="BO244" s="2208">
        <f t="shared" ref="BO244:BR244" si="948">BO238+BO239+BO242</f>
        <v>-91.126080468679902</v>
      </c>
      <c r="BP244" s="435">
        <f t="shared" si="948"/>
        <v>265.16937986583366</v>
      </c>
      <c r="BQ244" s="435">
        <f t="shared" si="948"/>
        <v>265.90154603054566</v>
      </c>
      <c r="BR244" s="435">
        <f t="shared" si="948"/>
        <v>267.21338285651774</v>
      </c>
      <c r="BS244" s="2144">
        <f>BS238+BS239+BS242</f>
        <v>707.15822828421733</v>
      </c>
      <c r="BT244" s="2208"/>
      <c r="BU244" s="2208"/>
      <c r="BV244" s="2208"/>
      <c r="BW244" s="2208"/>
      <c r="BX244" s="2144">
        <f>BX238+BX239+BX242</f>
        <v>821.88070364814394</v>
      </c>
      <c r="BY244" s="435"/>
      <c r="BZ244" s="435"/>
      <c r="CA244" s="435"/>
      <c r="CB244" s="435"/>
      <c r="CC244" s="2144">
        <f>CC238+CC239+CC242</f>
        <v>916.51886934411777</v>
      </c>
      <c r="CE244" s="280"/>
      <c r="CF244" s="2245">
        <f>BN244+BS244</f>
        <v>1081.0582282842174</v>
      </c>
      <c r="CG244" s="278"/>
      <c r="CH244" s="246"/>
      <c r="CI244" s="247"/>
      <c r="CK244" s="2077"/>
      <c r="CL244" s="279">
        <f>+BN244+BS244</f>
        <v>1081.0582282842174</v>
      </c>
      <c r="CQ244" s="495"/>
      <c r="CR244" s="251" t="s">
        <v>646</v>
      </c>
      <c r="CS244" s="17"/>
      <c r="CT244" s="17"/>
      <c r="CU244" s="17"/>
      <c r="CV244" s="17"/>
      <c r="CW244" s="17"/>
      <c r="CX244" s="17"/>
      <c r="CY244" s="280"/>
      <c r="CZ244"/>
      <c r="DA244"/>
      <c r="DB244"/>
      <c r="DC244"/>
      <c r="DD244"/>
      <c r="DE244"/>
      <c r="DF244" s="10"/>
      <c r="DG244" s="10"/>
      <c r="DH244" s="10"/>
      <c r="DI244" s="10"/>
      <c r="DJ244" s="10"/>
    </row>
    <row r="245" spans="1:114" s="279" customFormat="1" ht="12.75" customHeight="1">
      <c r="A245" s="270" t="s">
        <v>226</v>
      </c>
      <c r="B245" s="554"/>
      <c r="C245" s="10"/>
      <c r="D245" s="10"/>
      <c r="E245" s="10"/>
      <c r="F245" s="62"/>
      <c r="G245" s="10"/>
      <c r="H245" s="10"/>
      <c r="I245" s="10"/>
      <c r="J245" s="10"/>
      <c r="K245" s="62"/>
      <c r="L245" s="10"/>
      <c r="M245" s="10"/>
      <c r="N245" s="10"/>
      <c r="O245" s="10"/>
      <c r="P245" s="62"/>
      <c r="Q245" s="10"/>
      <c r="R245" s="10"/>
      <c r="S245" s="10"/>
      <c r="T245" s="10"/>
      <c r="U245" s="62"/>
      <c r="V245" s="10"/>
      <c r="W245" s="10"/>
      <c r="X245" s="10"/>
      <c r="Y245" s="10"/>
      <c r="Z245" s="62"/>
      <c r="AA245" s="10"/>
      <c r="AB245" s="10"/>
      <c r="AC245" s="10"/>
      <c r="AD245" s="10"/>
      <c r="AE245" s="62"/>
      <c r="AF245" s="10"/>
      <c r="AG245" s="10"/>
      <c r="AH245" s="10"/>
      <c r="AI245" s="10"/>
      <c r="AJ245" s="62"/>
      <c r="AK245" s="10"/>
      <c r="AL245" s="10"/>
      <c r="AM245" s="10"/>
      <c r="AN245" s="10"/>
      <c r="AO245" s="62"/>
      <c r="AQ245" s="10"/>
      <c r="AR245" s="10"/>
      <c r="AT245" s="62"/>
      <c r="AV245" s="10"/>
      <c r="AW245" s="10"/>
      <c r="AY245" s="554"/>
      <c r="AZ245" s="612"/>
      <c r="BA245" s="10"/>
      <c r="BB245" s="10"/>
      <c r="BD245" s="60">
        <f>+BD244/BD45</f>
        <v>-1.2842207442970892E-2</v>
      </c>
      <c r="BE245" s="18"/>
      <c r="BF245" s="18"/>
      <c r="BG245" s="2314"/>
      <c r="BI245" s="60">
        <f>+BI244/BI45</f>
        <v>1.4426036636250462E-2</v>
      </c>
      <c r="BJ245" s="18"/>
      <c r="BK245" s="2285"/>
      <c r="BL245" s="2314"/>
      <c r="BN245" s="60">
        <f>+BN244/BN45</f>
        <v>2.4309528763133262E-2</v>
      </c>
      <c r="BO245" s="18"/>
      <c r="BP245" s="18"/>
      <c r="BQ245" s="18"/>
      <c r="BR245" s="18"/>
      <c r="BS245" s="60">
        <f>+BS244/BS45</f>
        <v>4.2471803460750475E-2</v>
      </c>
      <c r="BT245" s="4"/>
      <c r="BU245" s="4"/>
      <c r="BV245" s="4"/>
      <c r="BW245" s="4"/>
      <c r="BX245" s="60">
        <f>+BX244/BX45</f>
        <v>4.619871458834434E-2</v>
      </c>
      <c r="BY245" s="4"/>
      <c r="BZ245" s="4"/>
      <c r="CA245" s="4"/>
      <c r="CB245" s="4"/>
      <c r="CC245" s="60">
        <f>+CC244/CC45</f>
        <v>4.8176383774486964E-2</v>
      </c>
      <c r="CE245" s="280"/>
      <c r="CF245" s="246"/>
      <c r="CG245" s="246"/>
      <c r="CH245" s="246"/>
      <c r="CI245" s="247"/>
      <c r="CK245" s="2077"/>
      <c r="CQ245" s="495" t="s">
        <v>649</v>
      </c>
      <c r="CR245" s="248"/>
      <c r="CS245" s="17"/>
      <c r="CT245" s="17"/>
      <c r="CU245" s="17"/>
      <c r="CV245" s="17"/>
      <c r="CW245" s="17"/>
      <c r="CX245" s="17"/>
      <c r="CY245" s="280"/>
      <c r="CZ245"/>
      <c r="DA245"/>
      <c r="DB245"/>
      <c r="DC245"/>
      <c r="DD245"/>
      <c r="DE245"/>
      <c r="DF245" s="10"/>
      <c r="DG245" s="10"/>
      <c r="DH245" s="10"/>
      <c r="DI245" s="10"/>
      <c r="DJ245" s="10"/>
    </row>
    <row r="246" spans="1:114" s="319" customFormat="1" ht="12.75" customHeight="1">
      <c r="A246" s="297" t="s">
        <v>170</v>
      </c>
      <c r="B246" s="565"/>
      <c r="C246" s="300"/>
      <c r="D246" s="300"/>
      <c r="E246" s="300"/>
      <c r="F246" s="324">
        <f>F253-F239-F242</f>
        <v>-1.4319999999999999</v>
      </c>
      <c r="G246" s="405"/>
      <c r="H246" s="405"/>
      <c r="I246" s="405"/>
      <c r="J246" s="405"/>
      <c r="K246" s="324">
        <f>K253-K239-K242</f>
        <v>-1.5500000000000003</v>
      </c>
      <c r="L246" s="405"/>
      <c r="M246" s="405"/>
      <c r="N246" s="405"/>
      <c r="O246" s="405"/>
      <c r="P246" s="324">
        <f>P253-P239-P242</f>
        <v>-1.9210000000000003</v>
      </c>
      <c r="Q246" s="405"/>
      <c r="R246" s="405"/>
      <c r="S246" s="405"/>
      <c r="T246" s="405"/>
      <c r="U246" s="324">
        <f>U253-U239-U242</f>
        <v>-10.699</v>
      </c>
      <c r="V246" s="405"/>
      <c r="W246" s="405"/>
      <c r="X246" s="405"/>
      <c r="Y246" s="405"/>
      <c r="Z246" s="324">
        <f>Z253-Z239-Z242</f>
        <v>-3.35</v>
      </c>
      <c r="AA246" s="405"/>
      <c r="AB246" s="405"/>
      <c r="AC246" s="405"/>
      <c r="AD246" s="405"/>
      <c r="AE246" s="324">
        <f>AE253-AE239-AE242</f>
        <v>-0.49999999999999989</v>
      </c>
      <c r="AF246" s="405"/>
      <c r="AG246" s="405"/>
      <c r="AH246" s="405"/>
      <c r="AI246" s="406"/>
      <c r="AJ246" s="324">
        <f>AJ253-AJ239-AJ242</f>
        <v>-0.45000000000000007</v>
      </c>
      <c r="AK246" s="325">
        <f>AK253-AK239-AK242</f>
        <v>-0.45000000000000007</v>
      </c>
      <c r="AL246" s="325">
        <f>AL253-AL239-AL242</f>
        <v>-3.7129999999999996</v>
      </c>
      <c r="AM246" s="325">
        <f>AM253-AM239-AM242</f>
        <v>-3.2979999999999996</v>
      </c>
      <c r="AN246" s="406"/>
      <c r="AO246" s="324">
        <f t="shared" ref="AO246:AZ246" si="949">AO253-AO239-AO242</f>
        <v>-57.686</v>
      </c>
      <c r="AP246" s="436">
        <f t="shared" si="949"/>
        <v>-16.559999999999999</v>
      </c>
      <c r="AQ246" s="325">
        <f t="shared" si="949"/>
        <v>-3.1000000000000028</v>
      </c>
      <c r="AR246" s="325">
        <f t="shared" si="949"/>
        <v>-332.60599999999999</v>
      </c>
      <c r="AS246" s="325">
        <f t="shared" si="949"/>
        <v>-106.52800000000003</v>
      </c>
      <c r="AT246" s="324">
        <f t="shared" si="949"/>
        <v>-458.66900000000004</v>
      </c>
      <c r="AU246" s="436">
        <f t="shared" si="949"/>
        <v>-190.71600000000001</v>
      </c>
      <c r="AV246" s="325">
        <f t="shared" si="949"/>
        <v>-10.018000000000002</v>
      </c>
      <c r="AW246" s="325">
        <f t="shared" si="949"/>
        <v>-612.58399999999995</v>
      </c>
      <c r="AX246" s="325">
        <f t="shared" si="949"/>
        <v>-0.38199999999994816</v>
      </c>
      <c r="AY246" s="369">
        <f t="shared" si="949"/>
        <v>-813.69999999999993</v>
      </c>
      <c r="AZ246" s="440">
        <f t="shared" si="949"/>
        <v>-58.199999999999996</v>
      </c>
      <c r="BA246" s="325">
        <f t="shared" ref="BA246:BK246" si="950">BA253-BA239-BA242</f>
        <v>-1559.4</v>
      </c>
      <c r="BB246" s="325">
        <f t="shared" si="950"/>
        <v>-1.8999999999999169</v>
      </c>
      <c r="BC246" s="325">
        <f t="shared" si="950"/>
        <v>-2277.1999999999998</v>
      </c>
      <c r="BD246" s="674">
        <f t="shared" si="950"/>
        <v>-3896.7000000000003</v>
      </c>
      <c r="BE246" s="440">
        <f t="shared" si="950"/>
        <v>0</v>
      </c>
      <c r="BF246" s="325">
        <f t="shared" si="950"/>
        <v>8.3000000000000043</v>
      </c>
      <c r="BG246" s="325">
        <f t="shared" si="950"/>
        <v>0.29999999999996874</v>
      </c>
      <c r="BH246" s="325">
        <f t="shared" ref="BH246" si="951">BH253-BH239-BH242</f>
        <v>547.9</v>
      </c>
      <c r="BI246" s="674">
        <f t="shared" si="950"/>
        <v>556.5</v>
      </c>
      <c r="BJ246" s="440">
        <f t="shared" si="950"/>
        <v>0</v>
      </c>
      <c r="BK246" s="325">
        <f t="shared" si="950"/>
        <v>0</v>
      </c>
      <c r="BL246" s="325">
        <f t="shared" ref="BL246:BN246" si="952">BL253-BL239-BL242</f>
        <v>0</v>
      </c>
      <c r="BM246" s="325">
        <f t="shared" si="952"/>
        <v>0</v>
      </c>
      <c r="BN246" s="674">
        <f t="shared" si="952"/>
        <v>0</v>
      </c>
      <c r="BO246" s="2131"/>
      <c r="BP246" s="2131"/>
      <c r="BQ246" s="2131"/>
      <c r="BR246" s="2131"/>
      <c r="BS246" s="324">
        <f>SUM(BO246:BR246)</f>
        <v>0</v>
      </c>
      <c r="BT246" s="325"/>
      <c r="BU246" s="325"/>
      <c r="BV246" s="325"/>
      <c r="BW246" s="325"/>
      <c r="BX246" s="510">
        <v>0</v>
      </c>
      <c r="BY246" s="325"/>
      <c r="BZ246" s="325"/>
      <c r="CA246" s="325"/>
      <c r="CB246" s="325"/>
      <c r="CC246" s="510">
        <v>0</v>
      </c>
      <c r="CD246" s="403"/>
      <c r="CE246" s="315"/>
      <c r="CF246" s="246"/>
      <c r="CG246" s="246"/>
      <c r="CH246" s="246"/>
      <c r="CI246" s="247"/>
      <c r="CJ246" s="279"/>
      <c r="CK246" s="2077"/>
      <c r="CL246" s="279"/>
      <c r="CM246" s="279"/>
      <c r="CN246" s="279"/>
      <c r="CO246" s="279"/>
      <c r="CP246" s="279"/>
      <c r="CQ246" s="251"/>
      <c r="CR246" s="2416" t="s">
        <v>600</v>
      </c>
      <c r="CS246" s="316"/>
      <c r="CT246" s="316"/>
      <c r="CU246" s="316"/>
      <c r="CV246" s="316"/>
      <c r="CW246" s="316"/>
      <c r="CX246" s="316"/>
      <c r="CY246" s="317"/>
      <c r="CZ246"/>
      <c r="DA246"/>
      <c r="DB246"/>
      <c r="DC246"/>
      <c r="DD246"/>
      <c r="DE246"/>
      <c r="DF246" s="318"/>
      <c r="DG246" s="318"/>
      <c r="DH246" s="318"/>
      <c r="DI246" s="318"/>
      <c r="DJ246" s="318"/>
    </row>
    <row r="247" spans="1:114" s="319" customFormat="1" ht="12.75" customHeight="1">
      <c r="A247" s="380" t="s">
        <v>213</v>
      </c>
      <c r="B247" s="565"/>
      <c r="C247" s="298"/>
      <c r="D247" s="298"/>
      <c r="E247" s="298"/>
      <c r="F247" s="299"/>
      <c r="G247" s="298"/>
      <c r="H247" s="298"/>
      <c r="I247" s="298"/>
      <c r="J247" s="298"/>
      <c r="K247" s="299"/>
      <c r="L247" s="298"/>
      <c r="M247" s="298"/>
      <c r="N247" s="298"/>
      <c r="O247" s="298"/>
      <c r="P247" s="299"/>
      <c r="Q247" s="298"/>
      <c r="R247" s="298"/>
      <c r="S247" s="298"/>
      <c r="T247" s="298"/>
      <c r="U247" s="299"/>
      <c r="V247" s="298"/>
      <c r="W247" s="298"/>
      <c r="X247" s="298"/>
      <c r="Y247" s="298"/>
      <c r="Z247" s="299"/>
      <c r="AA247" s="298"/>
      <c r="AB247" s="298"/>
      <c r="AC247" s="298"/>
      <c r="AD247" s="298"/>
      <c r="AE247" s="299"/>
      <c r="AF247" s="298"/>
      <c r="AG247" s="298"/>
      <c r="AH247" s="298"/>
      <c r="AI247" s="402"/>
      <c r="AJ247" s="299"/>
      <c r="AK247" s="278"/>
      <c r="AL247" s="278"/>
      <c r="AM247" s="278"/>
      <c r="AN247" s="402"/>
      <c r="AO247" s="299"/>
      <c r="AP247" s="278"/>
      <c r="AQ247" s="278"/>
      <c r="AR247" s="278"/>
      <c r="AS247" s="278"/>
      <c r="AT247" s="299"/>
      <c r="AU247" s="278"/>
      <c r="AV247" s="278"/>
      <c r="AW247" s="278"/>
      <c r="AX247" s="278"/>
      <c r="AY247" s="366"/>
      <c r="AZ247" s="366"/>
      <c r="BA247" s="278"/>
      <c r="BB247" s="278"/>
      <c r="BC247" s="278"/>
      <c r="BD247" s="2019"/>
      <c r="BE247" s="366"/>
      <c r="BF247" s="278"/>
      <c r="BG247" s="278"/>
      <c r="BH247" s="278"/>
      <c r="BI247" s="489"/>
      <c r="BJ247" s="302"/>
      <c r="BK247" s="302"/>
      <c r="BL247" s="302"/>
      <c r="BM247" s="278"/>
      <c r="BN247" s="489"/>
      <c r="BO247" s="302"/>
      <c r="BP247" s="302"/>
      <c r="BQ247" s="302"/>
      <c r="BR247" s="302"/>
      <c r="BS247" s="489">
        <f>+-BS246/BS248</f>
        <v>0</v>
      </c>
      <c r="BT247" s="302"/>
      <c r="BU247" s="302"/>
      <c r="BV247" s="302"/>
      <c r="BW247" s="302"/>
      <c r="BX247" s="489">
        <f>+-BX246/BX248</f>
        <v>0</v>
      </c>
      <c r="BY247" s="302"/>
      <c r="BZ247" s="302"/>
      <c r="CA247" s="302"/>
      <c r="CB247" s="302"/>
      <c r="CC247" s="489">
        <f>+-CC246/CC248</f>
        <v>0</v>
      </c>
      <c r="CD247" s="403"/>
      <c r="CE247" s="315"/>
      <c r="CF247" s="246"/>
      <c r="CG247" s="246"/>
      <c r="CH247" s="246"/>
      <c r="CI247" s="247"/>
      <c r="CJ247" s="279"/>
      <c r="CK247" s="2077"/>
      <c r="CL247" s="279"/>
      <c r="CM247" s="279"/>
      <c r="CN247" s="279"/>
      <c r="CO247" s="279"/>
      <c r="CP247" s="279"/>
      <c r="CQ247" s="452"/>
      <c r="CR247" s="251" t="s">
        <v>579</v>
      </c>
      <c r="CS247" s="316"/>
      <c r="CT247" s="316"/>
      <c r="CU247" s="316"/>
      <c r="CV247" s="316"/>
      <c r="CW247" s="316"/>
      <c r="CX247" s="316"/>
      <c r="CY247" s="317"/>
      <c r="CZ247"/>
      <c r="DA247"/>
      <c r="DB247"/>
      <c r="DC247"/>
      <c r="DD247"/>
      <c r="DE247"/>
      <c r="DF247" s="318"/>
      <c r="DG247" s="318"/>
      <c r="DH247" s="318"/>
      <c r="DI247" s="318"/>
      <c r="DJ247" s="318"/>
    </row>
    <row r="248" spans="1:114" s="319" customFormat="1" ht="12.75" customHeight="1">
      <c r="A248" s="380" t="s">
        <v>142</v>
      </c>
      <c r="B248" s="565"/>
      <c r="C248" s="298"/>
      <c r="D248" s="298"/>
      <c r="E248" s="298"/>
      <c r="F248" s="299"/>
      <c r="G248" s="298"/>
      <c r="H248" s="298"/>
      <c r="I248" s="298"/>
      <c r="J248" s="298"/>
      <c r="K248" s="299"/>
      <c r="L248" s="298"/>
      <c r="M248" s="298"/>
      <c r="N248" s="298"/>
      <c r="O248" s="298"/>
      <c r="P248" s="299"/>
      <c r="Q248" s="298"/>
      <c r="R248" s="298"/>
      <c r="S248" s="298"/>
      <c r="T248" s="298"/>
      <c r="U248" s="299"/>
      <c r="V248" s="298"/>
      <c r="W248" s="298"/>
      <c r="X248" s="298"/>
      <c r="Y248" s="298"/>
      <c r="Z248" s="299"/>
      <c r="AA248" s="298"/>
      <c r="AB248" s="298"/>
      <c r="AC248" s="298"/>
      <c r="AD248" s="298"/>
      <c r="AE248" s="299"/>
      <c r="AF248" s="298"/>
      <c r="AG248" s="298"/>
      <c r="AH248" s="298"/>
      <c r="AI248" s="402"/>
      <c r="AJ248" s="299"/>
      <c r="AK248" s="278"/>
      <c r="AL248" s="278"/>
      <c r="AM248" s="278"/>
      <c r="AN248" s="402"/>
      <c r="AO248" s="299"/>
      <c r="AP248" s="278"/>
      <c r="AQ248" s="278"/>
      <c r="AR248" s="278"/>
      <c r="AS248" s="278"/>
      <c r="AT248" s="467"/>
      <c r="AU248" s="278"/>
      <c r="AV248" s="278"/>
      <c r="AW248" s="278"/>
      <c r="AX248" s="278"/>
      <c r="AY248" s="593"/>
      <c r="AZ248" s="366"/>
      <c r="BA248" s="278"/>
      <c r="BB248" s="278"/>
      <c r="BC248" s="278"/>
      <c r="BD248" s="2022"/>
      <c r="BE248" s="366"/>
      <c r="BF248" s="278"/>
      <c r="BG248" s="278"/>
      <c r="BH248" s="278"/>
      <c r="BI248" s="404"/>
      <c r="BJ248" s="278"/>
      <c r="BL248" s="278"/>
      <c r="BM248" s="278"/>
      <c r="BN248" s="404"/>
      <c r="BO248" s="278"/>
      <c r="BP248" s="278"/>
      <c r="BQ248" s="278"/>
      <c r="BR248" s="278"/>
      <c r="BS248" s="404">
        <v>9</v>
      </c>
      <c r="BT248" s="278"/>
      <c r="BU248" s="278"/>
      <c r="BV248" s="278"/>
      <c r="BW248" s="278"/>
      <c r="BX248" s="404">
        <f>BS248</f>
        <v>9</v>
      </c>
      <c r="BY248" s="278"/>
      <c r="BZ248" s="278"/>
      <c r="CA248" s="278"/>
      <c r="CB248" s="278"/>
      <c r="CC248" s="404">
        <f>BX248</f>
        <v>9</v>
      </c>
      <c r="CD248" s="403"/>
      <c r="CE248" s="315"/>
      <c r="CF248" s="246"/>
      <c r="CG248" s="246"/>
      <c r="CH248" s="246"/>
      <c r="CI248" s="247"/>
      <c r="CJ248" s="279"/>
      <c r="CK248" s="2077"/>
      <c r="CL248" s="279"/>
      <c r="CM248" s="279"/>
      <c r="CN248" s="279"/>
      <c r="CO248" s="279"/>
      <c r="CP248" s="279"/>
      <c r="CQ248" s="251"/>
      <c r="CR248" s="251"/>
      <c r="CS248" s="316"/>
      <c r="CT248" s="316"/>
      <c r="CU248" s="316"/>
      <c r="CV248" s="316"/>
      <c r="CW248" s="316"/>
      <c r="CX248" s="316"/>
      <c r="CY248" s="317"/>
      <c r="CZ248"/>
      <c r="DA248"/>
      <c r="DB248"/>
      <c r="DC248"/>
      <c r="DD248"/>
      <c r="DE248"/>
      <c r="DF248" s="318"/>
      <c r="DG248" s="318"/>
      <c r="DH248" s="318"/>
      <c r="DI248" s="318"/>
      <c r="DJ248" s="318"/>
    </row>
    <row r="249" spans="1:114" s="319" customFormat="1" ht="12.75" customHeight="1">
      <c r="A249" s="380" t="s">
        <v>214</v>
      </c>
      <c r="B249" s="565"/>
      <c r="C249" s="298"/>
      <c r="D249" s="298"/>
      <c r="E249" s="298"/>
      <c r="F249" s="299"/>
      <c r="G249" s="298"/>
      <c r="H249" s="298"/>
      <c r="I249" s="298"/>
      <c r="J249" s="298"/>
      <c r="K249" s="299"/>
      <c r="L249" s="298"/>
      <c r="M249" s="298"/>
      <c r="N249" s="298"/>
      <c r="O249" s="298"/>
      <c r="P249" s="299"/>
      <c r="Q249" s="298"/>
      <c r="R249" s="298"/>
      <c r="S249" s="298"/>
      <c r="T249" s="298"/>
      <c r="U249" s="299"/>
      <c r="V249" s="298"/>
      <c r="W249" s="298"/>
      <c r="X249" s="298"/>
      <c r="Y249" s="298"/>
      <c r="Z249" s="299"/>
      <c r="AA249" s="298"/>
      <c r="AB249" s="298"/>
      <c r="AC249" s="298"/>
      <c r="AD249" s="298"/>
      <c r="AE249" s="299"/>
      <c r="AF249" s="298"/>
      <c r="AG249" s="298"/>
      <c r="AH249" s="298"/>
      <c r="AI249" s="402"/>
      <c r="AJ249" s="299"/>
      <c r="AK249" s="278"/>
      <c r="AL249" s="278"/>
      <c r="AM249" s="278"/>
      <c r="AN249" s="402"/>
      <c r="AO249" s="299"/>
      <c r="AP249" s="278"/>
      <c r="AQ249" s="278"/>
      <c r="AR249" s="278"/>
      <c r="AS249" s="278"/>
      <c r="AT249" s="466"/>
      <c r="AU249" s="278"/>
      <c r="AV249" s="278"/>
      <c r="AW249" s="278"/>
      <c r="AX249" s="278"/>
      <c r="AY249" s="594"/>
      <c r="AZ249" s="366"/>
      <c r="BA249" s="278"/>
      <c r="BB249" s="278"/>
      <c r="BC249" s="278"/>
      <c r="BD249" s="2023"/>
      <c r="BE249" s="366"/>
      <c r="BF249" s="278"/>
      <c r="BG249" s="278"/>
      <c r="BH249" s="278"/>
      <c r="BI249" s="524"/>
      <c r="BJ249" s="525"/>
      <c r="BK249" s="525"/>
      <c r="BL249" s="525"/>
      <c r="BM249" s="278"/>
      <c r="BN249" s="524"/>
      <c r="BO249" s="525"/>
      <c r="BP249" s="525"/>
      <c r="BQ249" s="525"/>
      <c r="BR249" s="525"/>
      <c r="BS249" s="524">
        <f>+BS247/BS250</f>
        <v>0</v>
      </c>
      <c r="BT249" s="525"/>
      <c r="BU249" s="525"/>
      <c r="BV249" s="525"/>
      <c r="BW249" s="525"/>
      <c r="BX249" s="524">
        <f>+BX247/BX250</f>
        <v>0</v>
      </c>
      <c r="BY249" s="525"/>
      <c r="BZ249" s="525"/>
      <c r="CA249" s="525"/>
      <c r="CB249" s="525"/>
      <c r="CC249" s="524">
        <f>+CC247/CC250</f>
        <v>0</v>
      </c>
      <c r="CD249" s="403"/>
      <c r="CE249" s="315"/>
      <c r="CF249" s="246"/>
      <c r="CG249" s="246"/>
      <c r="CH249" s="246"/>
      <c r="CI249" s="247"/>
      <c r="CJ249" s="279"/>
      <c r="CK249" s="2077"/>
      <c r="CL249" s="279"/>
      <c r="CM249" s="279"/>
      <c r="CN249" s="279"/>
      <c r="CO249" s="279"/>
      <c r="CP249" s="279"/>
      <c r="CQ249" s="251"/>
      <c r="CR249" s="251"/>
      <c r="CS249" s="316"/>
      <c r="CT249" s="316"/>
      <c r="CU249" s="316"/>
      <c r="CV249" s="316"/>
      <c r="CW249" s="316"/>
      <c r="CX249" s="316"/>
      <c r="CY249" s="317"/>
      <c r="CZ249"/>
      <c r="DA249"/>
      <c r="DB249"/>
      <c r="DC249"/>
      <c r="DD249"/>
      <c r="DE249"/>
      <c r="DF249" s="318"/>
      <c r="DG249" s="318"/>
      <c r="DH249" s="318"/>
      <c r="DI249" s="318"/>
      <c r="DJ249" s="318"/>
    </row>
    <row r="250" spans="1:114" s="319" customFormat="1" ht="12.75" customHeight="1">
      <c r="A250" s="380" t="s">
        <v>141</v>
      </c>
      <c r="B250" s="565"/>
      <c r="C250" s="298"/>
      <c r="D250" s="298"/>
      <c r="E250" s="298"/>
      <c r="F250" s="299"/>
      <c r="G250" s="298"/>
      <c r="H250" s="298"/>
      <c r="I250" s="298"/>
      <c r="J250" s="298"/>
      <c r="K250" s="299"/>
      <c r="L250" s="298"/>
      <c r="M250" s="298"/>
      <c r="N250" s="298"/>
      <c r="O250" s="298"/>
      <c r="P250" s="299"/>
      <c r="Q250" s="298"/>
      <c r="R250" s="298"/>
      <c r="S250" s="298"/>
      <c r="T250" s="298"/>
      <c r="U250" s="299"/>
      <c r="V250" s="298"/>
      <c r="W250" s="298"/>
      <c r="X250" s="298"/>
      <c r="Y250" s="298"/>
      <c r="Z250" s="299"/>
      <c r="AA250" s="298"/>
      <c r="AB250" s="298"/>
      <c r="AC250" s="298"/>
      <c r="AD250" s="298"/>
      <c r="AE250" s="299"/>
      <c r="AF250" s="298"/>
      <c r="AG250" s="298"/>
      <c r="AH250" s="298"/>
      <c r="AI250" s="402"/>
      <c r="AJ250" s="299"/>
      <c r="AK250" s="278"/>
      <c r="AL250" s="278"/>
      <c r="AM250" s="278"/>
      <c r="AN250" s="402"/>
      <c r="AO250" s="299"/>
      <c r="AP250" s="278"/>
      <c r="AQ250" s="278"/>
      <c r="AR250" s="278"/>
      <c r="AS250" s="278"/>
      <c r="AT250" s="60"/>
      <c r="AU250" s="278"/>
      <c r="AV250" s="278"/>
      <c r="AW250" s="278"/>
      <c r="AX250" s="278"/>
      <c r="AY250" s="368"/>
      <c r="AZ250" s="366"/>
      <c r="BA250" s="278"/>
      <c r="BB250" s="278"/>
      <c r="BC250" s="278"/>
      <c r="BD250" s="1998"/>
      <c r="BE250" s="366"/>
      <c r="BF250" s="278"/>
      <c r="BG250" s="278"/>
      <c r="BH250" s="278"/>
      <c r="BI250" s="74"/>
      <c r="BJ250" s="278"/>
      <c r="BK250" s="278"/>
      <c r="BL250" s="278"/>
      <c r="BM250" s="278"/>
      <c r="BN250" s="74"/>
      <c r="BO250" s="278"/>
      <c r="BP250" s="278"/>
      <c r="BQ250" s="278"/>
      <c r="BR250" s="278"/>
      <c r="BS250" s="74">
        <v>0.06</v>
      </c>
      <c r="BT250" s="278"/>
      <c r="BU250" s="278"/>
      <c r="BV250" s="278"/>
      <c r="BW250" s="278"/>
      <c r="BX250" s="74">
        <f>+BS250</f>
        <v>0.06</v>
      </c>
      <c r="BY250" s="278"/>
      <c r="BZ250" s="278"/>
      <c r="CA250" s="278"/>
      <c r="CB250" s="278"/>
      <c r="CC250" s="74">
        <f>+BX250</f>
        <v>0.06</v>
      </c>
      <c r="CD250" s="403"/>
      <c r="CE250" s="315"/>
      <c r="CF250" s="246"/>
      <c r="CG250" s="246"/>
      <c r="CH250" s="246"/>
      <c r="CI250" s="247"/>
      <c r="CJ250" s="279"/>
      <c r="CK250" s="2077"/>
      <c r="CL250" s="279"/>
      <c r="CM250" s="279"/>
      <c r="CN250" s="279"/>
      <c r="CO250" s="279"/>
      <c r="CP250" s="279"/>
      <c r="CQ250" s="251"/>
      <c r="CR250" s="251"/>
      <c r="CS250" s="316"/>
      <c r="CT250" s="316"/>
      <c r="CU250" s="316"/>
      <c r="CV250" s="316"/>
      <c r="CW250" s="316"/>
      <c r="CX250" s="316"/>
      <c r="CY250" s="317"/>
      <c r="CZ250"/>
      <c r="DA250"/>
      <c r="DB250"/>
      <c r="DC250"/>
      <c r="DD250"/>
      <c r="DE250"/>
      <c r="DF250" s="318"/>
      <c r="DG250" s="318"/>
      <c r="DH250" s="318"/>
      <c r="DI250" s="318"/>
      <c r="DJ250" s="318"/>
    </row>
    <row r="251" spans="1:114" s="319" customFormat="1" ht="12.75" customHeight="1">
      <c r="A251" s="362" t="s">
        <v>136</v>
      </c>
      <c r="B251" s="565"/>
      <c r="C251" s="300"/>
      <c r="D251" s="300"/>
      <c r="E251" s="300"/>
      <c r="F251" s="299"/>
      <c r="G251" s="300"/>
      <c r="H251" s="300"/>
      <c r="I251" s="300"/>
      <c r="J251" s="300"/>
      <c r="K251" s="299"/>
      <c r="L251" s="300"/>
      <c r="M251" s="300"/>
      <c r="N251" s="300"/>
      <c r="O251" s="300"/>
      <c r="P251" s="299"/>
      <c r="Q251" s="300"/>
      <c r="R251" s="300"/>
      <c r="S251" s="300"/>
      <c r="T251" s="300"/>
      <c r="U251" s="299"/>
      <c r="V251" s="300"/>
      <c r="W251" s="300"/>
      <c r="X251" s="300"/>
      <c r="Y251" s="300"/>
      <c r="Z251" s="299"/>
      <c r="AA251" s="300"/>
      <c r="AB251" s="300"/>
      <c r="AC251" s="300"/>
      <c r="AD251" s="300"/>
      <c r="AE251" s="299"/>
      <c r="AF251" s="300"/>
      <c r="AG251" s="300"/>
      <c r="AH251" s="300"/>
      <c r="AI251" s="314"/>
      <c r="AJ251" s="299"/>
      <c r="AK251" s="301"/>
      <c r="AL251" s="301"/>
      <c r="AM251" s="301"/>
      <c r="AN251" s="314"/>
      <c r="AO251" s="299"/>
      <c r="AP251" s="301"/>
      <c r="AQ251" s="301"/>
      <c r="AR251" s="301"/>
      <c r="AS251" s="301"/>
      <c r="AT251" s="468"/>
      <c r="AU251" s="301"/>
      <c r="AV251" s="301"/>
      <c r="AW251" s="301"/>
      <c r="AX251" s="301"/>
      <c r="AY251" s="595"/>
      <c r="AZ251" s="366"/>
      <c r="BA251" s="301"/>
      <c r="BB251" s="301"/>
      <c r="BC251" s="301"/>
      <c r="BD251" s="2024"/>
      <c r="BE251" s="366"/>
      <c r="BF251" s="301"/>
      <c r="BG251" s="301"/>
      <c r="BH251" s="301"/>
      <c r="BI251" s="363"/>
      <c r="BJ251" s="301"/>
      <c r="BK251" s="301"/>
      <c r="BL251" s="301"/>
      <c r="BM251" s="301"/>
      <c r="BN251" s="363"/>
      <c r="BO251" s="301"/>
      <c r="BP251" s="301"/>
      <c r="BQ251" s="301"/>
      <c r="BR251" s="301"/>
      <c r="BS251" s="363">
        <f>BS246*70%</f>
        <v>0</v>
      </c>
      <c r="BT251" s="301"/>
      <c r="BU251" s="301"/>
      <c r="BV251" s="301"/>
      <c r="BW251" s="301"/>
      <c r="BX251" s="363">
        <f>BX246*70%</f>
        <v>0</v>
      </c>
      <c r="BY251" s="301"/>
      <c r="BZ251" s="301"/>
      <c r="CA251" s="301"/>
      <c r="CB251" s="301"/>
      <c r="CC251" s="363">
        <f>CC246*70%</f>
        <v>0</v>
      </c>
      <c r="CD251" s="307"/>
      <c r="CE251" s="315"/>
      <c r="CF251" s="246"/>
      <c r="CG251" s="246"/>
      <c r="CH251" s="246"/>
      <c r="CI251" s="247"/>
      <c r="CJ251" s="279"/>
      <c r="CK251" s="2077"/>
      <c r="CL251" s="279"/>
      <c r="CM251" s="279"/>
      <c r="CN251" s="279"/>
      <c r="CO251" s="279"/>
      <c r="CP251" s="279"/>
      <c r="CQ251" s="304" t="s">
        <v>178</v>
      </c>
      <c r="CR251" s="251"/>
      <c r="CS251" s="316"/>
      <c r="CT251" s="316"/>
      <c r="CU251" s="316"/>
      <c r="CV251" s="316"/>
      <c r="CW251" s="316"/>
      <c r="CX251" s="316"/>
      <c r="CY251" s="317"/>
      <c r="CZ251"/>
      <c r="DA251"/>
      <c r="DB251"/>
      <c r="DC251"/>
      <c r="DD251"/>
      <c r="DE251"/>
      <c r="DF251" s="318"/>
      <c r="DG251" s="318"/>
      <c r="DH251" s="318"/>
      <c r="DI251" s="318"/>
      <c r="DJ251" s="318"/>
    </row>
    <row r="252" spans="1:114" s="319" customFormat="1" ht="12.75" customHeight="1">
      <c r="A252" s="362" t="s">
        <v>137</v>
      </c>
      <c r="B252" s="565"/>
      <c r="C252" s="300"/>
      <c r="D252" s="300"/>
      <c r="E252" s="300"/>
      <c r="F252" s="299"/>
      <c r="G252" s="300"/>
      <c r="H252" s="300"/>
      <c r="I252" s="300"/>
      <c r="J252" s="300"/>
      <c r="K252" s="299"/>
      <c r="L252" s="300"/>
      <c r="M252" s="300"/>
      <c r="N252" s="300"/>
      <c r="O252" s="300"/>
      <c r="P252" s="299"/>
      <c r="Q252" s="300"/>
      <c r="R252" s="300"/>
      <c r="S252" s="300"/>
      <c r="T252" s="300"/>
      <c r="U252" s="299"/>
      <c r="V252" s="300"/>
      <c r="W252" s="300"/>
      <c r="X252" s="300"/>
      <c r="Y252" s="300"/>
      <c r="Z252" s="299"/>
      <c r="AA252" s="300"/>
      <c r="AB252" s="300"/>
      <c r="AC252" s="300"/>
      <c r="AD252" s="300"/>
      <c r="AE252" s="299"/>
      <c r="AF252" s="300"/>
      <c r="AG252" s="300"/>
      <c r="AH252" s="300"/>
      <c r="AI252" s="314"/>
      <c r="AJ252" s="299"/>
      <c r="AK252" s="301"/>
      <c r="AL252" s="301"/>
      <c r="AM252" s="301"/>
      <c r="AN252" s="314"/>
      <c r="AO252" s="299"/>
      <c r="AP252" s="301"/>
      <c r="AQ252" s="301"/>
      <c r="AR252" s="301"/>
      <c r="AS252" s="301"/>
      <c r="AT252" s="468"/>
      <c r="AU252" s="301"/>
      <c r="AV252" s="301"/>
      <c r="AW252" s="301"/>
      <c r="AX252" s="301"/>
      <c r="AY252" s="595"/>
      <c r="AZ252" s="366"/>
      <c r="BA252" s="301"/>
      <c r="BB252" s="301"/>
      <c r="BC252" s="301"/>
      <c r="BD252" s="2024"/>
      <c r="BE252" s="366"/>
      <c r="BF252" s="301"/>
      <c r="BG252" s="301"/>
      <c r="BH252" s="301"/>
      <c r="BI252" s="363"/>
      <c r="BJ252" s="301"/>
      <c r="BK252" s="301"/>
      <c r="BL252" s="301"/>
      <c r="BM252" s="301"/>
      <c r="BN252" s="363"/>
      <c r="BO252" s="301"/>
      <c r="BP252" s="301"/>
      <c r="BQ252" s="301"/>
      <c r="BR252" s="301"/>
      <c r="BS252" s="363">
        <f>BS246-BS251</f>
        <v>0</v>
      </c>
      <c r="BT252" s="301"/>
      <c r="BU252" s="301"/>
      <c r="BV252" s="301"/>
      <c r="BW252" s="301"/>
      <c r="BX252" s="363">
        <f>BX246-BX251</f>
        <v>0</v>
      </c>
      <c r="BY252" s="301"/>
      <c r="BZ252" s="301"/>
      <c r="CA252" s="301"/>
      <c r="CB252" s="301"/>
      <c r="CC252" s="363">
        <f>CC246-CC251</f>
        <v>0</v>
      </c>
      <c r="CD252" s="307"/>
      <c r="CE252" s="315"/>
      <c r="CF252" s="246"/>
      <c r="CG252" s="246"/>
      <c r="CH252" s="246"/>
      <c r="CI252" s="247"/>
      <c r="CJ252" s="279"/>
      <c r="CK252" s="2077"/>
      <c r="CL252" s="279"/>
      <c r="CM252" s="279"/>
      <c r="CN252" s="279"/>
      <c r="CO252" s="279"/>
      <c r="CP252" s="279"/>
      <c r="CQ252" s="304"/>
      <c r="CR252" s="251"/>
      <c r="CS252" s="316"/>
      <c r="CT252" s="316"/>
      <c r="CU252" s="316"/>
      <c r="CV252" s="316"/>
      <c r="CW252" s="316"/>
      <c r="CX252" s="316"/>
      <c r="CY252" s="317"/>
      <c r="CZ252"/>
      <c r="DA252"/>
      <c r="DB252"/>
      <c r="DC252"/>
      <c r="DD252"/>
      <c r="DE252"/>
      <c r="DF252" s="318"/>
      <c r="DG252" s="318"/>
      <c r="DH252" s="318"/>
      <c r="DI252" s="318"/>
      <c r="DJ252" s="318"/>
    </row>
    <row r="253" spans="1:114" s="250" customFormat="1" ht="12.75" customHeight="1">
      <c r="A253" s="309" t="s">
        <v>99</v>
      </c>
      <c r="B253" s="566"/>
      <c r="C253" s="311"/>
      <c r="D253" s="311"/>
      <c r="E253" s="311"/>
      <c r="F253" s="310">
        <v>-1.3140000000000001</v>
      </c>
      <c r="G253" s="309"/>
      <c r="H253" s="309"/>
      <c r="I253" s="309"/>
      <c r="J253" s="309"/>
      <c r="K253" s="310">
        <v>-2.516</v>
      </c>
      <c r="L253" s="309"/>
      <c r="M253" s="309"/>
      <c r="N253" s="309"/>
      <c r="O253" s="309"/>
      <c r="P253" s="310">
        <v>-2.2930000000000001</v>
      </c>
      <c r="Q253" s="309"/>
      <c r="R253" s="309"/>
      <c r="S253" s="309"/>
      <c r="T253" s="309"/>
      <c r="U253" s="310">
        <v>-11.78</v>
      </c>
      <c r="V253" s="309"/>
      <c r="W253" s="309"/>
      <c r="X253" s="309"/>
      <c r="Y253" s="309"/>
      <c r="Z253" s="310">
        <v>-3.4740000000000002</v>
      </c>
      <c r="AA253" s="309"/>
      <c r="AB253" s="309"/>
      <c r="AC253" s="309"/>
      <c r="AD253" s="309"/>
      <c r="AE253" s="310">
        <v>-1.3089999999999999</v>
      </c>
      <c r="AF253" s="309"/>
      <c r="AG253" s="309"/>
      <c r="AH253" s="309"/>
      <c r="AI253" s="309"/>
      <c r="AJ253" s="310">
        <v>-1.1910000000000001</v>
      </c>
      <c r="AK253" s="309">
        <v>-1.286</v>
      </c>
      <c r="AL253" s="309">
        <f>-6.732-AK253</f>
        <v>-5.4459999999999997</v>
      </c>
      <c r="AM253" s="309">
        <f>-11.447-SUM(AK253:AL253)</f>
        <v>-4.7149999999999999</v>
      </c>
      <c r="AN253" s="309"/>
      <c r="AO253" s="310">
        <v>-64.667000000000002</v>
      </c>
      <c r="AP253" s="309">
        <v>-17.515999999999998</v>
      </c>
      <c r="AQ253" s="309">
        <f>+-23.399-AP253</f>
        <v>-5.8830000000000027</v>
      </c>
      <c r="AR253" s="309">
        <f>-358.676-SUM(AP253:AQ253)</f>
        <v>-335.27699999999999</v>
      </c>
      <c r="AS253" s="309">
        <f>AT253-SUM(AP253:AR253)</f>
        <v>-111.57800000000003</v>
      </c>
      <c r="AT253" s="310">
        <v>-470.25400000000002</v>
      </c>
      <c r="AU253" s="309">
        <v>-194.65100000000001</v>
      </c>
      <c r="AV253" s="309">
        <f>+-210.556-AU253</f>
        <v>-15.905000000000001</v>
      </c>
      <c r="AW253" s="309">
        <f>-834.918-SUM(AU253:AV253)</f>
        <v>-624.36199999999997</v>
      </c>
      <c r="AX253" s="309">
        <f>AY253-SUM(AU253:AW253)</f>
        <v>-23.381999999999948</v>
      </c>
      <c r="AY253" s="592">
        <v>-858.3</v>
      </c>
      <c r="AZ253" s="592">
        <v>-69.599999999999994</v>
      </c>
      <c r="BA253" s="309">
        <f>+-1635.2-AZ253</f>
        <v>-1565.6000000000001</v>
      </c>
      <c r="BB253" s="309">
        <f>-1695.2-BA253-AZ253</f>
        <v>-59.999999999999915</v>
      </c>
      <c r="BC253" s="309">
        <f>BD253-SUM(AZ253:BB253)</f>
        <v>-2390.1999999999998</v>
      </c>
      <c r="BD253" s="2018">
        <v>-4085.4</v>
      </c>
      <c r="BE253" s="592">
        <v>-97.2</v>
      </c>
      <c r="BF253" s="309">
        <f>-180.1-BE253</f>
        <v>-82.899999999999991</v>
      </c>
      <c r="BG253" s="309">
        <f>-252-BF253-BE253</f>
        <v>-71.90000000000002</v>
      </c>
      <c r="BH253" s="309">
        <f>BI253-SUM(BE253:BG253)</f>
        <v>394</v>
      </c>
      <c r="BI253" s="310">
        <v>142</v>
      </c>
      <c r="BJ253" s="309">
        <v>-101.9</v>
      </c>
      <c r="BK253" s="309">
        <f>-219.8-BJ253</f>
        <v>-117.9</v>
      </c>
      <c r="BL253" s="309">
        <f>-330.3-BK253-BJ253</f>
        <v>-110.5</v>
      </c>
      <c r="BM253" s="309">
        <f>BN253-SUM(BJ253:BL253)</f>
        <v>-94.399999999999977</v>
      </c>
      <c r="BN253" s="310">
        <v>-424.7</v>
      </c>
      <c r="BO253" s="309">
        <f t="shared" ref="BO253:BR253" si="953">BO239+BO242+BO246</f>
        <v>-116</v>
      </c>
      <c r="BP253" s="309">
        <f t="shared" si="953"/>
        <v>-116</v>
      </c>
      <c r="BQ253" s="309">
        <f t="shared" si="953"/>
        <v>-116</v>
      </c>
      <c r="BR253" s="309">
        <f t="shared" si="953"/>
        <v>-116</v>
      </c>
      <c r="BS253" s="310">
        <f>BS239+BS242+BS246</f>
        <v>-464</v>
      </c>
      <c r="BT253" s="309"/>
      <c r="BU253" s="309"/>
      <c r="BV253" s="309"/>
      <c r="BW253" s="309"/>
      <c r="BX253" s="310">
        <f>BX239+BX242+BX246</f>
        <v>-508.70361771201715</v>
      </c>
      <c r="BY253" s="309"/>
      <c r="BZ253" s="309"/>
      <c r="CA253" s="309"/>
      <c r="CB253" s="309"/>
      <c r="CC253" s="310">
        <f>CC239+CC242+CC246</f>
        <v>-564.75129977924985</v>
      </c>
      <c r="CD253" s="279"/>
      <c r="CE253" s="280"/>
      <c r="CF253" s="246"/>
      <c r="CG253" s="246"/>
      <c r="CH253" s="246"/>
      <c r="CI253" s="247"/>
      <c r="CJ253" s="279"/>
      <c r="CK253" s="2077"/>
      <c r="CL253" s="279"/>
      <c r="CM253" s="279"/>
      <c r="CN253" s="279"/>
      <c r="CO253" s="279"/>
      <c r="CP253" s="279"/>
      <c r="CQ253" s="251"/>
      <c r="CR253" s="248"/>
      <c r="CS253" s="248"/>
      <c r="CT253" s="248"/>
      <c r="CU253" s="248"/>
      <c r="CV253" s="248"/>
      <c r="CW253" s="248"/>
      <c r="CX253" s="248"/>
      <c r="CY253" s="249"/>
      <c r="CZ253"/>
      <c r="DA253"/>
      <c r="DB253"/>
      <c r="DC253"/>
      <c r="DD253"/>
      <c r="DE253"/>
      <c r="DF253" s="4"/>
      <c r="DG253" s="4"/>
      <c r="DH253" s="4"/>
      <c r="DI253" s="4"/>
      <c r="DJ253" s="4"/>
    </row>
    <row r="254" spans="1:114" s="306" customFormat="1" ht="12.75" customHeight="1">
      <c r="A254" s="297" t="s">
        <v>20</v>
      </c>
      <c r="B254" s="366"/>
      <c r="C254" s="301"/>
      <c r="D254" s="301"/>
      <c r="E254" s="301"/>
      <c r="F254" s="299">
        <v>0</v>
      </c>
      <c r="G254" s="301"/>
      <c r="H254" s="301"/>
      <c r="I254" s="301"/>
      <c r="J254" s="301"/>
      <c r="K254" s="299">
        <v>0</v>
      </c>
      <c r="L254" s="301"/>
      <c r="M254" s="301"/>
      <c r="N254" s="301"/>
      <c r="O254" s="301"/>
      <c r="P254" s="299">
        <v>0</v>
      </c>
      <c r="Q254" s="301"/>
      <c r="R254" s="301"/>
      <c r="S254" s="301"/>
      <c r="T254" s="301"/>
      <c r="U254" s="299">
        <v>0</v>
      </c>
      <c r="V254" s="301"/>
      <c r="W254" s="301"/>
      <c r="X254" s="301"/>
      <c r="Y254" s="301"/>
      <c r="Z254" s="299">
        <v>0</v>
      </c>
      <c r="AA254" s="301"/>
      <c r="AB254" s="301"/>
      <c r="AC254" s="301"/>
      <c r="AD254" s="301"/>
      <c r="AE254" s="299">
        <v>0</v>
      </c>
      <c r="AF254" s="301"/>
      <c r="AG254" s="301"/>
      <c r="AH254" s="301"/>
      <c r="AI254" s="301"/>
      <c r="AJ254" s="299">
        <v>0</v>
      </c>
      <c r="AK254" s="301">
        <v>0</v>
      </c>
      <c r="AL254" s="301">
        <v>0</v>
      </c>
      <c r="AM254" s="301">
        <v>0</v>
      </c>
      <c r="AN254" s="301"/>
      <c r="AO254" s="299">
        <v>0</v>
      </c>
      <c r="AP254" s="434">
        <v>0</v>
      </c>
      <c r="AQ254" s="301">
        <v>0</v>
      </c>
      <c r="AR254" s="301">
        <v>0</v>
      </c>
      <c r="AS254" s="434">
        <v>0</v>
      </c>
      <c r="AT254" s="299">
        <v>0</v>
      </c>
      <c r="AU254" s="434">
        <v>0</v>
      </c>
      <c r="AV254" s="301">
        <v>0</v>
      </c>
      <c r="AW254" s="301">
        <v>0</v>
      </c>
      <c r="AX254" s="434">
        <v>0</v>
      </c>
      <c r="AY254" s="366">
        <v>0</v>
      </c>
      <c r="AZ254" s="437">
        <v>0</v>
      </c>
      <c r="BA254" s="301">
        <v>0</v>
      </c>
      <c r="BB254" s="301">
        <v>0</v>
      </c>
      <c r="BC254" s="434">
        <v>0</v>
      </c>
      <c r="BD254" s="2019">
        <v>-2.8</v>
      </c>
      <c r="BE254" s="437">
        <v>0</v>
      </c>
      <c r="BF254" s="301">
        <v>-1.5</v>
      </c>
      <c r="BG254" s="301">
        <f>-2.5-BF254</f>
        <v>-1</v>
      </c>
      <c r="BH254" s="434">
        <v>0</v>
      </c>
      <c r="BI254" s="299">
        <v>-5.4</v>
      </c>
      <c r="BJ254" s="437">
        <v>-0.7</v>
      </c>
      <c r="BK254" s="301">
        <v>-1.7</v>
      </c>
      <c r="BL254" s="301">
        <f>-3.3-BK254</f>
        <v>-1.5999999999999999</v>
      </c>
      <c r="BM254" s="434">
        <v>0</v>
      </c>
      <c r="BN254" s="299">
        <v>-6.6</v>
      </c>
      <c r="BO254" s="2130">
        <v>0</v>
      </c>
      <c r="BP254" s="2130">
        <v>0</v>
      </c>
      <c r="BQ254" s="2130">
        <v>0</v>
      </c>
      <c r="BR254" s="2130">
        <v>0</v>
      </c>
      <c r="BS254" s="299">
        <f>+SUM(BO254:BR254)</f>
        <v>0</v>
      </c>
      <c r="BT254" s="301"/>
      <c r="BU254" s="301"/>
      <c r="BV254" s="301"/>
      <c r="BW254" s="301"/>
      <c r="BX254" s="299">
        <f>-Model!BX210*Model!BX229</f>
        <v>0</v>
      </c>
      <c r="BY254" s="301"/>
      <c r="BZ254" s="301"/>
      <c r="CA254" s="301"/>
      <c r="CB254" s="301"/>
      <c r="CC254" s="299">
        <f>-Model!CC210*Model!CC229</f>
        <v>0</v>
      </c>
      <c r="CD254" s="302"/>
      <c r="CE254" s="303"/>
      <c r="CF254" s="246"/>
      <c r="CG254" s="246"/>
      <c r="CH254" s="246"/>
      <c r="CI254" s="247"/>
      <c r="CJ254" s="279"/>
      <c r="CK254" s="2077"/>
      <c r="CL254" s="279"/>
      <c r="CM254" s="279"/>
      <c r="CN254" s="279"/>
      <c r="CO254" s="279"/>
      <c r="CP254" s="279"/>
      <c r="CQ254" s="316"/>
      <c r="CR254" s="304"/>
      <c r="CS254" s="304"/>
      <c r="CT254" s="304"/>
      <c r="CU254" s="304"/>
      <c r="CV254" s="304"/>
      <c r="CW254" s="304"/>
      <c r="CX254" s="304"/>
      <c r="CY254" s="305"/>
      <c r="CZ254"/>
      <c r="DA254"/>
      <c r="DB254"/>
      <c r="DC254"/>
      <c r="DD254"/>
      <c r="DE254"/>
      <c r="DF254" s="298"/>
      <c r="DG254" s="298"/>
      <c r="DH254" s="298"/>
      <c r="DI254" s="298"/>
      <c r="DJ254" s="298"/>
    </row>
    <row r="255" spans="1:114" s="319" customFormat="1" ht="12.75" customHeight="1">
      <c r="A255" s="297" t="s">
        <v>24</v>
      </c>
      <c r="B255" s="565"/>
      <c r="C255" s="300"/>
      <c r="D255" s="300"/>
      <c r="E255" s="300"/>
      <c r="F255" s="299">
        <f>-0.4-0.413+0.581</f>
        <v>-0.23199999999999998</v>
      </c>
      <c r="G255" s="300"/>
      <c r="H255" s="300"/>
      <c r="I255" s="300"/>
      <c r="J255" s="300"/>
      <c r="K255" s="299">
        <v>-0.17599999999999999</v>
      </c>
      <c r="L255" s="300"/>
      <c r="M255" s="300"/>
      <c r="N255" s="300"/>
      <c r="O255" s="300"/>
      <c r="P255" s="299">
        <v>-0.16</v>
      </c>
      <c r="Q255" s="300"/>
      <c r="R255" s="300"/>
      <c r="S255" s="300"/>
      <c r="T255" s="300"/>
      <c r="U255" s="299">
        <v>-1.0489999999999999</v>
      </c>
      <c r="V255" s="300"/>
      <c r="W255" s="300"/>
      <c r="X255" s="300"/>
      <c r="Y255" s="300"/>
      <c r="Z255" s="299">
        <v>-1.2490000000000001</v>
      </c>
      <c r="AA255" s="300"/>
      <c r="AB255" s="300"/>
      <c r="AC255" s="300"/>
      <c r="AD255" s="300"/>
      <c r="AE255" s="299">
        <f>5-2.665</f>
        <v>2.335</v>
      </c>
      <c r="AF255" s="300"/>
      <c r="AG255" s="300"/>
      <c r="AH255" s="300"/>
      <c r="AI255" s="314"/>
      <c r="AJ255" s="299">
        <v>-1.633</v>
      </c>
      <c r="AK255" s="301">
        <v>-2.0840000000000001</v>
      </c>
      <c r="AL255" s="301">
        <f>-2.018-AK255</f>
        <v>6.6000000000000281E-2</v>
      </c>
      <c r="AM255" s="301">
        <f>(-2.178+120.287-2.089)-SUM(AK255:AL255)</f>
        <v>118.03800000000001</v>
      </c>
      <c r="AN255" s="314"/>
      <c r="AO255" s="299">
        <f>-2.19+138.504</f>
        <v>136.31399999999999</v>
      </c>
      <c r="AP255" s="434">
        <f>0.478-0.284</f>
        <v>0.19400000000000001</v>
      </c>
      <c r="AQ255" s="301">
        <f>0.016-AP255</f>
        <v>-0.17799999999999999</v>
      </c>
      <c r="AR255" s="301">
        <f>(-0.115-0.239)-SUM(AP255:AQ255)</f>
        <v>-0.37</v>
      </c>
      <c r="AS255" s="434">
        <f>AT255-SUM(AP255:AR255)</f>
        <v>73.703000000000003</v>
      </c>
      <c r="AT255" s="299">
        <v>73.349000000000004</v>
      </c>
      <c r="AU255" s="434">
        <f>+-75-11.269</f>
        <v>-86.269000000000005</v>
      </c>
      <c r="AV255" s="301">
        <f>+-75-AU255</f>
        <v>11.269000000000005</v>
      </c>
      <c r="AW255" s="301">
        <f>(489.641+130-205)-SUM(AU255:AV255)</f>
        <v>489.64100000000008</v>
      </c>
      <c r="AX255" s="434">
        <f>AY255-SUM(AU255:AW255)</f>
        <v>-4.100000000005366E-2</v>
      </c>
      <c r="AY255" s="437">
        <f>130+489.6-205</f>
        <v>414.6</v>
      </c>
      <c r="AZ255" s="437">
        <f>414.7-4.5</f>
        <v>410.2</v>
      </c>
      <c r="BA255" s="301">
        <f>-AZ255+2544-7.9+11.2-28</f>
        <v>2109.1</v>
      </c>
      <c r="BB255" s="682">
        <f>2596.7-7.9-AZ255-BA255</f>
        <v>69.5</v>
      </c>
      <c r="BC255" s="434">
        <f>BD255-SUM(AZ255:BB255)</f>
        <v>1520.1000000000008</v>
      </c>
      <c r="BD255" s="2025">
        <f>4151.8-42.9</f>
        <v>4108.9000000000005</v>
      </c>
      <c r="BE255" s="437">
        <f>+-41.8+200-100+18.3</f>
        <v>76.499999999999986</v>
      </c>
      <c r="BF255" s="301">
        <f>-BE255+260-160-10.9</f>
        <v>12.6</v>
      </c>
      <c r="BG255" s="682">
        <f>1377.8-1334.2-BE255-BF255</f>
        <v>-45.500000000000078</v>
      </c>
      <c r="BH255" s="434">
        <f>BI255-SUM(BE255:BG255)</f>
        <v>1308.4000000000001</v>
      </c>
      <c r="BI255" s="527">
        <f>1377.8-25.8</f>
        <v>1352</v>
      </c>
      <c r="BJ255" s="437">
        <f>523.5-511.4+180-110</f>
        <v>82.100000000000023</v>
      </c>
      <c r="BK255" s="301">
        <f>-BJ255+320-350+3.4</f>
        <v>-108.70000000000002</v>
      </c>
      <c r="BL255" s="682">
        <f>523.5-782.9-BJ255-BK255</f>
        <v>-232.79999999999998</v>
      </c>
      <c r="BM255" s="434">
        <f>BN255-SUM(BJ255:BL255)</f>
        <v>1061.8000000000002</v>
      </c>
      <c r="BN255" s="527">
        <f>819.2-16.8</f>
        <v>802.40000000000009</v>
      </c>
      <c r="BO255" s="449">
        <v>-100</v>
      </c>
      <c r="BP255" s="449">
        <f t="shared" ref="BP255" si="954">+BO255</f>
        <v>-100</v>
      </c>
      <c r="BQ255" s="449">
        <f t="shared" ref="BQ255" si="955">+BP255</f>
        <v>-100</v>
      </c>
      <c r="BR255" s="449">
        <f t="shared" ref="BR255" si="956">+BQ255</f>
        <v>-100</v>
      </c>
      <c r="BS255" s="527">
        <f>+SUM(BO255:BR255)</f>
        <v>-400</v>
      </c>
      <c r="BT255" s="449"/>
      <c r="BU255" s="449"/>
      <c r="BV255" s="449"/>
      <c r="BW255" s="449"/>
      <c r="BX255" s="313">
        <v>0</v>
      </c>
      <c r="BY255" s="449"/>
      <c r="BZ255" s="449"/>
      <c r="CA255" s="449"/>
      <c r="CB255" s="449"/>
      <c r="CC255" s="313">
        <v>0</v>
      </c>
      <c r="CD255" s="307"/>
      <c r="CE255" s="315"/>
      <c r="CF255" s="246"/>
      <c r="CG255" s="246"/>
      <c r="CH255" s="246"/>
      <c r="CI255" s="247"/>
      <c r="CJ255" s="279"/>
      <c r="CK255" s="2077"/>
      <c r="CL255" s="279"/>
      <c r="CM255" s="279"/>
      <c r="CN255" s="279"/>
      <c r="CO255" s="279"/>
      <c r="CP255" s="279"/>
      <c r="CQ255" s="316"/>
      <c r="CR255" s="304"/>
      <c r="CS255" s="316"/>
      <c r="CT255" s="316"/>
      <c r="CU255" s="316"/>
      <c r="CV255" s="316"/>
      <c r="CW255" s="316"/>
      <c r="CX255" s="316"/>
      <c r="CY255" s="317"/>
      <c r="CZ255"/>
      <c r="DA255"/>
      <c r="DB255"/>
      <c r="DC255"/>
      <c r="DD255"/>
      <c r="DE255"/>
      <c r="DF255" s="318"/>
      <c r="DG255" s="318"/>
      <c r="DH255" s="318"/>
      <c r="DI255" s="318"/>
      <c r="DJ255" s="318"/>
    </row>
    <row r="256" spans="1:114" s="319" customFormat="1" ht="12.75" customHeight="1">
      <c r="A256" s="297" t="s">
        <v>254</v>
      </c>
      <c r="B256" s="565"/>
      <c r="C256" s="300"/>
      <c r="D256" s="300"/>
      <c r="E256" s="300"/>
      <c r="F256" s="299"/>
      <c r="G256" s="300"/>
      <c r="H256" s="300"/>
      <c r="I256" s="300"/>
      <c r="J256" s="300"/>
      <c r="K256" s="299"/>
      <c r="L256" s="300"/>
      <c r="M256" s="300"/>
      <c r="N256" s="300"/>
      <c r="O256" s="300"/>
      <c r="P256" s="299"/>
      <c r="Q256" s="300"/>
      <c r="R256" s="300"/>
      <c r="S256" s="300"/>
      <c r="T256" s="300"/>
      <c r="U256" s="299"/>
      <c r="V256" s="300"/>
      <c r="W256" s="300"/>
      <c r="X256" s="300"/>
      <c r="Y256" s="300"/>
      <c r="Z256" s="299"/>
      <c r="AA256" s="300"/>
      <c r="AB256" s="300"/>
      <c r="AC256" s="300"/>
      <c r="AD256" s="300"/>
      <c r="AE256" s="299"/>
      <c r="AF256" s="300"/>
      <c r="AG256" s="300"/>
      <c r="AH256" s="300"/>
      <c r="AI256" s="314"/>
      <c r="AJ256" s="299"/>
      <c r="AK256" s="301"/>
      <c r="AL256" s="301"/>
      <c r="AM256" s="301"/>
      <c r="AN256" s="314"/>
      <c r="AO256" s="299"/>
      <c r="AP256" s="434"/>
      <c r="AQ256" s="301"/>
      <c r="AR256" s="301"/>
      <c r="AS256" s="434"/>
      <c r="AT256" s="299"/>
      <c r="AU256" s="434"/>
      <c r="AV256" s="301"/>
      <c r="AW256" s="301"/>
      <c r="AX256" s="434"/>
      <c r="AY256" s="437"/>
      <c r="AZ256" s="437">
        <v>0</v>
      </c>
      <c r="BA256" s="301">
        <v>-712.6</v>
      </c>
      <c r="BB256" s="682">
        <f>+-1067.4-BA256</f>
        <v>-354.80000000000007</v>
      </c>
      <c r="BC256" s="434">
        <f>BD256-SUM(AZ256:BB256)</f>
        <v>-148.19999999999982</v>
      </c>
      <c r="BD256" s="2025">
        <v>-1215.5999999999999</v>
      </c>
      <c r="BE256" s="437">
        <v>0</v>
      </c>
      <c r="BF256" s="301">
        <v>-90</v>
      </c>
      <c r="BG256" s="682">
        <f>+-126.4-BF256</f>
        <v>-36.400000000000006</v>
      </c>
      <c r="BH256" s="434">
        <f>BI256-SUM(BE256:BG256)</f>
        <v>-25</v>
      </c>
      <c r="BI256" s="527">
        <v>-151.4</v>
      </c>
      <c r="BJ256" s="437">
        <v>-29.2</v>
      </c>
      <c r="BK256" s="301">
        <v>-60.3</v>
      </c>
      <c r="BL256" s="682">
        <f>+-80.9-BK256</f>
        <v>-20.600000000000009</v>
      </c>
      <c r="BM256" s="434">
        <f>BN256-SUM(BJ256:BL256)</f>
        <v>3.7000000000000028</v>
      </c>
      <c r="BN256" s="527">
        <v>-106.4</v>
      </c>
      <c r="BO256" s="449">
        <v>0</v>
      </c>
      <c r="BP256" s="449">
        <v>0</v>
      </c>
      <c r="BQ256" s="449">
        <v>0</v>
      </c>
      <c r="BR256" s="449">
        <v>0</v>
      </c>
      <c r="BS256" s="527">
        <f>+SUM(BO256:BR256)</f>
        <v>0</v>
      </c>
      <c r="BT256" s="449"/>
      <c r="BU256" s="449"/>
      <c r="BV256" s="449"/>
      <c r="BW256" s="449"/>
      <c r="BX256" s="313">
        <v>0</v>
      </c>
      <c r="BY256" s="449"/>
      <c r="BZ256" s="449"/>
      <c r="CA256" s="449"/>
      <c r="CB256" s="449"/>
      <c r="CC256" s="313">
        <v>0</v>
      </c>
      <c r="CD256" s="307"/>
      <c r="CE256" s="315"/>
      <c r="CF256" s="246"/>
      <c r="CG256" s="246"/>
      <c r="CH256" s="246"/>
      <c r="CI256" s="247"/>
      <c r="CJ256" s="279"/>
      <c r="CK256" s="2077"/>
      <c r="CL256" s="279"/>
      <c r="CM256" s="279"/>
      <c r="CN256" s="279"/>
      <c r="CO256" s="279"/>
      <c r="CP256" s="279"/>
      <c r="CQ256" s="316"/>
      <c r="CR256" s="304"/>
      <c r="CS256" s="316"/>
      <c r="CT256" s="316"/>
      <c r="CU256" s="316"/>
      <c r="CV256" s="316"/>
      <c r="CW256" s="316"/>
      <c r="CX256" s="316"/>
      <c r="CY256" s="317"/>
      <c r="CZ256"/>
      <c r="DA256"/>
      <c r="DB256"/>
      <c r="DC256"/>
      <c r="DD256"/>
      <c r="DE256"/>
      <c r="DF256" s="318"/>
      <c r="DG256" s="318"/>
      <c r="DH256" s="318"/>
      <c r="DI256" s="318"/>
      <c r="DJ256" s="318"/>
    </row>
    <row r="257" spans="1:114" s="319" customFormat="1" ht="12.75" customHeight="1">
      <c r="A257" s="297" t="s">
        <v>25</v>
      </c>
      <c r="B257" s="565"/>
      <c r="C257" s="300"/>
      <c r="D257" s="300"/>
      <c r="E257" s="300"/>
      <c r="F257" s="299">
        <f>-0.16-0.107</f>
        <v>-0.26700000000000002</v>
      </c>
      <c r="G257" s="300"/>
      <c r="H257" s="300"/>
      <c r="I257" s="300"/>
      <c r="J257" s="300"/>
      <c r="K257" s="299">
        <v>0</v>
      </c>
      <c r="L257" s="300"/>
      <c r="M257" s="300"/>
      <c r="N257" s="300"/>
      <c r="O257" s="300"/>
      <c r="P257" s="299">
        <v>0</v>
      </c>
      <c r="Q257" s="300"/>
      <c r="R257" s="300"/>
      <c r="S257" s="300"/>
      <c r="T257" s="300"/>
      <c r="U257" s="299">
        <v>0</v>
      </c>
      <c r="V257" s="300"/>
      <c r="W257" s="300"/>
      <c r="X257" s="300"/>
      <c r="Y257" s="300"/>
      <c r="Z257" s="299">
        <v>0</v>
      </c>
      <c r="AA257" s="300"/>
      <c r="AB257" s="300"/>
      <c r="AC257" s="300"/>
      <c r="AD257" s="300"/>
      <c r="AE257" s="299">
        <v>0</v>
      </c>
      <c r="AF257" s="300"/>
      <c r="AG257" s="300"/>
      <c r="AH257" s="314"/>
      <c r="AI257" s="314"/>
      <c r="AJ257" s="299">
        <v>71.628</v>
      </c>
      <c r="AK257" s="301">
        <v>136.98500000000001</v>
      </c>
      <c r="AL257" s="301">
        <f>136.961-AK257</f>
        <v>-2.4000000000000909E-2</v>
      </c>
      <c r="AM257" s="301">
        <f>136.961-SUM(AK257:AL257)</f>
        <v>0</v>
      </c>
      <c r="AN257" s="314"/>
      <c r="AO257" s="299">
        <v>136.96100000000001</v>
      </c>
      <c r="AP257" s="434">
        <f>0.01-0.031-0.743</f>
        <v>-0.76400000000000001</v>
      </c>
      <c r="AQ257" s="301">
        <v>0</v>
      </c>
      <c r="AR257" s="301">
        <f>239.66-SUM(AP257:AQ257)</f>
        <v>240.42400000000001</v>
      </c>
      <c r="AS257" s="434">
        <f>AT257-SUM(AP257:AR257)</f>
        <v>-7.2220000000000084</v>
      </c>
      <c r="AT257" s="299">
        <f>239.496-2.972-4.086</f>
        <v>232.43799999999999</v>
      </c>
      <c r="AU257" s="434">
        <v>413.18299999999999</v>
      </c>
      <c r="AV257" s="301">
        <f>413.164-AU257</f>
        <v>-1.9000000000005457E-2</v>
      </c>
      <c r="AW257" s="301">
        <f>733.954+363.898-SUM(AU257:AV257)</f>
        <v>684.68799999999987</v>
      </c>
      <c r="AX257" s="434">
        <f>AY257-SUM(AU257:AW257)</f>
        <v>-0.45199999999977081</v>
      </c>
      <c r="AY257" s="366">
        <f>733.8+363.6</f>
        <v>1097.4000000000001</v>
      </c>
      <c r="AZ257" s="437">
        <v>0</v>
      </c>
      <c r="BA257" s="301">
        <f>-AZ257+697.5+562.5-31.9</f>
        <v>1228.0999999999999</v>
      </c>
      <c r="BB257" s="682">
        <f>+-AZ257-BA257+1260-31.9</f>
        <v>9.2370555648813024E-14</v>
      </c>
      <c r="BC257" s="434">
        <f>BD257-SUM(AZ257:BB257)</f>
        <v>0</v>
      </c>
      <c r="BD257" s="2019">
        <f>1260-31.9</f>
        <v>1228.0999999999999</v>
      </c>
      <c r="BE257" s="437">
        <v>0</v>
      </c>
      <c r="BF257" s="301">
        <v>0</v>
      </c>
      <c r="BG257" s="682">
        <f>+-BE257-BF257+0-0</f>
        <v>0</v>
      </c>
      <c r="BH257" s="434">
        <f>BI257-SUM(BE257:BG257)</f>
        <v>0</v>
      </c>
      <c r="BI257" s="299">
        <v>0</v>
      </c>
      <c r="BJ257" s="437">
        <f t="shared" ref="BJ257" si="957">+BI257</f>
        <v>0</v>
      </c>
      <c r="BK257" s="301">
        <v>0</v>
      </c>
      <c r="BL257" s="682">
        <f>+-BJ257-BK257+0-0</f>
        <v>0</v>
      </c>
      <c r="BM257" s="434">
        <f>BN257-SUM(BJ257:BL257)</f>
        <v>0</v>
      </c>
      <c r="BN257" s="299">
        <v>0</v>
      </c>
      <c r="BO257" s="449">
        <v>0</v>
      </c>
      <c r="BP257" s="449">
        <v>0</v>
      </c>
      <c r="BQ257" s="449">
        <v>0</v>
      </c>
      <c r="BR257" s="449">
        <v>0</v>
      </c>
      <c r="BS257" s="299">
        <f>+SUM(BO257:BR257)</f>
        <v>0</v>
      </c>
      <c r="BT257" s="449"/>
      <c r="BU257" s="449"/>
      <c r="BV257" s="449"/>
      <c r="BW257" s="449"/>
      <c r="BX257" s="489">
        <f>+(BX210-BS210)*BX219</f>
        <v>-1156.4354999999996</v>
      </c>
      <c r="BY257" s="434"/>
      <c r="BZ257" s="434"/>
      <c r="CA257" s="434"/>
      <c r="CB257" s="434"/>
      <c r="CC257" s="489">
        <f>+(CC210-BX210)*CC219</f>
        <v>-1040.7919499999998</v>
      </c>
      <c r="CD257" s="307"/>
      <c r="CE257" s="315"/>
      <c r="CF257" s="246"/>
      <c r="CG257" s="246"/>
      <c r="CH257" s="246"/>
      <c r="CI257" s="247"/>
      <c r="CJ257" s="279"/>
      <c r="CK257" s="2077"/>
      <c r="CL257" s="279"/>
      <c r="CM257" s="279"/>
      <c r="CN257" s="279"/>
      <c r="CO257" s="279"/>
      <c r="CP257" s="279"/>
      <c r="CQ257" s="316"/>
      <c r="CR257" s="304"/>
      <c r="CS257" s="316"/>
      <c r="CT257" s="316"/>
      <c r="CU257" s="316"/>
      <c r="CV257" s="316"/>
      <c r="CW257" s="316"/>
      <c r="CX257" s="316"/>
      <c r="CY257" s="317"/>
      <c r="CZ257"/>
      <c r="DA257"/>
      <c r="DB257"/>
      <c r="DC257"/>
      <c r="DD257"/>
      <c r="DE257"/>
      <c r="DF257" s="318"/>
      <c r="DG257" s="318"/>
      <c r="DH257" s="318"/>
      <c r="DI257" s="318"/>
      <c r="DJ257" s="318"/>
    </row>
    <row r="258" spans="1:114" s="319" customFormat="1" ht="12.75" customHeight="1">
      <c r="A258" s="297" t="s">
        <v>7</v>
      </c>
      <c r="B258" s="565"/>
      <c r="C258" s="300"/>
      <c r="D258" s="300"/>
      <c r="E258" s="300"/>
      <c r="F258" s="299">
        <f>F259-SUM(F254:F257)</f>
        <v>0</v>
      </c>
      <c r="G258" s="300"/>
      <c r="H258" s="300"/>
      <c r="I258" s="300"/>
      <c r="J258" s="300"/>
      <c r="K258" s="299">
        <f>K259-SUM(K254:K257)</f>
        <v>-1.252</v>
      </c>
      <c r="L258" s="300"/>
      <c r="M258" s="300"/>
      <c r="N258" s="300"/>
      <c r="O258" s="300"/>
      <c r="P258" s="299">
        <f>P259-SUM(P254:P257)</f>
        <v>-0.86899999999999988</v>
      </c>
      <c r="Q258" s="300"/>
      <c r="R258" s="300"/>
      <c r="S258" s="300"/>
      <c r="T258" s="300"/>
      <c r="U258" s="299">
        <f>U259-SUM(U254:U257)</f>
        <v>6.0879999999999992</v>
      </c>
      <c r="V258" s="300"/>
      <c r="W258" s="300"/>
      <c r="X258" s="300"/>
      <c r="Y258" s="300"/>
      <c r="Z258" s="299">
        <f>Z259-SUM(Z254:Z257)</f>
        <v>4.21</v>
      </c>
      <c r="AA258" s="300"/>
      <c r="AB258" s="300"/>
      <c r="AC258" s="300"/>
      <c r="AD258" s="300"/>
      <c r="AE258" s="299">
        <f>AE259-SUM(AE254:AE257)</f>
        <v>-3.2170000000000001</v>
      </c>
      <c r="AF258" s="300"/>
      <c r="AG258" s="300"/>
      <c r="AH258" s="314"/>
      <c r="AI258" s="314"/>
      <c r="AJ258" s="299">
        <f>AJ259-SUM(AJ254:AJ257)</f>
        <v>-1.9690000000000083</v>
      </c>
      <c r="AK258" s="301">
        <f>AK259-SUM(AK254:AK257)</f>
        <v>-0.35000000000002274</v>
      </c>
      <c r="AL258" s="301">
        <f>AL259-SUM(AL254:AL257)</f>
        <v>-1.0189999999999748</v>
      </c>
      <c r="AM258" s="301">
        <f>AM259-SUM(AM254:AM257)</f>
        <v>-0.75000000000002842</v>
      </c>
      <c r="AN258" s="314"/>
      <c r="AO258" s="299">
        <f t="shared" ref="AO258:BB258" si="958">AO259-SUM(AO254:AO257)</f>
        <v>-6.0459999999999923</v>
      </c>
      <c r="AP258" s="301">
        <f t="shared" si="958"/>
        <v>0</v>
      </c>
      <c r="AQ258" s="301">
        <f t="shared" si="958"/>
        <v>-0.91800000000000015</v>
      </c>
      <c r="AR258" s="301">
        <f t="shared" si="958"/>
        <v>-3.2009999999999934</v>
      </c>
      <c r="AS258" s="301">
        <f t="shared" si="958"/>
        <v>4.1189999999999714</v>
      </c>
      <c r="AT258" s="299">
        <f t="shared" si="958"/>
        <v>0</v>
      </c>
      <c r="AU258" s="301">
        <f t="shared" si="958"/>
        <v>-1.1589999999999918</v>
      </c>
      <c r="AV258" s="301">
        <f t="shared" si="958"/>
        <v>-9.7470000000000141</v>
      </c>
      <c r="AW258" s="301">
        <f t="shared" si="958"/>
        <v>5.1649999999999636</v>
      </c>
      <c r="AX258" s="301">
        <f t="shared" si="958"/>
        <v>-4.0590000000000828</v>
      </c>
      <c r="AY258" s="366">
        <f t="shared" si="958"/>
        <v>-9.7999999999999545</v>
      </c>
      <c r="AZ258" s="366">
        <f t="shared" si="958"/>
        <v>2.3000000000000114</v>
      </c>
      <c r="BA258" s="301">
        <f t="shared" si="958"/>
        <v>-847.40000000000009</v>
      </c>
      <c r="BB258" s="301">
        <f t="shared" si="958"/>
        <v>397.79999999999995</v>
      </c>
      <c r="BC258" s="301">
        <f t="shared" ref="BC258:BJ258" si="959">BC259-SUM(BC254:BC257)</f>
        <v>-29.200000000000728</v>
      </c>
      <c r="BD258" s="2019">
        <f t="shared" si="959"/>
        <v>-473.70000000000027</v>
      </c>
      <c r="BE258" s="366">
        <f t="shared" si="959"/>
        <v>-0.69999999999998863</v>
      </c>
      <c r="BF258" s="301">
        <f t="shared" si="959"/>
        <v>2.9000000000000057</v>
      </c>
      <c r="BG258" s="301">
        <f t="shared" si="959"/>
        <v>-0.19999999999990337</v>
      </c>
      <c r="BH258" s="301">
        <f t="shared" ref="BH258" si="960">BH259-SUM(BH254:BH257)</f>
        <v>-1880.9</v>
      </c>
      <c r="BI258" s="2019">
        <f t="shared" si="959"/>
        <v>-1875.9999999999998</v>
      </c>
      <c r="BJ258" s="366">
        <f t="shared" si="959"/>
        <v>1.3999999999999844</v>
      </c>
      <c r="BK258" s="301">
        <f t="shared" ref="BK258:BM258" si="961">BK259-SUM(BK254:BK257)</f>
        <v>18.600000000000023</v>
      </c>
      <c r="BL258" s="301">
        <f t="shared" si="961"/>
        <v>250</v>
      </c>
      <c r="BM258" s="301">
        <f t="shared" si="961"/>
        <v>-1328.4</v>
      </c>
      <c r="BN258" s="2019">
        <f t="shared" ref="BN258" si="962">BN259-SUM(BN254:BN257)</f>
        <v>-1055.8000000000002</v>
      </c>
      <c r="BO258" s="2130">
        <v>0</v>
      </c>
      <c r="BP258" s="2130">
        <v>0</v>
      </c>
      <c r="BQ258" s="2130">
        <v>0</v>
      </c>
      <c r="BR258" s="2130">
        <v>0</v>
      </c>
      <c r="BS258" s="527">
        <f>+SUM(BO258:BR258)</f>
        <v>0</v>
      </c>
      <c r="BT258" s="301"/>
      <c r="BU258" s="301"/>
      <c r="BV258" s="301"/>
      <c r="BW258" s="301"/>
      <c r="BX258" s="313">
        <v>0</v>
      </c>
      <c r="BY258" s="301"/>
      <c r="BZ258" s="301"/>
      <c r="CA258" s="301"/>
      <c r="CB258" s="301"/>
      <c r="CC258" s="313">
        <v>0</v>
      </c>
      <c r="CD258" s="307"/>
      <c r="CE258" s="315"/>
      <c r="CF258" s="246"/>
      <c r="CG258" s="246"/>
      <c r="CH258" s="246"/>
      <c r="CI258" s="247"/>
      <c r="CJ258" s="279"/>
      <c r="CK258" s="2077"/>
      <c r="CL258" s="279"/>
      <c r="CM258" s="279"/>
      <c r="CN258" s="279"/>
      <c r="CO258" s="279"/>
      <c r="CP258" s="279"/>
      <c r="CQ258" s="316"/>
      <c r="CR258" s="304"/>
      <c r="CS258" s="316"/>
      <c r="CT258" s="316"/>
      <c r="CU258" s="316"/>
      <c r="CV258" s="316"/>
      <c r="CW258" s="316"/>
      <c r="CX258" s="316"/>
      <c r="CY258" s="317"/>
      <c r="CZ258"/>
      <c r="DA258"/>
      <c r="DB258"/>
      <c r="DC258"/>
      <c r="DD258"/>
      <c r="DE258"/>
      <c r="DF258" s="318"/>
      <c r="DG258" s="318"/>
      <c r="DH258" s="318"/>
      <c r="DI258" s="318"/>
      <c r="DJ258" s="318"/>
    </row>
    <row r="259" spans="1:114" s="250" customFormat="1" ht="12.75" customHeight="1">
      <c r="A259" s="309" t="s">
        <v>100</v>
      </c>
      <c r="B259" s="566"/>
      <c r="C259" s="311"/>
      <c r="D259" s="311"/>
      <c r="E259" s="311"/>
      <c r="F259" s="310">
        <v>-0.499</v>
      </c>
      <c r="G259" s="309"/>
      <c r="H259" s="309"/>
      <c r="I259" s="309"/>
      <c r="J259" s="309"/>
      <c r="K259" s="310">
        <v>-1.4279999999999999</v>
      </c>
      <c r="L259" s="309"/>
      <c r="M259" s="309"/>
      <c r="N259" s="309"/>
      <c r="O259" s="309"/>
      <c r="P259" s="310">
        <v>-1.0289999999999999</v>
      </c>
      <c r="Q259" s="309"/>
      <c r="R259" s="309"/>
      <c r="S259" s="309"/>
      <c r="T259" s="309"/>
      <c r="U259" s="310">
        <v>5.0389999999999997</v>
      </c>
      <c r="V259" s="309"/>
      <c r="W259" s="309"/>
      <c r="X259" s="309"/>
      <c r="Y259" s="309"/>
      <c r="Z259" s="310">
        <v>2.9609999999999999</v>
      </c>
      <c r="AA259" s="309"/>
      <c r="AB259" s="309"/>
      <c r="AC259" s="309"/>
      <c r="AD259" s="309"/>
      <c r="AE259" s="310">
        <v>-0.88200000000000001</v>
      </c>
      <c r="AF259" s="309"/>
      <c r="AG259" s="309"/>
      <c r="AH259" s="309"/>
      <c r="AI259" s="309"/>
      <c r="AJ259" s="310">
        <v>68.025999999999996</v>
      </c>
      <c r="AK259" s="309">
        <v>134.55099999999999</v>
      </c>
      <c r="AL259" s="309">
        <f>133.574-AK259</f>
        <v>-0.97699999999997544</v>
      </c>
      <c r="AM259" s="309">
        <f>250.862-SUM(AK259:AL259)</f>
        <v>117.28799999999998</v>
      </c>
      <c r="AN259" s="309"/>
      <c r="AO259" s="310">
        <v>267.22899999999998</v>
      </c>
      <c r="AP259" s="309">
        <v>-0.56999999999999995</v>
      </c>
      <c r="AQ259" s="309">
        <f>+-1.666-AP259</f>
        <v>-1.0960000000000001</v>
      </c>
      <c r="AR259" s="309">
        <f>235.187-SUM(AP259:AQ259)</f>
        <v>236.85300000000001</v>
      </c>
      <c r="AS259" s="309">
        <f>AT259-SUM(AP259:AR259)</f>
        <v>70.599999999999966</v>
      </c>
      <c r="AT259" s="310">
        <v>305.78699999999998</v>
      </c>
      <c r="AU259" s="309">
        <v>325.755</v>
      </c>
      <c r="AV259" s="309">
        <f>327.258-AU259</f>
        <v>1.5029999999999859</v>
      </c>
      <c r="AW259" s="309">
        <f>1506.752-SUM(AU259:AV259)</f>
        <v>1179.4939999999999</v>
      </c>
      <c r="AX259" s="309">
        <f>AY259-SUM(AU259:AW259)</f>
        <v>-4.5519999999999072</v>
      </c>
      <c r="AY259" s="592">
        <v>1502.2</v>
      </c>
      <c r="AZ259" s="592">
        <v>412.5</v>
      </c>
      <c r="BA259" s="309">
        <f>2189.7-AZ259</f>
        <v>1777.1999999999998</v>
      </c>
      <c r="BB259" s="309">
        <f>2302.2-BA259-AZ259</f>
        <v>112.5</v>
      </c>
      <c r="BC259" s="309">
        <f>BD259-SUM(AZ259:BB259)</f>
        <v>1342.7000000000003</v>
      </c>
      <c r="BD259" s="2018">
        <v>3644.9</v>
      </c>
      <c r="BE259" s="592">
        <v>75.8</v>
      </c>
      <c r="BF259" s="309">
        <f>-0.2-BE259</f>
        <v>-76</v>
      </c>
      <c r="BG259" s="309">
        <f>-83.3-BF259-BE259</f>
        <v>-83.1</v>
      </c>
      <c r="BH259" s="309">
        <f>BI259-SUM(BE259:BG259)</f>
        <v>-597.5</v>
      </c>
      <c r="BI259" s="310">
        <v>-680.8</v>
      </c>
      <c r="BJ259" s="592">
        <v>53.6</v>
      </c>
      <c r="BK259" s="309">
        <f>-98.5-BJ259</f>
        <v>-152.1</v>
      </c>
      <c r="BL259" s="309">
        <f>-103.5-BK259-BJ259</f>
        <v>-5.0000000000000071</v>
      </c>
      <c r="BM259" s="309">
        <f>BN259-SUM(BJ259:BL259)</f>
        <v>-262.89999999999998</v>
      </c>
      <c r="BN259" s="310">
        <v>-366.4</v>
      </c>
      <c r="BO259" s="309">
        <f t="shared" ref="BO259:BR259" si="963">BO254+BO255+BO257+BO258+BO256</f>
        <v>-100</v>
      </c>
      <c r="BP259" s="309">
        <f t="shared" si="963"/>
        <v>-100</v>
      </c>
      <c r="BQ259" s="309">
        <f t="shared" si="963"/>
        <v>-100</v>
      </c>
      <c r="BR259" s="309">
        <f t="shared" si="963"/>
        <v>-100</v>
      </c>
      <c r="BS259" s="310">
        <f>BS254+BS255+BS257+BS258+BS256</f>
        <v>-400</v>
      </c>
      <c r="BT259" s="309">
        <f t="shared" ref="BT259:CC259" si="964">BT254+BT255+BT257+BT258+BT256</f>
        <v>0</v>
      </c>
      <c r="BU259" s="309">
        <f t="shared" si="964"/>
        <v>0</v>
      </c>
      <c r="BV259" s="309">
        <f t="shared" si="964"/>
        <v>0</v>
      </c>
      <c r="BW259" s="309">
        <f t="shared" si="964"/>
        <v>0</v>
      </c>
      <c r="BX259" s="310">
        <f t="shared" si="964"/>
        <v>-1156.4354999999996</v>
      </c>
      <c r="BY259" s="309">
        <f t="shared" si="964"/>
        <v>0</v>
      </c>
      <c r="BZ259" s="309">
        <f t="shared" si="964"/>
        <v>0</v>
      </c>
      <c r="CA259" s="309">
        <f t="shared" si="964"/>
        <v>0</v>
      </c>
      <c r="CB259" s="309">
        <f t="shared" si="964"/>
        <v>0</v>
      </c>
      <c r="CC259" s="310">
        <f t="shared" si="964"/>
        <v>-1040.7919499999998</v>
      </c>
      <c r="CD259" s="279"/>
      <c r="CE259" s="280"/>
      <c r="CF259" s="246"/>
      <c r="CG259" s="246"/>
      <c r="CH259" s="246"/>
      <c r="CI259" s="247"/>
      <c r="CJ259" s="279"/>
      <c r="CK259" s="2077"/>
      <c r="CL259" s="279"/>
      <c r="CM259" s="279"/>
      <c r="CN259" s="279"/>
      <c r="CO259" s="279"/>
      <c r="CP259" s="279"/>
      <c r="CQ259" s="248"/>
      <c r="CR259" s="248"/>
      <c r="CS259" s="248"/>
      <c r="CT259" s="248"/>
      <c r="CU259" s="248"/>
      <c r="CV259" s="248"/>
      <c r="CW259" s="248"/>
      <c r="CX259" s="248"/>
      <c r="CY259" s="249"/>
      <c r="CZ259"/>
      <c r="DA259"/>
      <c r="DB259"/>
      <c r="DC259"/>
      <c r="DD259"/>
      <c r="DE259"/>
      <c r="DF259" s="4"/>
      <c r="DG259" s="4"/>
      <c r="DH259" s="4"/>
      <c r="DI259" s="4"/>
      <c r="DJ259" s="4"/>
    </row>
    <row r="260" spans="1:114" s="306" customFormat="1" ht="12.75" customHeight="1">
      <c r="A260" s="297" t="s">
        <v>26</v>
      </c>
      <c r="B260" s="366"/>
      <c r="C260" s="301"/>
      <c r="D260" s="301"/>
      <c r="E260" s="301"/>
      <c r="F260" s="299">
        <f>+F238+F253+F259</f>
        <v>-0.46800000000000008</v>
      </c>
      <c r="G260" s="301"/>
      <c r="H260" s="301"/>
      <c r="I260" s="301"/>
      <c r="J260" s="301"/>
      <c r="K260" s="299">
        <f>+K238+K253+K259</f>
        <v>-0.30699999999999994</v>
      </c>
      <c r="L260" s="301"/>
      <c r="M260" s="301"/>
      <c r="N260" s="301"/>
      <c r="O260" s="301"/>
      <c r="P260" s="299">
        <f>+P238+P253+P259</f>
        <v>0.72100000000000009</v>
      </c>
      <c r="Q260" s="301"/>
      <c r="R260" s="301"/>
      <c r="S260" s="301"/>
      <c r="T260" s="301"/>
      <c r="U260" s="299">
        <f>+U238+U253+U259</f>
        <v>0.30700000000000038</v>
      </c>
      <c r="V260" s="301"/>
      <c r="W260" s="301"/>
      <c r="X260" s="301"/>
      <c r="Y260" s="301"/>
      <c r="Z260" s="299">
        <f>+Z238+Z253+Z259</f>
        <v>-0.61200000000000054</v>
      </c>
      <c r="AA260" s="301"/>
      <c r="AB260" s="301"/>
      <c r="AC260" s="301"/>
      <c r="AD260" s="301"/>
      <c r="AE260" s="299">
        <f>+AE238+AE253+AE259</f>
        <v>6.600000000000017E-2</v>
      </c>
      <c r="AF260" s="301"/>
      <c r="AG260" s="301"/>
      <c r="AH260" s="301"/>
      <c r="AI260" s="301"/>
      <c r="AJ260" s="299">
        <f>+AJ238+AJ253+AJ259</f>
        <v>73.445999999999998</v>
      </c>
      <c r="AK260" s="301">
        <f>+AK238+AK253+AK259</f>
        <v>130.48899999999998</v>
      </c>
      <c r="AL260" s="301">
        <f>+AL238+AL253+AL259</f>
        <v>-13.783999999999976</v>
      </c>
      <c r="AM260" s="301"/>
      <c r="AN260" s="301"/>
      <c r="AO260" s="299">
        <f t="shared" ref="AO260:BB260" si="965">+AO238+AO253+AO259</f>
        <v>178.262</v>
      </c>
      <c r="AP260" s="301">
        <f t="shared" si="965"/>
        <v>-46.098999999999997</v>
      </c>
      <c r="AQ260" s="301">
        <f t="shared" si="965"/>
        <v>-28.039000000000001</v>
      </c>
      <c r="AR260" s="301">
        <f t="shared" si="965"/>
        <v>-110.89599999999996</v>
      </c>
      <c r="AS260" s="301">
        <f t="shared" si="965"/>
        <v>-45.73500000000007</v>
      </c>
      <c r="AT260" s="299">
        <f t="shared" si="965"/>
        <v>-230.76900000000006</v>
      </c>
      <c r="AU260" s="301">
        <f t="shared" si="965"/>
        <v>122.36199999999999</v>
      </c>
      <c r="AV260" s="301">
        <f t="shared" si="965"/>
        <v>-32.26600000000002</v>
      </c>
      <c r="AW260" s="301">
        <f t="shared" si="965"/>
        <v>568.48099999999999</v>
      </c>
      <c r="AX260" s="301">
        <f t="shared" si="965"/>
        <v>-35.976999999999855</v>
      </c>
      <c r="AY260" s="366">
        <f t="shared" si="965"/>
        <v>622.60000000000014</v>
      </c>
      <c r="AZ260" s="366">
        <f t="shared" si="965"/>
        <v>390.2</v>
      </c>
      <c r="BA260" s="301">
        <f t="shared" si="965"/>
        <v>141.09999999999968</v>
      </c>
      <c r="BB260" s="301">
        <f t="shared" si="965"/>
        <v>115.10000000000009</v>
      </c>
      <c r="BC260" s="301">
        <f t="shared" ref="BC260:BG260" si="966">+BC238+BC253+BC259</f>
        <v>-996.09999999999945</v>
      </c>
      <c r="BD260" s="2019">
        <f t="shared" si="966"/>
        <v>-349.69999999999982</v>
      </c>
      <c r="BE260" s="366">
        <f t="shared" si="966"/>
        <v>-14.5</v>
      </c>
      <c r="BF260" s="301">
        <f t="shared" si="966"/>
        <v>101.80000000000007</v>
      </c>
      <c r="BG260" s="301">
        <f t="shared" si="966"/>
        <v>-18.000000000000043</v>
      </c>
      <c r="BH260" s="301">
        <f t="shared" ref="BH260" si="967">+BH238+BH253+BH259</f>
        <v>17.299999999999955</v>
      </c>
      <c r="BI260" s="299">
        <f>+BI238+BI253+BI259</f>
        <v>86.600000000000023</v>
      </c>
      <c r="BJ260" s="366">
        <f t="shared" ref="BJ260:BM260" si="968">+BJ238+BJ253+BJ259</f>
        <v>-33.300000000000004</v>
      </c>
      <c r="BK260" s="301">
        <f t="shared" si="968"/>
        <v>-54</v>
      </c>
      <c r="BL260" s="301">
        <f t="shared" si="968"/>
        <v>178.20000000000005</v>
      </c>
      <c r="BM260" s="301">
        <f t="shared" si="968"/>
        <v>-83.399999999999977</v>
      </c>
      <c r="BN260" s="299">
        <f>+BN238+BN253+BN259</f>
        <v>7.5000000000000568</v>
      </c>
      <c r="BO260" s="301">
        <f t="shared" ref="BO260:BR260" si="969">+BO238+BO253+BO259</f>
        <v>-191.1260804686799</v>
      </c>
      <c r="BP260" s="301">
        <f t="shared" si="969"/>
        <v>165.16937986583366</v>
      </c>
      <c r="BQ260" s="301">
        <f t="shared" si="969"/>
        <v>165.90154603054566</v>
      </c>
      <c r="BR260" s="301">
        <f t="shared" si="969"/>
        <v>167.21338285651774</v>
      </c>
      <c r="BS260" s="299">
        <f>+BS238+BS253+BS259</f>
        <v>307.15822828421733</v>
      </c>
      <c r="BT260" s="301"/>
      <c r="BU260" s="301"/>
      <c r="BV260" s="301"/>
      <c r="BW260" s="301"/>
      <c r="BX260" s="299">
        <f>+BX238+BX253+BX259</f>
        <v>-334.55479635185566</v>
      </c>
      <c r="BY260" s="301"/>
      <c r="BZ260" s="301"/>
      <c r="CA260" s="301"/>
      <c r="CB260" s="301"/>
      <c r="CC260" s="299">
        <f>+CC238+CC253+CC259</f>
        <v>-124.27308065588204</v>
      </c>
      <c r="CD260" s="302"/>
      <c r="CE260" s="303"/>
      <c r="CF260" s="246"/>
      <c r="CG260" s="246"/>
      <c r="CH260" s="246"/>
      <c r="CI260" s="247"/>
      <c r="CJ260" s="279"/>
      <c r="CK260" s="2077"/>
      <c r="CL260" s="279"/>
      <c r="CM260" s="279"/>
      <c r="CN260" s="279"/>
      <c r="CO260" s="279"/>
      <c r="CP260" s="279"/>
      <c r="CQ260" s="304"/>
      <c r="CR260" s="304"/>
      <c r="CS260" s="304"/>
      <c r="CT260" s="304"/>
      <c r="CU260" s="304"/>
      <c r="CV260" s="304"/>
      <c r="CW260" s="304"/>
      <c r="CX260" s="304"/>
      <c r="CY260" s="305"/>
      <c r="CZ260"/>
      <c r="DA260"/>
      <c r="DB260"/>
      <c r="DC260"/>
      <c r="DD260"/>
      <c r="DE260"/>
      <c r="DF260" s="298"/>
      <c r="DG260" s="298"/>
      <c r="DH260" s="298"/>
      <c r="DI260" s="298"/>
      <c r="DJ260" s="298"/>
    </row>
    <row r="261" spans="1:114" s="319" customFormat="1" ht="12.75" customHeight="1">
      <c r="A261" s="297" t="s">
        <v>28</v>
      </c>
      <c r="B261" s="565"/>
      <c r="C261" s="300"/>
      <c r="D261" s="300"/>
      <c r="E261" s="300"/>
      <c r="F261" s="299">
        <v>0</v>
      </c>
      <c r="G261" s="300"/>
      <c r="H261" s="300"/>
      <c r="I261" s="300"/>
      <c r="J261" s="300"/>
      <c r="K261" s="299">
        <v>0</v>
      </c>
      <c r="L261" s="300"/>
      <c r="M261" s="300"/>
      <c r="N261" s="300"/>
      <c r="O261" s="300"/>
      <c r="P261" s="299">
        <v>0</v>
      </c>
      <c r="Q261" s="300"/>
      <c r="R261" s="300"/>
      <c r="S261" s="300"/>
      <c r="T261" s="300"/>
      <c r="U261" s="299">
        <v>0</v>
      </c>
      <c r="V261" s="300"/>
      <c r="W261" s="300"/>
      <c r="X261" s="300"/>
      <c r="Y261" s="300"/>
      <c r="Z261" s="299">
        <v>0</v>
      </c>
      <c r="AA261" s="300"/>
      <c r="AB261" s="300"/>
      <c r="AC261" s="300"/>
      <c r="AD261" s="300"/>
      <c r="AE261" s="299">
        <v>0</v>
      </c>
      <c r="AF261" s="300"/>
      <c r="AG261" s="300"/>
      <c r="AH261" s="314"/>
      <c r="AI261" s="322"/>
      <c r="AJ261" s="299">
        <v>0</v>
      </c>
      <c r="AK261" s="301"/>
      <c r="AL261" s="301"/>
      <c r="AM261" s="314"/>
      <c r="AN261" s="322"/>
      <c r="AO261" s="299">
        <v>0</v>
      </c>
      <c r="AP261" s="301"/>
      <c r="AQ261" s="301"/>
      <c r="AR261" s="314"/>
      <c r="AS261" s="301"/>
      <c r="AT261" s="299">
        <v>0</v>
      </c>
      <c r="AU261" s="301"/>
      <c r="AV261" s="301"/>
      <c r="AW261" s="314"/>
      <c r="AX261" s="301"/>
      <c r="AY261" s="366">
        <v>0</v>
      </c>
      <c r="AZ261" s="366">
        <v>0</v>
      </c>
      <c r="BA261" s="301">
        <v>0.4</v>
      </c>
      <c r="BB261" s="301">
        <f>+-5.2-BA261-AZ261</f>
        <v>-5.6000000000000005</v>
      </c>
      <c r="BC261" s="434">
        <f>BD261-SUM(AZ261:BB261)</f>
        <v>0.60000000000000053</v>
      </c>
      <c r="BD261" s="2019">
        <v>-4.5999999999999996</v>
      </c>
      <c r="BE261" s="366">
        <v>3.7</v>
      </c>
      <c r="BF261" s="301">
        <f>0.7-BE261</f>
        <v>-3</v>
      </c>
      <c r="BG261" s="301">
        <f>1.2-BF261-BE261</f>
        <v>0.5</v>
      </c>
      <c r="BH261" s="434">
        <f>BI261-SUM(BE261:BG261)</f>
        <v>-4.2</v>
      </c>
      <c r="BI261" s="527">
        <v>-3</v>
      </c>
      <c r="BJ261" s="366">
        <v>1.9</v>
      </c>
      <c r="BK261" s="301">
        <f>5.3-BJ261</f>
        <v>3.4</v>
      </c>
      <c r="BL261" s="301">
        <f>8.8-BK261-BJ261</f>
        <v>3.5000000000000004</v>
      </c>
      <c r="BM261" s="434">
        <f>BN261-SUM(BJ261:BL261)</f>
        <v>7.1999999999999993</v>
      </c>
      <c r="BN261" s="527">
        <v>16</v>
      </c>
      <c r="BO261" s="2130">
        <v>0</v>
      </c>
      <c r="BP261" s="2130">
        <v>0</v>
      </c>
      <c r="BQ261" s="2130">
        <v>0</v>
      </c>
      <c r="BR261" s="2130">
        <v>0</v>
      </c>
      <c r="BS261" s="527">
        <f>+SUM(BO261:BR261)</f>
        <v>0</v>
      </c>
      <c r="BT261" s="301"/>
      <c r="BU261" s="301"/>
      <c r="BV261" s="301"/>
      <c r="BW261" s="301"/>
      <c r="BX261" s="313">
        <v>0</v>
      </c>
      <c r="BY261" s="301"/>
      <c r="BZ261" s="301"/>
      <c r="CA261" s="301"/>
      <c r="CB261" s="301"/>
      <c r="CC261" s="313">
        <v>0</v>
      </c>
      <c r="CD261" s="307"/>
      <c r="CE261" s="315"/>
      <c r="CF261" s="246"/>
      <c r="CG261" s="246"/>
      <c r="CH261" s="246"/>
      <c r="CI261" s="247"/>
      <c r="CJ261" s="279"/>
      <c r="CK261" s="2077"/>
      <c r="CL261" s="279"/>
      <c r="CM261" s="279"/>
      <c r="CN261" s="279"/>
      <c r="CO261" s="279"/>
      <c r="CP261" s="279"/>
      <c r="CQ261" s="304"/>
      <c r="CR261" s="304"/>
      <c r="CS261" s="316"/>
      <c r="CT261" s="316"/>
      <c r="CU261" s="316"/>
      <c r="CV261" s="316"/>
      <c r="CW261" s="316"/>
      <c r="CX261" s="316"/>
      <c r="CY261" s="317"/>
      <c r="CZ261"/>
      <c r="DA261"/>
      <c r="DB261"/>
      <c r="DC261"/>
      <c r="DD261"/>
      <c r="DE261"/>
      <c r="DF261" s="318"/>
      <c r="DG261" s="318"/>
      <c r="DH261" s="318"/>
      <c r="DI261" s="318"/>
      <c r="DJ261" s="318"/>
    </row>
    <row r="262" spans="1:114" s="306" customFormat="1" ht="12.75" customHeight="1">
      <c r="A262" s="297" t="s">
        <v>27</v>
      </c>
      <c r="B262" s="366"/>
      <c r="C262" s="301"/>
      <c r="D262" s="301"/>
      <c r="E262" s="301"/>
      <c r="F262" s="313">
        <v>0.85399999999999998</v>
      </c>
      <c r="G262" s="301"/>
      <c r="H262" s="301"/>
      <c r="I262" s="301"/>
      <c r="J262" s="301"/>
      <c r="K262" s="299">
        <f>F263</f>
        <v>0.3859999999999999</v>
      </c>
      <c r="L262" s="301"/>
      <c r="M262" s="301"/>
      <c r="N262" s="301"/>
      <c r="O262" s="301"/>
      <c r="P262" s="299">
        <f>K263</f>
        <v>7.8999999999999959E-2</v>
      </c>
      <c r="Q262" s="301"/>
      <c r="R262" s="301"/>
      <c r="S262" s="301"/>
      <c r="T262" s="301"/>
      <c r="U262" s="299">
        <f>P263</f>
        <v>0.8</v>
      </c>
      <c r="V262" s="301"/>
      <c r="W262" s="301"/>
      <c r="X262" s="301"/>
      <c r="Y262" s="301"/>
      <c r="Z262" s="299">
        <f>U263</f>
        <v>1.1070000000000004</v>
      </c>
      <c r="AA262" s="301"/>
      <c r="AB262" s="301"/>
      <c r="AC262" s="301"/>
      <c r="AD262" s="301"/>
      <c r="AE262" s="299">
        <f>Z263</f>
        <v>0.49499999999999988</v>
      </c>
      <c r="AF262" s="301"/>
      <c r="AG262" s="301"/>
      <c r="AH262" s="301"/>
      <c r="AI262" s="301"/>
      <c r="AJ262" s="299">
        <f>AE263</f>
        <v>0.56100000000000005</v>
      </c>
      <c r="AK262" s="301"/>
      <c r="AL262" s="301"/>
      <c r="AM262" s="301"/>
      <c r="AN262" s="301"/>
      <c r="AO262" s="299">
        <f>AJ263</f>
        <v>74.007000000000005</v>
      </c>
      <c r="AP262" s="301"/>
      <c r="AQ262" s="301"/>
      <c r="AR262" s="301"/>
      <c r="AS262" s="301"/>
      <c r="AT262" s="299">
        <f>AO263</f>
        <v>252.26900000000001</v>
      </c>
      <c r="AU262" s="301"/>
      <c r="AV262" s="301"/>
      <c r="AW262" s="301"/>
      <c r="AX262" s="301"/>
      <c r="AY262" s="366">
        <f>AT263</f>
        <v>21.499999999999943</v>
      </c>
      <c r="AZ262" s="366">
        <f>+AY263</f>
        <v>644.10000000000014</v>
      </c>
      <c r="BA262" s="278">
        <f>+AZ263</f>
        <v>1034.3000000000002</v>
      </c>
      <c r="BB262" s="278">
        <f>+BA263</f>
        <v>1175.8</v>
      </c>
      <c r="BC262" s="278">
        <f>+BB263</f>
        <v>1285.3000000000002</v>
      </c>
      <c r="BD262" s="2019">
        <f>AY263</f>
        <v>644.10000000000014</v>
      </c>
      <c r="BE262" s="366">
        <f>+BD263</f>
        <v>289.8000000000003</v>
      </c>
      <c r="BF262" s="278">
        <f t="shared" ref="BF262:BG262" si="970">+BE263</f>
        <v>279.00000000000028</v>
      </c>
      <c r="BG262" s="301">
        <f t="shared" si="970"/>
        <v>377.80000000000035</v>
      </c>
      <c r="BH262" s="278">
        <f>+BG263</f>
        <v>360.3000000000003</v>
      </c>
      <c r="BI262" s="2019">
        <f>BD263</f>
        <v>289.8000000000003</v>
      </c>
      <c r="BJ262" s="366">
        <f t="shared" ref="BJ262" si="971">+BI263</f>
        <v>373.40000000000032</v>
      </c>
      <c r="BK262" s="301">
        <f t="shared" ref="BK262:BL262" si="972">+BJ263</f>
        <v>342.00000000000028</v>
      </c>
      <c r="BL262" s="301">
        <f t="shared" si="972"/>
        <v>291.40000000000026</v>
      </c>
      <c r="BM262" s="278">
        <f>+BL263</f>
        <v>473.10000000000031</v>
      </c>
      <c r="BN262" s="2019">
        <f>BI263</f>
        <v>373.40000000000032</v>
      </c>
      <c r="BO262" s="301">
        <f t="shared" ref="BO262" si="973">+BN263</f>
        <v>396.90000000000038</v>
      </c>
      <c r="BP262" s="301">
        <f t="shared" ref="BP262" si="974">+BO263</f>
        <v>205.77391953132047</v>
      </c>
      <c r="BQ262" s="301">
        <f t="shared" ref="BQ262" si="975">+BP263</f>
        <v>370.94329939715414</v>
      </c>
      <c r="BR262" s="301">
        <f t="shared" ref="BR262" si="976">+BQ263</f>
        <v>536.84484542769974</v>
      </c>
      <c r="BS262" s="299">
        <f>BN263</f>
        <v>396.90000000000038</v>
      </c>
      <c r="BT262" s="301"/>
      <c r="BU262" s="301"/>
      <c r="BV262" s="301"/>
      <c r="BW262" s="301"/>
      <c r="BX262" s="299">
        <f>BS263</f>
        <v>704.05822828421765</v>
      </c>
      <c r="BY262" s="301"/>
      <c r="BZ262" s="301"/>
      <c r="CA262" s="301"/>
      <c r="CB262" s="301"/>
      <c r="CC262" s="299">
        <f>BX263</f>
        <v>369.50343193236199</v>
      </c>
      <c r="CD262" s="302"/>
      <c r="CE262" s="303"/>
      <c r="CF262" s="246"/>
      <c r="CG262" s="246"/>
      <c r="CH262" s="246"/>
      <c r="CI262" s="247"/>
      <c r="CJ262" s="279"/>
      <c r="CK262" s="2077"/>
      <c r="CL262" s="279"/>
      <c r="CM262" s="279"/>
      <c r="CN262" s="279"/>
      <c r="CO262" s="279"/>
      <c r="CP262" s="279"/>
      <c r="CQ262" s="304"/>
      <c r="CR262" s="304"/>
      <c r="CS262" s="304"/>
      <c r="CT262" s="304"/>
      <c r="CU262" s="304"/>
      <c r="CV262" s="304"/>
      <c r="CW262" s="304"/>
      <c r="CX262" s="304"/>
      <c r="CY262" s="305"/>
      <c r="CZ262"/>
      <c r="DA262"/>
      <c r="DB262"/>
      <c r="DC262"/>
      <c r="DD262"/>
      <c r="DE262"/>
      <c r="DF262" s="298"/>
      <c r="DG262" s="298"/>
      <c r="DH262" s="298"/>
      <c r="DI262" s="298"/>
      <c r="DJ262" s="298"/>
    </row>
    <row r="263" spans="1:114" s="319" customFormat="1" ht="12.75" customHeight="1">
      <c r="A263" s="323" t="s">
        <v>29</v>
      </c>
      <c r="B263" s="369"/>
      <c r="C263" s="325"/>
      <c r="D263" s="325"/>
      <c r="E263" s="325"/>
      <c r="F263" s="324">
        <f>SUM(F261,F262,F260)</f>
        <v>0.3859999999999999</v>
      </c>
      <c r="G263" s="325"/>
      <c r="H263" s="325"/>
      <c r="I263" s="325"/>
      <c r="J263" s="325"/>
      <c r="K263" s="324">
        <f>SUM(K261,K262,K260)</f>
        <v>7.8999999999999959E-2</v>
      </c>
      <c r="L263" s="325"/>
      <c r="M263" s="325"/>
      <c r="N263" s="325"/>
      <c r="O263" s="325"/>
      <c r="P263" s="324">
        <f>SUM(P261,P262,P260)</f>
        <v>0.8</v>
      </c>
      <c r="Q263" s="325"/>
      <c r="R263" s="325"/>
      <c r="S263" s="325"/>
      <c r="T263" s="325"/>
      <c r="U263" s="324">
        <f>SUM(U261,U262,U260)</f>
        <v>1.1070000000000004</v>
      </c>
      <c r="V263" s="325"/>
      <c r="W263" s="325"/>
      <c r="X263" s="325"/>
      <c r="Y263" s="325"/>
      <c r="Z263" s="324">
        <f>SUM(Z261,Z262,Z260)</f>
        <v>0.49499999999999988</v>
      </c>
      <c r="AA263" s="325"/>
      <c r="AB263" s="325"/>
      <c r="AC263" s="325"/>
      <c r="AD263" s="325"/>
      <c r="AE263" s="324">
        <f>SUM(AE261,AE262,AE260)</f>
        <v>0.56100000000000005</v>
      </c>
      <c r="AF263" s="325"/>
      <c r="AG263" s="325"/>
      <c r="AH263" s="325"/>
      <c r="AI263" s="325"/>
      <c r="AJ263" s="324">
        <f>SUM(AJ261,AJ262,AJ260)</f>
        <v>74.007000000000005</v>
      </c>
      <c r="AK263" s="325"/>
      <c r="AL263" s="325"/>
      <c r="AM263" s="325"/>
      <c r="AN263" s="325"/>
      <c r="AO263" s="324">
        <f>SUM(AO261,AO262,AO260)</f>
        <v>252.26900000000001</v>
      </c>
      <c r="AP263" s="325"/>
      <c r="AQ263" s="325"/>
      <c r="AR263" s="325"/>
      <c r="AS263" s="325"/>
      <c r="AT263" s="324">
        <f>SUM(AT261,AT262,AT260)</f>
        <v>21.499999999999943</v>
      </c>
      <c r="AU263" s="325"/>
      <c r="AV263" s="325"/>
      <c r="AW263" s="325"/>
      <c r="AX263" s="325"/>
      <c r="AY263" s="369">
        <f t="shared" ref="AY263:BB263" si="977">SUM(AY261,AY262,AY260)</f>
        <v>644.10000000000014</v>
      </c>
      <c r="AZ263" s="369">
        <f t="shared" si="977"/>
        <v>1034.3000000000002</v>
      </c>
      <c r="BA263" s="11">
        <f t="shared" si="977"/>
        <v>1175.8</v>
      </c>
      <c r="BB263" s="11">
        <f t="shared" si="977"/>
        <v>1285.3000000000002</v>
      </c>
      <c r="BC263" s="11">
        <f t="shared" ref="BC263" si="978">SUM(BC261,BC262,BC260)</f>
        <v>289.80000000000064</v>
      </c>
      <c r="BD263" s="674">
        <f t="shared" ref="BD263:BE263" si="979">SUM(BD261,BD262,BD260)</f>
        <v>289.8000000000003</v>
      </c>
      <c r="BE263" s="369">
        <f t="shared" si="979"/>
        <v>279.00000000000028</v>
      </c>
      <c r="BF263" s="11">
        <f t="shared" ref="BF263:BH263" si="980">SUM(BF261,BF262,BF260)</f>
        <v>377.80000000000035</v>
      </c>
      <c r="BG263" s="325">
        <f t="shared" si="980"/>
        <v>360.3000000000003</v>
      </c>
      <c r="BH263" s="11">
        <f t="shared" si="980"/>
        <v>373.40000000000026</v>
      </c>
      <c r="BI263" s="324">
        <f>SUM(BI261,BI262,BI260)</f>
        <v>373.40000000000032</v>
      </c>
      <c r="BJ263" s="369">
        <f t="shared" ref="BJ263:BM263" si="981">SUM(BJ261,BJ262,BJ260)</f>
        <v>342.00000000000028</v>
      </c>
      <c r="BK263" s="325">
        <f t="shared" si="981"/>
        <v>291.40000000000026</v>
      </c>
      <c r="BL263" s="325">
        <f t="shared" si="981"/>
        <v>473.10000000000031</v>
      </c>
      <c r="BM263" s="11">
        <f t="shared" si="981"/>
        <v>396.90000000000032</v>
      </c>
      <c r="BN263" s="324">
        <f>SUM(BN261,BN262,BN260)</f>
        <v>396.90000000000038</v>
      </c>
      <c r="BO263" s="325">
        <f t="shared" ref="BO263:BR263" si="982">SUM(BO261,BO262,BO260)</f>
        <v>205.77391953132047</v>
      </c>
      <c r="BP263" s="325">
        <f t="shared" si="982"/>
        <v>370.94329939715414</v>
      </c>
      <c r="BQ263" s="325">
        <f t="shared" si="982"/>
        <v>536.84484542769974</v>
      </c>
      <c r="BR263" s="325">
        <f t="shared" si="982"/>
        <v>704.05822828421742</v>
      </c>
      <c r="BS263" s="324">
        <f>SUM(BS261,BS262,BS260)</f>
        <v>704.05822828421765</v>
      </c>
      <c r="BT263" s="325"/>
      <c r="BU263" s="325"/>
      <c r="BV263" s="325"/>
      <c r="BW263" s="325"/>
      <c r="BX263" s="324">
        <f>SUM(BX261,BX262,BX260)</f>
        <v>369.50343193236199</v>
      </c>
      <c r="BY263" s="325"/>
      <c r="BZ263" s="325"/>
      <c r="CA263" s="325"/>
      <c r="CB263" s="325"/>
      <c r="CC263" s="324">
        <f>SUM(CC261,CC262,CC260)</f>
        <v>245.23035127647995</v>
      </c>
      <c r="CD263" s="326"/>
      <c r="CE263" s="327"/>
      <c r="CF263" s="246"/>
      <c r="CG263" s="246"/>
      <c r="CH263" s="246"/>
      <c r="CI263" s="247"/>
      <c r="CJ263" s="279"/>
      <c r="CK263" s="2077"/>
      <c r="CL263" s="279"/>
      <c r="CM263" s="279"/>
      <c r="CN263" s="279"/>
      <c r="CO263" s="279"/>
      <c r="CP263" s="279"/>
      <c r="CQ263" s="304"/>
      <c r="CR263" s="304"/>
      <c r="CS263" s="316"/>
      <c r="CT263" s="316"/>
      <c r="CU263" s="316"/>
      <c r="CV263" s="316"/>
      <c r="CW263" s="316"/>
      <c r="CX263" s="316"/>
      <c r="CY263" s="317"/>
      <c r="CZ263"/>
      <c r="DA263"/>
      <c r="DB263"/>
      <c r="DC263"/>
      <c r="DD263"/>
      <c r="DE263"/>
      <c r="DF263" s="318"/>
      <c r="DG263" s="318"/>
      <c r="DH263" s="318"/>
      <c r="DI263" s="318"/>
      <c r="DJ263" s="318"/>
    </row>
    <row r="264" spans="1:114" s="319" customFormat="1" ht="12.75" customHeight="1">
      <c r="A264" s="323"/>
      <c r="B264" s="369"/>
      <c r="C264" s="325"/>
      <c r="D264" s="325"/>
      <c r="E264" s="325"/>
      <c r="F264" s="324"/>
      <c r="G264" s="325"/>
      <c r="H264" s="325"/>
      <c r="I264" s="325"/>
      <c r="J264" s="325"/>
      <c r="K264" s="324"/>
      <c r="L264" s="325"/>
      <c r="M264" s="325"/>
      <c r="N264" s="325"/>
      <c r="O264" s="325"/>
      <c r="P264" s="324"/>
      <c r="Q264" s="325"/>
      <c r="R264" s="325"/>
      <c r="S264" s="325"/>
      <c r="T264" s="325"/>
      <c r="U264" s="324"/>
      <c r="V264" s="325"/>
      <c r="W264" s="325"/>
      <c r="X264" s="325"/>
      <c r="Y264" s="325"/>
      <c r="Z264" s="324"/>
      <c r="AA264" s="325"/>
      <c r="AB264" s="325"/>
      <c r="AC264" s="325"/>
      <c r="AD264" s="325"/>
      <c r="AE264" s="324"/>
      <c r="AF264" s="325"/>
      <c r="AG264" s="325"/>
      <c r="AH264" s="325"/>
      <c r="AI264" s="325"/>
      <c r="AJ264" s="324"/>
      <c r="AK264" s="325"/>
      <c r="AL264" s="325"/>
      <c r="AM264" s="325"/>
      <c r="AN264" s="325"/>
      <c r="AO264" s="324"/>
      <c r="AP264" s="325"/>
      <c r="AQ264" s="325"/>
      <c r="AR264" s="325"/>
      <c r="AS264" s="325"/>
      <c r="AT264" s="324"/>
      <c r="AU264" s="325"/>
      <c r="AV264" s="325"/>
      <c r="AW264" s="325"/>
      <c r="AX264" s="325"/>
      <c r="AY264" s="369"/>
      <c r="AZ264" s="369"/>
      <c r="BA264" s="11"/>
      <c r="BB264" s="325"/>
      <c r="BC264" s="325"/>
      <c r="BD264" s="674"/>
      <c r="BE264" s="369"/>
      <c r="BF264" s="325"/>
      <c r="BG264" s="325"/>
      <c r="BH264" s="325"/>
      <c r="BI264" s="324"/>
      <c r="BJ264" s="325"/>
      <c r="BK264" s="325"/>
      <c r="BL264" s="325"/>
      <c r="BM264" s="325"/>
      <c r="BN264" s="324"/>
      <c r="BO264" s="325"/>
      <c r="BP264" s="325"/>
      <c r="BQ264" s="325"/>
      <c r="BR264" s="325"/>
      <c r="BS264" s="324"/>
      <c r="BT264" s="325"/>
      <c r="BU264" s="325"/>
      <c r="BV264" s="325"/>
      <c r="BW264" s="325"/>
      <c r="BX264" s="324"/>
      <c r="BY264" s="325"/>
      <c r="BZ264" s="325"/>
      <c r="CA264" s="325"/>
      <c r="CB264" s="325"/>
      <c r="CC264" s="324"/>
      <c r="CD264" s="326"/>
      <c r="CE264" s="327"/>
      <c r="CF264" s="246"/>
      <c r="CG264" s="246"/>
      <c r="CH264" s="246"/>
      <c r="CI264" s="247"/>
      <c r="CJ264" s="279"/>
      <c r="CK264" s="2077"/>
      <c r="CL264" s="279"/>
      <c r="CM264" s="279"/>
      <c r="CN264" s="279"/>
      <c r="CO264" s="279"/>
      <c r="CP264" s="279"/>
      <c r="CQ264" s="304"/>
      <c r="CR264" s="304"/>
      <c r="CS264" s="316"/>
      <c r="CT264" s="316"/>
      <c r="CU264" s="316"/>
      <c r="CV264" s="316"/>
      <c r="CW264" s="316"/>
      <c r="CX264" s="316"/>
      <c r="CY264" s="317"/>
      <c r="CZ264"/>
      <c r="DA264"/>
      <c r="DB264"/>
      <c r="DC264"/>
      <c r="DD264"/>
      <c r="DE264"/>
      <c r="DF264" s="318"/>
      <c r="DG264" s="318"/>
      <c r="DH264" s="318"/>
      <c r="DI264" s="318"/>
      <c r="DJ264" s="318"/>
    </row>
    <row r="265" spans="1:114" s="220" customFormat="1" ht="12.75" customHeight="1">
      <c r="A265" s="214" t="s">
        <v>97</v>
      </c>
      <c r="B265" s="540"/>
      <c r="C265" s="215"/>
      <c r="D265" s="215"/>
      <c r="E265" s="215"/>
      <c r="F265" s="216"/>
      <c r="G265" s="215"/>
      <c r="H265" s="215"/>
      <c r="I265" s="215"/>
      <c r="J265" s="215"/>
      <c r="K265" s="216"/>
      <c r="L265" s="215"/>
      <c r="M265" s="215"/>
      <c r="N265" s="215"/>
      <c r="O265" s="215"/>
      <c r="P265" s="216"/>
      <c r="Q265" s="215"/>
      <c r="R265" s="215"/>
      <c r="S265" s="215"/>
      <c r="T265" s="215"/>
      <c r="U265" s="216"/>
      <c r="V265" s="215"/>
      <c r="W265" s="215"/>
      <c r="X265" s="215"/>
      <c r="Y265" s="215"/>
      <c r="Z265" s="216"/>
      <c r="AA265" s="215"/>
      <c r="AB265" s="215"/>
      <c r="AC265" s="215"/>
      <c r="AD265" s="215"/>
      <c r="AE265" s="216"/>
      <c r="AF265" s="215"/>
      <c r="AG265" s="215"/>
      <c r="AH265" s="215"/>
      <c r="AI265" s="215"/>
      <c r="AJ265" s="216"/>
      <c r="AK265" s="215"/>
      <c r="AL265" s="215"/>
      <c r="AM265" s="215"/>
      <c r="AN265" s="215"/>
      <c r="AO265" s="216"/>
      <c r="AP265" s="215"/>
      <c r="AQ265" s="215"/>
      <c r="AR265" s="215"/>
      <c r="AS265" s="215"/>
      <c r="AT265" s="469"/>
      <c r="AU265" s="215"/>
      <c r="AV265" s="215"/>
      <c r="AW265" s="215"/>
      <c r="AX265" s="215"/>
      <c r="AY265" s="596"/>
      <c r="AZ265" s="540"/>
      <c r="BA265" s="215"/>
      <c r="BB265" s="215"/>
      <c r="BC265" s="215"/>
      <c r="BD265" s="1933"/>
      <c r="BE265" s="540"/>
      <c r="BF265" s="215"/>
      <c r="BG265" s="215"/>
      <c r="BH265" s="215"/>
      <c r="BI265" s="216"/>
      <c r="BJ265" s="215"/>
      <c r="BK265" s="215"/>
      <c r="BL265" s="215"/>
      <c r="BM265" s="215"/>
      <c r="BN265" s="216"/>
      <c r="BO265" s="215"/>
      <c r="BP265" s="215"/>
      <c r="BQ265" s="215"/>
      <c r="BR265" s="215"/>
      <c r="BS265" s="216"/>
      <c r="BT265" s="215"/>
      <c r="BU265" s="215"/>
      <c r="BV265" s="215"/>
      <c r="BW265" s="215"/>
      <c r="BX265" s="216"/>
      <c r="BY265" s="215"/>
      <c r="BZ265" s="215"/>
      <c r="CA265" s="215"/>
      <c r="CB265" s="215"/>
      <c r="CC265" s="216"/>
      <c r="CD265" s="217"/>
      <c r="CE265" s="215"/>
      <c r="CF265" s="173"/>
      <c r="CG265" s="173"/>
      <c r="CH265" s="173"/>
      <c r="CI265" s="239"/>
      <c r="CJ265" s="177"/>
      <c r="CK265" s="2070"/>
      <c r="CL265" s="177"/>
      <c r="CM265" s="177"/>
      <c r="CN265" s="177"/>
      <c r="CO265" s="177"/>
      <c r="CP265" s="177"/>
      <c r="CQ265" s="481"/>
      <c r="CR265" s="481"/>
      <c r="CS265" s="236"/>
      <c r="CT265" s="236"/>
      <c r="CU265" s="236"/>
      <c r="CV265" s="236"/>
      <c r="CW265" s="236"/>
      <c r="CX265" s="236"/>
      <c r="CY265" s="215"/>
      <c r="CZ265"/>
      <c r="DA265"/>
      <c r="DB265"/>
      <c r="DC265"/>
      <c r="DD265"/>
      <c r="DE265"/>
      <c r="DF265" s="219"/>
      <c r="DG265" s="219"/>
      <c r="DH265" s="219"/>
      <c r="DI265" s="219"/>
      <c r="DJ265" s="219"/>
    </row>
    <row r="266" spans="1:114" s="177" customFormat="1" ht="12.75" customHeight="1">
      <c r="A266" s="57" t="s">
        <v>79</v>
      </c>
      <c r="B266" s="371"/>
      <c r="C266" s="51"/>
      <c r="D266" s="51"/>
      <c r="E266" s="51"/>
      <c r="F266" s="63"/>
      <c r="G266" s="51"/>
      <c r="H266" s="51"/>
      <c r="I266" s="51"/>
      <c r="J266" s="51"/>
      <c r="K266" s="63"/>
      <c r="L266" s="51"/>
      <c r="M266" s="51"/>
      <c r="N266" s="51"/>
      <c r="O266" s="51"/>
      <c r="P266" s="63"/>
      <c r="Q266" s="51"/>
      <c r="R266" s="51"/>
      <c r="S266" s="51"/>
      <c r="T266" s="51"/>
      <c r="U266" s="63"/>
      <c r="V266" s="51"/>
      <c r="W266" s="51"/>
      <c r="X266" s="51"/>
      <c r="Y266" s="51"/>
      <c r="Z266" s="63"/>
      <c r="AA266" s="51"/>
      <c r="AB266" s="51"/>
      <c r="AC266" s="51"/>
      <c r="AD266" s="51"/>
      <c r="AE266" s="63"/>
      <c r="AF266" s="51"/>
      <c r="AG266" s="51"/>
      <c r="AH266" s="149"/>
      <c r="AI266" s="51"/>
      <c r="AJ266" s="63"/>
      <c r="AK266" s="51"/>
      <c r="AL266" s="51"/>
      <c r="AM266" s="149"/>
      <c r="AN266" s="51"/>
      <c r="AO266" s="63"/>
      <c r="AP266" s="51"/>
      <c r="AQ266" s="51"/>
      <c r="AR266" s="149"/>
      <c r="AS266" s="51"/>
      <c r="AT266" s="63"/>
      <c r="AU266" s="51"/>
      <c r="AV266" s="51"/>
      <c r="AW266" s="149"/>
      <c r="AX266" s="51"/>
      <c r="AY266" s="371"/>
      <c r="AZ266" s="371"/>
      <c r="BA266" s="51"/>
      <c r="BB266" s="51"/>
      <c r="BC266" s="51"/>
      <c r="BD266" s="1972"/>
      <c r="BE266" s="371"/>
      <c r="BF266" s="51"/>
      <c r="BG266" s="51"/>
      <c r="BH266" s="51"/>
      <c r="BI266" s="63"/>
      <c r="BJ266" s="51"/>
      <c r="BK266" s="51"/>
      <c r="BL266" s="51"/>
      <c r="BM266" s="51"/>
      <c r="BN266" s="63"/>
      <c r="BO266" s="51"/>
      <c r="BP266" s="51"/>
      <c r="BQ266" s="51"/>
      <c r="BR266" s="51"/>
      <c r="BS266" s="63"/>
      <c r="BT266" s="51"/>
      <c r="BU266" s="51"/>
      <c r="BV266" s="51"/>
      <c r="BW266" s="51"/>
      <c r="BX266" s="63"/>
      <c r="BY266" s="51"/>
      <c r="BZ266" s="51"/>
      <c r="CA266" s="51"/>
      <c r="CB266" s="51"/>
      <c r="CC266" s="63"/>
      <c r="CE266" s="110"/>
      <c r="CF266" s="173"/>
      <c r="CG266" s="173"/>
      <c r="CH266" s="173"/>
      <c r="CI266" s="239"/>
      <c r="CK266" s="2070"/>
      <c r="CQ266" s="511"/>
      <c r="CR266" s="456"/>
      <c r="CS266" s="51"/>
      <c r="CT266" s="51"/>
      <c r="CU266" s="51"/>
      <c r="CV266" s="51"/>
      <c r="CW266" s="51"/>
      <c r="CX266" s="51"/>
      <c r="CY266" s="110"/>
      <c r="CZ266"/>
      <c r="DA266"/>
      <c r="DB266"/>
      <c r="DC266"/>
      <c r="DD266"/>
      <c r="DE266"/>
      <c r="DF266" s="103"/>
      <c r="DG266" s="103"/>
      <c r="DH266" s="103"/>
      <c r="DI266" s="103"/>
      <c r="DJ266" s="103"/>
    </row>
    <row r="267" spans="1:114" s="250" customFormat="1" ht="12.75" customHeight="1">
      <c r="A267" s="297" t="s">
        <v>30</v>
      </c>
      <c r="B267" s="366"/>
      <c r="C267" s="301"/>
      <c r="D267" s="301"/>
      <c r="E267" s="301"/>
      <c r="F267" s="299">
        <f>F263</f>
        <v>0.3859999999999999</v>
      </c>
      <c r="G267" s="301"/>
      <c r="H267" s="301"/>
      <c r="I267" s="301"/>
      <c r="J267" s="301"/>
      <c r="K267" s="299">
        <f>K263</f>
        <v>7.8999999999999959E-2</v>
      </c>
      <c r="L267" s="301"/>
      <c r="M267" s="301"/>
      <c r="N267" s="301"/>
      <c r="O267" s="301"/>
      <c r="P267" s="299">
        <f>P263</f>
        <v>0.8</v>
      </c>
      <c r="Q267" s="301"/>
      <c r="R267" s="301"/>
      <c r="S267" s="301"/>
      <c r="T267" s="301"/>
      <c r="U267" s="299">
        <f>U263</f>
        <v>1.1070000000000004</v>
      </c>
      <c r="V267" s="301"/>
      <c r="W267" s="301"/>
      <c r="X267" s="301"/>
      <c r="Y267" s="301"/>
      <c r="Z267" s="299">
        <f>Z263</f>
        <v>0.49499999999999988</v>
      </c>
      <c r="AA267" s="301"/>
      <c r="AB267" s="301"/>
      <c r="AC267" s="301"/>
      <c r="AD267" s="301"/>
      <c r="AE267" s="299">
        <f>AE263</f>
        <v>0.56100000000000005</v>
      </c>
      <c r="AF267" s="301"/>
      <c r="AG267" s="301"/>
      <c r="AH267" s="301"/>
      <c r="AI267" s="301"/>
      <c r="AJ267" s="299">
        <f>AJ263</f>
        <v>74.007000000000005</v>
      </c>
      <c r="AK267" s="366">
        <v>204.49600000000001</v>
      </c>
      <c r="AL267" s="278">
        <v>190.71199999999999</v>
      </c>
      <c r="AM267" s="301">
        <v>296.50299999999999</v>
      </c>
      <c r="AN267" s="301">
        <f>+AO267</f>
        <v>252.26900000000001</v>
      </c>
      <c r="AO267" s="299">
        <f>AO263</f>
        <v>252.26900000000001</v>
      </c>
      <c r="AP267" s="437">
        <v>206.18199999999999</v>
      </c>
      <c r="AQ267" s="301">
        <v>178.155</v>
      </c>
      <c r="AR267" s="301">
        <v>67.259</v>
      </c>
      <c r="AS267" s="301">
        <f>+AT267</f>
        <v>21.499999999999943</v>
      </c>
      <c r="AT267" s="299">
        <f>AT263</f>
        <v>21.499999999999943</v>
      </c>
      <c r="AU267" s="437">
        <v>143.886</v>
      </c>
      <c r="AV267" s="301">
        <v>111.62</v>
      </c>
      <c r="AW267" s="301">
        <v>680.101</v>
      </c>
      <c r="AX267" s="301">
        <f>+AY267</f>
        <v>644.10000000000014</v>
      </c>
      <c r="AY267" s="366">
        <f>AY263</f>
        <v>644.10000000000014</v>
      </c>
      <c r="AZ267" s="366">
        <f>+AZ263</f>
        <v>1034.3000000000002</v>
      </c>
      <c r="BA267" s="278">
        <f>+BA263</f>
        <v>1175.8</v>
      </c>
      <c r="BB267" s="301">
        <f>+BB263</f>
        <v>1285.3000000000002</v>
      </c>
      <c r="BC267" s="301">
        <f>+BD267</f>
        <v>289.8000000000003</v>
      </c>
      <c r="BD267" s="2019">
        <f>BD263</f>
        <v>289.8000000000003</v>
      </c>
      <c r="BE267" s="366">
        <f>+BE263</f>
        <v>279.00000000000028</v>
      </c>
      <c r="BF267" s="278">
        <f t="shared" ref="BF267:BG267" si="983">+BF263</f>
        <v>377.80000000000035</v>
      </c>
      <c r="BG267" s="278">
        <f t="shared" si="983"/>
        <v>360.3000000000003</v>
      </c>
      <c r="BH267" s="301">
        <f>+BI267</f>
        <v>373.40000000000032</v>
      </c>
      <c r="BI267" s="2019">
        <f>BI263</f>
        <v>373.40000000000032</v>
      </c>
      <c r="BJ267" s="366">
        <f>+BJ263</f>
        <v>342.00000000000028</v>
      </c>
      <c r="BK267" s="278">
        <f t="shared" ref="BK267" si="984">+BK263</f>
        <v>291.40000000000026</v>
      </c>
      <c r="BL267" s="278">
        <f t="shared" ref="BL267" si="985">+BL263</f>
        <v>473.10000000000031</v>
      </c>
      <c r="BM267" s="301">
        <f>+BN267</f>
        <v>396.90000000000038</v>
      </c>
      <c r="BN267" s="2019">
        <f>BN263</f>
        <v>396.90000000000038</v>
      </c>
      <c r="BO267" s="434">
        <f t="shared" ref="BO267:BR267" si="986">+BO263</f>
        <v>205.77391953132047</v>
      </c>
      <c r="BP267" s="434">
        <f t="shared" si="986"/>
        <v>370.94329939715414</v>
      </c>
      <c r="BQ267" s="434">
        <f t="shared" si="986"/>
        <v>536.84484542769974</v>
      </c>
      <c r="BR267" s="434">
        <f t="shared" si="986"/>
        <v>704.05822828421742</v>
      </c>
      <c r="BS267" s="489">
        <f>+BR267</f>
        <v>704.05822828421742</v>
      </c>
      <c r="BT267" s="434"/>
      <c r="BU267" s="434"/>
      <c r="BV267" s="434"/>
      <c r="BW267" s="434"/>
      <c r="BX267" s="489">
        <f>BX263</f>
        <v>369.50343193236199</v>
      </c>
      <c r="BY267" s="434"/>
      <c r="BZ267" s="434"/>
      <c r="CA267" s="434"/>
      <c r="CB267" s="434"/>
      <c r="CC267" s="489">
        <f>CC263</f>
        <v>245.23035127647995</v>
      </c>
      <c r="CD267" s="302"/>
      <c r="CE267" s="303"/>
      <c r="CF267" s="246"/>
      <c r="CG267" s="246"/>
      <c r="CH267" s="246"/>
      <c r="CI267" s="247"/>
      <c r="CJ267" s="279"/>
      <c r="CK267" s="2077"/>
      <c r="CL267" s="279"/>
      <c r="CM267" s="279"/>
      <c r="CN267" s="279"/>
      <c r="CO267" s="279"/>
      <c r="CP267" s="279"/>
      <c r="CQ267" s="17" t="s">
        <v>569</v>
      </c>
      <c r="CR267" s="248"/>
      <c r="CS267" s="248"/>
      <c r="CT267" s="248"/>
      <c r="CU267" s="248"/>
      <c r="CV267" s="248"/>
      <c r="CW267" s="248"/>
      <c r="CX267" s="248"/>
      <c r="CY267" s="249"/>
      <c r="CZ267"/>
      <c r="DA267"/>
      <c r="DB267"/>
      <c r="DC267"/>
      <c r="DD267"/>
      <c r="DE267"/>
      <c r="DF267" s="4"/>
      <c r="DG267" s="4"/>
      <c r="DH267" s="4"/>
      <c r="DI267" s="4"/>
      <c r="DJ267" s="4"/>
    </row>
    <row r="268" spans="1:114" s="250" customFormat="1" ht="12.75" customHeight="1">
      <c r="A268" s="297" t="s">
        <v>65</v>
      </c>
      <c r="B268" s="370"/>
      <c r="C268" s="328"/>
      <c r="D268" s="328"/>
      <c r="E268" s="328"/>
      <c r="F268" s="299">
        <v>4.4340000000000002</v>
      </c>
      <c r="G268" s="328"/>
      <c r="H268" s="328"/>
      <c r="I268" s="328"/>
      <c r="J268" s="328"/>
      <c r="K268" s="299">
        <v>5.3540000000000001</v>
      </c>
      <c r="L268" s="328"/>
      <c r="M268" s="328"/>
      <c r="N268" s="328"/>
      <c r="O268" s="328"/>
      <c r="P268" s="299">
        <v>5.6630000000000003</v>
      </c>
      <c r="Q268" s="328"/>
      <c r="R268" s="328"/>
      <c r="S268" s="328"/>
      <c r="T268" s="328"/>
      <c r="U268" s="299">
        <v>12.202</v>
      </c>
      <c r="V268" s="328"/>
      <c r="W268" s="328"/>
      <c r="X268" s="328"/>
      <c r="Y268" s="328"/>
      <c r="Z268" s="299">
        <v>17.568999999999999</v>
      </c>
      <c r="AA268" s="328"/>
      <c r="AB268" s="328"/>
      <c r="AC268" s="328"/>
      <c r="AD268" s="328"/>
      <c r="AE268" s="299">
        <v>24.271999999999998</v>
      </c>
      <c r="AF268" s="328"/>
      <c r="AG268" s="328"/>
      <c r="AH268" s="328"/>
      <c r="AI268" s="329"/>
      <c r="AJ268" s="299">
        <v>22.425000000000001</v>
      </c>
      <c r="AK268" s="366">
        <v>24.35</v>
      </c>
      <c r="AL268" s="278">
        <v>30.834</v>
      </c>
      <c r="AM268" s="328">
        <v>42.881</v>
      </c>
      <c r="AN268" s="301">
        <f>+AO268</f>
        <v>61.244999999999997</v>
      </c>
      <c r="AO268" s="299">
        <v>61.244999999999997</v>
      </c>
      <c r="AP268" s="437">
        <v>73.454999999999998</v>
      </c>
      <c r="AQ268" s="301">
        <v>89.74</v>
      </c>
      <c r="AR268" s="328">
        <v>123.08199999999999</v>
      </c>
      <c r="AS268" s="301">
        <f>+AT268</f>
        <v>134.227</v>
      </c>
      <c r="AT268" s="299">
        <v>134.227</v>
      </c>
      <c r="AU268" s="437">
        <v>342.75200000000001</v>
      </c>
      <c r="AV268" s="301">
        <v>342.18200000000002</v>
      </c>
      <c r="AW268" s="328">
        <v>475.32299999999998</v>
      </c>
      <c r="AX268" s="301">
        <f>+AY268</f>
        <v>543.79999999999995</v>
      </c>
      <c r="AY268" s="366">
        <v>543.79999999999995</v>
      </c>
      <c r="AZ268" s="366">
        <v>504.7</v>
      </c>
      <c r="BA268" s="301">
        <v>1673.2</v>
      </c>
      <c r="BB268" s="301">
        <v>1647.2</v>
      </c>
      <c r="BC268" s="301">
        <f>+BD268</f>
        <v>2266.4</v>
      </c>
      <c r="BD268" s="2019">
        <v>2266.4</v>
      </c>
      <c r="BE268" s="366">
        <v>2265.1</v>
      </c>
      <c r="BF268" s="301">
        <v>2266.4</v>
      </c>
      <c r="BG268" s="301">
        <v>2338.4</v>
      </c>
      <c r="BH268" s="301">
        <f>+BI268</f>
        <v>2313.3000000000002</v>
      </c>
      <c r="BI268" s="299">
        <v>2313.3000000000002</v>
      </c>
      <c r="BJ268" s="366">
        <v>2338</v>
      </c>
      <c r="BK268" s="301">
        <v>2481.9</v>
      </c>
      <c r="BL268" s="301">
        <v>2601</v>
      </c>
      <c r="BM268" s="301">
        <f>+BN268</f>
        <v>2725.3</v>
      </c>
      <c r="BN268" s="299">
        <v>2725.3</v>
      </c>
      <c r="BO268" s="2143">
        <f>+BM268+50</f>
        <v>2775.3</v>
      </c>
      <c r="BP268" s="2143">
        <f>+BO268+120</f>
        <v>2895.3</v>
      </c>
      <c r="BQ268" s="2143">
        <f>+BP268-50</f>
        <v>2845.3</v>
      </c>
      <c r="BR268" s="2143">
        <f>+BQ268+40</f>
        <v>2885.3</v>
      </c>
      <c r="BS268" s="299">
        <f>+BR268</f>
        <v>2885.3</v>
      </c>
      <c r="BT268" s="301"/>
      <c r="BU268" s="301"/>
      <c r="BV268" s="301"/>
      <c r="BW268" s="301"/>
      <c r="BX268" s="299">
        <f>(BX182/360)*BX269</f>
        <v>3068.036095243493</v>
      </c>
      <c r="BY268" s="301"/>
      <c r="BZ268" s="301"/>
      <c r="CA268" s="301"/>
      <c r="CB268" s="301"/>
      <c r="CC268" s="299">
        <f>(CC182/360)*CC269</f>
        <v>3270.2991919752876</v>
      </c>
      <c r="CD268" s="302"/>
      <c r="CE268" s="303"/>
      <c r="CF268" s="246"/>
      <c r="CG268" s="246"/>
      <c r="CH268" s="246"/>
      <c r="CI268" s="247"/>
      <c r="CJ268" s="279"/>
      <c r="CK268" s="2077"/>
      <c r="CL268" s="279"/>
      <c r="CM268" s="279"/>
      <c r="CN268" s="279"/>
      <c r="CO268" s="279"/>
      <c r="CP268" s="279"/>
      <c r="CQ268" s="248"/>
      <c r="CR268" s="248" t="s">
        <v>201</v>
      </c>
      <c r="CS268" s="248"/>
      <c r="CT268" s="248"/>
      <c r="CU268" s="248"/>
      <c r="CV268" s="248"/>
      <c r="CW268" s="248"/>
      <c r="CX268" s="248"/>
      <c r="CY268" s="249"/>
      <c r="CZ268"/>
      <c r="DA268"/>
      <c r="DB268"/>
      <c r="DC268"/>
      <c r="DD268"/>
      <c r="DE268"/>
      <c r="DF268" s="4"/>
      <c r="DG268" s="4"/>
      <c r="DH268" s="4"/>
      <c r="DI268" s="4"/>
      <c r="DJ268" s="4"/>
    </row>
    <row r="269" spans="1:114" s="1" customFormat="1" ht="12.75" customHeight="1">
      <c r="A269" s="12" t="s">
        <v>66</v>
      </c>
      <c r="B269" s="367"/>
      <c r="C269" s="14"/>
      <c r="D269" s="14"/>
      <c r="E269" s="14"/>
      <c r="F269" s="67"/>
      <c r="G269" s="14"/>
      <c r="H269" s="14"/>
      <c r="I269" s="14"/>
      <c r="J269" s="14"/>
      <c r="K269" s="67">
        <f>K268/(Model!K$182/360)</f>
        <v>45.683676613495777</v>
      </c>
      <c r="L269" s="14"/>
      <c r="M269" s="14"/>
      <c r="N269" s="14"/>
      <c r="O269" s="14"/>
      <c r="P269" s="67">
        <f>P268/(Model!P$182/360)</f>
        <v>39.582176487719643</v>
      </c>
      <c r="Q269" s="14"/>
      <c r="R269" s="14"/>
      <c r="S269" s="14"/>
      <c r="T269" s="14"/>
      <c r="U269" s="67">
        <f>U268/(Model!U$182/360)</f>
        <v>40.130090807768909</v>
      </c>
      <c r="V269" s="14"/>
      <c r="W269" s="14"/>
      <c r="X269" s="14"/>
      <c r="Y269" s="14"/>
      <c r="Z269" s="67">
        <f>Z268/(Model!Z$182/360)</f>
        <v>63.16249900135815</v>
      </c>
      <c r="AA269" s="14"/>
      <c r="AB269" s="14"/>
      <c r="AC269" s="14"/>
      <c r="AD269" s="14"/>
      <c r="AE269" s="67">
        <f>AE268/(Model!AE$182/360)</f>
        <v>55.307841784450616</v>
      </c>
      <c r="AF269" s="14"/>
      <c r="AG269" s="14"/>
      <c r="AH269" s="14"/>
      <c r="AI269" s="22"/>
      <c r="AJ269" s="67">
        <f>AJ268/(Model!AJ$182/360)</f>
        <v>45.590593869299049</v>
      </c>
      <c r="AK269" s="367"/>
      <c r="AL269" s="14"/>
      <c r="AM269" s="14"/>
      <c r="AN269" s="14"/>
      <c r="AO269" s="67">
        <f>AO268/(Model!AO$182/360)</f>
        <v>79.141824394901477</v>
      </c>
      <c r="AP269" s="438"/>
      <c r="AQ269" s="22"/>
      <c r="AR269" s="14"/>
      <c r="AS269" s="14"/>
      <c r="AT269" s="67">
        <f>AT268/(Model!AT$182/360)</f>
        <v>68.804661235962243</v>
      </c>
      <c r="AU269" s="438"/>
      <c r="AV269" s="22"/>
      <c r="AW269" s="14"/>
      <c r="AX269" s="14"/>
      <c r="AY269" s="367">
        <f>AY268/(Model!AY$182/360)</f>
        <v>83.072857214389316</v>
      </c>
      <c r="AZ269" s="2132">
        <f>AZ268/(Model!AZ$182/90)</f>
        <v>64.613086770981511</v>
      </c>
      <c r="BA269" s="14">
        <f>BA268/(Model!BA$182/90)</f>
        <v>123.84900074019244</v>
      </c>
      <c r="BB269" s="14">
        <f>BB268/(Model!BB$182/90)</f>
        <v>62.761102408873462</v>
      </c>
      <c r="BC269" s="14">
        <f>BC268/(Model!BC$182/90)</f>
        <v>61.028632977291082</v>
      </c>
      <c r="BD269" s="2026">
        <f>BD268/(Model!BD$182/360)</f>
        <v>107.027665184369</v>
      </c>
      <c r="BE269" s="2132">
        <f>BE268/(Model!BE$182/90)</f>
        <v>57.494711904560461</v>
      </c>
      <c r="BF269" s="14">
        <f>BF268/(Model!BF$182/90)</f>
        <v>55.378600711318661</v>
      </c>
      <c r="BG269" s="14">
        <f>BG268/(Model!BG$182/90)</f>
        <v>56.668641283860204</v>
      </c>
      <c r="BH269" s="14">
        <f>BH268/(Model!BH$182/90)</f>
        <v>56.627590708807055</v>
      </c>
      <c r="BI269" s="2026">
        <f>BI268/(Model!BI$182/360)</f>
        <v>56.96458130976648</v>
      </c>
      <c r="BJ269" s="2132">
        <f>BJ268/(Model!BJ$182/90)</f>
        <v>59.449074728068936</v>
      </c>
      <c r="BK269" s="14">
        <f>BK268/(Model!BK$182/90)</f>
        <v>59.402441294577557</v>
      </c>
      <c r="BL269" s="14">
        <f>BL268/(Model!BL$182/90)</f>
        <v>60.222273674461682</v>
      </c>
      <c r="BM269" s="14">
        <f>BM268/(Model!BM$182/90)</f>
        <v>58.484227091728471</v>
      </c>
      <c r="BN269" s="2026">
        <f>BN268/(Model!BN$182/360)</f>
        <v>63.787839384167278</v>
      </c>
      <c r="BO269" s="14">
        <f>BO268/(Model!BO$182/90)</f>
        <v>63.728399285358591</v>
      </c>
      <c r="BP269" s="14">
        <f>BP268/(Model!BP$182/90)</f>
        <v>62.55666563539917</v>
      </c>
      <c r="BQ269" s="14">
        <f>BQ268/(Model!BQ$182/90)</f>
        <v>60.880536889477746</v>
      </c>
      <c r="BR269" s="14">
        <f>BR268/(Model!BR$182/90)</f>
        <v>59.572766076625648</v>
      </c>
      <c r="BS269" s="2026">
        <f>BS268/(Model!BS$182/360)</f>
        <v>62.384626614820938</v>
      </c>
      <c r="BT269" s="75">
        <f t="shared" ref="BT269:CB269" si="987">+BO269+0.2</f>
        <v>63.928399285358594</v>
      </c>
      <c r="BU269" s="75">
        <f t="shared" si="987"/>
        <v>62.756665635399173</v>
      </c>
      <c r="BV269" s="75">
        <f t="shared" si="987"/>
        <v>61.080536889477749</v>
      </c>
      <c r="BW269" s="75">
        <f t="shared" si="987"/>
        <v>59.772766076625651</v>
      </c>
      <c r="BX269" s="75">
        <f>+BS269-0.3</f>
        <v>62.084626614820941</v>
      </c>
      <c r="BY269" s="75">
        <f t="shared" si="987"/>
        <v>64.128399285358597</v>
      </c>
      <c r="BZ269" s="75">
        <f t="shared" si="987"/>
        <v>62.956665635399176</v>
      </c>
      <c r="CA269" s="75">
        <f t="shared" si="987"/>
        <v>61.280536889477752</v>
      </c>
      <c r="CB269" s="75">
        <f t="shared" si="987"/>
        <v>59.972766076625653</v>
      </c>
      <c r="CC269" s="75">
        <f>+BX269-0.2</f>
        <v>61.884626614820938</v>
      </c>
      <c r="CD269" s="202"/>
      <c r="CE269" s="125"/>
      <c r="CF269" s="173"/>
      <c r="CG269" s="173"/>
      <c r="CH269" s="173"/>
      <c r="CI269" s="239"/>
      <c r="CJ269" s="177"/>
      <c r="CK269" s="2070"/>
      <c r="CL269" s="177"/>
      <c r="CM269" s="177"/>
      <c r="CN269" s="177"/>
      <c r="CO269" s="177"/>
      <c r="CP269" s="177"/>
      <c r="CQ269" s="40"/>
      <c r="CR269" s="40"/>
      <c r="CS269" s="40"/>
      <c r="CT269" s="40"/>
      <c r="CU269" s="40"/>
      <c r="CV269" s="40"/>
      <c r="CW269" s="40"/>
      <c r="CX269" s="40"/>
      <c r="CY269" s="139"/>
      <c r="CZ269"/>
      <c r="DA269"/>
      <c r="DB269"/>
      <c r="DC269"/>
      <c r="DD269"/>
      <c r="DE269"/>
      <c r="DF269" s="3"/>
      <c r="DG269" s="3"/>
      <c r="DH269" s="3"/>
      <c r="DI269" s="3"/>
      <c r="DJ269" s="3"/>
    </row>
    <row r="270" spans="1:114" s="250" customFormat="1" ht="12.75" customHeight="1">
      <c r="A270" s="297" t="s">
        <v>16</v>
      </c>
      <c r="B270" s="370"/>
      <c r="C270" s="328"/>
      <c r="D270" s="328"/>
      <c r="E270" s="328"/>
      <c r="F270" s="299">
        <f>F272-F268-F267</f>
        <v>0.9029999999999998</v>
      </c>
      <c r="G270" s="278"/>
      <c r="H270" s="278"/>
      <c r="I270" s="278"/>
      <c r="J270" s="278"/>
      <c r="K270" s="299">
        <f>K272-K268-K267</f>
        <v>1.5150000000000003</v>
      </c>
      <c r="L270" s="278"/>
      <c r="M270" s="278"/>
      <c r="N270" s="278"/>
      <c r="O270" s="278"/>
      <c r="P270" s="299">
        <f>P272-P268-P267</f>
        <v>2.1900000000000004</v>
      </c>
      <c r="Q270" s="278"/>
      <c r="R270" s="278"/>
      <c r="S270" s="278"/>
      <c r="T270" s="278"/>
      <c r="U270" s="299">
        <f>U272-U268-U267</f>
        <v>1.5149999999999995</v>
      </c>
      <c r="V270" s="278"/>
      <c r="W270" s="278"/>
      <c r="X270" s="278"/>
      <c r="Y270" s="278"/>
      <c r="Z270" s="299">
        <f>Z272-Z268-Z267</f>
        <v>0.97</v>
      </c>
      <c r="AA270" s="278"/>
      <c r="AB270" s="278"/>
      <c r="AC270" s="278"/>
      <c r="AD270" s="278"/>
      <c r="AE270" s="299">
        <f>AE272-AE268-AE267</f>
        <v>2.7320000000000029</v>
      </c>
      <c r="AF270" s="278"/>
      <c r="AG270" s="278"/>
      <c r="AH270" s="278"/>
      <c r="AI270" s="329"/>
      <c r="AJ270" s="299">
        <f>AJ272-AJ268-AJ267</f>
        <v>2.7090000000000032</v>
      </c>
      <c r="AK270" s="366">
        <f>AK272-AK268-AK267</f>
        <v>6.5799999999999841</v>
      </c>
      <c r="AL270" s="278">
        <f>AL272-AL268-AL267</f>
        <v>3.9939999999999998</v>
      </c>
      <c r="AM270" s="278">
        <f>AM272-AM268-AM267</f>
        <v>6.8240000000000123</v>
      </c>
      <c r="AN270" s="328">
        <f>+AO270</f>
        <v>7.4200000000000159</v>
      </c>
      <c r="AO270" s="299">
        <f>AO272-AO268-AO267</f>
        <v>7.4200000000000159</v>
      </c>
      <c r="AP270" s="437">
        <f>AP272-AP268-AP267</f>
        <v>9.6210000000000093</v>
      </c>
      <c r="AQ270" s="278">
        <f>AQ272-AQ268-AQ267</f>
        <v>10.075999999999993</v>
      </c>
      <c r="AR270" s="278">
        <f>AR272-AR268-AR267</f>
        <v>12.069000000000003</v>
      </c>
      <c r="AS270" s="328">
        <f>+AT270</f>
        <v>16.420999999999992</v>
      </c>
      <c r="AT270" s="299">
        <f>AT272-AT268-AT267</f>
        <v>16.420999999999992</v>
      </c>
      <c r="AU270" s="437">
        <f>AU272-AU268-AU267</f>
        <v>25.565999999999946</v>
      </c>
      <c r="AV270" s="278">
        <f>AV272-AV268-AV267</f>
        <v>29.613999999999976</v>
      </c>
      <c r="AW270" s="278">
        <f>AW272-AW268-AW267</f>
        <v>48.355000000000018</v>
      </c>
      <c r="AX270" s="328">
        <f>+AY270</f>
        <v>45.199999999999818</v>
      </c>
      <c r="AY270" s="366">
        <f>AY272-AY268-AY267</f>
        <v>45.199999999999818</v>
      </c>
      <c r="AZ270" s="437">
        <f>AZ272-AZ268-AZ267</f>
        <v>28.399999999999864</v>
      </c>
      <c r="BA270" s="278">
        <f>BA272-BA268-BA267</f>
        <v>1045.3000000000004</v>
      </c>
      <c r="BB270" s="278">
        <f>BB272-BB268-BB267</f>
        <v>308.19999999999959</v>
      </c>
      <c r="BC270" s="328">
        <f>+BD270</f>
        <v>400.99999999999943</v>
      </c>
      <c r="BD270" s="2019">
        <f>BD272-BD268-BD267</f>
        <v>400.99999999999943</v>
      </c>
      <c r="BE270" s="437">
        <f>BE272-BE268-BE267</f>
        <v>496.99999999999972</v>
      </c>
      <c r="BF270" s="278">
        <f>BF272-BF268-BF267</f>
        <v>461.79999999999956</v>
      </c>
      <c r="BG270" s="278">
        <f>BG272-BG268-BG267</f>
        <v>472.99999999999943</v>
      </c>
      <c r="BH270" s="328">
        <f>+BI270</f>
        <v>386.89999999999941</v>
      </c>
      <c r="BI270" s="2019">
        <f>BI272-BI268-BI267</f>
        <v>386.89999999999941</v>
      </c>
      <c r="BJ270" s="437">
        <f>BJ272-BJ268-BJ267</f>
        <v>416.09999999999962</v>
      </c>
      <c r="BK270" s="278">
        <f>BK272-BK268-BK267</f>
        <v>484.99999999999983</v>
      </c>
      <c r="BL270" s="278">
        <f>BL272-BL268-BL267</f>
        <v>507.59999999999951</v>
      </c>
      <c r="BM270" s="328">
        <f>+BN270</f>
        <v>465.69999999999953</v>
      </c>
      <c r="BN270" s="2019">
        <f>BN272-BN268-BN267</f>
        <v>465.69999999999953</v>
      </c>
      <c r="BO270" s="278">
        <f>Model!BO$182*BO271*4</f>
        <v>454.65023953075695</v>
      </c>
      <c r="BP270" s="278">
        <f>Model!BP$182*BP271*4</f>
        <v>499.85464670139902</v>
      </c>
      <c r="BQ270" s="278">
        <f>Model!BQ$182*BQ271*4</f>
        <v>538.39630323078086</v>
      </c>
      <c r="BR270" s="278">
        <f>Model!BR$182*BR271*4</f>
        <v>505.64266163593624</v>
      </c>
      <c r="BS270" s="299">
        <f>+BR270</f>
        <v>505.64266163593624</v>
      </c>
      <c r="BT270" s="301"/>
      <c r="BU270" s="301"/>
      <c r="BV270" s="301"/>
      <c r="BW270" s="301"/>
      <c r="BX270" s="299">
        <f>Model!BX$182*BX271</f>
        <v>558.05495976339466</v>
      </c>
      <c r="BY270" s="301"/>
      <c r="BZ270" s="301"/>
      <c r="CA270" s="301"/>
      <c r="CB270" s="301"/>
      <c r="CC270" s="299">
        <f>Model!CC$182*CC271</f>
        <v>615.79191389460698</v>
      </c>
      <c r="CD270" s="302"/>
      <c r="CE270" s="303"/>
      <c r="CF270" s="246"/>
      <c r="CG270" s="246"/>
      <c r="CH270" s="246"/>
      <c r="CI270" s="247"/>
      <c r="CJ270" s="279"/>
      <c r="CK270" s="2077"/>
      <c r="CL270" s="279"/>
      <c r="CM270" s="279"/>
      <c r="CN270" s="279"/>
      <c r="CO270" s="279"/>
      <c r="CP270" s="279"/>
      <c r="CQ270" s="248"/>
      <c r="CR270" s="248"/>
      <c r="CS270" s="248"/>
      <c r="CT270" s="248"/>
      <c r="CU270" s="248"/>
      <c r="CV270" s="248"/>
      <c r="CW270" s="248"/>
      <c r="CX270" s="248"/>
      <c r="CY270" s="249"/>
      <c r="CZ270"/>
      <c r="DA270"/>
      <c r="DB270"/>
      <c r="DC270"/>
      <c r="DD270"/>
      <c r="DE270"/>
      <c r="DF270" s="4"/>
      <c r="DG270" s="4"/>
      <c r="DH270" s="4"/>
      <c r="DI270" s="4"/>
      <c r="DJ270" s="4"/>
    </row>
    <row r="271" spans="1:114" s="1" customFormat="1" ht="12.75" customHeight="1">
      <c r="A271" s="12" t="s">
        <v>39</v>
      </c>
      <c r="B271" s="569"/>
      <c r="C271" s="34"/>
      <c r="D271" s="34"/>
      <c r="E271" s="34"/>
      <c r="F271" s="60"/>
      <c r="G271" s="18"/>
      <c r="H271" s="18"/>
      <c r="I271" s="18"/>
      <c r="J271" s="18"/>
      <c r="K271" s="60">
        <f>K270/Model!K$182</f>
        <v>3.5908132066080456E-2</v>
      </c>
      <c r="L271" s="18"/>
      <c r="M271" s="18"/>
      <c r="N271" s="18"/>
      <c r="O271" s="18"/>
      <c r="P271" s="60">
        <f>P270/Model!P$182</f>
        <v>4.2520143675371332E-2</v>
      </c>
      <c r="Q271" s="18"/>
      <c r="R271" s="18"/>
      <c r="S271" s="18"/>
      <c r="T271" s="18"/>
      <c r="U271" s="60">
        <f>U270/Model!U$182</f>
        <v>1.3840419506312688E-2</v>
      </c>
      <c r="V271" s="18"/>
      <c r="W271" s="18"/>
      <c r="X271" s="18"/>
      <c r="Y271" s="18"/>
      <c r="Z271" s="60">
        <f>Z270/Model!Z$182</f>
        <v>9.6868259167532163E-3</v>
      </c>
      <c r="AA271" s="18"/>
      <c r="AB271" s="18"/>
      <c r="AC271" s="18"/>
      <c r="AD271" s="18"/>
      <c r="AE271" s="60">
        <f>AE270/Model!AE$182</f>
        <v>1.7292562046244329E-2</v>
      </c>
      <c r="AF271" s="18"/>
      <c r="AG271" s="18"/>
      <c r="AH271" s="18"/>
      <c r="AI271" s="5"/>
      <c r="AJ271" s="60">
        <f>AJ270/Model!AJ$182</f>
        <v>1.5298515891481641E-2</v>
      </c>
      <c r="AK271" s="368"/>
      <c r="AL271" s="18"/>
      <c r="AM271" s="18"/>
      <c r="AN271" s="5"/>
      <c r="AO271" s="60">
        <f>AO270/Model!AO$182</f>
        <v>2.6634026224824255E-2</v>
      </c>
      <c r="AP271" s="439"/>
      <c r="AQ271" s="5"/>
      <c r="AR271" s="18"/>
      <c r="AS271" s="5"/>
      <c r="AT271" s="60">
        <f>AT270/Model!AT$182</f>
        <v>2.3381645813843867E-2</v>
      </c>
      <c r="AU271" s="439"/>
      <c r="AV271" s="5"/>
      <c r="AW271" s="18"/>
      <c r="AX271" s="5"/>
      <c r="AY271" s="368">
        <f>AY270/Model!AY$182</f>
        <v>1.9180321329790272E-2</v>
      </c>
      <c r="AZ271" s="620"/>
      <c r="BA271" s="5"/>
      <c r="BB271" s="5"/>
      <c r="BC271" s="5"/>
      <c r="BD271" s="1998">
        <f>BD270/Model!BD$182</f>
        <v>5.2601891569267832E-2</v>
      </c>
      <c r="BE271" s="368">
        <f>BE270/Model!BE$182/4</f>
        <v>3.5042445779394742E-2</v>
      </c>
      <c r="BF271" s="18">
        <f>BF270/Model!BF$182/4</f>
        <v>3.1344175060407757E-2</v>
      </c>
      <c r="BG271" s="18">
        <f>BG270/Model!BG$182/4</f>
        <v>3.184070224567824E-2</v>
      </c>
      <c r="BH271" s="18">
        <f>BH270/Model!BH$182/4</f>
        <v>2.6308273948756965E-2</v>
      </c>
      <c r="BI271" s="1998">
        <f>BI270/Model!BI$182</f>
        <v>2.6464834398128474E-2</v>
      </c>
      <c r="BJ271" s="368">
        <f>BJ270/Model!BJ$182/4</f>
        <v>2.9389744314168641E-2</v>
      </c>
      <c r="BK271" s="18">
        <f>BK270/Model!BK$182/4</f>
        <v>3.22447677047044E-2</v>
      </c>
      <c r="BL271" s="18">
        <f>BL270/Model!BL$182/4</f>
        <v>3.2646445936559361E-2</v>
      </c>
      <c r="BM271" s="18">
        <f>BM270/Model!BM$182/4</f>
        <v>2.7760556999451558E-2</v>
      </c>
      <c r="BN271" s="1998">
        <f>BN270/Model!BN$182</f>
        <v>3.027800894621863E-2</v>
      </c>
      <c r="BO271" s="653">
        <v>2.9000000000000001E-2</v>
      </c>
      <c r="BP271" s="653">
        <v>0.03</v>
      </c>
      <c r="BQ271" s="653">
        <v>3.2000000000000001E-2</v>
      </c>
      <c r="BR271" s="653">
        <v>2.9000000000000001E-2</v>
      </c>
      <c r="BS271" s="1998">
        <f>BS270/Model!BS$182</f>
        <v>3.0368812646751661E-2</v>
      </c>
      <c r="BT271" s="5"/>
      <c r="BU271" s="5"/>
      <c r="BV271" s="5"/>
      <c r="BW271" s="5"/>
      <c r="BX271" s="74">
        <f>+BS271+0.1%</f>
        <v>3.1368812646751662E-2</v>
      </c>
      <c r="BY271" s="5"/>
      <c r="BZ271" s="5"/>
      <c r="CA271" s="5"/>
      <c r="CB271" s="5"/>
      <c r="CC271" s="74">
        <f>+BX271+0.1%</f>
        <v>3.2368812646751663E-2</v>
      </c>
      <c r="CD271" s="192"/>
      <c r="CE271" s="112"/>
      <c r="CF271" s="173"/>
      <c r="CG271" s="173"/>
      <c r="CH271" s="173"/>
      <c r="CI271" s="239"/>
      <c r="CJ271" s="177"/>
      <c r="CK271" s="2070"/>
      <c r="CL271" s="177"/>
      <c r="CM271" s="177"/>
      <c r="CN271" s="177"/>
      <c r="CO271" s="177"/>
      <c r="CP271" s="177"/>
      <c r="CQ271" s="40"/>
      <c r="CR271" s="40"/>
      <c r="CS271" s="40"/>
      <c r="CT271" s="40"/>
      <c r="CU271" s="40"/>
      <c r="CV271" s="40"/>
      <c r="CW271" s="40"/>
      <c r="CX271" s="40"/>
      <c r="CY271" s="139"/>
      <c r="CZ271"/>
      <c r="DA271"/>
      <c r="DB271"/>
      <c r="DC271"/>
      <c r="DD271"/>
      <c r="DE271"/>
      <c r="DF271" s="3"/>
      <c r="DG271" s="3"/>
      <c r="DH271" s="3"/>
      <c r="DI271" s="3"/>
      <c r="DJ271" s="3"/>
    </row>
    <row r="272" spans="1:114" s="250" customFormat="1" ht="12.75" customHeight="1">
      <c r="A272" s="10" t="s">
        <v>98</v>
      </c>
      <c r="B272" s="369"/>
      <c r="C272" s="11"/>
      <c r="D272" s="11"/>
      <c r="E272" s="11"/>
      <c r="F272" s="324">
        <v>5.7229999999999999</v>
      </c>
      <c r="G272" s="11"/>
      <c r="H272" s="11"/>
      <c r="I272" s="11"/>
      <c r="J272" s="11"/>
      <c r="K272" s="324">
        <v>6.9480000000000004</v>
      </c>
      <c r="L272" s="11"/>
      <c r="M272" s="11"/>
      <c r="N272" s="11"/>
      <c r="O272" s="11"/>
      <c r="P272" s="324">
        <v>8.6530000000000005</v>
      </c>
      <c r="Q272" s="11"/>
      <c r="R272" s="11"/>
      <c r="S272" s="11"/>
      <c r="T272" s="11"/>
      <c r="U272" s="324">
        <v>14.824</v>
      </c>
      <c r="V272" s="11"/>
      <c r="W272" s="11"/>
      <c r="X272" s="11"/>
      <c r="Y272" s="11"/>
      <c r="Z272" s="324">
        <v>19.033999999999999</v>
      </c>
      <c r="AA272" s="11"/>
      <c r="AB272" s="11"/>
      <c r="AC272" s="11"/>
      <c r="AD272" s="11"/>
      <c r="AE272" s="324">
        <v>27.565000000000001</v>
      </c>
      <c r="AF272" s="11"/>
      <c r="AG272" s="11"/>
      <c r="AH272" s="11"/>
      <c r="AI272" s="11"/>
      <c r="AJ272" s="324">
        <v>99.141000000000005</v>
      </c>
      <c r="AK272" s="369">
        <v>235.42599999999999</v>
      </c>
      <c r="AL272" s="11">
        <v>225.54</v>
      </c>
      <c r="AM272" s="11">
        <v>346.20800000000003</v>
      </c>
      <c r="AN272" s="11">
        <f>+AO272</f>
        <v>320.93400000000003</v>
      </c>
      <c r="AO272" s="324">
        <v>320.93400000000003</v>
      </c>
      <c r="AP272" s="440">
        <v>289.25799999999998</v>
      </c>
      <c r="AQ272" s="11">
        <v>277.971</v>
      </c>
      <c r="AR272" s="11">
        <v>202.41</v>
      </c>
      <c r="AS272" s="11">
        <f>+AT272</f>
        <v>172.14799999999994</v>
      </c>
      <c r="AT272" s="324">
        <v>172.14799999999994</v>
      </c>
      <c r="AU272" s="440">
        <v>512.20399999999995</v>
      </c>
      <c r="AV272" s="11">
        <v>483.416</v>
      </c>
      <c r="AW272" s="11">
        <v>1203.779</v>
      </c>
      <c r="AX272" s="11">
        <f>+AY272</f>
        <v>1233.0999999999999</v>
      </c>
      <c r="AY272" s="369">
        <v>1233.0999999999999</v>
      </c>
      <c r="AZ272" s="369">
        <v>1567.4</v>
      </c>
      <c r="BA272" s="11">
        <v>3894.3</v>
      </c>
      <c r="BB272" s="11">
        <v>3240.7</v>
      </c>
      <c r="BC272" s="11">
        <f>+BD272</f>
        <v>2957.2</v>
      </c>
      <c r="BD272" s="674">
        <v>2957.2</v>
      </c>
      <c r="BE272" s="369">
        <v>3041.1</v>
      </c>
      <c r="BF272" s="11">
        <v>3106</v>
      </c>
      <c r="BG272" s="11">
        <v>3171.7</v>
      </c>
      <c r="BH272" s="11">
        <f>+BI272</f>
        <v>3073.6</v>
      </c>
      <c r="BI272" s="324">
        <v>3073.6</v>
      </c>
      <c r="BJ272" s="369">
        <v>3096.1</v>
      </c>
      <c r="BK272" s="11">
        <v>3258.3</v>
      </c>
      <c r="BL272" s="11">
        <v>3581.7</v>
      </c>
      <c r="BM272" s="11">
        <f>+BN272</f>
        <v>3587.9</v>
      </c>
      <c r="BN272" s="324">
        <v>3587.9</v>
      </c>
      <c r="BO272" s="11">
        <f t="shared" ref="BO272:BR272" si="988">BO267+BO268+BO270</f>
        <v>3435.7241590620779</v>
      </c>
      <c r="BP272" s="11">
        <f t="shared" si="988"/>
        <v>3766.0979460985532</v>
      </c>
      <c r="BQ272" s="11">
        <f t="shared" si="988"/>
        <v>3920.5411486584808</v>
      </c>
      <c r="BR272" s="11">
        <f t="shared" si="988"/>
        <v>4095.0008899201539</v>
      </c>
      <c r="BS272" s="324">
        <f>BS267+BS268+BS270</f>
        <v>4095.0008899201539</v>
      </c>
      <c r="BT272" s="11"/>
      <c r="BU272" s="11"/>
      <c r="BV272" s="11"/>
      <c r="BW272" s="11"/>
      <c r="BX272" s="324">
        <f>BX267+BX268+BX270</f>
        <v>3995.5944869392497</v>
      </c>
      <c r="BY272" s="11"/>
      <c r="BZ272" s="11"/>
      <c r="CA272" s="11"/>
      <c r="CB272" s="11"/>
      <c r="CC272" s="324">
        <f>CC267+CC268+CC270</f>
        <v>4131.321457146375</v>
      </c>
      <c r="CD272" s="326"/>
      <c r="CE272" s="327"/>
      <c r="CF272" s="246"/>
      <c r="CG272" s="246"/>
      <c r="CH272" s="246"/>
      <c r="CI272" s="247"/>
      <c r="CJ272" s="279"/>
      <c r="CK272" s="2077"/>
      <c r="CL272" s="279"/>
      <c r="CM272" s="279"/>
      <c r="CN272" s="279"/>
      <c r="CO272" s="279"/>
      <c r="CP272" s="279"/>
      <c r="CQ272" s="248"/>
      <c r="CR272" s="248"/>
      <c r="CS272" s="248"/>
      <c r="CT272" s="248"/>
      <c r="CU272" s="248"/>
      <c r="CV272" s="248"/>
      <c r="CW272" s="248"/>
      <c r="CX272" s="248"/>
      <c r="CY272" s="249"/>
      <c r="CZ272"/>
      <c r="DA272"/>
      <c r="DB272"/>
      <c r="DC272"/>
      <c r="DD272"/>
      <c r="DE272"/>
      <c r="DF272" s="4"/>
      <c r="DG272" s="4"/>
      <c r="DH272" s="4"/>
      <c r="DI272" s="4"/>
      <c r="DJ272" s="4"/>
    </row>
    <row r="273" spans="1:114" s="250" customFormat="1" ht="12.75" customHeight="1">
      <c r="A273" s="297" t="s">
        <v>17</v>
      </c>
      <c r="B273" s="370"/>
      <c r="C273" s="328"/>
      <c r="D273" s="328"/>
      <c r="E273" s="328"/>
      <c r="F273" s="299">
        <v>2.2290000000000001</v>
      </c>
      <c r="G273" s="328"/>
      <c r="H273" s="328"/>
      <c r="I273" s="328"/>
      <c r="J273" s="328"/>
      <c r="K273" s="299">
        <v>2.488</v>
      </c>
      <c r="L273" s="328"/>
      <c r="M273" s="328"/>
      <c r="N273" s="328"/>
      <c r="O273" s="328"/>
      <c r="P273" s="299">
        <v>2.3119999999999998</v>
      </c>
      <c r="Q273" s="328"/>
      <c r="R273" s="328"/>
      <c r="S273" s="328"/>
      <c r="T273" s="328"/>
      <c r="U273" s="299">
        <v>3.141</v>
      </c>
      <c r="V273" s="328"/>
      <c r="W273" s="328"/>
      <c r="X273" s="328"/>
      <c r="Y273" s="328"/>
      <c r="Z273" s="299">
        <v>2.7970000000000002</v>
      </c>
      <c r="AA273" s="328"/>
      <c r="AB273" s="328"/>
      <c r="AC273" s="328"/>
      <c r="AD273" s="328"/>
      <c r="AE273" s="299">
        <v>2.96</v>
      </c>
      <c r="AF273" s="328"/>
      <c r="AG273" s="328"/>
      <c r="AH273" s="328"/>
      <c r="AI273" s="328"/>
      <c r="AJ273" s="271">
        <v>2.9790000000000001</v>
      </c>
      <c r="AK273" s="370">
        <v>4.3150000000000004</v>
      </c>
      <c r="AL273" s="4">
        <v>6.694</v>
      </c>
      <c r="AM273" s="328">
        <v>8.0830000000000002</v>
      </c>
      <c r="AN273" s="328">
        <f>+AO273</f>
        <v>13.09</v>
      </c>
      <c r="AO273" s="271">
        <v>13.09</v>
      </c>
      <c r="AP273" s="441">
        <v>14.010999999999999</v>
      </c>
      <c r="AQ273" s="278">
        <v>15.554</v>
      </c>
      <c r="AR273" s="328">
        <v>39.667999999999999</v>
      </c>
      <c r="AS273" s="328">
        <f>+AT273</f>
        <v>56.570999999999998</v>
      </c>
      <c r="AT273" s="271">
        <v>56.570999999999998</v>
      </c>
      <c r="AU273" s="441">
        <v>98.819000000000003</v>
      </c>
      <c r="AV273" s="278">
        <v>97.378</v>
      </c>
      <c r="AW273" s="328">
        <v>224.13800000000001</v>
      </c>
      <c r="AX273" s="328">
        <f>+AY273</f>
        <v>221.9</v>
      </c>
      <c r="AY273" s="370">
        <v>221.9</v>
      </c>
      <c r="AZ273" s="366">
        <v>219.2</v>
      </c>
      <c r="BA273" s="278">
        <v>958.5</v>
      </c>
      <c r="BB273" s="301">
        <v>955.7</v>
      </c>
      <c r="BC273" s="328">
        <f>+BD273</f>
        <v>2852.2</v>
      </c>
      <c r="BD273" s="676">
        <v>2852.2</v>
      </c>
      <c r="BE273" s="366">
        <v>2820.3</v>
      </c>
      <c r="BF273" s="278">
        <v>2754.5</v>
      </c>
      <c r="BG273" s="278">
        <v>2711.3</v>
      </c>
      <c r="BH273" s="328">
        <f>+BI273</f>
        <v>2537.4</v>
      </c>
      <c r="BI273" s="330">
        <v>2537.4</v>
      </c>
      <c r="BJ273" s="366">
        <v>2531.1999999999998</v>
      </c>
      <c r="BK273" s="278">
        <v>2542.1999999999998</v>
      </c>
      <c r="BL273" s="278">
        <v>2602.1</v>
      </c>
      <c r="BM273" s="328">
        <f>+BN273</f>
        <v>2663.7</v>
      </c>
      <c r="BN273" s="330">
        <v>2663.7</v>
      </c>
      <c r="BO273" s="301">
        <f t="shared" ref="BO273" si="989">BN273-BO239-0.4*BO234-BO242-BO252</f>
        <v>2710.66</v>
      </c>
      <c r="BP273" s="301">
        <f t="shared" ref="BP273" si="990">BO273-BP239-0.4*BP234-BP242-BP252</f>
        <v>2757.98</v>
      </c>
      <c r="BQ273" s="301">
        <f t="shared" ref="BQ273" si="991">BP273-BQ239-0.4*BQ234-BQ242-BQ252</f>
        <v>2804.5</v>
      </c>
      <c r="BR273" s="301">
        <f t="shared" ref="BR273" si="992">BQ273-BR239-0.4*BR234-BR242-BR252</f>
        <v>2852.02</v>
      </c>
      <c r="BS273" s="330">
        <f>+BR273</f>
        <v>2852.02</v>
      </c>
      <c r="BT273" s="434"/>
      <c r="BU273" s="434"/>
      <c r="BV273" s="434"/>
      <c r="BW273" s="434"/>
      <c r="BX273" s="187">
        <f>BS273-BX239-0.4*BX234-BX242-BX252</f>
        <v>3066.1673585915232</v>
      </c>
      <c r="BY273" s="434"/>
      <c r="BZ273" s="434"/>
      <c r="CA273" s="434"/>
      <c r="CB273" s="434"/>
      <c r="CC273" s="187">
        <f>BX273-CC239-0.4*CC234-CC242-CC252</f>
        <v>3315.9287960939214</v>
      </c>
      <c r="CE273" s="249"/>
      <c r="CF273" s="246"/>
      <c r="CG273" s="246"/>
      <c r="CH273" s="246"/>
      <c r="CI273" s="247"/>
      <c r="CJ273" s="279"/>
      <c r="CK273" s="2077"/>
      <c r="CL273" s="279"/>
      <c r="CM273" s="279"/>
      <c r="CN273" s="279"/>
      <c r="CO273" s="279"/>
      <c r="CP273" s="279"/>
      <c r="CQ273" s="248"/>
      <c r="CR273" s="248"/>
      <c r="CS273" s="248"/>
      <c r="CT273" s="248"/>
      <c r="CU273" s="248"/>
      <c r="CV273" s="248"/>
      <c r="CW273" s="248"/>
      <c r="CX273" s="248"/>
      <c r="CY273" s="249"/>
      <c r="CZ273"/>
      <c r="DA273"/>
      <c r="DB273"/>
      <c r="DC273"/>
      <c r="DD273"/>
      <c r="DE273"/>
      <c r="DF273" s="4"/>
      <c r="DG273" s="4"/>
      <c r="DH273" s="4"/>
      <c r="DI273" s="4"/>
      <c r="DJ273" s="4"/>
    </row>
    <row r="274" spans="1:114" s="250" customFormat="1" ht="12.75" customHeight="1">
      <c r="A274" s="297" t="s">
        <v>135</v>
      </c>
      <c r="B274" s="370"/>
      <c r="C274" s="328"/>
      <c r="D274" s="328"/>
      <c r="E274" s="328"/>
      <c r="F274" s="299">
        <f>F275-F272-F273</f>
        <v>10.502000000000002</v>
      </c>
      <c r="G274" s="278"/>
      <c r="H274" s="278"/>
      <c r="I274" s="278"/>
      <c r="J274" s="278"/>
      <c r="K274" s="299">
        <f>K275-K272-K273</f>
        <v>12.173000000000002</v>
      </c>
      <c r="L274" s="278"/>
      <c r="M274" s="278"/>
      <c r="N274" s="278"/>
      <c r="O274" s="278"/>
      <c r="P274" s="299">
        <f>P275-P272-P273</f>
        <v>12.759</v>
      </c>
      <c r="Q274" s="278"/>
      <c r="R274" s="278"/>
      <c r="S274" s="278"/>
      <c r="T274" s="278"/>
      <c r="U274" s="299">
        <f>U275-U272-U273</f>
        <v>23.717000000000006</v>
      </c>
      <c r="V274" s="278"/>
      <c r="W274" s="278"/>
      <c r="X274" s="278"/>
      <c r="Y274" s="278"/>
      <c r="Z274" s="299">
        <f>Z275-Z272-Z273</f>
        <v>27.208000000000002</v>
      </c>
      <c r="AA274" s="278"/>
      <c r="AB274" s="278"/>
      <c r="AC274" s="278"/>
      <c r="AD274" s="278"/>
      <c r="AE274" s="299">
        <f>AE275-AE272-AE273</f>
        <v>26.146999999999995</v>
      </c>
      <c r="AF274" s="278"/>
      <c r="AG274" s="278"/>
      <c r="AH274" s="278"/>
      <c r="AI274" s="329"/>
      <c r="AJ274" s="299">
        <f>AJ275-AJ272-AJ273</f>
        <v>25.521000000000001</v>
      </c>
      <c r="AK274" s="366">
        <f>AK275-AK272-AK273</f>
        <v>25.504999999999992</v>
      </c>
      <c r="AL274" s="278">
        <f>AL275-AL272-AL273</f>
        <v>28.497000000000003</v>
      </c>
      <c r="AM274" s="278">
        <f>AM275-AM272-AM273</f>
        <v>33.47999999999999</v>
      </c>
      <c r="AN274" s="328">
        <f>+AO274</f>
        <v>79.183999999999997</v>
      </c>
      <c r="AO274" s="299">
        <f>AO275-AO272-AO273</f>
        <v>79.183999999999997</v>
      </c>
      <c r="AP274" s="437">
        <f>AP275-AP272-AP273</f>
        <v>97.185000000000031</v>
      </c>
      <c r="AQ274" s="278">
        <f>AQ275-AQ272-AQ273</f>
        <v>100.95399999999998</v>
      </c>
      <c r="AR274" s="278">
        <f>AR275-AR272-AR273</f>
        <v>458.25400000000002</v>
      </c>
      <c r="AS274" s="328">
        <f>+AT274</f>
        <v>551.52200000000005</v>
      </c>
      <c r="AT274" s="299">
        <f>AT275-AT272-AT273</f>
        <v>551.52200000000005</v>
      </c>
      <c r="AU274" s="437">
        <f>AU275-AU272-AU273</f>
        <v>812.7320000000002</v>
      </c>
      <c r="AV274" s="278">
        <f>AV275-AV272-AV273</f>
        <v>800.03599999999994</v>
      </c>
      <c r="AW274" s="278">
        <f>AW275-AW272-AW273</f>
        <v>1318.3760000000002</v>
      </c>
      <c r="AX274" s="328">
        <f>+AY274</f>
        <v>1306.1999999999998</v>
      </c>
      <c r="AY274" s="366">
        <f>AY275-AY272-AY273</f>
        <v>1306.1999999999998</v>
      </c>
      <c r="AZ274" s="366">
        <f>AZ275-AZ272-AZ273</f>
        <v>1346.4999999999998</v>
      </c>
      <c r="BA274" s="278">
        <f>BA275-BA272-BA273</f>
        <v>4849.9000000000005</v>
      </c>
      <c r="BB274" s="278">
        <f>BB275-BB272-BB273</f>
        <v>4840.2000000000007</v>
      </c>
      <c r="BC274" s="328">
        <f>+BD274</f>
        <v>6833.8</v>
      </c>
      <c r="BD274" s="2019">
        <f>BD275-BD272-BD273</f>
        <v>6833.8</v>
      </c>
      <c r="BE274" s="366">
        <f>BE275-BE272-BE273</f>
        <v>6730.8999999999987</v>
      </c>
      <c r="BF274" s="278">
        <f>BF275-BF272-BF273</f>
        <v>6569.7999999999993</v>
      </c>
      <c r="BG274" s="278">
        <f>BG275-BG272-BG273</f>
        <v>6536.2999999999984</v>
      </c>
      <c r="BH274" s="328">
        <f>+BI274</f>
        <v>6087.4</v>
      </c>
      <c r="BI274" s="2019">
        <f>BI275-BI272-BI273</f>
        <v>6087.4</v>
      </c>
      <c r="BJ274" s="366">
        <f>BJ275-BJ272-BJ273</f>
        <v>6060.9999999999991</v>
      </c>
      <c r="BK274" s="278">
        <f>BK275-BK272-BK273</f>
        <v>6131.3999999999987</v>
      </c>
      <c r="BL274" s="278">
        <f>BL275-BL272-BL273</f>
        <v>6174.4</v>
      </c>
      <c r="BM274" s="328">
        <f>+BN274</f>
        <v>6350.0000000000009</v>
      </c>
      <c r="BN274" s="2019">
        <f>BN275-BN272-BN273</f>
        <v>6350.0000000000009</v>
      </c>
      <c r="BO274" s="486">
        <f t="shared" ref="BO274" si="993">BN274-BO251-0.6*BO234</f>
        <v>6246.4400000000005</v>
      </c>
      <c r="BP274" s="486">
        <f t="shared" ref="BP274" si="994">BO274-BP251-0.6*BP234</f>
        <v>6143.42</v>
      </c>
      <c r="BQ274" s="486">
        <f t="shared" ref="BQ274" si="995">BP274-BQ251-0.6*BQ234</f>
        <v>6039.2</v>
      </c>
      <c r="BR274" s="486">
        <f t="shared" ref="BR274" si="996">BQ274-BR251-0.6*BR234</f>
        <v>5936.48</v>
      </c>
      <c r="BS274" s="271">
        <f>+BR274</f>
        <v>5936.48</v>
      </c>
      <c r="BT274" s="486"/>
      <c r="BU274" s="486"/>
      <c r="BV274" s="486"/>
      <c r="BW274" s="486"/>
      <c r="BX274" s="72">
        <f>BS274-BX251-0.6*BX234</f>
        <v>5494.6456113192589</v>
      </c>
      <c r="BY274" s="486"/>
      <c r="BZ274" s="486"/>
      <c r="CA274" s="486"/>
      <c r="CB274" s="486"/>
      <c r="CC274" s="72">
        <f>BX274-CC251-0.6*CC234</f>
        <v>5022.1608179039813</v>
      </c>
      <c r="CE274" s="249"/>
      <c r="CF274" s="246"/>
      <c r="CG274" s="246"/>
      <c r="CH274" s="246"/>
      <c r="CI274" s="247"/>
      <c r="CJ274" s="279"/>
      <c r="CK274" s="2077"/>
      <c r="CL274" s="279"/>
      <c r="CM274" s="279"/>
      <c r="CN274" s="279"/>
      <c r="CO274" s="279"/>
      <c r="CP274" s="279"/>
      <c r="CQ274" s="248"/>
      <c r="CR274" s="248"/>
      <c r="CS274" s="248"/>
      <c r="CT274" s="248"/>
      <c r="CU274" s="248"/>
      <c r="CV274" s="248"/>
      <c r="CW274" s="248"/>
      <c r="CX274" s="248"/>
      <c r="CY274" s="249"/>
      <c r="CZ274"/>
      <c r="DA274"/>
      <c r="DB274"/>
      <c r="DC274"/>
      <c r="DD274"/>
      <c r="DE274"/>
      <c r="DF274" s="4"/>
      <c r="DG274" s="4"/>
      <c r="DH274" s="4"/>
      <c r="DI274" s="4"/>
      <c r="DJ274" s="4"/>
    </row>
    <row r="275" spans="1:114" s="250" customFormat="1" ht="12.75" customHeight="1">
      <c r="A275" s="10" t="s">
        <v>119</v>
      </c>
      <c r="B275" s="369"/>
      <c r="C275" s="11"/>
      <c r="D275" s="11"/>
      <c r="E275" s="11"/>
      <c r="F275" s="324">
        <v>18.454000000000001</v>
      </c>
      <c r="G275" s="11"/>
      <c r="H275" s="11"/>
      <c r="I275" s="11"/>
      <c r="J275" s="11"/>
      <c r="K275" s="324">
        <v>21.609000000000002</v>
      </c>
      <c r="L275" s="11"/>
      <c r="M275" s="11"/>
      <c r="N275" s="11"/>
      <c r="O275" s="11"/>
      <c r="P275" s="324">
        <v>23.724</v>
      </c>
      <c r="Q275" s="11"/>
      <c r="R275" s="11"/>
      <c r="S275" s="11"/>
      <c r="T275" s="11"/>
      <c r="U275" s="324">
        <v>41.682000000000002</v>
      </c>
      <c r="V275" s="11"/>
      <c r="W275" s="11"/>
      <c r="X275" s="11"/>
      <c r="Y275" s="11"/>
      <c r="Z275" s="324">
        <v>49.039000000000001</v>
      </c>
      <c r="AA275" s="11"/>
      <c r="AB275" s="11"/>
      <c r="AC275" s="11"/>
      <c r="AD275" s="11"/>
      <c r="AE275" s="324">
        <v>56.671999999999997</v>
      </c>
      <c r="AF275" s="11"/>
      <c r="AG275" s="11"/>
      <c r="AH275" s="11"/>
      <c r="AI275" s="11"/>
      <c r="AJ275" s="324">
        <v>127.64100000000001</v>
      </c>
      <c r="AK275" s="369">
        <v>265.24599999999998</v>
      </c>
      <c r="AL275" s="11">
        <v>260.73099999999999</v>
      </c>
      <c r="AM275" s="11">
        <v>387.77100000000002</v>
      </c>
      <c r="AN275" s="11">
        <f>+AO275</f>
        <v>413.20800000000003</v>
      </c>
      <c r="AO275" s="324">
        <v>413.20800000000003</v>
      </c>
      <c r="AP275" s="440">
        <v>400.45400000000001</v>
      </c>
      <c r="AQ275" s="11">
        <v>394.47899999999998</v>
      </c>
      <c r="AR275" s="11">
        <v>700.33199999999999</v>
      </c>
      <c r="AS275" s="11">
        <f>+AT275</f>
        <v>780.24099999999999</v>
      </c>
      <c r="AT275" s="324">
        <v>780.24099999999999</v>
      </c>
      <c r="AU275" s="440">
        <v>1423.7550000000001</v>
      </c>
      <c r="AV275" s="11">
        <v>1380.83</v>
      </c>
      <c r="AW275" s="11">
        <v>2746.2930000000001</v>
      </c>
      <c r="AX275" s="11">
        <f>+AY275</f>
        <v>2761.2</v>
      </c>
      <c r="AY275" s="369">
        <v>2761.2</v>
      </c>
      <c r="AZ275" s="369">
        <v>3133.1</v>
      </c>
      <c r="BA275" s="11">
        <v>9702.7000000000007</v>
      </c>
      <c r="BB275" s="11">
        <v>9036.6</v>
      </c>
      <c r="BC275" s="11">
        <f>+BD275</f>
        <v>12643.2</v>
      </c>
      <c r="BD275" s="674">
        <v>12643.2</v>
      </c>
      <c r="BE275" s="369">
        <v>12592.3</v>
      </c>
      <c r="BF275" s="11">
        <v>12430.3</v>
      </c>
      <c r="BG275" s="11">
        <v>12419.3</v>
      </c>
      <c r="BH275" s="11">
        <f>+BI275</f>
        <v>11698.4</v>
      </c>
      <c r="BI275" s="324">
        <v>11698.4</v>
      </c>
      <c r="BJ275" s="369">
        <v>11688.3</v>
      </c>
      <c r="BK275" s="11">
        <v>11931.9</v>
      </c>
      <c r="BL275" s="11">
        <v>12358.2</v>
      </c>
      <c r="BM275" s="11">
        <f>+BN275</f>
        <v>12601.6</v>
      </c>
      <c r="BN275" s="324">
        <v>12601.6</v>
      </c>
      <c r="BO275" s="11">
        <f t="shared" ref="BO275:BR275" si="997">BO272+BO273+BO274</f>
        <v>12392.824159062078</v>
      </c>
      <c r="BP275" s="11">
        <f t="shared" si="997"/>
        <v>12667.497946098552</v>
      </c>
      <c r="BQ275" s="11">
        <f t="shared" si="997"/>
        <v>12764.241148658481</v>
      </c>
      <c r="BR275" s="11">
        <f t="shared" si="997"/>
        <v>12883.500889920153</v>
      </c>
      <c r="BS275" s="324">
        <f>BS272+BS273+BS274</f>
        <v>12883.500889920153</v>
      </c>
      <c r="BT275" s="11"/>
      <c r="BU275" s="11"/>
      <c r="BV275" s="11"/>
      <c r="BW275" s="11"/>
      <c r="BX275" s="324">
        <f>BX272+BX273+BX274</f>
        <v>12556.407456850033</v>
      </c>
      <c r="BY275" s="11"/>
      <c r="BZ275" s="11"/>
      <c r="CA275" s="11"/>
      <c r="CB275" s="11"/>
      <c r="CC275" s="324">
        <f>CC272+CC273+CC274</f>
        <v>12469.411071144277</v>
      </c>
      <c r="CD275" s="326"/>
      <c r="CE275" s="327"/>
      <c r="CF275" s="246"/>
      <c r="CG275" s="246"/>
      <c r="CH275" s="246"/>
      <c r="CI275" s="247"/>
      <c r="CJ275" s="279"/>
      <c r="CK275" s="2077"/>
      <c r="CL275" s="279"/>
      <c r="CM275" s="279"/>
      <c r="CN275" s="279"/>
      <c r="CO275" s="279"/>
      <c r="CP275" s="279"/>
      <c r="CQ275" s="248"/>
      <c r="CR275" s="248"/>
      <c r="CS275" s="248"/>
      <c r="CT275" s="248"/>
      <c r="CU275" s="248"/>
      <c r="CV275" s="248"/>
      <c r="CW275" s="248"/>
      <c r="CX275" s="248"/>
      <c r="CY275" s="249"/>
      <c r="CZ275"/>
      <c r="DA275"/>
      <c r="DB275"/>
      <c r="DC275"/>
      <c r="DD275"/>
      <c r="DE275"/>
      <c r="DF275" s="4"/>
      <c r="DG275" s="4"/>
      <c r="DH275" s="4"/>
      <c r="DI275" s="4"/>
      <c r="DJ275" s="4"/>
    </row>
    <row r="276" spans="1:114" s="177" customFormat="1" ht="12.75" customHeight="1">
      <c r="A276" s="57" t="s">
        <v>80</v>
      </c>
      <c r="B276" s="371"/>
      <c r="C276" s="51"/>
      <c r="D276" s="51"/>
      <c r="E276" s="51"/>
      <c r="F276" s="63"/>
      <c r="G276" s="51"/>
      <c r="H276" s="51"/>
      <c r="I276" s="51"/>
      <c r="J276" s="51"/>
      <c r="K276" s="63"/>
      <c r="L276" s="51"/>
      <c r="M276" s="51"/>
      <c r="N276" s="51"/>
      <c r="O276" s="51"/>
      <c r="P276" s="63"/>
      <c r="Q276" s="51"/>
      <c r="R276" s="51"/>
      <c r="S276" s="51"/>
      <c r="T276" s="51"/>
      <c r="U276" s="63"/>
      <c r="V276" s="51"/>
      <c r="W276" s="51"/>
      <c r="X276" s="51"/>
      <c r="Y276" s="51"/>
      <c r="Z276" s="63"/>
      <c r="AA276" s="51"/>
      <c r="AB276" s="51"/>
      <c r="AC276" s="51"/>
      <c r="AD276" s="51"/>
      <c r="AE276" s="63"/>
      <c r="AF276" s="51"/>
      <c r="AG276" s="51"/>
      <c r="AH276" s="51"/>
      <c r="AI276" s="51"/>
      <c r="AJ276" s="63"/>
      <c r="AK276" s="371"/>
      <c r="AL276" s="51"/>
      <c r="AM276" s="51"/>
      <c r="AN276" s="51"/>
      <c r="AO276" s="63"/>
      <c r="AP276" s="371"/>
      <c r="AQ276" s="51"/>
      <c r="AR276" s="51"/>
      <c r="AS276" s="51"/>
      <c r="AT276" s="63"/>
      <c r="AU276" s="371"/>
      <c r="AV276" s="51"/>
      <c r="AW276" s="51"/>
      <c r="AX276" s="51"/>
      <c r="AY276" s="371"/>
      <c r="AZ276" s="371"/>
      <c r="BA276" s="51"/>
      <c r="BB276" s="51"/>
      <c r="BC276" s="51"/>
      <c r="BD276" s="2027"/>
      <c r="BE276" s="371"/>
      <c r="BF276" s="51"/>
      <c r="BG276" s="51"/>
      <c r="BH276" s="51"/>
      <c r="BI276" s="63"/>
      <c r="BJ276" s="51"/>
      <c r="BK276" s="51"/>
      <c r="BL276" s="51"/>
      <c r="BM276" s="51"/>
      <c r="BN276" s="63"/>
      <c r="BO276" s="51"/>
      <c r="BP276" s="51"/>
      <c r="BQ276" s="51"/>
      <c r="BR276" s="51"/>
      <c r="BS276" s="63"/>
      <c r="BT276" s="51"/>
      <c r="BU276" s="51"/>
      <c r="BV276" s="51"/>
      <c r="BW276" s="51"/>
      <c r="BX276" s="63"/>
      <c r="BY276" s="51"/>
      <c r="BZ276" s="51"/>
      <c r="CA276" s="51"/>
      <c r="CB276" s="51"/>
      <c r="CC276" s="63"/>
      <c r="CE276" s="110"/>
      <c r="CF276" s="173"/>
      <c r="CG276" s="173"/>
      <c r="CH276" s="173"/>
      <c r="CI276" s="239"/>
      <c r="CK276" s="2070"/>
      <c r="CQ276" s="456"/>
      <c r="CR276" s="456"/>
      <c r="CS276" s="51"/>
      <c r="CT276" s="51"/>
      <c r="CU276" s="51"/>
      <c r="CV276" s="51"/>
      <c r="CW276" s="51"/>
      <c r="CX276" s="51"/>
      <c r="CY276" s="110"/>
      <c r="CZ276"/>
      <c r="DA276"/>
      <c r="DB276"/>
      <c r="DC276"/>
      <c r="DD276"/>
      <c r="DE276"/>
      <c r="DF276" s="103"/>
      <c r="DG276" s="103"/>
      <c r="DH276" s="103"/>
      <c r="DI276" s="103"/>
      <c r="DJ276" s="103"/>
    </row>
    <row r="277" spans="1:114" s="250" customFormat="1" ht="12.75" customHeight="1">
      <c r="A277" s="297" t="s">
        <v>68</v>
      </c>
      <c r="B277" s="370"/>
      <c r="C277" s="328"/>
      <c r="D277" s="328"/>
      <c r="E277" s="328"/>
      <c r="F277" s="299">
        <v>0.24199999999999999</v>
      </c>
      <c r="G277" s="301"/>
      <c r="H277" s="301"/>
      <c r="I277" s="301"/>
      <c r="J277" s="328"/>
      <c r="K277" s="299">
        <v>0.11700000000000001</v>
      </c>
      <c r="L277" s="301"/>
      <c r="M277" s="301"/>
      <c r="N277" s="301"/>
      <c r="O277" s="328"/>
      <c r="P277" s="299">
        <v>0.05</v>
      </c>
      <c r="Q277" s="301"/>
      <c r="R277" s="301"/>
      <c r="S277" s="301"/>
      <c r="T277" s="328"/>
      <c r="U277" s="299">
        <v>1.2350000000000001</v>
      </c>
      <c r="V277" s="301"/>
      <c r="W277" s="301"/>
      <c r="X277" s="301"/>
      <c r="Y277" s="328"/>
      <c r="Z277" s="299">
        <v>1.2150000000000001</v>
      </c>
      <c r="AA277" s="301"/>
      <c r="AB277" s="301"/>
      <c r="AC277" s="301"/>
      <c r="AD277" s="328"/>
      <c r="AE277" s="299">
        <v>1.68</v>
      </c>
      <c r="AF277" s="328"/>
      <c r="AG277" s="328"/>
      <c r="AH277" s="328"/>
      <c r="AI277" s="329"/>
      <c r="AJ277" s="299">
        <v>1.675</v>
      </c>
      <c r="AK277" s="366">
        <v>8.9999999999999993E-3</v>
      </c>
      <c r="AL277" s="278">
        <v>2.8000000000000001E-2</v>
      </c>
      <c r="AM277" s="328">
        <v>0.35899999999999999</v>
      </c>
      <c r="AN277" s="328">
        <f>+AO277</f>
        <v>0.49099999999999999</v>
      </c>
      <c r="AO277" s="299">
        <v>0.49099999999999999</v>
      </c>
      <c r="AP277" s="437">
        <v>0.79100000000000004</v>
      </c>
      <c r="AQ277" s="302">
        <v>0.85</v>
      </c>
      <c r="AR277" s="328">
        <v>0.72299999999999998</v>
      </c>
      <c r="AS277" s="328">
        <f>+AT277</f>
        <v>2.028</v>
      </c>
      <c r="AT277" s="271">
        <v>2.028</v>
      </c>
      <c r="AU277" s="437">
        <v>1.7769999999999999</v>
      </c>
      <c r="AV277" s="302">
        <v>1.5649999999999999</v>
      </c>
      <c r="AW277" s="328">
        <v>2.907</v>
      </c>
      <c r="AX277" s="328">
        <f>+AY277</f>
        <v>1.8</v>
      </c>
      <c r="AY277" s="370">
        <v>1.8</v>
      </c>
      <c r="AZ277" s="366">
        <v>1.8</v>
      </c>
      <c r="BA277" s="302">
        <v>365.2</v>
      </c>
      <c r="BB277" s="528">
        <v>120.3</v>
      </c>
      <c r="BC277" s="328">
        <f>+BD277</f>
        <v>135.30000000000001</v>
      </c>
      <c r="BD277" s="676">
        <v>135.30000000000001</v>
      </c>
      <c r="BE277" s="366">
        <v>134.30000000000001</v>
      </c>
      <c r="BF277" s="302">
        <v>121.1</v>
      </c>
      <c r="BG277" s="302">
        <v>188.3</v>
      </c>
      <c r="BH277" s="328">
        <f>+BI277</f>
        <v>136.5</v>
      </c>
      <c r="BI277" s="1910">
        <v>136.5</v>
      </c>
      <c r="BJ277" s="366">
        <v>135</v>
      </c>
      <c r="BK277" s="302">
        <v>117</v>
      </c>
      <c r="BL277" s="302">
        <v>90</v>
      </c>
      <c r="BM277" s="328">
        <f>+BN277</f>
        <v>103.7</v>
      </c>
      <c r="BN277" s="1910">
        <v>103.7</v>
      </c>
      <c r="BO277" s="2130">
        <f>+BM277</f>
        <v>103.7</v>
      </c>
      <c r="BP277" s="2130">
        <f t="shared" ref="BP277" si="998">+BO277</f>
        <v>103.7</v>
      </c>
      <c r="BQ277" s="2130">
        <f t="shared" ref="BQ277" si="999">+BP277</f>
        <v>103.7</v>
      </c>
      <c r="BR277" s="2130">
        <f t="shared" ref="BR277" si="1000">+BQ277</f>
        <v>103.7</v>
      </c>
      <c r="BS277" s="1910">
        <f>+BR277</f>
        <v>103.7</v>
      </c>
      <c r="BT277" s="301"/>
      <c r="BU277" s="301"/>
      <c r="BV277" s="301"/>
      <c r="BW277" s="301"/>
      <c r="BX277" s="283">
        <f>+BS277</f>
        <v>103.7</v>
      </c>
      <c r="BY277" s="301"/>
      <c r="BZ277" s="301"/>
      <c r="CA277" s="301"/>
      <c r="CB277" s="301"/>
      <c r="CC277" s="283">
        <f>+BX277</f>
        <v>103.7</v>
      </c>
      <c r="CD277" s="284"/>
      <c r="CE277" s="285"/>
      <c r="CF277" s="246"/>
      <c r="CG277" s="246"/>
      <c r="CH277" s="246"/>
      <c r="CI277" s="247"/>
      <c r="CJ277" s="279"/>
      <c r="CK277" s="2077"/>
      <c r="CL277" s="279"/>
      <c r="CM277" s="279"/>
      <c r="CN277" s="279"/>
      <c r="CO277" s="279"/>
      <c r="CP277" s="279"/>
      <c r="CQ277" s="248"/>
      <c r="CR277" s="248"/>
      <c r="CS277" s="248"/>
      <c r="CT277" s="248"/>
      <c r="CU277" s="248"/>
      <c r="CV277" s="248"/>
      <c r="CW277" s="248"/>
      <c r="CX277" s="248"/>
      <c r="CY277" s="249"/>
      <c r="CZ277"/>
      <c r="DA277"/>
      <c r="DB277"/>
      <c r="DC277"/>
      <c r="DD277"/>
      <c r="DE277"/>
      <c r="DF277" s="4"/>
      <c r="DG277" s="4"/>
      <c r="DH277" s="4"/>
      <c r="DI277" s="4"/>
      <c r="DJ277" s="4"/>
    </row>
    <row r="278" spans="1:114" s="250" customFormat="1" ht="12.75" customHeight="1">
      <c r="A278" s="297" t="s">
        <v>5</v>
      </c>
      <c r="B278" s="370"/>
      <c r="C278" s="328"/>
      <c r="D278" s="328"/>
      <c r="E278" s="328"/>
      <c r="F278" s="299">
        <v>0.92400000000000004</v>
      </c>
      <c r="G278" s="301"/>
      <c r="H278" s="301"/>
      <c r="I278" s="301"/>
      <c r="J278" s="328"/>
      <c r="K278" s="299">
        <v>1.034</v>
      </c>
      <c r="L278" s="301"/>
      <c r="M278" s="301"/>
      <c r="N278" s="301"/>
      <c r="O278" s="328"/>
      <c r="P278" s="299">
        <v>0.89200000000000002</v>
      </c>
      <c r="Q278" s="301"/>
      <c r="R278" s="301"/>
      <c r="S278" s="301"/>
      <c r="T278" s="328"/>
      <c r="U278" s="299">
        <v>6.5780000000000003</v>
      </c>
      <c r="V278" s="301"/>
      <c r="W278" s="301"/>
      <c r="X278" s="301"/>
      <c r="Y278" s="328"/>
      <c r="Z278" s="299">
        <v>6.7690000000000001</v>
      </c>
      <c r="AA278" s="301"/>
      <c r="AB278" s="301"/>
      <c r="AC278" s="301"/>
      <c r="AD278" s="328"/>
      <c r="AE278" s="299">
        <v>8.7560000000000002</v>
      </c>
      <c r="AF278" s="328"/>
      <c r="AG278" s="328"/>
      <c r="AH278" s="328"/>
      <c r="AI278" s="329"/>
      <c r="AJ278" s="299">
        <v>8.5649999999999995</v>
      </c>
      <c r="AK278" s="366">
        <v>10.382999999999999</v>
      </c>
      <c r="AL278" s="278">
        <v>8.3290000000000006</v>
      </c>
      <c r="AM278" s="328">
        <v>12.286</v>
      </c>
      <c r="AN278" s="328">
        <f>+AO278</f>
        <v>22.108000000000001</v>
      </c>
      <c r="AO278" s="299">
        <v>22.108000000000001</v>
      </c>
      <c r="AP278" s="437">
        <v>20.227</v>
      </c>
      <c r="AQ278" s="302">
        <v>23.591000000000001</v>
      </c>
      <c r="AR278" s="328">
        <v>36.534999999999997</v>
      </c>
      <c r="AS278" s="328">
        <f>+AT278</f>
        <v>43.110999999999997</v>
      </c>
      <c r="AT278" s="299">
        <v>43.110999999999997</v>
      </c>
      <c r="AU278" s="437">
        <v>227.738</v>
      </c>
      <c r="AV278" s="302">
        <v>216.96899999999999</v>
      </c>
      <c r="AW278" s="328">
        <v>241.35400000000001</v>
      </c>
      <c r="AX278" s="328">
        <f>+AY278</f>
        <v>252.7</v>
      </c>
      <c r="AY278" s="366">
        <v>252.7</v>
      </c>
      <c r="AZ278" s="366">
        <v>245.1</v>
      </c>
      <c r="BA278" s="302">
        <v>1030</v>
      </c>
      <c r="BB278" s="301">
        <v>958.4</v>
      </c>
      <c r="BC278" s="328">
        <f>+BD278</f>
        <v>1063.7</v>
      </c>
      <c r="BD278" s="2019">
        <v>1063.7</v>
      </c>
      <c r="BE278" s="366">
        <v>997.7</v>
      </c>
      <c r="BF278" s="278">
        <v>986.1</v>
      </c>
      <c r="BG278" s="278">
        <v>912</v>
      </c>
      <c r="BH278" s="328">
        <f>+BI278</f>
        <v>1056.3</v>
      </c>
      <c r="BI278" s="299">
        <v>1056.3</v>
      </c>
      <c r="BJ278" s="366">
        <v>990.7</v>
      </c>
      <c r="BK278" s="278">
        <v>1077.7</v>
      </c>
      <c r="BL278" s="278">
        <v>1158</v>
      </c>
      <c r="BM278" s="328">
        <f>+BN278</f>
        <v>1250.7</v>
      </c>
      <c r="BN278" s="299">
        <v>1250.7</v>
      </c>
      <c r="BO278" s="301">
        <f>Model!BO$140/90*BO279</f>
        <v>1148.0571781254387</v>
      </c>
      <c r="BP278" s="301">
        <f>Model!BP$140/90*BP279</f>
        <v>1208.7688711018925</v>
      </c>
      <c r="BQ278" s="301">
        <f>Model!BQ$140/90*BQ279</f>
        <v>1238.4984405916402</v>
      </c>
      <c r="BR278" s="301">
        <f>Model!BR$140/90*BR279</f>
        <v>1257.8103374219602</v>
      </c>
      <c r="BS278" s="299">
        <f>+BR278</f>
        <v>1257.8103374219602</v>
      </c>
      <c r="BT278" s="301"/>
      <c r="BU278" s="301"/>
      <c r="BV278" s="301"/>
      <c r="BW278" s="301"/>
      <c r="BX278" s="299">
        <f>Model!BX$140/360*BX279</f>
        <v>1341.2827705063737</v>
      </c>
      <c r="BY278" s="301"/>
      <c r="BZ278" s="301"/>
      <c r="CA278" s="301"/>
      <c r="CB278" s="301"/>
      <c r="CC278" s="299">
        <f>Model!CC$140/360*CC279</f>
        <v>1431.4927729498713</v>
      </c>
      <c r="CD278" s="302"/>
      <c r="CE278" s="303"/>
      <c r="CF278" s="246"/>
      <c r="CG278" s="246"/>
      <c r="CH278" s="246"/>
      <c r="CI278" s="247"/>
      <c r="CJ278" s="279"/>
      <c r="CK278" s="2077"/>
      <c r="CL278" s="279"/>
      <c r="CM278" s="279"/>
      <c r="CN278" s="279"/>
      <c r="CO278" s="279"/>
      <c r="CP278" s="279"/>
      <c r="CQ278" s="40"/>
      <c r="CR278" s="248"/>
      <c r="CS278" s="248"/>
      <c r="CT278" s="248"/>
      <c r="CU278" s="248"/>
      <c r="CV278" s="248"/>
      <c r="CW278" s="248"/>
      <c r="CX278" s="248"/>
      <c r="CY278" s="249"/>
      <c r="CZ278"/>
      <c r="DA278"/>
      <c r="DB278"/>
      <c r="DC278"/>
      <c r="DD278"/>
      <c r="DE278"/>
      <c r="DF278" s="4"/>
      <c r="DG278" s="4"/>
      <c r="DH278" s="4"/>
      <c r="DI278" s="4"/>
      <c r="DJ278" s="4"/>
    </row>
    <row r="279" spans="1:114" s="1" customFormat="1" ht="12.75" customHeight="1">
      <c r="A279" s="12" t="s">
        <v>70</v>
      </c>
      <c r="B279" s="372"/>
      <c r="C279" s="35"/>
      <c r="D279" s="35"/>
      <c r="E279" s="35"/>
      <c r="F279" s="70">
        <f>F278/(Model!F$140/360)</f>
        <v>10.781796966161027</v>
      </c>
      <c r="G279" s="35"/>
      <c r="H279" s="35"/>
      <c r="I279" s="35"/>
      <c r="J279" s="35"/>
      <c r="K279" s="70">
        <f>K278/(Model!K$140/360)</f>
        <v>11.8562874251497</v>
      </c>
      <c r="L279" s="35"/>
      <c r="M279" s="35"/>
      <c r="N279" s="35"/>
      <c r="O279" s="35"/>
      <c r="P279" s="70">
        <f>P278/(Model!P$140/360)</f>
        <v>8.249922926729008</v>
      </c>
      <c r="Q279" s="35"/>
      <c r="R279" s="35"/>
      <c r="S279" s="35"/>
      <c r="T279" s="35"/>
      <c r="U279" s="70">
        <f>U278/(Model!U$140/360)</f>
        <v>25.844501680708952</v>
      </c>
      <c r="V279" s="35"/>
      <c r="W279" s="35"/>
      <c r="X279" s="35"/>
      <c r="Y279" s="35"/>
      <c r="Z279" s="70">
        <f>Z278/(Model!Z$140/360)</f>
        <v>29.220106479927097</v>
      </c>
      <c r="AA279" s="35"/>
      <c r="AB279" s="35"/>
      <c r="AC279" s="35"/>
      <c r="AD279" s="35"/>
      <c r="AE279" s="70">
        <f>AE278/(Model!AE$140/360)</f>
        <v>24.138390498288501</v>
      </c>
      <c r="AF279" s="35"/>
      <c r="AG279" s="35"/>
      <c r="AH279" s="35"/>
      <c r="AI279" s="22"/>
      <c r="AJ279" s="70">
        <f>AJ278/(Model!AJ$140/360)</f>
        <v>20.93307444771823</v>
      </c>
      <c r="AK279" s="372"/>
      <c r="AL279" s="35"/>
      <c r="AM279" s="35"/>
      <c r="AN279" s="14"/>
      <c r="AO279" s="70">
        <f>AO278/(Model!AO$140/360)</f>
        <v>33.473724055264654</v>
      </c>
      <c r="AP279" s="442"/>
      <c r="AQ279" s="202"/>
      <c r="AR279" s="35"/>
      <c r="AS279" s="14"/>
      <c r="AT279" s="70">
        <f>AT278/(Model!AT$140/360)</f>
        <v>26.814214334584204</v>
      </c>
      <c r="AU279" s="442"/>
      <c r="AV279" s="202"/>
      <c r="AW279" s="35"/>
      <c r="AX279" s="14"/>
      <c r="AY279" s="372">
        <f>AY278/(Model!AY$140/360)</f>
        <v>53.45602623089534</v>
      </c>
      <c r="AZ279" s="2132">
        <f>AZ278/(Model!AZ$140/90)</f>
        <v>50.043103448275858</v>
      </c>
      <c r="BA279" s="14">
        <f>BA278/(Model!BA$140/90)</f>
        <v>131.06178424996466</v>
      </c>
      <c r="BB279" s="14">
        <f>BB278/(Model!BB$140/90)</f>
        <v>69.713084943021101</v>
      </c>
      <c r="BC279" s="14">
        <f>BC278/(Model!BC$140/90)</f>
        <v>53.601903695408737</v>
      </c>
      <c r="BD279" s="2028">
        <f>BD278/(Model!BD$140/360)</f>
        <v>91.799395886273203</v>
      </c>
      <c r="BE279" s="2132">
        <f>BE278/(Model!BE$140/90)</f>
        <v>46.163693383373605</v>
      </c>
      <c r="BF279" s="14">
        <f>BF278/(Model!BF$140/90)</f>
        <v>44.974915116809406</v>
      </c>
      <c r="BG279" s="14">
        <f>BG278/(Model!BG$140/90)</f>
        <v>40.868352917745469</v>
      </c>
      <c r="BH279" s="14">
        <f>BH278/(Model!BH$140/90)</f>
        <v>48.523376888525931</v>
      </c>
      <c r="BI279" s="2028">
        <f>BI278/(Model!BI$140/360)</f>
        <v>48.220644179558718</v>
      </c>
      <c r="BJ279" s="2132">
        <f>BJ278/(Model!BJ$140/90)</f>
        <v>47.243681449690037</v>
      </c>
      <c r="BK279" s="14">
        <f>BK278/(Model!BK$140/90)</f>
        <v>49.245024370430549</v>
      </c>
      <c r="BL279" s="14">
        <f>BL278/(Model!BL$140/90)</f>
        <v>51.020707886620649</v>
      </c>
      <c r="BM279" s="14">
        <f>BM278/(Model!BM$140/90)</f>
        <v>50.494796339493995</v>
      </c>
      <c r="BN279" s="2028">
        <f>BN278/(Model!BN$140/360)</f>
        <v>55.389725420726315</v>
      </c>
      <c r="BO279" s="22">
        <v>47.5</v>
      </c>
      <c r="BP279" s="22">
        <v>49</v>
      </c>
      <c r="BQ279" s="22">
        <v>50</v>
      </c>
      <c r="BR279" s="22">
        <v>49</v>
      </c>
      <c r="BS279" s="2028">
        <f>BS278/(Model!BS$140/360)</f>
        <v>50.678339074963887</v>
      </c>
      <c r="BT279" s="75">
        <f t="shared" ref="BT279:CB279" si="1001">BO279+0.2</f>
        <v>47.7</v>
      </c>
      <c r="BU279" s="75">
        <f t="shared" si="1001"/>
        <v>49.2</v>
      </c>
      <c r="BV279" s="75">
        <f t="shared" si="1001"/>
        <v>50.2</v>
      </c>
      <c r="BW279" s="75">
        <f t="shared" si="1001"/>
        <v>49.2</v>
      </c>
      <c r="BX279" s="75">
        <f>BS279-0.1</f>
        <v>50.578339074963885</v>
      </c>
      <c r="BY279" s="75">
        <f t="shared" si="1001"/>
        <v>47.900000000000006</v>
      </c>
      <c r="BZ279" s="75">
        <f t="shared" si="1001"/>
        <v>49.400000000000006</v>
      </c>
      <c r="CA279" s="75">
        <f t="shared" si="1001"/>
        <v>50.400000000000006</v>
      </c>
      <c r="CB279" s="75">
        <f t="shared" si="1001"/>
        <v>49.400000000000006</v>
      </c>
      <c r="CC279" s="75">
        <f>BX279-0.1</f>
        <v>50.478339074963884</v>
      </c>
      <c r="CD279" s="202"/>
      <c r="CE279" s="125"/>
      <c r="CF279" s="173"/>
      <c r="CG279" s="173"/>
      <c r="CH279" s="173"/>
      <c r="CI279" s="239"/>
      <c r="CJ279" s="177"/>
      <c r="CK279" s="2070"/>
      <c r="CL279" s="177"/>
      <c r="CM279" s="177"/>
      <c r="CN279" s="177"/>
      <c r="CO279" s="177"/>
      <c r="CP279" s="177"/>
      <c r="CQ279" s="40"/>
      <c r="CR279" s="40"/>
      <c r="CS279" s="40"/>
      <c r="CT279" s="40"/>
      <c r="CU279" s="40"/>
      <c r="CV279" s="40"/>
      <c r="CW279" s="40"/>
      <c r="CX279" s="40"/>
      <c r="CY279" s="139"/>
      <c r="CZ279"/>
      <c r="DA279"/>
      <c r="DB279"/>
      <c r="DC279"/>
      <c r="DD279"/>
      <c r="DE279"/>
      <c r="DF279" s="3"/>
      <c r="DG279" s="3"/>
      <c r="DH279" s="3"/>
      <c r="DI279" s="3"/>
      <c r="DJ279" s="3"/>
    </row>
    <row r="280" spans="1:114" s="250" customFormat="1" ht="12.75" customHeight="1">
      <c r="A280" s="297" t="s">
        <v>122</v>
      </c>
      <c r="B280" s="370"/>
      <c r="C280" s="328"/>
      <c r="D280" s="328"/>
      <c r="E280" s="328"/>
      <c r="F280" s="299">
        <f>F282-F277-F278</f>
        <v>3.2150000000000003</v>
      </c>
      <c r="G280" s="278"/>
      <c r="H280" s="278"/>
      <c r="I280" s="278"/>
      <c r="J280" s="278"/>
      <c r="K280" s="299">
        <f>K282-K277-K278</f>
        <v>3.7190000000000003</v>
      </c>
      <c r="L280" s="278"/>
      <c r="M280" s="278"/>
      <c r="N280" s="278"/>
      <c r="O280" s="278"/>
      <c r="P280" s="299">
        <f>P282-P277-P278</f>
        <v>3.93</v>
      </c>
      <c r="Q280" s="278"/>
      <c r="R280" s="278"/>
      <c r="S280" s="278"/>
      <c r="T280" s="278"/>
      <c r="U280" s="299">
        <f>U282-U277-U278</f>
        <v>2.5830000000000011</v>
      </c>
      <c r="V280" s="278"/>
      <c r="W280" s="278"/>
      <c r="X280" s="278"/>
      <c r="Y280" s="278"/>
      <c r="Z280" s="299">
        <f>Z282-Z277-Z278</f>
        <v>10.08</v>
      </c>
      <c r="AA280" s="278"/>
      <c r="AB280" s="278"/>
      <c r="AC280" s="278"/>
      <c r="AD280" s="278"/>
      <c r="AE280" s="299">
        <f>AE282-AE277-AE278</f>
        <v>4.8149999999999995</v>
      </c>
      <c r="AF280" s="278"/>
      <c r="AG280" s="278"/>
      <c r="AH280" s="278"/>
      <c r="AI280" s="329"/>
      <c r="AJ280" s="299">
        <f>AJ282-AJ277-AJ278</f>
        <v>5.8310000000000013</v>
      </c>
      <c r="AK280" s="366">
        <f>AK282-AK277-AK278</f>
        <v>7.7959999999999994</v>
      </c>
      <c r="AL280" s="278">
        <f>AL282-AL277-AL278</f>
        <v>8.3990000000000009</v>
      </c>
      <c r="AM280" s="278">
        <f>AM282-AM277-AM278</f>
        <v>16.052999999999997</v>
      </c>
      <c r="AN280" s="328">
        <f>+AO280</f>
        <v>26.428000000000001</v>
      </c>
      <c r="AO280" s="299">
        <f>AO282-AO277-AO278</f>
        <v>26.428000000000001</v>
      </c>
      <c r="AP280" s="437">
        <f>AP282-AP277-AP278</f>
        <v>24.574000000000002</v>
      </c>
      <c r="AQ280" s="302">
        <f>AQ282-AQ277-AQ278</f>
        <v>30.850999999999999</v>
      </c>
      <c r="AR280" s="278">
        <f>AR282-AR277-AR278</f>
        <v>47.06</v>
      </c>
      <c r="AS280" s="328">
        <f>+AT280</f>
        <v>54.193999999999996</v>
      </c>
      <c r="AT280" s="299">
        <f>AT282-AT277-AT278</f>
        <v>54.193999999999996</v>
      </c>
      <c r="AU280" s="437">
        <f>AU282-AU277-AU278</f>
        <v>71.69</v>
      </c>
      <c r="AV280" s="302">
        <f>AV282-AV277-AV278</f>
        <v>54.220000000000027</v>
      </c>
      <c r="AW280" s="278">
        <f>AW282-AW277-AW278</f>
        <v>101.309</v>
      </c>
      <c r="AX280" s="328">
        <f>+AY280</f>
        <v>126.60000000000002</v>
      </c>
      <c r="AY280" s="366">
        <f>AY282-AY277-AY278</f>
        <v>126.60000000000002</v>
      </c>
      <c r="AZ280" s="366">
        <f>AZ282-AZ277-AZ278</f>
        <v>151.49999999999997</v>
      </c>
      <c r="BA280" s="302">
        <f>BA282-BA277-BA278</f>
        <v>734.2</v>
      </c>
      <c r="BB280" s="302">
        <f>BB282-BB277-BB278</f>
        <v>870.1</v>
      </c>
      <c r="BC280" s="328">
        <f>+BD280</f>
        <v>1495.3999999999999</v>
      </c>
      <c r="BD280" s="2019">
        <f>BD282-BD277-BD278</f>
        <v>1495.3999999999999</v>
      </c>
      <c r="BE280" s="366">
        <f>BE282-BE277-BE278</f>
        <v>1580.8999999999999</v>
      </c>
      <c r="BF280" s="278">
        <f>BF282-BF277-BF278</f>
        <v>1533</v>
      </c>
      <c r="BG280" s="278">
        <f>BG282-BG277-BG278</f>
        <v>1593.6</v>
      </c>
      <c r="BH280" s="328">
        <f>+BI280</f>
        <v>1538.8</v>
      </c>
      <c r="BI280" s="2019">
        <f>BI282-BI277-BI278</f>
        <v>1538.8</v>
      </c>
      <c r="BJ280" s="366">
        <f>BJ282-BJ277-BJ278</f>
        <v>1471.6000000000001</v>
      </c>
      <c r="BK280" s="278">
        <f>BK282-BK277-BK278</f>
        <v>1538.9999999999998</v>
      </c>
      <c r="BL280" s="278">
        <f>BL282-BL277-BL278</f>
        <v>1659.6999999999998</v>
      </c>
      <c r="BM280" s="328">
        <f>+BN280</f>
        <v>1642.7</v>
      </c>
      <c r="BN280" s="2019">
        <f>BN282-BN277-BN278</f>
        <v>1642.7</v>
      </c>
      <c r="BO280" s="278">
        <f>Model!BO$182*BO281*4</f>
        <v>1567.7594466577825</v>
      </c>
      <c r="BP280" s="278">
        <f>Model!BP$182*BP281*4</f>
        <v>1732.8294418981832</v>
      </c>
      <c r="BQ280" s="278">
        <f>Model!BQ$182*BQ281*4</f>
        <v>1749.7879855000378</v>
      </c>
      <c r="BR280" s="278">
        <f>Model!BR$182*BR281*4</f>
        <v>1813.3392003495642</v>
      </c>
      <c r="BS280" s="299">
        <f>+BR280</f>
        <v>1813.3392003495642</v>
      </c>
      <c r="BT280" s="312"/>
      <c r="BU280" s="312"/>
      <c r="BV280" s="312"/>
      <c r="BW280" s="312"/>
      <c r="BX280" s="299">
        <f>Model!BX$182*BX281</f>
        <v>1937.5014922065991</v>
      </c>
      <c r="BY280" s="312"/>
      <c r="BZ280" s="312"/>
      <c r="CA280" s="312"/>
      <c r="CB280" s="312"/>
      <c r="CC280" s="299">
        <f>Model!CC$182*CC281</f>
        <v>2071.9075195129349</v>
      </c>
      <c r="CD280" s="307"/>
      <c r="CE280" s="315"/>
      <c r="CF280" s="246"/>
      <c r="CG280" s="246"/>
      <c r="CH280" s="246"/>
      <c r="CI280" s="247"/>
      <c r="CJ280" s="279"/>
      <c r="CK280" s="2077"/>
      <c r="CL280" s="279"/>
      <c r="CM280" s="279"/>
      <c r="CN280" s="279"/>
      <c r="CO280" s="279"/>
      <c r="CP280" s="279"/>
      <c r="CQ280" s="248"/>
      <c r="CR280" s="248"/>
      <c r="CS280" s="248"/>
      <c r="CT280" s="248"/>
      <c r="CU280" s="248"/>
      <c r="CV280" s="248"/>
      <c r="CW280" s="248"/>
      <c r="CX280" s="248"/>
      <c r="CY280" s="249"/>
      <c r="CZ280"/>
      <c r="DA280"/>
      <c r="DB280"/>
      <c r="DC280"/>
      <c r="DD280"/>
      <c r="DE280"/>
      <c r="DF280" s="4"/>
      <c r="DG280" s="4"/>
      <c r="DH280" s="4"/>
      <c r="DI280" s="4"/>
      <c r="DJ280" s="4"/>
    </row>
    <row r="281" spans="1:114" s="1" customFormat="1" ht="12.75" customHeight="1">
      <c r="A281" s="12" t="s">
        <v>39</v>
      </c>
      <c r="B281" s="569"/>
      <c r="C281" s="34"/>
      <c r="D281" s="34"/>
      <c r="E281" s="34"/>
      <c r="F281" s="60"/>
      <c r="G281" s="18"/>
      <c r="H281" s="18"/>
      <c r="I281" s="18"/>
      <c r="J281" s="18"/>
      <c r="K281" s="60">
        <f>K280/Model!K$182</f>
        <v>8.8146761157592873E-2</v>
      </c>
      <c r="L281" s="18"/>
      <c r="M281" s="18"/>
      <c r="N281" s="18"/>
      <c r="O281" s="18"/>
      <c r="P281" s="60">
        <f>P280/Model!P$182</f>
        <v>7.6303271527036212E-2</v>
      </c>
      <c r="Q281" s="18"/>
      <c r="R281" s="18"/>
      <c r="S281" s="18"/>
      <c r="T281" s="18"/>
      <c r="U281" s="60">
        <f>U280/Model!U$182</f>
        <v>2.359723008898066E-2</v>
      </c>
      <c r="V281" s="18"/>
      <c r="W281" s="18"/>
      <c r="X281" s="18"/>
      <c r="Y281" s="18"/>
      <c r="Z281" s="60">
        <f>Z280/Model!Z$182</f>
        <v>0.1006630981864664</v>
      </c>
      <c r="AA281" s="18"/>
      <c r="AB281" s="18"/>
      <c r="AC281" s="18"/>
      <c r="AD281" s="18"/>
      <c r="AE281" s="60">
        <f>AE280/Model!AE$182</f>
        <v>3.047719116129808E-2</v>
      </c>
      <c r="AF281" s="18"/>
      <c r="AG281" s="18"/>
      <c r="AH281" s="18"/>
      <c r="AI281" s="5"/>
      <c r="AJ281" s="60">
        <f>AJ280/Model!AJ$182</f>
        <v>3.292936366305993E-2</v>
      </c>
      <c r="AK281" s="368"/>
      <c r="AL281" s="18"/>
      <c r="AM281" s="18"/>
      <c r="AN281" s="5"/>
      <c r="AO281" s="60">
        <f>AO280/Model!AO$182</f>
        <v>9.4863078850357677E-2</v>
      </c>
      <c r="AP281" s="439"/>
      <c r="AQ281" s="443"/>
      <c r="AR281" s="18"/>
      <c r="AS281" s="5"/>
      <c r="AT281" s="60">
        <f>AT280/Model!AT$182</f>
        <v>7.716612345383686E-2</v>
      </c>
      <c r="AU281" s="439"/>
      <c r="AV281" s="443"/>
      <c r="AW281" s="18"/>
      <c r="AX281" s="5"/>
      <c r="AY281" s="368">
        <f>AY280/Model!AY$182</f>
        <v>5.3721873459103071E-2</v>
      </c>
      <c r="AZ281" s="620"/>
      <c r="BA281" s="443"/>
      <c r="BB281" s="5"/>
      <c r="BC281" s="5"/>
      <c r="BD281" s="1998">
        <f>BD280/Model!BD$182</f>
        <v>0.19616176721367387</v>
      </c>
      <c r="BE281" s="368">
        <f>BE280/Model!BE$182/4</f>
        <v>0.11146600107172067</v>
      </c>
      <c r="BF281" s="18">
        <f>BF280/Model!BF$182/4</f>
        <v>0.10405071539108951</v>
      </c>
      <c r="BG281" s="18">
        <f>BG280/Model!BG$182/4</f>
        <v>0.10727556680488985</v>
      </c>
      <c r="BH281" s="18">
        <f>BH280/Model!BH$182/4</f>
        <v>0.1046347168579666</v>
      </c>
      <c r="BI281" s="1998">
        <f>BI280/Model!BI$182</f>
        <v>0.10525739770442015</v>
      </c>
      <c r="BJ281" s="368">
        <f>BJ280/Model!BJ$182/4</f>
        <v>0.1039412346376607</v>
      </c>
      <c r="BK281" s="18">
        <f>BK280/Model!BK$182/4</f>
        <v>0.10231896391245378</v>
      </c>
      <c r="BL281" s="18">
        <f>BL280/Model!BL$182/4</f>
        <v>0.10674410228705203</v>
      </c>
      <c r="BM281" s="18">
        <f>BM280/Model!BM$182/4</f>
        <v>9.7921981926130816E-2</v>
      </c>
      <c r="BN281" s="1998">
        <f>BN280/Model!BN$182</f>
        <v>0.1068019868927494</v>
      </c>
      <c r="BO281" s="653">
        <v>0.1</v>
      </c>
      <c r="BP281" s="653">
        <v>0.104</v>
      </c>
      <c r="BQ281" s="653">
        <v>0.104</v>
      </c>
      <c r="BR281" s="653">
        <v>0.104</v>
      </c>
      <c r="BS281" s="1998">
        <f>BS280/Model!BS$182</f>
        <v>0.10890884535386801</v>
      </c>
      <c r="BT281" s="5"/>
      <c r="BU281" s="5"/>
      <c r="BV281" s="5"/>
      <c r="BW281" s="5"/>
      <c r="BX281" s="74">
        <f>+BS281</f>
        <v>0.10890884535386801</v>
      </c>
      <c r="BY281" s="5"/>
      <c r="BZ281" s="5"/>
      <c r="CA281" s="5"/>
      <c r="CB281" s="5"/>
      <c r="CC281" s="74">
        <f>+BX281</f>
        <v>0.10890884535386801</v>
      </c>
      <c r="CD281" s="192"/>
      <c r="CE281" s="112"/>
      <c r="CF281" s="173"/>
      <c r="CG281" s="173"/>
      <c r="CH281" s="173"/>
      <c r="CI281" s="239"/>
      <c r="CJ281" s="177"/>
      <c r="CK281" s="2070"/>
      <c r="CL281" s="177"/>
      <c r="CM281" s="177"/>
      <c r="CN281" s="177"/>
      <c r="CO281" s="177"/>
      <c r="CP281" s="177"/>
      <c r="CQ281" s="40"/>
      <c r="CR281" s="40"/>
      <c r="CS281" s="40"/>
      <c r="CT281" s="40"/>
      <c r="CU281" s="40"/>
      <c r="CV281" s="40"/>
      <c r="CW281" s="40"/>
      <c r="CX281" s="40"/>
      <c r="CY281" s="139"/>
      <c r="CZ281"/>
      <c r="DA281"/>
      <c r="DB281"/>
      <c r="DC281"/>
      <c r="DD281"/>
      <c r="DE281"/>
      <c r="DF281" s="3"/>
      <c r="DG281" s="3"/>
      <c r="DH281" s="3"/>
      <c r="DI281" s="3"/>
      <c r="DJ281" s="3"/>
    </row>
    <row r="282" spans="1:114" s="250" customFormat="1" ht="12.75" customHeight="1">
      <c r="A282" s="10" t="s">
        <v>120</v>
      </c>
      <c r="B282" s="369"/>
      <c r="C282" s="11"/>
      <c r="D282" s="11"/>
      <c r="E282" s="11"/>
      <c r="F282" s="324">
        <v>4.3810000000000002</v>
      </c>
      <c r="G282" s="11"/>
      <c r="H282" s="11"/>
      <c r="I282" s="11"/>
      <c r="J282" s="11"/>
      <c r="K282" s="324">
        <v>4.87</v>
      </c>
      <c r="L282" s="11"/>
      <c r="M282" s="11"/>
      <c r="N282" s="11"/>
      <c r="O282" s="11"/>
      <c r="P282" s="324">
        <v>4.8719999999999999</v>
      </c>
      <c r="Q282" s="11"/>
      <c r="R282" s="11"/>
      <c r="S282" s="11"/>
      <c r="T282" s="11"/>
      <c r="U282" s="324">
        <v>10.396000000000001</v>
      </c>
      <c r="V282" s="11"/>
      <c r="W282" s="11"/>
      <c r="X282" s="11"/>
      <c r="Y282" s="11"/>
      <c r="Z282" s="324">
        <v>18.064</v>
      </c>
      <c r="AA282" s="11"/>
      <c r="AB282" s="11"/>
      <c r="AC282" s="11"/>
      <c r="AD282" s="11"/>
      <c r="AE282" s="324">
        <v>15.250999999999999</v>
      </c>
      <c r="AF282" s="11"/>
      <c r="AG282" s="11"/>
      <c r="AH282" s="11"/>
      <c r="AI282" s="11"/>
      <c r="AJ282" s="324">
        <v>16.071000000000002</v>
      </c>
      <c r="AK282" s="369">
        <v>18.187999999999999</v>
      </c>
      <c r="AL282" s="11">
        <v>16.756</v>
      </c>
      <c r="AM282" s="11">
        <v>28.698</v>
      </c>
      <c r="AN282" s="11">
        <f>+AO282</f>
        <v>49.027000000000001</v>
      </c>
      <c r="AO282" s="324">
        <v>49.027000000000001</v>
      </c>
      <c r="AP282" s="440">
        <v>45.591999999999999</v>
      </c>
      <c r="AQ282" s="326">
        <v>55.292000000000002</v>
      </c>
      <c r="AR282" s="11">
        <v>84.317999999999998</v>
      </c>
      <c r="AS282" s="11">
        <f>+AT282</f>
        <v>99.332999999999998</v>
      </c>
      <c r="AT282" s="324">
        <v>99.332999999999998</v>
      </c>
      <c r="AU282" s="440">
        <v>301.20499999999998</v>
      </c>
      <c r="AV282" s="326">
        <v>272.75400000000002</v>
      </c>
      <c r="AW282" s="11">
        <v>345.57</v>
      </c>
      <c r="AX282" s="11">
        <f>+AY282</f>
        <v>381.1</v>
      </c>
      <c r="AY282" s="369">
        <v>381.1</v>
      </c>
      <c r="AZ282" s="369">
        <v>398.4</v>
      </c>
      <c r="BA282" s="326">
        <v>2129.4</v>
      </c>
      <c r="BB282" s="11">
        <v>1948.8</v>
      </c>
      <c r="BC282" s="11">
        <f>+BD282</f>
        <v>2694.4</v>
      </c>
      <c r="BD282" s="674">
        <v>2694.4</v>
      </c>
      <c r="BE282" s="369">
        <v>2712.9</v>
      </c>
      <c r="BF282" s="11">
        <v>2640.2</v>
      </c>
      <c r="BG282" s="11">
        <v>2693.9</v>
      </c>
      <c r="BH282" s="11">
        <f>+BI282</f>
        <v>2731.6</v>
      </c>
      <c r="BI282" s="324">
        <v>2731.6</v>
      </c>
      <c r="BJ282" s="369">
        <v>2597.3000000000002</v>
      </c>
      <c r="BK282" s="11">
        <v>2733.7</v>
      </c>
      <c r="BL282" s="11">
        <v>2907.7</v>
      </c>
      <c r="BM282" s="11">
        <f>+BN282</f>
        <v>2997.1</v>
      </c>
      <c r="BN282" s="324">
        <v>2997.1</v>
      </c>
      <c r="BO282" s="11">
        <f t="shared" ref="BO282:BR282" si="1002">BO277+BO278+BO280</f>
        <v>2819.5166247832212</v>
      </c>
      <c r="BP282" s="11">
        <f t="shared" si="1002"/>
        <v>3045.2983130000757</v>
      </c>
      <c r="BQ282" s="11">
        <f t="shared" si="1002"/>
        <v>3091.9864260916784</v>
      </c>
      <c r="BR282" s="11">
        <f t="shared" si="1002"/>
        <v>3174.8495377715244</v>
      </c>
      <c r="BS282" s="324">
        <f>BS277+BS278+BS280</f>
        <v>3174.8495377715244</v>
      </c>
      <c r="BT282" s="11"/>
      <c r="BU282" s="11"/>
      <c r="BV282" s="11"/>
      <c r="BW282" s="11"/>
      <c r="BX282" s="324">
        <f>BX277+BX278+BX280</f>
        <v>3382.4842627129728</v>
      </c>
      <c r="BY282" s="11"/>
      <c r="BZ282" s="11"/>
      <c r="CA282" s="11"/>
      <c r="CB282" s="11"/>
      <c r="CC282" s="324">
        <f>CC277+CC278+CC280</f>
        <v>3607.1002924628065</v>
      </c>
      <c r="CD282" s="326"/>
      <c r="CE282" s="327"/>
      <c r="CF282" s="246"/>
      <c r="CG282" s="246"/>
      <c r="CH282" s="246"/>
      <c r="CI282" s="247"/>
      <c r="CJ282" s="279"/>
      <c r="CK282" s="2077"/>
      <c r="CL282" s="279"/>
      <c r="CM282" s="279"/>
      <c r="CN282" s="279"/>
      <c r="CO282" s="279"/>
      <c r="CP282" s="279"/>
      <c r="CQ282" s="248"/>
      <c r="CR282" s="248"/>
      <c r="CS282" s="248"/>
      <c r="CT282" s="248"/>
      <c r="CU282" s="248"/>
      <c r="CV282" s="248"/>
      <c r="CW282" s="248"/>
      <c r="CX282" s="248"/>
      <c r="CY282" s="249"/>
      <c r="CZ282"/>
      <c r="DA282"/>
      <c r="DB282"/>
      <c r="DC282"/>
      <c r="DD282"/>
      <c r="DE282"/>
      <c r="DF282" s="4"/>
      <c r="DG282" s="4"/>
      <c r="DH282" s="4"/>
      <c r="DI282" s="4"/>
      <c r="DJ282" s="4"/>
    </row>
    <row r="283" spans="1:114" s="250" customFormat="1" ht="12.75" customHeight="1">
      <c r="A283" s="297" t="s">
        <v>176</v>
      </c>
      <c r="B283" s="370"/>
      <c r="C283" s="328"/>
      <c r="D283" s="328"/>
      <c r="E283" s="328"/>
      <c r="F283" s="299">
        <f>1.764+0.824</f>
        <v>2.5880000000000001</v>
      </c>
      <c r="G283" s="328"/>
      <c r="H283" s="328"/>
      <c r="I283" s="328"/>
      <c r="J283" s="328"/>
      <c r="K283" s="299">
        <f>1.159+0.127</f>
        <v>1.286</v>
      </c>
      <c r="L283" s="328"/>
      <c r="M283" s="328"/>
      <c r="N283" s="328"/>
      <c r="O283" s="328"/>
      <c r="P283" s="299">
        <v>3.4000000000000002E-2</v>
      </c>
      <c r="Q283" s="328"/>
      <c r="R283" s="328"/>
      <c r="S283" s="328"/>
      <c r="T283" s="328"/>
      <c r="U283" s="299">
        <f>2.32+1.4</f>
        <v>3.7199999999999998</v>
      </c>
      <c r="V283" s="328"/>
      <c r="W283" s="328"/>
      <c r="X283" s="328"/>
      <c r="Y283" s="328"/>
      <c r="Z283" s="299">
        <v>0.21299999999999999</v>
      </c>
      <c r="AA283" s="328"/>
      <c r="AB283" s="328"/>
      <c r="AC283" s="328"/>
      <c r="AD283" s="328"/>
      <c r="AE283" s="299">
        <f>2.749+2.083</f>
        <v>4.8320000000000007</v>
      </c>
      <c r="AF283" s="328"/>
      <c r="AG283" s="328"/>
      <c r="AH283" s="328"/>
      <c r="AI283" s="328"/>
      <c r="AJ283" s="271">
        <v>0.45400000000000001</v>
      </c>
      <c r="AK283" s="370">
        <v>3.5000000000000003E-2</v>
      </c>
      <c r="AL283" s="4">
        <v>0.10299999999999999</v>
      </c>
      <c r="AM283" s="328">
        <v>92.757000000000005</v>
      </c>
      <c r="AN283" s="328">
        <f>+AO283</f>
        <v>108.28</v>
      </c>
      <c r="AO283" s="271">
        <v>108.28</v>
      </c>
      <c r="AP283" s="441">
        <v>109.718</v>
      </c>
      <c r="AQ283" s="302">
        <v>111.197</v>
      </c>
      <c r="AR283" s="328">
        <f>112.717</f>
        <v>112.717</v>
      </c>
      <c r="AS283" s="328">
        <f>+AT283</f>
        <v>106.268</v>
      </c>
      <c r="AT283" s="271">
        <v>106.268</v>
      </c>
      <c r="AU283" s="441">
        <v>99.843999999999994</v>
      </c>
      <c r="AV283" s="302">
        <v>101.074</v>
      </c>
      <c r="AW283" s="328">
        <v>102.339</v>
      </c>
      <c r="AX283" s="328">
        <f>+AY283</f>
        <v>91.9</v>
      </c>
      <c r="AY283" s="370">
        <v>91.9</v>
      </c>
      <c r="AZ283" s="366">
        <v>63.4</v>
      </c>
      <c r="BA283" s="302">
        <v>64.099999999999994</v>
      </c>
      <c r="BB283" s="301"/>
      <c r="BC283" s="328"/>
      <c r="BD283" s="2029"/>
      <c r="BE283" s="437"/>
      <c r="BF283" s="2143"/>
      <c r="BG283" s="2143"/>
      <c r="BH283" s="331"/>
      <c r="BI283" s="330"/>
      <c r="BJ283" s="2130"/>
      <c r="BK283" s="2130"/>
      <c r="BL283" s="2130"/>
      <c r="BM283" s="331"/>
      <c r="BN283" s="271"/>
      <c r="BO283" s="2130"/>
      <c r="BP283" s="2130"/>
      <c r="BQ283" s="2130"/>
      <c r="BR283" s="2130"/>
      <c r="BS283" s="271"/>
      <c r="BT283" s="301"/>
      <c r="BU283" s="301"/>
      <c r="BV283" s="301"/>
      <c r="BW283" s="301"/>
      <c r="BX283" s="271"/>
      <c r="BY283" s="301"/>
      <c r="BZ283" s="301"/>
      <c r="CA283" s="301"/>
      <c r="CB283" s="301"/>
      <c r="CC283" s="271"/>
      <c r="CE283" s="249"/>
      <c r="CF283" s="246"/>
      <c r="CG283" s="246"/>
      <c r="CH283" s="246"/>
      <c r="CI283" s="247"/>
      <c r="CJ283" s="279"/>
      <c r="CK283" s="2077"/>
      <c r="CL283" s="279"/>
      <c r="CM283" s="279"/>
      <c r="CN283" s="279"/>
      <c r="CO283" s="279"/>
      <c r="CP283" s="279"/>
      <c r="CQ283" s="304"/>
      <c r="CR283" s="248"/>
      <c r="CS283" s="248"/>
      <c r="CT283" s="248"/>
      <c r="CU283" s="248"/>
      <c r="CV283" s="248"/>
      <c r="CW283" s="248"/>
      <c r="CX283" s="248"/>
      <c r="CY283" s="249"/>
      <c r="CZ283"/>
      <c r="DA283"/>
      <c r="DB283"/>
      <c r="DC283"/>
      <c r="DD283"/>
      <c r="DE283"/>
      <c r="DF283" s="4"/>
      <c r="DG283" s="4"/>
      <c r="DH283" s="4"/>
      <c r="DI283" s="4"/>
      <c r="DJ283" s="4"/>
    </row>
    <row r="284" spans="1:114" s="250" customFormat="1" ht="12.75" customHeight="1">
      <c r="A284" s="297" t="s">
        <v>598</v>
      </c>
      <c r="B284" s="370"/>
      <c r="C284" s="328"/>
      <c r="D284" s="328"/>
      <c r="E284" s="328"/>
      <c r="F284" s="299"/>
      <c r="G284" s="328"/>
      <c r="H284" s="328"/>
      <c r="I284" s="328"/>
      <c r="J284" s="328"/>
      <c r="K284" s="299"/>
      <c r="L284" s="328"/>
      <c r="M284" s="328"/>
      <c r="N284" s="328"/>
      <c r="O284" s="328"/>
      <c r="P284" s="299"/>
      <c r="Q284" s="328"/>
      <c r="R284" s="328"/>
      <c r="S284" s="328"/>
      <c r="T284" s="328"/>
      <c r="U284" s="299"/>
      <c r="V284" s="328"/>
      <c r="W284" s="328"/>
      <c r="X284" s="328"/>
      <c r="Y284" s="328"/>
      <c r="Z284" s="299"/>
      <c r="AA284" s="328"/>
      <c r="AB284" s="328"/>
      <c r="AC284" s="328"/>
      <c r="AD284" s="328"/>
      <c r="AE284" s="299"/>
      <c r="AF284" s="328"/>
      <c r="AG284" s="328"/>
      <c r="AH284" s="328"/>
      <c r="AI284" s="328"/>
      <c r="AJ284" s="271"/>
      <c r="AK284" s="370"/>
      <c r="AL284" s="4"/>
      <c r="AM284" s="328"/>
      <c r="AN284" s="328">
        <f>+AO284</f>
        <v>0.67600000000000005</v>
      </c>
      <c r="AO284" s="271">
        <f>0.676</f>
        <v>0.67600000000000005</v>
      </c>
      <c r="AP284" s="441">
        <v>1.121</v>
      </c>
      <c r="AQ284" s="302">
        <f>0.767</f>
        <v>0.76700000000000002</v>
      </c>
      <c r="AR284" s="328">
        <v>0.45900000000000002</v>
      </c>
      <c r="AS284" s="328">
        <f>+AT284</f>
        <v>75.373000000000005</v>
      </c>
      <c r="AT284" s="271">
        <v>75.373000000000005</v>
      </c>
      <c r="AU284" s="441">
        <v>0.47</v>
      </c>
      <c r="AV284" s="302">
        <v>0.48399999999999999</v>
      </c>
      <c r="AW284" s="328">
        <f>0.229+500</f>
        <v>500.22899999999998</v>
      </c>
      <c r="AX284" s="328">
        <f>+AY284</f>
        <v>500.2</v>
      </c>
      <c r="AY284" s="370">
        <f>0.2+500</f>
        <v>500.2</v>
      </c>
      <c r="AZ284" s="366">
        <f>0.4+915.5</f>
        <v>915.9</v>
      </c>
      <c r="BA284" s="302">
        <f>3074.2+267.4</f>
        <v>3341.6</v>
      </c>
      <c r="BB284" s="4">
        <f>3359.1</f>
        <v>3359.1</v>
      </c>
      <c r="BC284" s="328">
        <f>+BD284</f>
        <v>5272.6</v>
      </c>
      <c r="BD284" s="676">
        <f>5272.6</f>
        <v>5272.6</v>
      </c>
      <c r="BE284" s="366">
        <v>5379.1</v>
      </c>
      <c r="BF284" s="302">
        <f>5342.7</f>
        <v>5342.7</v>
      </c>
      <c r="BG284" s="302">
        <f>5297.3</f>
        <v>5297.3</v>
      </c>
      <c r="BH284" s="328">
        <f>+BI284</f>
        <v>4731.5</v>
      </c>
      <c r="BI284" s="271">
        <f>4731.5</f>
        <v>4731.5</v>
      </c>
      <c r="BJ284" s="4">
        <v>4810.8999999999996</v>
      </c>
      <c r="BK284" s="302">
        <v>4754.3</v>
      </c>
      <c r="BL284" s="302">
        <v>4541</v>
      </c>
      <c r="BM284" s="328">
        <f>+BN284</f>
        <v>4417.5</v>
      </c>
      <c r="BN284" s="271">
        <v>4417.5</v>
      </c>
      <c r="BO284" s="4">
        <f t="shared" ref="BO284" si="1003">+BN277+BN284+BO255-BO277</f>
        <v>4317.5</v>
      </c>
      <c r="BP284" s="4">
        <f t="shared" ref="BP284" si="1004">+BO277+BO284+BP255-BP277</f>
        <v>4217.5</v>
      </c>
      <c r="BQ284" s="4">
        <f t="shared" ref="BQ284" si="1005">+BP277+BP284+BQ255-BQ277</f>
        <v>4117.5</v>
      </c>
      <c r="BR284" s="4">
        <f t="shared" ref="BR284" si="1006">+BQ277+BQ284+BR255-BR277</f>
        <v>4017.5</v>
      </c>
      <c r="BS284" s="271">
        <f>+BR284</f>
        <v>4017.5</v>
      </c>
      <c r="BT284" s="301"/>
      <c r="BU284" s="301"/>
      <c r="BV284" s="301"/>
      <c r="BW284" s="301"/>
      <c r="BX284" s="271">
        <f>+BS277+BS284+BX255-BX277</f>
        <v>4017.5</v>
      </c>
      <c r="BY284" s="301"/>
      <c r="BZ284" s="301"/>
      <c r="CA284" s="301"/>
      <c r="CB284" s="301"/>
      <c r="CC284" s="271">
        <f>+BX277+BX284+CC255-CC277</f>
        <v>4017.5</v>
      </c>
      <c r="CE284" s="249"/>
      <c r="CF284" s="246"/>
      <c r="CG284" s="246"/>
      <c r="CH284" s="246"/>
      <c r="CI284" s="247"/>
      <c r="CJ284" s="279"/>
      <c r="CK284" s="2077"/>
      <c r="CL284" s="279"/>
      <c r="CM284" s="279"/>
      <c r="CN284" s="279"/>
      <c r="CO284" s="279"/>
      <c r="CP284" s="279"/>
      <c r="CQ284" s="304"/>
      <c r="CR284" s="248"/>
      <c r="CS284" s="248"/>
      <c r="CT284" s="248"/>
      <c r="CU284" s="248"/>
      <c r="CV284" s="248"/>
      <c r="CW284" s="248"/>
      <c r="CX284" s="248"/>
      <c r="CY284" s="249"/>
      <c r="CZ284"/>
      <c r="DA284"/>
      <c r="DB284"/>
      <c r="DC284"/>
      <c r="DD284"/>
      <c r="DE284"/>
      <c r="DF284" s="4"/>
      <c r="DG284" s="4"/>
      <c r="DH284" s="4"/>
      <c r="DI284" s="4"/>
      <c r="DJ284" s="4"/>
    </row>
    <row r="285" spans="1:114" s="250" customFormat="1" ht="12.75" customHeight="1">
      <c r="A285" s="297" t="s">
        <v>143</v>
      </c>
      <c r="B285" s="370"/>
      <c r="C285" s="328"/>
      <c r="D285" s="328"/>
      <c r="E285" s="328"/>
      <c r="F285" s="299">
        <f>F287-F282-F283</f>
        <v>0.19899999999999984</v>
      </c>
      <c r="G285" s="301"/>
      <c r="H285" s="301"/>
      <c r="I285" s="301"/>
      <c r="J285" s="328"/>
      <c r="K285" s="299">
        <f>K287-K282-K283</f>
        <v>0.11499999999999977</v>
      </c>
      <c r="L285" s="301"/>
      <c r="M285" s="301"/>
      <c r="N285" s="301"/>
      <c r="O285" s="328"/>
      <c r="P285" s="299">
        <f>P287-P282-P283</f>
        <v>0.61600000000000033</v>
      </c>
      <c r="Q285" s="301"/>
      <c r="R285" s="301"/>
      <c r="S285" s="301"/>
      <c r="T285" s="328"/>
      <c r="U285" s="299">
        <f>U287-U282-U283</f>
        <v>1.0390000000000006</v>
      </c>
      <c r="V285" s="301"/>
      <c r="W285" s="301"/>
      <c r="X285" s="301"/>
      <c r="Y285" s="328"/>
      <c r="Z285" s="299">
        <f>Z287-Z282-Z283</f>
        <v>2.3580000000000014</v>
      </c>
      <c r="AA285" s="301"/>
      <c r="AB285" s="301"/>
      <c r="AC285" s="301"/>
      <c r="AD285" s="328"/>
      <c r="AE285" s="299">
        <f>AE287-AE282-AE283</f>
        <v>2.5759999999999987</v>
      </c>
      <c r="AF285" s="328"/>
      <c r="AG285" s="328"/>
      <c r="AH285" s="328"/>
      <c r="AI285" s="329"/>
      <c r="AJ285" s="299">
        <f>AJ287-AJ282-AJ283</f>
        <v>2.7560000000000007</v>
      </c>
      <c r="AK285" s="366">
        <f>AK287-AK282-AK283</f>
        <v>3.6890000000000001</v>
      </c>
      <c r="AL285" s="278">
        <f>AL287-AL282-AL283</f>
        <v>5.5250000000000004</v>
      </c>
      <c r="AM285" s="278">
        <f>AM287-AM282-AM283</f>
        <v>13.577999999999975</v>
      </c>
      <c r="AN285" s="328">
        <f>+AO285</f>
        <v>10.165999999999999</v>
      </c>
      <c r="AO285" s="299">
        <f>AO287-AO282-AO283-AO284</f>
        <v>10.165999999999999</v>
      </c>
      <c r="AP285" s="302">
        <f>AP287-AP282-AP283-AP284</f>
        <v>10.62499999999998</v>
      </c>
      <c r="AQ285" s="302">
        <f>AQ287-AQ282-AQ283-AQ284</f>
        <v>10.390999999999988</v>
      </c>
      <c r="AR285" s="302">
        <f>AR287-AR282-AR283-AR284</f>
        <v>46.090999999999994</v>
      </c>
      <c r="AS285" s="328">
        <f>+AT285</f>
        <v>43.423999999999999</v>
      </c>
      <c r="AT285" s="299">
        <v>43.423999999999999</v>
      </c>
      <c r="AU285" s="302">
        <f>AU287-AU282-AU283-AU284</f>
        <v>57.456000000000046</v>
      </c>
      <c r="AV285" s="302">
        <f>AV287-AV282-AV283-AV284</f>
        <v>55.766000000000012</v>
      </c>
      <c r="AW285" s="302">
        <f>AW287-AW282-AW283-AW284</f>
        <v>145.6670000000002</v>
      </c>
      <c r="AX285" s="328">
        <f>+AY285</f>
        <v>133.00700000000001</v>
      </c>
      <c r="AY285" s="366">
        <f>58.4+74.607</f>
        <v>133.00700000000001</v>
      </c>
      <c r="AZ285" s="437">
        <f>AZ287-AZ282-AZ283-AZ284</f>
        <v>76.999999999999773</v>
      </c>
      <c r="BA285" s="302">
        <f>BA287-BA282-BA283-BA284</f>
        <v>676.00000000000045</v>
      </c>
      <c r="BB285" s="302">
        <f>BB287-BB282-BB283-BB284</f>
        <v>588.90000000000009</v>
      </c>
      <c r="BC285" s="328">
        <f>+BD285</f>
        <v>1615.4</v>
      </c>
      <c r="BD285" s="2019">
        <f>312.6+369.5+933.3</f>
        <v>1615.4</v>
      </c>
      <c r="BE285" s="437">
        <f>BE287-BE282-BE283-BE284</f>
        <v>1418.7000000000007</v>
      </c>
      <c r="BF285" s="302">
        <f>BF287-BF282-BF283-BF284</f>
        <v>1370.1999999999989</v>
      </c>
      <c r="BG285" s="302">
        <f>BG287-BG282-BG283-BG284</f>
        <v>1352.1999999999998</v>
      </c>
      <c r="BH285" s="328">
        <f>+BI285</f>
        <v>1197.6999999999998</v>
      </c>
      <c r="BI285" s="527">
        <f>251.4+373.9+572.4</f>
        <v>1197.6999999999998</v>
      </c>
      <c r="BJ285" s="437">
        <f>BJ287-BJ282-BJ283-BJ284</f>
        <v>1192.2000000000016</v>
      </c>
      <c r="BK285" s="302">
        <f>BK287-BK282-BK283-BK284</f>
        <v>1194.0999999999985</v>
      </c>
      <c r="BL285" s="302">
        <f>BL287-BL282-BL283-BL284</f>
        <v>1211.0999999999995</v>
      </c>
      <c r="BM285" s="328">
        <f>+BN285</f>
        <v>1177</v>
      </c>
      <c r="BN285" s="527">
        <f>162.1+596.1+418.8</f>
        <v>1177</v>
      </c>
      <c r="BO285" s="528">
        <f t="shared" ref="BO285" si="1007">+BN285+BO258</f>
        <v>1177</v>
      </c>
      <c r="BP285" s="528">
        <f t="shared" ref="BP285" si="1008">+BO285+BP258</f>
        <v>1177</v>
      </c>
      <c r="BQ285" s="528">
        <f t="shared" ref="BQ285" si="1009">+BP285+BQ258</f>
        <v>1177</v>
      </c>
      <c r="BR285" s="528">
        <f t="shared" ref="BR285" si="1010">+BQ285+BR258</f>
        <v>1177</v>
      </c>
      <c r="BS285" s="527">
        <f>+BR285</f>
        <v>1177</v>
      </c>
      <c r="BT285" s="312"/>
      <c r="BU285" s="312"/>
      <c r="BV285" s="312"/>
      <c r="BW285" s="312"/>
      <c r="BX285" s="526">
        <f>+BS285+BX258</f>
        <v>1177</v>
      </c>
      <c r="BY285" s="312"/>
      <c r="BZ285" s="312"/>
      <c r="CA285" s="312"/>
      <c r="CB285" s="312"/>
      <c r="CC285" s="526">
        <f>+BX285+CC258</f>
        <v>1177</v>
      </c>
      <c r="CD285" s="307"/>
      <c r="CE285" s="303"/>
      <c r="CF285" s="246"/>
      <c r="CG285" s="246"/>
      <c r="CH285" s="246"/>
      <c r="CI285" s="247"/>
      <c r="CJ285" s="279"/>
      <c r="CK285" s="2077"/>
      <c r="CL285" s="279"/>
      <c r="CM285" s="279"/>
      <c r="CN285" s="279"/>
      <c r="CO285" s="279"/>
      <c r="CP285" s="279"/>
      <c r="CQ285" s="304" t="s">
        <v>177</v>
      </c>
      <c r="CR285" s="248"/>
      <c r="CS285" s="248"/>
      <c r="CT285" s="248"/>
      <c r="CU285" s="248"/>
      <c r="CV285" s="248"/>
      <c r="CW285" s="248"/>
      <c r="CX285" s="248"/>
      <c r="CY285" s="249"/>
      <c r="CZ285"/>
      <c r="DA285"/>
      <c r="DB285"/>
      <c r="DC285"/>
      <c r="DD285"/>
      <c r="DE285"/>
      <c r="DF285" s="4"/>
      <c r="DG285" s="4"/>
      <c r="DH285" s="4"/>
      <c r="DI285" s="4"/>
      <c r="DJ285" s="4"/>
    </row>
    <row r="286" spans="1:114" s="1" customFormat="1" ht="12.75" customHeight="1">
      <c r="A286" s="12" t="s">
        <v>39</v>
      </c>
      <c r="B286" s="569"/>
      <c r="C286" s="34"/>
      <c r="D286" s="34"/>
      <c r="E286" s="34"/>
      <c r="F286" s="60"/>
      <c r="G286" s="18"/>
      <c r="H286" s="18"/>
      <c r="I286" s="18"/>
      <c r="J286" s="18"/>
      <c r="K286" s="60">
        <f>K285/Model!K$182</f>
        <v>2.7256997937948799E-3</v>
      </c>
      <c r="L286" s="18"/>
      <c r="M286" s="18"/>
      <c r="N286" s="18"/>
      <c r="O286" s="18"/>
      <c r="P286" s="60">
        <f>P285/Model!P$182</f>
        <v>1.196000388311815E-2</v>
      </c>
      <c r="Q286" s="18"/>
      <c r="R286" s="18"/>
      <c r="S286" s="18"/>
      <c r="T286" s="18"/>
      <c r="U286" s="60">
        <f>U285/Model!U$182</f>
        <v>9.4918784601048817E-3</v>
      </c>
      <c r="V286" s="18"/>
      <c r="W286" s="18"/>
      <c r="X286" s="18"/>
      <c r="Y286" s="18"/>
      <c r="Z286" s="60">
        <f>Z285/Model!Z$182</f>
        <v>2.3547974754334122E-2</v>
      </c>
      <c r="AA286" s="18"/>
      <c r="AB286" s="18"/>
      <c r="AC286" s="18"/>
      <c r="AD286" s="18"/>
      <c r="AE286" s="60">
        <f>AE285/Model!AE$182</f>
        <v>1.6305139030426546E-2</v>
      </c>
      <c r="AF286" s="18"/>
      <c r="AG286" s="18"/>
      <c r="AH286" s="18"/>
      <c r="AI286" s="5"/>
      <c r="AJ286" s="60">
        <f>AJ285/Model!AJ$182</f>
        <v>1.5563938647812241E-2</v>
      </c>
      <c r="AK286" s="368"/>
      <c r="AL286" s="18"/>
      <c r="AM286" s="18"/>
      <c r="AN286" s="5"/>
      <c r="AO286" s="60">
        <f>AO285/Model!AO$182</f>
        <v>3.6490769622852123E-2</v>
      </c>
      <c r="AP286" s="439"/>
      <c r="AQ286" s="443"/>
      <c r="AR286" s="18"/>
      <c r="AS286" s="5"/>
      <c r="AT286" s="60">
        <f>AT285/Model!AT$182</f>
        <v>6.1830862177721005E-2</v>
      </c>
      <c r="AU286" s="439"/>
      <c r="AV286" s="443"/>
      <c r="AW286" s="18"/>
      <c r="AX286" s="5"/>
      <c r="AY286" s="368">
        <f>AY285/Model!AY$182</f>
        <v>5.6440641573261618E-2</v>
      </c>
      <c r="AZ286" s="620"/>
      <c r="BA286" s="443"/>
      <c r="BB286" s="5"/>
      <c r="BC286" s="5"/>
      <c r="BD286" s="1998">
        <f>BD285/Model!BD$182</f>
        <v>0.21190298164836754</v>
      </c>
      <c r="BE286" s="620"/>
      <c r="BF286" s="443"/>
      <c r="BG286" s="5"/>
      <c r="BH286" s="5"/>
      <c r="BI286" s="60">
        <f>BI285/Model!BI$182</f>
        <v>8.1925386814780343E-2</v>
      </c>
      <c r="BJ286" s="5"/>
      <c r="BK286" s="443"/>
      <c r="BL286" s="443"/>
      <c r="BM286" s="5"/>
      <c r="BN286" s="60">
        <f>BN285/Model!BN$182</f>
        <v>7.6523977946530736E-2</v>
      </c>
      <c r="BO286" s="5"/>
      <c r="BP286" s="5"/>
      <c r="BQ286" s="5"/>
      <c r="BR286" s="5"/>
      <c r="BS286" s="60">
        <f>BS285/Model!BS$182</f>
        <v>7.0690420720399036E-2</v>
      </c>
      <c r="BT286" s="5"/>
      <c r="BU286" s="5"/>
      <c r="BV286" s="5"/>
      <c r="BW286" s="5"/>
      <c r="BX286" s="60">
        <f>BX285/Model!BX$182</f>
        <v>6.6160316003428393E-2</v>
      </c>
      <c r="BY286" s="5"/>
      <c r="BZ286" s="5"/>
      <c r="CA286" s="5"/>
      <c r="CB286" s="5"/>
      <c r="CC286" s="60">
        <f>CC285/Model!CC$182</f>
        <v>6.1868452029961558E-2</v>
      </c>
      <c r="CD286" s="192"/>
      <c r="CE286" s="112"/>
      <c r="CF286" s="173"/>
      <c r="CG286" s="173"/>
      <c r="CH286" s="173"/>
      <c r="CI286" s="239"/>
      <c r="CJ286" s="177"/>
      <c r="CK286" s="2070"/>
      <c r="CL286" s="177"/>
      <c r="CM286" s="177"/>
      <c r="CN286" s="177"/>
      <c r="CO286" s="177"/>
      <c r="CP286" s="177"/>
      <c r="CQ286" s="40"/>
      <c r="CR286" s="40"/>
      <c r="CS286" s="40"/>
      <c r="CT286" s="40"/>
      <c r="CU286" s="40"/>
      <c r="CV286" s="40"/>
      <c r="CW286" s="40"/>
      <c r="CX286" s="40"/>
      <c r="CY286" s="139"/>
      <c r="CZ286"/>
      <c r="DA286"/>
      <c r="DB286"/>
      <c r="DC286"/>
      <c r="DD286"/>
      <c r="DE286"/>
      <c r="DF286" s="3"/>
      <c r="DG286" s="3"/>
      <c r="DH286" s="3"/>
      <c r="DI286" s="3"/>
      <c r="DJ286" s="3"/>
    </row>
    <row r="287" spans="1:114" s="250" customFormat="1" ht="12.75" customHeight="1">
      <c r="A287" s="10" t="s">
        <v>121</v>
      </c>
      <c r="B287" s="369"/>
      <c r="C287" s="11"/>
      <c r="D287" s="11"/>
      <c r="E287" s="11"/>
      <c r="F287" s="324">
        <f>4.381+2.787</f>
        <v>7.1680000000000001</v>
      </c>
      <c r="G287" s="11"/>
      <c r="H287" s="11"/>
      <c r="I287" s="11"/>
      <c r="J287" s="11"/>
      <c r="K287" s="324">
        <f>4.87+1.401</f>
        <v>6.2709999999999999</v>
      </c>
      <c r="L287" s="11"/>
      <c r="M287" s="11"/>
      <c r="N287" s="11"/>
      <c r="O287" s="11"/>
      <c r="P287" s="324">
        <f>4.872+0.65</f>
        <v>5.5220000000000002</v>
      </c>
      <c r="Q287" s="11"/>
      <c r="R287" s="11"/>
      <c r="S287" s="11"/>
      <c r="T287" s="11"/>
      <c r="U287" s="324">
        <f>10.396+4.759</f>
        <v>15.155000000000001</v>
      </c>
      <c r="V287" s="11"/>
      <c r="W287" s="11"/>
      <c r="X287" s="11"/>
      <c r="Y287" s="11"/>
      <c r="Z287" s="324">
        <f>18.064+2.571</f>
        <v>20.635000000000002</v>
      </c>
      <c r="AA287" s="11"/>
      <c r="AB287" s="11"/>
      <c r="AC287" s="11"/>
      <c r="AD287" s="11"/>
      <c r="AE287" s="324">
        <f>15.251+7.408</f>
        <v>22.658999999999999</v>
      </c>
      <c r="AF287" s="11"/>
      <c r="AG287" s="11"/>
      <c r="AH287" s="11"/>
      <c r="AI287" s="11"/>
      <c r="AJ287" s="324">
        <f>16.071+3.21</f>
        <v>19.281000000000002</v>
      </c>
      <c r="AK287" s="369">
        <v>21.911999999999999</v>
      </c>
      <c r="AL287" s="11">
        <v>22.384</v>
      </c>
      <c r="AM287" s="11">
        <v>135.03299999999999</v>
      </c>
      <c r="AN287" s="11">
        <f>+AO287</f>
        <v>168.149</v>
      </c>
      <c r="AO287" s="324">
        <f>AO297-AO296</f>
        <v>168.149</v>
      </c>
      <c r="AP287" s="440">
        <f>45.592+121.464</f>
        <v>167.05599999999998</v>
      </c>
      <c r="AQ287" s="326">
        <f>55.292+122.355</f>
        <v>177.64699999999999</v>
      </c>
      <c r="AR287" s="11">
        <f>159.267+84.318</f>
        <v>243.58499999999998</v>
      </c>
      <c r="AS287" s="11">
        <f>+AT287</f>
        <v>324.39800000000002</v>
      </c>
      <c r="AT287" s="324">
        <f>+AT282+AT283+AT285+AT284</f>
        <v>324.39800000000002</v>
      </c>
      <c r="AU287" s="440">
        <f>301.205+157.77</f>
        <v>458.97500000000002</v>
      </c>
      <c r="AV287" s="326">
        <f>272.754+157.324</f>
        <v>430.07800000000003</v>
      </c>
      <c r="AW287" s="11">
        <f>345.57+748.235</f>
        <v>1093.8050000000001</v>
      </c>
      <c r="AX287" s="11">
        <f>+AY287</f>
        <v>1106.2070000000001</v>
      </c>
      <c r="AY287" s="369">
        <f>+AY282+AY283+AY285+AY284</f>
        <v>1106.2070000000001</v>
      </c>
      <c r="AZ287" s="369">
        <f>1056.3+398.4</f>
        <v>1454.6999999999998</v>
      </c>
      <c r="BA287" s="326">
        <f>4081.7+BA282</f>
        <v>6211.1</v>
      </c>
      <c r="BB287" s="11">
        <f>1948.8+3948</f>
        <v>5896.8</v>
      </c>
      <c r="BC287" s="11">
        <f>+BD287</f>
        <v>9582.4</v>
      </c>
      <c r="BD287" s="674">
        <f>2694.4+6888</f>
        <v>9582.4</v>
      </c>
      <c r="BE287" s="369">
        <f>6797.8+BE282</f>
        <v>9510.7000000000007</v>
      </c>
      <c r="BF287" s="326">
        <f>6712.9+BF282</f>
        <v>9353.0999999999985</v>
      </c>
      <c r="BG287" s="326">
        <f>6649.5+BG282</f>
        <v>9343.4</v>
      </c>
      <c r="BH287" s="11">
        <f>+BI287</f>
        <v>8660.7999999999993</v>
      </c>
      <c r="BI287" s="324">
        <f>2731.6+5929.2</f>
        <v>8660.7999999999993</v>
      </c>
      <c r="BJ287" s="11">
        <f>+BJ282+6003.1</f>
        <v>8600.4000000000015</v>
      </c>
      <c r="BK287" s="326">
        <f>5948.4+BK282</f>
        <v>8682.0999999999985</v>
      </c>
      <c r="BL287" s="326">
        <f>5752.1+BL282</f>
        <v>8659.7999999999993</v>
      </c>
      <c r="BM287" s="11">
        <f>+BN287</f>
        <v>8591.6</v>
      </c>
      <c r="BN287" s="324">
        <f>2997.1+5594.5</f>
        <v>8591.6</v>
      </c>
      <c r="BO287" s="11">
        <f t="shared" ref="BO287:BR287" si="1011">+BO282+BO283+BO285+BO284</f>
        <v>8314.0166247832203</v>
      </c>
      <c r="BP287" s="11">
        <f t="shared" si="1011"/>
        <v>8439.7983130000757</v>
      </c>
      <c r="BQ287" s="11">
        <f t="shared" si="1011"/>
        <v>8386.4864260916784</v>
      </c>
      <c r="BR287" s="11">
        <f t="shared" si="1011"/>
        <v>8369.3495377715244</v>
      </c>
      <c r="BS287" s="324">
        <f>+BS282+BS283+BS285+BS284</f>
        <v>8369.3495377715244</v>
      </c>
      <c r="BT287" s="11"/>
      <c r="BU287" s="11"/>
      <c r="BV287" s="11"/>
      <c r="BW287" s="11"/>
      <c r="BX287" s="324">
        <f>+BX282+BX283+BX285+BX284</f>
        <v>8576.9842627129728</v>
      </c>
      <c r="BY287" s="11"/>
      <c r="BZ287" s="11"/>
      <c r="CA287" s="11"/>
      <c r="CB287" s="11"/>
      <c r="CC287" s="324">
        <f>+CC282+CC283+CC285+CC284</f>
        <v>8801.6002924628065</v>
      </c>
      <c r="CD287" s="326"/>
      <c r="CE287" s="327"/>
      <c r="CF287" s="246"/>
      <c r="CG287" s="246"/>
      <c r="CH287" s="246"/>
      <c r="CI287" s="247"/>
      <c r="CJ287" s="279"/>
      <c r="CK287" s="2077"/>
      <c r="CL287" s="279"/>
      <c r="CM287" s="279"/>
      <c r="CN287" s="279"/>
      <c r="CO287" s="279"/>
      <c r="CP287" s="279"/>
      <c r="CQ287" s="248"/>
      <c r="CR287" s="248"/>
      <c r="CS287" s="248"/>
      <c r="CT287" s="248"/>
      <c r="CU287" s="248"/>
      <c r="CV287" s="248"/>
      <c r="CW287" s="248"/>
      <c r="CX287" s="248"/>
      <c r="CY287" s="249"/>
      <c r="CZ287"/>
      <c r="DA287"/>
      <c r="DB287"/>
      <c r="DC287"/>
      <c r="DD287"/>
      <c r="DE287"/>
      <c r="DF287" s="4"/>
      <c r="DG287" s="4"/>
      <c r="DH287" s="4"/>
      <c r="DI287" s="4"/>
      <c r="DJ287" s="4"/>
    </row>
    <row r="288" spans="1:114" s="177" customFormat="1" ht="12.75" customHeight="1">
      <c r="A288" s="57" t="s">
        <v>81</v>
      </c>
      <c r="B288" s="371"/>
      <c r="C288" s="51"/>
      <c r="D288" s="51"/>
      <c r="E288" s="51"/>
      <c r="F288" s="63"/>
      <c r="G288" s="51"/>
      <c r="H288" s="51"/>
      <c r="I288" s="51"/>
      <c r="J288" s="51"/>
      <c r="K288" s="63"/>
      <c r="L288" s="51"/>
      <c r="M288" s="51"/>
      <c r="N288" s="51"/>
      <c r="O288" s="51"/>
      <c r="P288" s="63"/>
      <c r="Q288" s="51"/>
      <c r="R288" s="51"/>
      <c r="S288" s="51"/>
      <c r="T288" s="51"/>
      <c r="U288" s="63"/>
      <c r="V288" s="51"/>
      <c r="W288" s="51"/>
      <c r="X288" s="51"/>
      <c r="Y288" s="51"/>
      <c r="Z288" s="63"/>
      <c r="AA288" s="51"/>
      <c r="AB288" s="51"/>
      <c r="AC288" s="51"/>
      <c r="AD288" s="51"/>
      <c r="AE288" s="63"/>
      <c r="AF288" s="51"/>
      <c r="AG288" s="51"/>
      <c r="AH288" s="51"/>
      <c r="AI288" s="51"/>
      <c r="AJ288" s="63"/>
      <c r="AK288" s="371"/>
      <c r="AL288" s="51"/>
      <c r="AM288" s="51"/>
      <c r="AN288" s="51"/>
      <c r="AO288" s="63"/>
      <c r="AP288" s="371"/>
      <c r="AQ288" s="51"/>
      <c r="AR288" s="51"/>
      <c r="AS288" s="51"/>
      <c r="AT288" s="63"/>
      <c r="AU288" s="371"/>
      <c r="AV288" s="51"/>
      <c r="AW288" s="51"/>
      <c r="AX288" s="51"/>
      <c r="AY288" s="371"/>
      <c r="AZ288" s="371"/>
      <c r="BA288" s="51"/>
      <c r="BB288" s="51"/>
      <c r="BC288" s="51"/>
      <c r="BD288" s="2404"/>
      <c r="BE288" s="371"/>
      <c r="BF288" s="51"/>
      <c r="BG288" s="51"/>
      <c r="BH288" s="51"/>
      <c r="BI288" s="2407">
        <f>(BI284+BI277-BI267)/BI186</f>
        <v>3.6014423076923054</v>
      </c>
      <c r="BJ288" s="2408">
        <f>((SUM(BF284:BH284,BJ284,BF277:BH277,BJ277)-SUM(BJ267,BF267:BH267))/SUM(BF186:BH186,BJ186)/4)</f>
        <v>3.7459843252890486</v>
      </c>
      <c r="BK288" s="2409">
        <f>((SUM(BG284:BH284,BJ284:BK284,BG277:BH277,BJ277:BK277)-SUM(BJ267:BK267,BG267:BH267))/SUM(BG186:BH186,BJ186:BK186)/4)</f>
        <v>3.6033458531350591</v>
      </c>
      <c r="BL288" s="2409">
        <f>((SUM(BH284,BJ284:BL284,BH277,BJ277:BL277)-SUM(BJ267:BL267,BH267))/SUM(BH186,BJ186:BL186)/4)</f>
        <v>3.3742527430949676</v>
      </c>
      <c r="BM288" s="2409">
        <f>((SUM(BJ284:BM284,BJ277:BM277)-SUM(BJ267:BM267))/SUM(BK186:BM186)/4)</f>
        <v>4.0539411382415764</v>
      </c>
      <c r="BN288" s="2407">
        <f>(BN284+BN277-BN267)/BN186</f>
        <v>3.0168239338746252</v>
      </c>
      <c r="BO288" s="2406"/>
      <c r="BP288" s="2406"/>
      <c r="BQ288" s="2406"/>
      <c r="BR288" s="2406"/>
      <c r="BS288" s="2405">
        <f>(BS284+BS277)/BS186</f>
        <v>2.5213083766648947</v>
      </c>
      <c r="BT288" s="2406"/>
      <c r="BU288" s="2406"/>
      <c r="BV288" s="2406"/>
      <c r="BW288" s="2406"/>
      <c r="BX288" s="2405">
        <f>(BX284+BX277)/BX186</f>
        <v>2.2562249704540269</v>
      </c>
      <c r="BY288" s="2406"/>
      <c r="BZ288" s="2406"/>
      <c r="CA288" s="2406"/>
      <c r="CB288" s="2406"/>
      <c r="CC288" s="2405">
        <f>(CC284+CC277)/CC186</f>
        <v>2.0393598706074534</v>
      </c>
      <c r="CE288" s="110"/>
      <c r="CF288" s="173"/>
      <c r="CG288" s="173"/>
      <c r="CH288" s="173"/>
      <c r="CI288" s="239"/>
      <c r="CK288" s="2070"/>
      <c r="CQ288" s="456"/>
      <c r="CR288" s="456"/>
      <c r="CS288" s="51"/>
      <c r="CT288" s="51"/>
      <c r="CU288" s="51"/>
      <c r="CV288" s="51"/>
      <c r="CW288" s="51"/>
      <c r="CX288" s="51"/>
      <c r="CY288" s="110"/>
      <c r="CZ288"/>
      <c r="DA288"/>
      <c r="DB288"/>
      <c r="DC288"/>
      <c r="DD288"/>
      <c r="DE288"/>
      <c r="DF288" s="103"/>
      <c r="DG288" s="103"/>
      <c r="DH288" s="103"/>
      <c r="DI288" s="103"/>
      <c r="DJ288" s="103"/>
    </row>
    <row r="289" spans="1:114" s="250" customFormat="1" ht="12.75" customHeight="1">
      <c r="A289" s="4" t="s">
        <v>6</v>
      </c>
      <c r="B289" s="370"/>
      <c r="C289" s="328"/>
      <c r="D289" s="328"/>
      <c r="E289" s="328"/>
      <c r="F289" s="271">
        <v>0</v>
      </c>
      <c r="G289" s="328"/>
      <c r="H289" s="328"/>
      <c r="I289" s="328"/>
      <c r="J289" s="328"/>
      <c r="K289" s="271">
        <v>0</v>
      </c>
      <c r="L289" s="328"/>
      <c r="M289" s="328"/>
      <c r="N289" s="328"/>
      <c r="O289" s="328"/>
      <c r="P289" s="271">
        <v>0</v>
      </c>
      <c r="Q289" s="328"/>
      <c r="R289" s="328"/>
      <c r="S289" s="328"/>
      <c r="T289" s="328"/>
      <c r="U289" s="271">
        <v>0</v>
      </c>
      <c r="V289" s="328"/>
      <c r="W289" s="328"/>
      <c r="X289" s="328"/>
      <c r="Y289" s="328"/>
      <c r="Z289" s="271">
        <v>0</v>
      </c>
      <c r="AA289" s="328"/>
      <c r="AB289" s="328"/>
      <c r="AC289" s="328"/>
      <c r="AD289" s="328"/>
      <c r="AE289" s="271">
        <v>0</v>
      </c>
      <c r="AF289" s="328"/>
      <c r="AG289" s="328"/>
      <c r="AH289" s="328"/>
      <c r="AI289" s="328"/>
      <c r="AJ289" s="271">
        <v>42.793999999999997</v>
      </c>
      <c r="AK289" s="370">
        <v>42.793999999999997</v>
      </c>
      <c r="AL289" s="4">
        <v>42.793999999999997</v>
      </c>
      <c r="AM289" s="328">
        <v>42.793999999999997</v>
      </c>
      <c r="AN289" s="328">
        <f t="shared" ref="AN289:AN297" si="1012">+AO289</f>
        <v>42.793999999999997</v>
      </c>
      <c r="AO289" s="271">
        <v>42.793999999999997</v>
      </c>
      <c r="AP289" s="441">
        <v>42.793999999999997</v>
      </c>
      <c r="AQ289" s="250">
        <v>42.793999999999997</v>
      </c>
      <c r="AR289" s="328">
        <v>42.765000000000001</v>
      </c>
      <c r="AS289" s="328">
        <f t="shared" ref="AS289:AS297" si="1013">+AT289</f>
        <v>42.737000000000002</v>
      </c>
      <c r="AT289" s="330">
        <v>42.737000000000002</v>
      </c>
      <c r="AU289" s="441">
        <v>42.258000000000003</v>
      </c>
      <c r="AV289" s="250">
        <v>42.258000000000003</v>
      </c>
      <c r="AW289" s="328">
        <f>42.258+363.898</f>
        <v>406.15600000000001</v>
      </c>
      <c r="AX289" s="328">
        <f t="shared" ref="AX289:AX297" si="1014">+AY289</f>
        <v>42.2</v>
      </c>
      <c r="AY289" s="441">
        <v>42.2</v>
      </c>
      <c r="AZ289" s="441">
        <v>42.2</v>
      </c>
      <c r="BA289" s="250">
        <f>42.1+548.5</f>
        <v>590.6</v>
      </c>
      <c r="BB289" s="331">
        <v>42</v>
      </c>
      <c r="BC289" s="328">
        <f t="shared" ref="BC289:BC295" si="1015">+BD289</f>
        <v>42</v>
      </c>
      <c r="BD289" s="2029">
        <v>42</v>
      </c>
      <c r="BE289" s="441">
        <v>42</v>
      </c>
      <c r="BF289" s="250">
        <v>42</v>
      </c>
      <c r="BG289" s="250">
        <v>42</v>
      </c>
      <c r="BH289" s="328">
        <f t="shared" ref="BH289:BH297" si="1016">+BI289</f>
        <v>41.6</v>
      </c>
      <c r="BI289" s="330">
        <v>41.6</v>
      </c>
      <c r="BJ289" s="441">
        <v>41.2</v>
      </c>
      <c r="BK289" s="250">
        <v>41.2</v>
      </c>
      <c r="BL289" s="250">
        <v>41.2</v>
      </c>
      <c r="BM289" s="328">
        <f t="shared" ref="BM289:BM297" si="1017">+BN289</f>
        <v>41.2</v>
      </c>
      <c r="BN289" s="330">
        <v>41.2</v>
      </c>
      <c r="BO289" s="2133">
        <f t="shared" ref="BO289:BO290" si="1018">+BN289</f>
        <v>41.2</v>
      </c>
      <c r="BP289" s="2133">
        <f t="shared" ref="BP289:BP290" si="1019">+BO289</f>
        <v>41.2</v>
      </c>
      <c r="BQ289" s="2133">
        <f t="shared" ref="BQ289:BQ290" si="1020">+BP289</f>
        <v>41.2</v>
      </c>
      <c r="BR289" s="2133">
        <f t="shared" ref="BR289:BS295" si="1021">+BQ289</f>
        <v>41.2</v>
      </c>
      <c r="BS289" s="330">
        <f t="shared" si="1021"/>
        <v>41.2</v>
      </c>
      <c r="BT289" s="331"/>
      <c r="BU289" s="331"/>
      <c r="BV289" s="331"/>
      <c r="BW289" s="331"/>
      <c r="BX289" s="330">
        <f>BS289</f>
        <v>41.2</v>
      </c>
      <c r="BY289" s="331"/>
      <c r="BZ289" s="331"/>
      <c r="CA289" s="331"/>
      <c r="CB289" s="331"/>
      <c r="CC289" s="330">
        <f>BX289</f>
        <v>41.2</v>
      </c>
      <c r="CE289" s="249"/>
      <c r="CF289" s="246"/>
      <c r="CG289" s="246"/>
      <c r="CH289" s="246"/>
      <c r="CI289" s="247"/>
      <c r="CJ289" s="279"/>
      <c r="CK289" s="2077"/>
      <c r="CL289" s="279"/>
      <c r="CM289" s="279"/>
      <c r="CN289" s="279"/>
      <c r="CO289" s="279"/>
      <c r="CP289" s="279"/>
      <c r="CQ289" s="248"/>
      <c r="CR289" s="248"/>
      <c r="CS289" s="248"/>
      <c r="CT289" s="248"/>
      <c r="CU289" s="248"/>
      <c r="CV289" s="248"/>
      <c r="CW289" s="248"/>
      <c r="CX289" s="248"/>
      <c r="CY289" s="249"/>
      <c r="CZ289"/>
      <c r="DA289"/>
      <c r="DB289"/>
      <c r="DC289"/>
      <c r="DD289"/>
      <c r="DE289"/>
      <c r="DF289" s="4"/>
      <c r="DG289" s="4"/>
      <c r="DH289" s="4"/>
      <c r="DI289" s="4"/>
      <c r="DJ289" s="4"/>
    </row>
    <row r="290" spans="1:114" s="250" customFormat="1" ht="12.75" customHeight="1">
      <c r="A290" s="4" t="s">
        <v>69</v>
      </c>
      <c r="B290" s="370"/>
      <c r="C290" s="328"/>
      <c r="D290" s="328"/>
      <c r="E290" s="328"/>
      <c r="F290" s="271">
        <v>2.5999999999999999E-2</v>
      </c>
      <c r="G290" s="328"/>
      <c r="H290" s="328"/>
      <c r="I290" s="328"/>
      <c r="J290" s="328"/>
      <c r="K290" s="271">
        <v>2.7E-2</v>
      </c>
      <c r="L290" s="328"/>
      <c r="M290" s="328"/>
      <c r="N290" s="328"/>
      <c r="O290" s="328"/>
      <c r="P290" s="271">
        <v>2.7E-2</v>
      </c>
      <c r="Q290" s="328"/>
      <c r="R290" s="328"/>
      <c r="S290" s="328"/>
      <c r="T290" s="328"/>
      <c r="U290" s="271">
        <v>3.2000000000000001E-2</v>
      </c>
      <c r="V290" s="328"/>
      <c r="W290" s="328"/>
      <c r="X290" s="328"/>
      <c r="Y290" s="328"/>
      <c r="Z290" s="271">
        <v>3.2000000000000001E-2</v>
      </c>
      <c r="AA290" s="328"/>
      <c r="AB290" s="328"/>
      <c r="AC290" s="328"/>
      <c r="AD290" s="328"/>
      <c r="AE290" s="271">
        <v>8.0000000000000002E-3</v>
      </c>
      <c r="AF290" s="328"/>
      <c r="AG290" s="328"/>
      <c r="AH290" s="328"/>
      <c r="AI290" s="328"/>
      <c r="AJ290" s="271">
        <v>8.0000000000000002E-3</v>
      </c>
      <c r="AK290" s="370">
        <v>1.7000000000000001E-2</v>
      </c>
      <c r="AL290" s="4">
        <v>1.7000000000000001E-2</v>
      </c>
      <c r="AM290" s="4">
        <v>1.7000000000000001E-2</v>
      </c>
      <c r="AN290" s="328">
        <f t="shared" si="1012"/>
        <v>1.7999999999999999E-2</v>
      </c>
      <c r="AO290" s="271">
        <v>1.7999999999999999E-2</v>
      </c>
      <c r="AP290" s="441">
        <v>1.7999999999999999E-2</v>
      </c>
      <c r="AQ290" s="4">
        <v>1.7999999999999999E-2</v>
      </c>
      <c r="AR290" s="4">
        <v>2.9000000000000001E-2</v>
      </c>
      <c r="AS290" s="328">
        <f t="shared" si="1013"/>
        <v>0.03</v>
      </c>
      <c r="AT290" s="271">
        <v>0.03</v>
      </c>
      <c r="AU290" s="441">
        <v>5.2999999999999999E-2</v>
      </c>
      <c r="AV290" s="4">
        <v>5.2999999999999999E-2</v>
      </c>
      <c r="AW290" s="4">
        <v>6.4000000000000001E-2</v>
      </c>
      <c r="AX290" s="328">
        <f t="shared" si="1014"/>
        <v>0.1</v>
      </c>
      <c r="AY290" s="370">
        <v>0.1</v>
      </c>
      <c r="AZ290" s="370">
        <v>0.1</v>
      </c>
      <c r="BA290" s="4">
        <v>0.1</v>
      </c>
      <c r="BB290" s="328">
        <v>0.1</v>
      </c>
      <c r="BC290" s="328">
        <f t="shared" si="1015"/>
        <v>0.1</v>
      </c>
      <c r="BD290" s="676">
        <v>0.1</v>
      </c>
      <c r="BE290" s="370">
        <v>0.1</v>
      </c>
      <c r="BF290" s="4">
        <v>0.1</v>
      </c>
      <c r="BG290" s="4">
        <v>0.1</v>
      </c>
      <c r="BH290" s="328">
        <f t="shared" si="1016"/>
        <v>0.1</v>
      </c>
      <c r="BI290" s="330">
        <v>0.1</v>
      </c>
      <c r="BJ290" s="370">
        <v>0.1</v>
      </c>
      <c r="BK290" s="4">
        <v>0.1</v>
      </c>
      <c r="BL290" s="4">
        <v>0.1</v>
      </c>
      <c r="BM290" s="328">
        <f t="shared" si="1017"/>
        <v>0.1</v>
      </c>
      <c r="BN290" s="330">
        <v>0.1</v>
      </c>
      <c r="BO290" s="2133">
        <f t="shared" si="1018"/>
        <v>0.1</v>
      </c>
      <c r="BP290" s="2133">
        <f t="shared" si="1019"/>
        <v>0.1</v>
      </c>
      <c r="BQ290" s="2133">
        <f t="shared" si="1020"/>
        <v>0.1</v>
      </c>
      <c r="BR290" s="2133">
        <f t="shared" si="1021"/>
        <v>0.1</v>
      </c>
      <c r="BS290" s="330">
        <f t="shared" si="1021"/>
        <v>0.1</v>
      </c>
      <c r="BT290" s="328"/>
      <c r="BU290" s="328"/>
      <c r="BV290" s="328"/>
      <c r="BW290" s="328"/>
      <c r="BX290" s="271">
        <f>BS290</f>
        <v>0.1</v>
      </c>
      <c r="BY290" s="328"/>
      <c r="BZ290" s="328"/>
      <c r="CA290" s="328"/>
      <c r="CB290" s="328"/>
      <c r="CC290" s="271">
        <f>BX290</f>
        <v>0.1</v>
      </c>
      <c r="CE290" s="249"/>
      <c r="CF290" s="246"/>
      <c r="CG290" s="246"/>
      <c r="CH290" s="246"/>
      <c r="CI290" s="247"/>
      <c r="CJ290" s="279"/>
      <c r="CK290" s="2077"/>
      <c r="CL290" s="279"/>
      <c r="CM290" s="279"/>
      <c r="CN290" s="279"/>
      <c r="CO290" s="279"/>
      <c r="CP290" s="279"/>
      <c r="CQ290" s="248"/>
      <c r="CR290" s="248"/>
      <c r="CS290" s="248"/>
      <c r="CT290" s="248"/>
      <c r="CU290" s="248"/>
      <c r="CV290" s="248"/>
      <c r="CW290" s="248"/>
      <c r="CX290" s="248"/>
      <c r="CY290" s="249"/>
      <c r="CZ290"/>
      <c r="DA290"/>
      <c r="DB290"/>
      <c r="DC290"/>
      <c r="DD290"/>
      <c r="DE290"/>
      <c r="DF290" s="4"/>
      <c r="DG290" s="4"/>
      <c r="DH290" s="4"/>
      <c r="DI290" s="4"/>
      <c r="DJ290" s="4"/>
    </row>
    <row r="291" spans="1:114" s="250" customFormat="1" ht="12.75" customHeight="1">
      <c r="A291" s="4" t="s">
        <v>144</v>
      </c>
      <c r="B291" s="370"/>
      <c r="C291" s="328"/>
      <c r="D291" s="328"/>
      <c r="E291" s="328"/>
      <c r="F291" s="271">
        <f>20.312</f>
        <v>20.312000000000001</v>
      </c>
      <c r="G291" s="328"/>
      <c r="H291" s="328"/>
      <c r="I291" s="328"/>
      <c r="J291" s="328"/>
      <c r="K291" s="271">
        <f>20.459</f>
        <v>20.459</v>
      </c>
      <c r="L291" s="328"/>
      <c r="M291" s="328"/>
      <c r="N291" s="328"/>
      <c r="O291" s="328"/>
      <c r="P291" s="271">
        <f>21.152</f>
        <v>21.152000000000001</v>
      </c>
      <c r="Q291" s="328"/>
      <c r="R291" s="328"/>
      <c r="S291" s="328"/>
      <c r="T291" s="328"/>
      <c r="U291" s="271">
        <f>26.316</f>
        <v>26.315999999999999</v>
      </c>
      <c r="V291" s="328"/>
      <c r="W291" s="328"/>
      <c r="X291" s="328"/>
      <c r="Y291" s="328"/>
      <c r="Z291" s="271">
        <f>26.488</f>
        <v>26.488</v>
      </c>
      <c r="AA291" s="328"/>
      <c r="AB291" s="328"/>
      <c r="AC291" s="328"/>
      <c r="AD291" s="328"/>
      <c r="AE291" s="271">
        <f>27.233</f>
        <v>27.233000000000001</v>
      </c>
      <c r="AF291" s="328"/>
      <c r="AG291" s="328"/>
      <c r="AH291" s="328"/>
      <c r="AI291" s="328"/>
      <c r="AJ291" s="271">
        <f>102.613</f>
        <v>102.613</v>
      </c>
      <c r="AK291" s="370">
        <v>241.02199999999999</v>
      </c>
      <c r="AL291" s="4">
        <v>241.96199999999999</v>
      </c>
      <c r="AM291" s="328">
        <v>260.25200000000001</v>
      </c>
      <c r="AN291" s="328">
        <f t="shared" si="1012"/>
        <v>262.64100000000002</v>
      </c>
      <c r="AO291" s="271">
        <v>262.64100000000002</v>
      </c>
      <c r="AP291" s="441">
        <v>266.267</v>
      </c>
      <c r="AQ291" s="4">
        <v>267.80599999999998</v>
      </c>
      <c r="AR291" s="328">
        <v>514.50800000000004</v>
      </c>
      <c r="AS291" s="328">
        <f t="shared" si="1013"/>
        <v>524.97199999999998</v>
      </c>
      <c r="AT291" s="271">
        <v>524.97199999999998</v>
      </c>
      <c r="AU291" s="441">
        <v>1063.242</v>
      </c>
      <c r="AV291" s="4">
        <v>1063.7090000000001</v>
      </c>
      <c r="AW291" s="328">
        <v>1413.86</v>
      </c>
      <c r="AX291" s="328">
        <f t="shared" si="1014"/>
        <v>1831.9</v>
      </c>
      <c r="AY291" s="370">
        <v>1831.9</v>
      </c>
      <c r="AZ291" s="370">
        <v>1870.6</v>
      </c>
      <c r="BA291" s="4">
        <v>2551.8000000000002</v>
      </c>
      <c r="BB291" s="4">
        <v>3164.1</v>
      </c>
      <c r="BC291" s="328">
        <f t="shared" si="1015"/>
        <v>3212.3</v>
      </c>
      <c r="BD291" s="676">
        <v>3212.3</v>
      </c>
      <c r="BE291" s="370">
        <v>3219.4</v>
      </c>
      <c r="BF291" s="4">
        <v>3229.8</v>
      </c>
      <c r="BG291" s="4">
        <v>3233.9</v>
      </c>
      <c r="BH291" s="328">
        <f t="shared" si="1016"/>
        <v>3244.9</v>
      </c>
      <c r="BI291" s="271">
        <v>3244.9</v>
      </c>
      <c r="BJ291" s="370">
        <v>3239.8</v>
      </c>
      <c r="BK291" s="4">
        <v>3255.1</v>
      </c>
      <c r="BL291" s="4">
        <v>3581.6</v>
      </c>
      <c r="BM291" s="328">
        <f t="shared" si="1017"/>
        <v>3590</v>
      </c>
      <c r="BN291" s="271">
        <v>3590</v>
      </c>
      <c r="BO291" s="4">
        <f t="shared" ref="BO291" si="1022">BN291+BO257</f>
        <v>3590</v>
      </c>
      <c r="BP291" s="4">
        <f t="shared" ref="BP291" si="1023">BO291+BP257</f>
        <v>3590</v>
      </c>
      <c r="BQ291" s="4">
        <f t="shared" ref="BQ291" si="1024">BP291+BQ257</f>
        <v>3590</v>
      </c>
      <c r="BR291" s="4">
        <f t="shared" ref="BR291" si="1025">BQ291+BR257</f>
        <v>3590</v>
      </c>
      <c r="BS291" s="271">
        <f t="shared" si="1021"/>
        <v>3590</v>
      </c>
      <c r="BT291" s="328"/>
      <c r="BU291" s="328"/>
      <c r="BV291" s="328"/>
      <c r="BW291" s="328"/>
      <c r="BX291" s="271">
        <f>BS291+BX257</f>
        <v>2433.5645000000004</v>
      </c>
      <c r="BY291" s="328"/>
      <c r="BZ291" s="328"/>
      <c r="CA291" s="328"/>
      <c r="CB291" s="328"/>
      <c r="CC291" s="271">
        <f>BX291+CC257</f>
        <v>1392.7725500000006</v>
      </c>
      <c r="CE291" s="249"/>
      <c r="CF291" s="246"/>
      <c r="CG291" s="246"/>
      <c r="CH291" s="246"/>
      <c r="CI291" s="247"/>
      <c r="CJ291" s="279"/>
      <c r="CK291" s="2077"/>
      <c r="CL291" s="279">
        <f>3212.3-465-72.3</f>
        <v>2675</v>
      </c>
      <c r="CM291" s="279"/>
      <c r="CN291" s="279"/>
      <c r="CO291" s="279"/>
      <c r="CP291" s="279"/>
      <c r="CQ291" s="248"/>
      <c r="CR291" s="248"/>
      <c r="CS291" s="248"/>
      <c r="CT291" s="248"/>
      <c r="CU291" s="248"/>
      <c r="CV291" s="248"/>
      <c r="CW291" s="248"/>
      <c r="CX291" s="248"/>
      <c r="CY291" s="249"/>
      <c r="CZ291"/>
      <c r="DA291"/>
      <c r="DB291"/>
      <c r="DC291"/>
      <c r="DD291"/>
      <c r="DE291"/>
      <c r="DF291" s="4"/>
      <c r="DG291" s="4"/>
      <c r="DH291" s="4"/>
      <c r="DI291" s="4"/>
      <c r="DJ291" s="4"/>
    </row>
    <row r="292" spans="1:114" s="250" customFormat="1" ht="12.75" customHeight="1">
      <c r="A292" s="4" t="s">
        <v>145</v>
      </c>
      <c r="B292" s="370"/>
      <c r="C292" s="328"/>
      <c r="D292" s="328"/>
      <c r="E292" s="328"/>
      <c r="F292" s="271">
        <v>-8.9450000000000003</v>
      </c>
      <c r="G292" s="328"/>
      <c r="H292" s="328"/>
      <c r="I292" s="328"/>
      <c r="J292" s="328"/>
      <c r="K292" s="271">
        <v>-5.0410000000000004</v>
      </c>
      <c r="L292" s="328"/>
      <c r="M292" s="328"/>
      <c r="N292" s="328"/>
      <c r="O292" s="328"/>
      <c r="P292" s="271">
        <v>-2.87</v>
      </c>
      <c r="Q292" s="328"/>
      <c r="R292" s="328"/>
      <c r="S292" s="328"/>
      <c r="T292" s="328"/>
      <c r="U292" s="271">
        <v>0.28599999999999998</v>
      </c>
      <c r="V292" s="328"/>
      <c r="W292" s="328"/>
      <c r="X292" s="328"/>
      <c r="Y292" s="328"/>
      <c r="Z292" s="271">
        <f>1.991</f>
        <v>1.9910000000000001</v>
      </c>
      <c r="AA292" s="328"/>
      <c r="AB292" s="328"/>
      <c r="AC292" s="328"/>
      <c r="AD292" s="328"/>
      <c r="AE292" s="271">
        <f>6.879</f>
        <v>6.8789999999999996</v>
      </c>
      <c r="AF292" s="328"/>
      <c r="AG292" s="328"/>
      <c r="AH292" s="328"/>
      <c r="AI292" s="328"/>
      <c r="AJ292" s="271">
        <v>-36.948</v>
      </c>
      <c r="AK292" s="370">
        <f>-40.392</f>
        <v>-40.392000000000003</v>
      </c>
      <c r="AL292" s="4">
        <v>-46.319000000000003</v>
      </c>
      <c r="AM292" s="328">
        <v>-50.218000000000004</v>
      </c>
      <c r="AN292" s="328">
        <f t="shared" si="1012"/>
        <v>-60.286999999999999</v>
      </c>
      <c r="AO292" s="271">
        <v>-60.286999999999999</v>
      </c>
      <c r="AP292" s="441">
        <v>-75.573999999999998</v>
      </c>
      <c r="AQ292" s="4">
        <v>-93.679000000000002</v>
      </c>
      <c r="AR292" s="328">
        <v>-100.44799999999999</v>
      </c>
      <c r="AS292" s="328">
        <f t="shared" si="1013"/>
        <v>-111.789</v>
      </c>
      <c r="AT292" s="271">
        <v>-111.789</v>
      </c>
      <c r="AU292" s="441">
        <v>-140.666</v>
      </c>
      <c r="AV292" s="4">
        <v>-155.161</v>
      </c>
      <c r="AW292" s="328">
        <v>-167.59200000000001</v>
      </c>
      <c r="AX292" s="328">
        <f t="shared" si="1014"/>
        <v>-219.1</v>
      </c>
      <c r="AY292" s="370">
        <v>-219.1</v>
      </c>
      <c r="AZ292" s="370">
        <v>-234.5</v>
      </c>
      <c r="BA292" s="4">
        <f>+-309.5-14.8</f>
        <v>-324.3</v>
      </c>
      <c r="BB292" s="328">
        <f>+-402.6+0.4</f>
        <v>-402.20000000000005</v>
      </c>
      <c r="BC292" s="328">
        <f t="shared" si="1015"/>
        <v>-465</v>
      </c>
      <c r="BD292" s="676">
        <v>-465</v>
      </c>
      <c r="BE292" s="370">
        <v>-488.2</v>
      </c>
      <c r="BF292" s="4">
        <v>-443</v>
      </c>
      <c r="BG292" s="328">
        <v>-428.9</v>
      </c>
      <c r="BH292" s="328">
        <f t="shared" si="1016"/>
        <v>-392.9</v>
      </c>
      <c r="BI292" s="271">
        <v>-392.9</v>
      </c>
      <c r="BJ292" s="370">
        <v>-372.4</v>
      </c>
      <c r="BK292" s="4">
        <v>-321.7</v>
      </c>
      <c r="BL292" s="4">
        <v>-259.5</v>
      </c>
      <c r="BM292" s="328">
        <f t="shared" si="1017"/>
        <v>-42.6</v>
      </c>
      <c r="BN292" s="271">
        <v>-42.6</v>
      </c>
      <c r="BO292" s="328">
        <f t="shared" ref="BO292" si="1026">BN292+BO233+BO254</f>
        <v>26.207534278856421</v>
      </c>
      <c r="BP292" s="328">
        <f t="shared" ref="BP292" si="1027">BO292+BP233+BP254</f>
        <v>175.09963309847768</v>
      </c>
      <c r="BQ292" s="328">
        <f t="shared" ref="BQ292" si="1028">BP292+BQ233+BQ254</f>
        <v>325.15472256680277</v>
      </c>
      <c r="BR292" s="328">
        <f t="shared" ref="BR292" si="1029">BQ292+BR233+BR254</f>
        <v>461.55135214862963</v>
      </c>
      <c r="BS292" s="271">
        <f t="shared" si="1021"/>
        <v>461.55135214862963</v>
      </c>
      <c r="BT292" s="328"/>
      <c r="BU292" s="328"/>
      <c r="BV292" s="328"/>
      <c r="BW292" s="328"/>
      <c r="BX292" s="271">
        <f>BS292+BX233+BX254</f>
        <v>1083.2586941370591</v>
      </c>
      <c r="BY292" s="328"/>
      <c r="BZ292" s="328"/>
      <c r="CA292" s="328"/>
      <c r="CB292" s="328"/>
      <c r="CC292" s="271">
        <f>BX292+CC233+CC254</f>
        <v>1812.4382286814705</v>
      </c>
      <c r="CE292" s="249"/>
      <c r="CF292" s="246"/>
      <c r="CG292" s="246"/>
      <c r="CH292" s="246"/>
      <c r="CI292" s="247"/>
      <c r="CJ292" s="279"/>
      <c r="CK292" s="2077"/>
      <c r="CL292" s="279"/>
      <c r="CM292" s="279"/>
      <c r="CN292" s="279"/>
      <c r="CO292" s="279"/>
      <c r="CP292" s="279"/>
      <c r="CQ292" s="248"/>
      <c r="CR292" s="248"/>
      <c r="CS292" s="248"/>
      <c r="CT292" s="248"/>
      <c r="CU292" s="248"/>
      <c r="CV292" s="248"/>
      <c r="CW292" s="248"/>
      <c r="CX292" s="248"/>
      <c r="CY292" s="249"/>
      <c r="CZ292"/>
      <c r="DA292"/>
      <c r="DB292"/>
      <c r="DC292"/>
      <c r="DD292"/>
      <c r="DE292"/>
      <c r="DF292" s="4"/>
      <c r="DG292" s="4"/>
      <c r="DH292" s="4"/>
      <c r="DI292" s="4"/>
      <c r="DJ292" s="4"/>
    </row>
    <row r="293" spans="1:114" s="250" customFormat="1" ht="12.75" customHeight="1">
      <c r="A293" s="4" t="s">
        <v>146</v>
      </c>
      <c r="B293" s="370"/>
      <c r="C293" s="328"/>
      <c r="D293" s="328"/>
      <c r="E293" s="328"/>
      <c r="F293" s="271">
        <v>-0.107</v>
      </c>
      <c r="G293" s="328"/>
      <c r="H293" s="328"/>
      <c r="I293" s="328"/>
      <c r="J293" s="328"/>
      <c r="K293" s="271">
        <v>-0.107</v>
      </c>
      <c r="L293" s="328"/>
      <c r="M293" s="328"/>
      <c r="N293" s="328"/>
      <c r="O293" s="328"/>
      <c r="P293" s="271">
        <v>-0.107</v>
      </c>
      <c r="Q293" s="328"/>
      <c r="R293" s="328"/>
      <c r="S293" s="328"/>
      <c r="T293" s="328"/>
      <c r="U293" s="271">
        <v>-0.107</v>
      </c>
      <c r="V293" s="328"/>
      <c r="W293" s="328"/>
      <c r="X293" s="328"/>
      <c r="Y293" s="328"/>
      <c r="Z293" s="271">
        <v>-0.107</v>
      </c>
      <c r="AA293" s="328"/>
      <c r="AB293" s="328"/>
      <c r="AC293" s="328"/>
      <c r="AD293" s="328"/>
      <c r="AE293" s="271">
        <v>-0.107</v>
      </c>
      <c r="AF293" s="328"/>
      <c r="AG293" s="328"/>
      <c r="AH293" s="328"/>
      <c r="AI293" s="328"/>
      <c r="AJ293" s="271">
        <v>-0.107</v>
      </c>
      <c r="AK293" s="370">
        <v>-0.107</v>
      </c>
      <c r="AL293" s="4">
        <v>-0.107</v>
      </c>
      <c r="AM293" s="4">
        <v>-0.107</v>
      </c>
      <c r="AN293" s="328">
        <f t="shared" si="1012"/>
        <v>-0.107</v>
      </c>
      <c r="AO293" s="271">
        <v>-0.107</v>
      </c>
      <c r="AP293" s="441">
        <v>-0.107</v>
      </c>
      <c r="AQ293" s="4">
        <v>-0.107</v>
      </c>
      <c r="AR293" s="4">
        <v>-0.107</v>
      </c>
      <c r="AS293" s="328">
        <f t="shared" si="1013"/>
        <v>-0.107</v>
      </c>
      <c r="AT293" s="271">
        <f>AO293+AT261</f>
        <v>-0.107</v>
      </c>
      <c r="AU293" s="441">
        <v>-0.107</v>
      </c>
      <c r="AV293" s="4">
        <v>-0.107</v>
      </c>
      <c r="AW293" s="4">
        <v>0</v>
      </c>
      <c r="AX293" s="328">
        <f t="shared" si="1014"/>
        <v>-0.107</v>
      </c>
      <c r="AY293" s="370">
        <f>AT293+AY261</f>
        <v>-0.107</v>
      </c>
      <c r="AZ293" s="370">
        <v>0</v>
      </c>
      <c r="BA293" s="4">
        <v>0</v>
      </c>
      <c r="BB293" s="328">
        <v>0</v>
      </c>
      <c r="BC293" s="328">
        <f t="shared" si="1015"/>
        <v>0</v>
      </c>
      <c r="BD293" s="676">
        <v>0</v>
      </c>
      <c r="BE293" s="370">
        <v>0</v>
      </c>
      <c r="BF293" s="328">
        <v>0</v>
      </c>
      <c r="BG293" s="328">
        <v>0</v>
      </c>
      <c r="BH293" s="328">
        <f t="shared" si="1016"/>
        <v>0</v>
      </c>
      <c r="BI293" s="271">
        <v>0</v>
      </c>
      <c r="BJ293" s="370">
        <v>0</v>
      </c>
      <c r="BK293" s="328">
        <v>0</v>
      </c>
      <c r="BL293" s="328">
        <v>0</v>
      </c>
      <c r="BM293" s="328">
        <f t="shared" si="1017"/>
        <v>0</v>
      </c>
      <c r="BN293" s="271">
        <v>0</v>
      </c>
      <c r="BO293" s="683">
        <f t="shared" ref="BO293" si="1030">BN293</f>
        <v>0</v>
      </c>
      <c r="BP293" s="683">
        <f t="shared" ref="BP293" si="1031">BO293</f>
        <v>0</v>
      </c>
      <c r="BQ293" s="683">
        <f t="shared" ref="BQ293" si="1032">BP293</f>
        <v>0</v>
      </c>
      <c r="BR293" s="683">
        <f t="shared" ref="BR293" si="1033">BQ293</f>
        <v>0</v>
      </c>
      <c r="BS293" s="271">
        <f t="shared" si="1021"/>
        <v>0</v>
      </c>
      <c r="BT293" s="328"/>
      <c r="BU293" s="328"/>
      <c r="BV293" s="328"/>
      <c r="BW293" s="328"/>
      <c r="BX293" s="271">
        <f>BS293+BX261</f>
        <v>0</v>
      </c>
      <c r="BY293" s="328"/>
      <c r="BZ293" s="328"/>
      <c r="CA293" s="328"/>
      <c r="CB293" s="328"/>
      <c r="CC293" s="271">
        <f>BX293+CC261</f>
        <v>0</v>
      </c>
      <c r="CE293" s="249"/>
      <c r="CF293" s="246"/>
      <c r="CG293" s="246"/>
      <c r="CH293" s="246"/>
      <c r="CI293" s="247"/>
      <c r="CJ293" s="279"/>
      <c r="CK293" s="2077"/>
      <c r="CL293" s="279"/>
      <c r="CM293" s="279"/>
      <c r="CN293" s="279"/>
      <c r="CO293" s="279"/>
      <c r="CP293" s="279"/>
      <c r="CQ293" s="248"/>
      <c r="CR293" s="248"/>
      <c r="CS293" s="248"/>
      <c r="CT293" s="248"/>
      <c r="CU293" s="248"/>
      <c r="CV293" s="248"/>
      <c r="CW293" s="248"/>
      <c r="CX293" s="248"/>
      <c r="CY293" s="249"/>
      <c r="CZ293"/>
      <c r="DA293"/>
      <c r="DB293"/>
      <c r="DC293"/>
      <c r="DD293"/>
      <c r="DE293"/>
      <c r="DF293" s="4"/>
      <c r="DG293" s="4"/>
      <c r="DH293" s="4"/>
      <c r="DI293" s="4"/>
      <c r="DJ293" s="4"/>
    </row>
    <row r="294" spans="1:114" s="250" customFormat="1" ht="12.75" customHeight="1">
      <c r="A294" s="4" t="s">
        <v>549</v>
      </c>
      <c r="B294" s="370"/>
      <c r="C294" s="328"/>
      <c r="D294" s="328"/>
      <c r="E294" s="328"/>
      <c r="F294" s="1956"/>
      <c r="G294" s="328"/>
      <c r="H294" s="328"/>
      <c r="I294" s="328"/>
      <c r="J294" s="328"/>
      <c r="K294" s="1956"/>
      <c r="L294" s="328"/>
      <c r="M294" s="328"/>
      <c r="N294" s="328"/>
      <c r="O294" s="328"/>
      <c r="P294" s="1956"/>
      <c r="Q294" s="328"/>
      <c r="R294" s="328"/>
      <c r="S294" s="328"/>
      <c r="T294" s="328"/>
      <c r="U294" s="1956"/>
      <c r="V294" s="328"/>
      <c r="W294" s="328"/>
      <c r="X294" s="328"/>
      <c r="Y294" s="328"/>
      <c r="Z294" s="1956"/>
      <c r="AA294" s="328"/>
      <c r="AB294" s="328"/>
      <c r="AC294" s="328"/>
      <c r="AD294" s="328"/>
      <c r="AE294" s="1956"/>
      <c r="AF294" s="328"/>
      <c r="AG294" s="328"/>
      <c r="AH294" s="328"/>
      <c r="AI294" s="328"/>
      <c r="AJ294" s="1956"/>
      <c r="AK294" s="370"/>
      <c r="AL294" s="4"/>
      <c r="AM294" s="4"/>
      <c r="AN294" s="328"/>
      <c r="AO294" s="1956"/>
      <c r="AP294" s="441"/>
      <c r="AQ294" s="4"/>
      <c r="AR294" s="4"/>
      <c r="AS294" s="328"/>
      <c r="AT294" s="1956"/>
      <c r="AU294" s="441"/>
      <c r="AV294" s="4"/>
      <c r="AW294" s="4"/>
      <c r="AX294" s="328"/>
      <c r="AY294" s="370"/>
      <c r="AZ294" s="370"/>
      <c r="BA294" s="4"/>
      <c r="BB294" s="328"/>
      <c r="BC294" s="328">
        <f t="shared" si="1015"/>
        <v>-72.3</v>
      </c>
      <c r="BD294" s="676">
        <v>-72.3</v>
      </c>
      <c r="BE294" s="370">
        <v>-47.3</v>
      </c>
      <c r="BF294" s="328">
        <v>-100.5</v>
      </c>
      <c r="BG294" s="328">
        <v>-125.1</v>
      </c>
      <c r="BH294" s="328">
        <f t="shared" si="1016"/>
        <v>-193.7</v>
      </c>
      <c r="BI294" s="676">
        <v>-193.7</v>
      </c>
      <c r="BJ294" s="370">
        <v>-167.5</v>
      </c>
      <c r="BK294" s="328">
        <v>-94.5</v>
      </c>
      <c r="BL294" s="328">
        <v>-54.6</v>
      </c>
      <c r="BM294" s="328">
        <f t="shared" si="1017"/>
        <v>15.7</v>
      </c>
      <c r="BN294" s="1910">
        <v>15.7</v>
      </c>
      <c r="BO294" s="683">
        <f t="shared" ref="BO294" si="1034">+BN294+BO261</f>
        <v>15.7</v>
      </c>
      <c r="BP294" s="683">
        <f t="shared" ref="BP294" si="1035">+BO294+BP261</f>
        <v>15.7</v>
      </c>
      <c r="BQ294" s="683">
        <f t="shared" ref="BQ294" si="1036">+BP294+BQ261</f>
        <v>15.7</v>
      </c>
      <c r="BR294" s="683">
        <f t="shared" ref="BR294" si="1037">+BQ294+BR261</f>
        <v>15.7</v>
      </c>
      <c r="BS294" s="1910">
        <f t="shared" si="1021"/>
        <v>15.7</v>
      </c>
      <c r="BT294" s="683"/>
      <c r="BU294" s="683"/>
      <c r="BV294" s="683"/>
      <c r="BW294" s="683"/>
      <c r="BX294" s="2032">
        <f>+BS294</f>
        <v>15.7</v>
      </c>
      <c r="BY294" s="683"/>
      <c r="BZ294" s="683"/>
      <c r="CA294" s="683"/>
      <c r="CB294" s="683"/>
      <c r="CC294" s="2032">
        <f>+BX294</f>
        <v>15.7</v>
      </c>
      <c r="CE294" s="249"/>
      <c r="CF294" s="246"/>
      <c r="CG294" s="246"/>
      <c r="CH294" s="246"/>
      <c r="CI294" s="2001"/>
      <c r="CJ294" s="279"/>
      <c r="CK294" s="2077"/>
      <c r="CL294" s="279"/>
      <c r="CM294" s="279"/>
      <c r="CN294" s="279"/>
      <c r="CO294" s="279"/>
      <c r="CP294" s="279"/>
      <c r="CQ294" s="248"/>
      <c r="CR294" s="248"/>
      <c r="CS294" s="248"/>
      <c r="CT294" s="248"/>
      <c r="CU294" s="248"/>
      <c r="CV294" s="248"/>
      <c r="CW294" s="248"/>
      <c r="CX294" s="248"/>
      <c r="CY294" s="249"/>
      <c r="CZ294"/>
      <c r="DA294"/>
      <c r="DB294"/>
      <c r="DC294"/>
      <c r="DD294"/>
      <c r="DE294"/>
      <c r="DF294" s="4"/>
      <c r="DG294" s="4"/>
      <c r="DH294" s="4"/>
      <c r="DI294" s="4"/>
      <c r="DJ294" s="4"/>
    </row>
    <row r="295" spans="1:114" s="250" customFormat="1" ht="12.75" customHeight="1">
      <c r="A295" s="4" t="s">
        <v>227</v>
      </c>
      <c r="B295" s="370"/>
      <c r="C295" s="328"/>
      <c r="D295" s="328"/>
      <c r="E295" s="328"/>
      <c r="F295" s="271"/>
      <c r="G295" s="328"/>
      <c r="H295" s="328"/>
      <c r="I295" s="328"/>
      <c r="J295" s="328"/>
      <c r="K295" s="271"/>
      <c r="L295" s="328"/>
      <c r="M295" s="328"/>
      <c r="N295" s="328"/>
      <c r="O295" s="328"/>
      <c r="P295" s="271"/>
      <c r="Q295" s="328"/>
      <c r="R295" s="328"/>
      <c r="S295" s="328"/>
      <c r="T295" s="328"/>
      <c r="U295" s="271"/>
      <c r="V295" s="328"/>
      <c r="W295" s="328"/>
      <c r="X295" s="328"/>
      <c r="Y295" s="328"/>
      <c r="Z295" s="271"/>
      <c r="AA295" s="328"/>
      <c r="AB295" s="328"/>
      <c r="AC295" s="328"/>
      <c r="AD295" s="328"/>
      <c r="AE295" s="271"/>
      <c r="AF295" s="328"/>
      <c r="AG295" s="328"/>
      <c r="AH295" s="328"/>
      <c r="AI295" s="328"/>
      <c r="AJ295" s="271"/>
      <c r="AK295" s="370"/>
      <c r="AL295" s="4"/>
      <c r="AM295" s="4"/>
      <c r="AN295" s="328"/>
      <c r="AO295" s="271"/>
      <c r="AP295" s="441"/>
      <c r="AQ295" s="4"/>
      <c r="AR295" s="4"/>
      <c r="AS295" s="328"/>
      <c r="AT295" s="271"/>
      <c r="AU295" s="441"/>
      <c r="AV295" s="4"/>
      <c r="AW295" s="4"/>
      <c r="AX295" s="328"/>
      <c r="AY295" s="370">
        <v>0</v>
      </c>
      <c r="AZ295" s="370">
        <v>0</v>
      </c>
      <c r="BA295" s="4">
        <f>665.1+8.3</f>
        <v>673.4</v>
      </c>
      <c r="BB295" s="328">
        <v>335.8</v>
      </c>
      <c r="BC295" s="328">
        <f t="shared" si="1015"/>
        <v>343.7</v>
      </c>
      <c r="BD295" s="676">
        <v>343.7</v>
      </c>
      <c r="BE295" s="370">
        <v>355.6</v>
      </c>
      <c r="BF295" s="328">
        <v>348.8</v>
      </c>
      <c r="BG295" s="328">
        <v>353.9</v>
      </c>
      <c r="BH295" s="328">
        <f t="shared" si="1016"/>
        <v>337.6</v>
      </c>
      <c r="BI295" s="1910">
        <v>337.6</v>
      </c>
      <c r="BJ295" s="370">
        <v>346.7</v>
      </c>
      <c r="BK295" s="328">
        <v>369.6</v>
      </c>
      <c r="BL295" s="328">
        <v>389.6</v>
      </c>
      <c r="BM295" s="328">
        <f t="shared" si="1017"/>
        <v>405.6</v>
      </c>
      <c r="BN295" s="1910">
        <v>405.6</v>
      </c>
      <c r="BO295" s="683">
        <f t="shared" ref="BO295" si="1038">+BN295</f>
        <v>405.6</v>
      </c>
      <c r="BP295" s="683">
        <f t="shared" ref="BP295" si="1039">+BO295</f>
        <v>405.6</v>
      </c>
      <c r="BQ295" s="683">
        <f t="shared" ref="BQ295" si="1040">+BP295</f>
        <v>405.6</v>
      </c>
      <c r="BR295" s="683">
        <f t="shared" ref="BR295" si="1041">+BQ295</f>
        <v>405.6</v>
      </c>
      <c r="BS295" s="1910">
        <f t="shared" si="1021"/>
        <v>405.6</v>
      </c>
      <c r="BT295" s="683"/>
      <c r="BU295" s="683"/>
      <c r="BV295" s="683"/>
      <c r="BW295" s="683"/>
      <c r="BX295" s="638">
        <f>+BS295</f>
        <v>405.6</v>
      </c>
      <c r="BY295" s="683"/>
      <c r="BZ295" s="683"/>
      <c r="CA295" s="683"/>
      <c r="CB295" s="683"/>
      <c r="CC295" s="638">
        <f>+BX295</f>
        <v>405.6</v>
      </c>
      <c r="CE295" s="249"/>
      <c r="CF295" s="246"/>
      <c r="CG295" s="246"/>
      <c r="CH295" s="246"/>
      <c r="CI295" s="247"/>
      <c r="CJ295" s="279"/>
      <c r="CK295" s="2077"/>
      <c r="CL295" s="279"/>
      <c r="CM295" s="279"/>
      <c r="CN295" s="279"/>
      <c r="CO295" s="279"/>
      <c r="CP295" s="279"/>
      <c r="CQ295" s="248"/>
      <c r="CR295" s="248"/>
      <c r="CS295" s="248"/>
      <c r="CT295" s="248"/>
      <c r="CU295" s="248"/>
      <c r="CV295" s="248"/>
      <c r="CW295" s="248"/>
      <c r="CX295" s="248"/>
      <c r="CY295" s="249"/>
      <c r="CZ295"/>
      <c r="DA295"/>
      <c r="DB295"/>
      <c r="DC295"/>
      <c r="DD295"/>
      <c r="DE295"/>
      <c r="DF295" s="4"/>
      <c r="DG295" s="4"/>
      <c r="DH295" s="4"/>
      <c r="DI295" s="4"/>
      <c r="DJ295" s="4"/>
    </row>
    <row r="296" spans="1:114" s="250" customFormat="1" ht="12.75" customHeight="1">
      <c r="A296" s="10" t="s">
        <v>18</v>
      </c>
      <c r="B296" s="369"/>
      <c r="C296" s="11"/>
      <c r="D296" s="11"/>
      <c r="E296" s="11"/>
      <c r="F296" s="324">
        <f>SUM(F289:F293)</f>
        <v>11.286000000000001</v>
      </c>
      <c r="G296" s="11"/>
      <c r="H296" s="11"/>
      <c r="I296" s="11"/>
      <c r="J296" s="11"/>
      <c r="K296" s="324">
        <f>SUM(K289:K293)</f>
        <v>15.338000000000001</v>
      </c>
      <c r="L296" s="11"/>
      <c r="M296" s="11"/>
      <c r="N296" s="11"/>
      <c r="O296" s="11"/>
      <c r="P296" s="324">
        <f>SUM(P289:P293)</f>
        <v>18.202000000000002</v>
      </c>
      <c r="Q296" s="11"/>
      <c r="R296" s="11"/>
      <c r="S296" s="11"/>
      <c r="T296" s="11"/>
      <c r="U296" s="324">
        <f>SUM(U289:U293)</f>
        <v>26.527000000000001</v>
      </c>
      <c r="V296" s="11"/>
      <c r="W296" s="11"/>
      <c r="X296" s="11"/>
      <c r="Y296" s="11"/>
      <c r="Z296" s="324">
        <f>SUM(Z289:Z293)</f>
        <v>28.404</v>
      </c>
      <c r="AA296" s="11"/>
      <c r="AB296" s="11"/>
      <c r="AC296" s="11"/>
      <c r="AD296" s="11"/>
      <c r="AE296" s="324">
        <f>SUM(AE289:AE293)</f>
        <v>34.012999999999998</v>
      </c>
      <c r="AF296" s="11"/>
      <c r="AG296" s="11"/>
      <c r="AH296" s="11"/>
      <c r="AI296" s="11"/>
      <c r="AJ296" s="324">
        <f>SUM(AJ289:AJ293)</f>
        <v>108.35999999999999</v>
      </c>
      <c r="AK296" s="369">
        <f>SUM(AK289:AK293)</f>
        <v>243.33399999999997</v>
      </c>
      <c r="AL296" s="11">
        <f>SUM(AL289:AL293)</f>
        <v>238.34699999999995</v>
      </c>
      <c r="AM296" s="11">
        <f>SUM(AM289:AM293)</f>
        <v>252.73799999999997</v>
      </c>
      <c r="AN296" s="11">
        <f t="shared" si="1012"/>
        <v>245.05900000000003</v>
      </c>
      <c r="AO296" s="324">
        <f>SUM(AO289:AO293)</f>
        <v>245.05900000000003</v>
      </c>
      <c r="AP296" s="440">
        <f>SUM(AP289:AP293)</f>
        <v>233.398</v>
      </c>
      <c r="AQ296" s="11">
        <f>SUM(AQ289:AQ293)</f>
        <v>216.83199999999999</v>
      </c>
      <c r="AR296" s="11">
        <f>SUM(AR289:AR293)</f>
        <v>456.74700000000001</v>
      </c>
      <c r="AS296" s="11">
        <f t="shared" si="1013"/>
        <v>455.84300000000002</v>
      </c>
      <c r="AT296" s="324">
        <f>SUM(AT289:AT293)</f>
        <v>455.84300000000002</v>
      </c>
      <c r="AU296" s="440">
        <f>SUM(AU289:AU293)</f>
        <v>964.78</v>
      </c>
      <c r="AV296" s="11">
        <f>SUM(AV289:AV293)</f>
        <v>950.75199999999995</v>
      </c>
      <c r="AW296" s="11">
        <f>SUM(AW289:AW293)</f>
        <v>1652.4879999999998</v>
      </c>
      <c r="AX296" s="11">
        <f t="shared" si="1014"/>
        <v>1654.9930000000002</v>
      </c>
      <c r="AY296" s="369">
        <f>SUM(AY289:AY295)</f>
        <v>1654.9930000000002</v>
      </c>
      <c r="AZ296" s="369">
        <f>SUM(AZ289:AZ295)</f>
        <v>1678.3999999999999</v>
      </c>
      <c r="BA296" s="11">
        <f>SUM(BA289:BA293)</f>
        <v>2818.2</v>
      </c>
      <c r="BB296" s="11">
        <f>SUM(BB289:BB295)</f>
        <v>3139.8</v>
      </c>
      <c r="BC296" s="11">
        <f t="shared" ref="BC296:BC297" si="1042">+BD296</f>
        <v>3060.7999999999997</v>
      </c>
      <c r="BD296" s="674">
        <f>SUM(BD289:BD295)</f>
        <v>3060.7999999999997</v>
      </c>
      <c r="BE296" s="369">
        <f>SUM(BE289:BE295)</f>
        <v>3081.6</v>
      </c>
      <c r="BF296" s="11">
        <f t="shared" ref="BF296:BG296" si="1043">SUM(BF289:BF295)</f>
        <v>3077.2000000000003</v>
      </c>
      <c r="BG296" s="11">
        <f t="shared" si="1043"/>
        <v>3075.9</v>
      </c>
      <c r="BH296" s="11">
        <f t="shared" si="1016"/>
        <v>3037.6</v>
      </c>
      <c r="BI296" s="674">
        <f>SUM(BI289:BI295)</f>
        <v>3037.6</v>
      </c>
      <c r="BJ296" s="369">
        <f t="shared" ref="BJ296:BK296" si="1044">SUM(BJ289:BJ295)</f>
        <v>3087.9</v>
      </c>
      <c r="BK296" s="11">
        <f t="shared" si="1044"/>
        <v>3249.8</v>
      </c>
      <c r="BL296" s="11">
        <f t="shared" ref="BL296" si="1045">SUM(BL289:BL295)</f>
        <v>3698.4</v>
      </c>
      <c r="BM296" s="11">
        <f t="shared" si="1017"/>
        <v>4010</v>
      </c>
      <c r="BN296" s="674">
        <f>SUM(BN289:BN295)</f>
        <v>4010</v>
      </c>
      <c r="BO296" s="11">
        <f t="shared" ref="BO296:BR296" si="1046">SUM(BO289:BO295)</f>
        <v>4078.8075342788561</v>
      </c>
      <c r="BP296" s="11">
        <f t="shared" si="1046"/>
        <v>4227.6996330984775</v>
      </c>
      <c r="BQ296" s="11">
        <f t="shared" si="1046"/>
        <v>4377.7547225668031</v>
      </c>
      <c r="BR296" s="11">
        <f t="shared" si="1046"/>
        <v>4514.1513521486304</v>
      </c>
      <c r="BS296" s="674">
        <f>SUM(BS289:BS295)</f>
        <v>4514.1513521486304</v>
      </c>
      <c r="BT296" s="11"/>
      <c r="BU296" s="11"/>
      <c r="BV296" s="11"/>
      <c r="BW296" s="11"/>
      <c r="BX296" s="674">
        <f>SUM(BX289:BX295)</f>
        <v>3979.4231941370595</v>
      </c>
      <c r="BY296" s="11"/>
      <c r="BZ296" s="11"/>
      <c r="CA296" s="11"/>
      <c r="CB296" s="11"/>
      <c r="CC296" s="674">
        <f>SUM(CC289:CC295)</f>
        <v>3667.8107786814708</v>
      </c>
      <c r="CD296" s="326"/>
      <c r="CE296" s="327"/>
      <c r="CF296" s="246"/>
      <c r="CG296" s="246"/>
      <c r="CH296" s="246"/>
      <c r="CI296" s="247"/>
      <c r="CJ296" s="279"/>
      <c r="CK296" s="2077"/>
      <c r="CL296" s="279"/>
      <c r="CM296" s="279"/>
      <c r="CN296" s="279"/>
      <c r="CO296" s="279"/>
      <c r="CP296" s="279"/>
      <c r="CQ296" s="248"/>
      <c r="CR296" s="248"/>
      <c r="CS296" s="248"/>
      <c r="CT296" s="248"/>
      <c r="CU296" s="248"/>
      <c r="CV296" s="248"/>
      <c r="CW296" s="248"/>
      <c r="CX296" s="248"/>
      <c r="CY296" s="249"/>
      <c r="CZ296"/>
      <c r="DA296"/>
      <c r="DB296"/>
      <c r="DC296"/>
      <c r="DD296"/>
      <c r="DE296"/>
      <c r="DF296" s="4"/>
      <c r="DG296" s="4"/>
      <c r="DH296" s="4"/>
      <c r="DI296" s="4"/>
      <c r="DJ296" s="4"/>
    </row>
    <row r="297" spans="1:114" s="250" customFormat="1" ht="12.75" customHeight="1">
      <c r="A297" s="10" t="s">
        <v>19</v>
      </c>
      <c r="B297" s="369"/>
      <c r="C297" s="11"/>
      <c r="D297" s="11"/>
      <c r="E297" s="11"/>
      <c r="F297" s="324">
        <f>+F287+F296</f>
        <v>18.454000000000001</v>
      </c>
      <c r="G297" s="11"/>
      <c r="H297" s="11"/>
      <c r="I297" s="11"/>
      <c r="J297" s="11"/>
      <c r="K297" s="324">
        <f>+K287+K296</f>
        <v>21.609000000000002</v>
      </c>
      <c r="L297" s="11"/>
      <c r="M297" s="11"/>
      <c r="N297" s="11"/>
      <c r="O297" s="11"/>
      <c r="P297" s="324">
        <f>+P287+P296</f>
        <v>23.724000000000004</v>
      </c>
      <c r="Q297" s="11"/>
      <c r="R297" s="11"/>
      <c r="S297" s="11"/>
      <c r="T297" s="11"/>
      <c r="U297" s="324">
        <f>+U287+U296</f>
        <v>41.682000000000002</v>
      </c>
      <c r="V297" s="11"/>
      <c r="W297" s="11"/>
      <c r="X297" s="11"/>
      <c r="Y297" s="11"/>
      <c r="Z297" s="324">
        <f>+Z287+Z296</f>
        <v>49.039000000000001</v>
      </c>
      <c r="AA297" s="11"/>
      <c r="AB297" s="11"/>
      <c r="AC297" s="11"/>
      <c r="AD297" s="11"/>
      <c r="AE297" s="324">
        <f>+AE287+AE296</f>
        <v>56.671999999999997</v>
      </c>
      <c r="AF297" s="11"/>
      <c r="AG297" s="11"/>
      <c r="AH297" s="11"/>
      <c r="AI297" s="11"/>
      <c r="AJ297" s="324">
        <f>+AJ287+AJ296</f>
        <v>127.64099999999999</v>
      </c>
      <c r="AK297" s="369">
        <f>+AK287+AK296</f>
        <v>265.24599999999998</v>
      </c>
      <c r="AL297" s="11">
        <f>+AL287+AL296</f>
        <v>260.73099999999994</v>
      </c>
      <c r="AM297" s="11">
        <f>+AM287+AM296</f>
        <v>387.77099999999996</v>
      </c>
      <c r="AN297" s="11">
        <f t="shared" si="1012"/>
        <v>413.20800000000003</v>
      </c>
      <c r="AO297" s="324">
        <v>413.20800000000003</v>
      </c>
      <c r="AP297" s="369">
        <f>+AP287+AP296</f>
        <v>400.45399999999995</v>
      </c>
      <c r="AQ297" s="11">
        <f>+AQ287+AQ296</f>
        <v>394.47899999999998</v>
      </c>
      <c r="AR297" s="11">
        <f>+AR287+AR296</f>
        <v>700.33199999999999</v>
      </c>
      <c r="AS297" s="11">
        <f t="shared" si="1013"/>
        <v>780.24099999999999</v>
      </c>
      <c r="AT297" s="324">
        <f>+AT287+AT296</f>
        <v>780.24099999999999</v>
      </c>
      <c r="AU297" s="369">
        <f>+AU287+AU296</f>
        <v>1423.7550000000001</v>
      </c>
      <c r="AV297" s="11">
        <f>+AV287+AV296</f>
        <v>1380.83</v>
      </c>
      <c r="AW297" s="11">
        <f>+AW287+AW296</f>
        <v>2746.2929999999997</v>
      </c>
      <c r="AX297" s="11">
        <f t="shared" si="1014"/>
        <v>2761.2000000000003</v>
      </c>
      <c r="AY297" s="369">
        <f>+AY287+AY296</f>
        <v>2761.2000000000003</v>
      </c>
      <c r="AZ297" s="369">
        <f>+AZ287+AZ296</f>
        <v>3133.0999999999995</v>
      </c>
      <c r="BA297" s="11">
        <f>+BA287+BA296+BA295</f>
        <v>9702.6999999999989</v>
      </c>
      <c r="BB297" s="11">
        <f>+BB287+BB296</f>
        <v>9036.6</v>
      </c>
      <c r="BC297" s="11">
        <f t="shared" si="1042"/>
        <v>12643.199999999999</v>
      </c>
      <c r="BD297" s="674">
        <f>+BD287+BD296</f>
        <v>12643.199999999999</v>
      </c>
      <c r="BE297" s="369">
        <f>+BE287+BE296</f>
        <v>12592.300000000001</v>
      </c>
      <c r="BF297" s="11">
        <f t="shared" ref="BF297:BG297" si="1047">+BF287+BF296</f>
        <v>12430.3</v>
      </c>
      <c r="BG297" s="11">
        <f t="shared" si="1047"/>
        <v>12419.3</v>
      </c>
      <c r="BH297" s="11">
        <f t="shared" si="1016"/>
        <v>11698.4</v>
      </c>
      <c r="BI297" s="675">
        <f>+BI287+BI296</f>
        <v>11698.4</v>
      </c>
      <c r="BJ297" s="369">
        <f t="shared" ref="BJ297:BK297" si="1048">+BJ287+BJ296</f>
        <v>11688.300000000001</v>
      </c>
      <c r="BK297" s="11">
        <f t="shared" si="1048"/>
        <v>11931.899999999998</v>
      </c>
      <c r="BL297" s="11">
        <f t="shared" ref="BL297" si="1049">+BL287+BL296</f>
        <v>12358.199999999999</v>
      </c>
      <c r="BM297" s="11">
        <f t="shared" si="1017"/>
        <v>12601.6</v>
      </c>
      <c r="BN297" s="675">
        <f>+BN287+BN296</f>
        <v>12601.6</v>
      </c>
      <c r="BO297" s="11">
        <f t="shared" ref="BO297:BR297" si="1050">+BO287+BO296</f>
        <v>12392.824159062076</v>
      </c>
      <c r="BP297" s="11">
        <f t="shared" si="1050"/>
        <v>12667.497946098552</v>
      </c>
      <c r="BQ297" s="11">
        <f t="shared" si="1050"/>
        <v>12764.241148658482</v>
      </c>
      <c r="BR297" s="11">
        <f t="shared" si="1050"/>
        <v>12883.500889920155</v>
      </c>
      <c r="BS297" s="675">
        <f>+BS287+BS296</f>
        <v>12883.500889920155</v>
      </c>
      <c r="BT297" s="11"/>
      <c r="BU297" s="11"/>
      <c r="BV297" s="11"/>
      <c r="BW297" s="11"/>
      <c r="BX297" s="675">
        <f>+BX287+BX296</f>
        <v>12556.407456850033</v>
      </c>
      <c r="BY297" s="11"/>
      <c r="BZ297" s="11"/>
      <c r="CA297" s="11"/>
      <c r="CB297" s="11"/>
      <c r="CC297" s="675">
        <f>+CC287+CC296</f>
        <v>12469.411071144277</v>
      </c>
      <c r="CD297" s="326"/>
      <c r="CE297" s="327"/>
      <c r="CF297" s="246"/>
      <c r="CG297" s="246"/>
      <c r="CH297" s="246"/>
      <c r="CI297" s="247"/>
      <c r="CJ297" s="279"/>
      <c r="CK297" s="2077"/>
      <c r="CL297" s="279"/>
      <c r="CM297" s="279"/>
      <c r="CN297" s="279"/>
      <c r="CO297" s="279"/>
      <c r="CP297" s="279"/>
      <c r="CQ297" s="248"/>
      <c r="CR297" s="248"/>
      <c r="CS297" s="248"/>
      <c r="CT297" s="248"/>
      <c r="CU297" s="248"/>
      <c r="CV297" s="248"/>
      <c r="CW297" s="248"/>
      <c r="CX297" s="248"/>
      <c r="CY297" s="249"/>
      <c r="CZ297"/>
      <c r="DA297"/>
      <c r="DB297"/>
      <c r="DC297"/>
      <c r="DD297"/>
      <c r="DE297"/>
      <c r="DF297" s="4"/>
      <c r="DG297" s="4"/>
      <c r="DH297" s="4"/>
      <c r="DI297" s="4"/>
      <c r="DJ297" s="4"/>
    </row>
    <row r="298" spans="1:114" s="340" customFormat="1" ht="12.75" customHeight="1">
      <c r="A298" s="336" t="s">
        <v>115</v>
      </c>
      <c r="B298" s="373"/>
      <c r="C298" s="337"/>
      <c r="D298" s="337"/>
      <c r="E298" s="337"/>
      <c r="F298" s="338">
        <f>F297-F275</f>
        <v>0</v>
      </c>
      <c r="G298" s="339"/>
      <c r="H298" s="339"/>
      <c r="I298" s="339"/>
      <c r="J298" s="339"/>
      <c r="K298" s="338">
        <f>K297-K275</f>
        <v>0</v>
      </c>
      <c r="L298" s="339"/>
      <c r="M298" s="339"/>
      <c r="N298" s="339"/>
      <c r="O298" s="339"/>
      <c r="P298" s="338">
        <f>P297-P275</f>
        <v>0</v>
      </c>
      <c r="Q298" s="339"/>
      <c r="R298" s="339"/>
      <c r="S298" s="339"/>
      <c r="T298" s="339"/>
      <c r="U298" s="338">
        <f>U297-U275</f>
        <v>0</v>
      </c>
      <c r="V298" s="339"/>
      <c r="W298" s="339"/>
      <c r="X298" s="339"/>
      <c r="Y298" s="339"/>
      <c r="Z298" s="338">
        <f>Z297-Z275</f>
        <v>0</v>
      </c>
      <c r="AA298" s="339"/>
      <c r="AB298" s="339"/>
      <c r="AC298" s="339"/>
      <c r="AD298" s="339"/>
      <c r="AE298" s="338">
        <f>AE297-AE275</f>
        <v>0</v>
      </c>
      <c r="AF298" s="339"/>
      <c r="AG298" s="339"/>
      <c r="AH298" s="339"/>
      <c r="AI298" s="337"/>
      <c r="AJ298" s="338">
        <f t="shared" ref="AJ298:BB298" si="1051">AJ297-AJ275</f>
        <v>0</v>
      </c>
      <c r="AK298" s="373">
        <f t="shared" si="1051"/>
        <v>0</v>
      </c>
      <c r="AL298" s="339">
        <f t="shared" si="1051"/>
        <v>0</v>
      </c>
      <c r="AM298" s="339">
        <f t="shared" si="1051"/>
        <v>0</v>
      </c>
      <c r="AN298" s="339">
        <f t="shared" si="1051"/>
        <v>0</v>
      </c>
      <c r="AO298" s="338">
        <f t="shared" si="1051"/>
        <v>0</v>
      </c>
      <c r="AP298" s="373">
        <f t="shared" si="1051"/>
        <v>0</v>
      </c>
      <c r="AQ298" s="339">
        <f t="shared" si="1051"/>
        <v>0</v>
      </c>
      <c r="AR298" s="339">
        <f t="shared" si="1051"/>
        <v>0</v>
      </c>
      <c r="AS298" s="339">
        <f t="shared" si="1051"/>
        <v>0</v>
      </c>
      <c r="AT298" s="338">
        <f t="shared" si="1051"/>
        <v>0</v>
      </c>
      <c r="AU298" s="373">
        <f t="shared" si="1051"/>
        <v>0</v>
      </c>
      <c r="AV298" s="339">
        <f t="shared" si="1051"/>
        <v>0</v>
      </c>
      <c r="AW298" s="339">
        <f t="shared" si="1051"/>
        <v>0</v>
      </c>
      <c r="AX298" s="339">
        <f t="shared" si="1051"/>
        <v>0</v>
      </c>
      <c r="AY298" s="373">
        <f t="shared" si="1051"/>
        <v>0</v>
      </c>
      <c r="AZ298" s="373">
        <f t="shared" si="1051"/>
        <v>0</v>
      </c>
      <c r="BA298" s="339">
        <f t="shared" si="1051"/>
        <v>0</v>
      </c>
      <c r="BB298" s="339">
        <f t="shared" si="1051"/>
        <v>0</v>
      </c>
      <c r="BC298" s="339">
        <f t="shared" ref="BC298:BG298" si="1052">BC297-BC275</f>
        <v>0</v>
      </c>
      <c r="BD298" s="2030">
        <f t="shared" si="1052"/>
        <v>0</v>
      </c>
      <c r="BE298" s="373">
        <f t="shared" si="1052"/>
        <v>0</v>
      </c>
      <c r="BF298" s="339">
        <f t="shared" si="1052"/>
        <v>0</v>
      </c>
      <c r="BG298" s="339">
        <f t="shared" si="1052"/>
        <v>0</v>
      </c>
      <c r="BH298" s="339">
        <f t="shared" ref="BH298" si="1053">BH297-BH275</f>
        <v>0</v>
      </c>
      <c r="BI298" s="338">
        <f>BI297-BI275</f>
        <v>0</v>
      </c>
      <c r="BJ298" s="373">
        <f t="shared" ref="BJ298:BM298" si="1054">BJ297-BJ275</f>
        <v>0</v>
      </c>
      <c r="BK298" s="339">
        <f t="shared" si="1054"/>
        <v>0</v>
      </c>
      <c r="BL298" s="339">
        <f t="shared" ref="BL298" si="1055">BL297-BL275</f>
        <v>0</v>
      </c>
      <c r="BM298" s="339">
        <f t="shared" si="1054"/>
        <v>0</v>
      </c>
      <c r="BN298" s="338">
        <f>BN297-BN275</f>
        <v>0</v>
      </c>
      <c r="BO298" s="339">
        <f t="shared" ref="BO298:BR298" si="1056">BO297-BO275</f>
        <v>0</v>
      </c>
      <c r="BP298" s="339">
        <f t="shared" si="1056"/>
        <v>0</v>
      </c>
      <c r="BQ298" s="339">
        <f t="shared" si="1056"/>
        <v>0</v>
      </c>
      <c r="BR298" s="339">
        <f t="shared" si="1056"/>
        <v>0</v>
      </c>
      <c r="BS298" s="338">
        <f>BS297-BS275</f>
        <v>0</v>
      </c>
      <c r="BT298" s="337"/>
      <c r="BU298" s="337"/>
      <c r="BV298" s="337"/>
      <c r="BW298" s="337"/>
      <c r="BX298" s="338">
        <f>BX297-BX275</f>
        <v>0</v>
      </c>
      <c r="BY298" s="337"/>
      <c r="BZ298" s="337"/>
      <c r="CA298" s="337"/>
      <c r="CB298" s="337"/>
      <c r="CC298" s="338">
        <f>CC297-CC275</f>
        <v>0</v>
      </c>
      <c r="CE298" s="341"/>
      <c r="CF298" s="342"/>
      <c r="CG298" s="342"/>
      <c r="CH298" s="342"/>
      <c r="CI298" s="343"/>
      <c r="CJ298" s="2064"/>
      <c r="CK298" s="2081"/>
      <c r="CL298" s="2064"/>
      <c r="CM298" s="2064"/>
      <c r="CN298" s="2064"/>
      <c r="CO298" s="2064"/>
      <c r="CP298" s="2064"/>
      <c r="CQ298" s="482"/>
      <c r="CR298" s="482"/>
      <c r="CS298" s="344"/>
      <c r="CT298" s="344"/>
      <c r="CU298" s="344"/>
      <c r="CV298" s="344"/>
      <c r="CW298" s="344"/>
      <c r="CX298" s="344"/>
      <c r="CY298" s="341"/>
      <c r="CZ298"/>
      <c r="DA298"/>
      <c r="DB298"/>
      <c r="DC298"/>
      <c r="DD298"/>
      <c r="DE298"/>
      <c r="DF298" s="339"/>
      <c r="DG298" s="339"/>
      <c r="DH298" s="339"/>
      <c r="DI298" s="339"/>
      <c r="DJ298" s="339"/>
    </row>
    <row r="299" spans="1:114" s="183" customFormat="1" ht="12.75" customHeight="1">
      <c r="A299" s="36"/>
      <c r="B299" s="570"/>
      <c r="C299" s="50"/>
      <c r="D299" s="50"/>
      <c r="E299" s="50"/>
      <c r="F299" s="71"/>
      <c r="G299" s="52"/>
      <c r="H299" s="52"/>
      <c r="I299" s="52"/>
      <c r="J299" s="52"/>
      <c r="K299" s="71"/>
      <c r="L299" s="52"/>
      <c r="M299" s="52"/>
      <c r="N299" s="52"/>
      <c r="O299" s="52"/>
      <c r="P299" s="71"/>
      <c r="Q299" s="52"/>
      <c r="R299" s="52"/>
      <c r="S299" s="52"/>
      <c r="T299" s="52"/>
      <c r="U299" s="71"/>
      <c r="V299" s="52"/>
      <c r="W299" s="52"/>
      <c r="X299" s="52"/>
      <c r="Y299" s="52"/>
      <c r="Z299" s="71"/>
      <c r="AA299" s="52"/>
      <c r="AB299" s="52"/>
      <c r="AC299" s="52"/>
      <c r="AD299" s="52"/>
      <c r="AE299" s="71"/>
      <c r="AF299" s="52"/>
      <c r="AG299" s="52"/>
      <c r="AH299" s="52"/>
      <c r="AI299" s="49"/>
      <c r="AJ299" s="71"/>
      <c r="AK299" s="49"/>
      <c r="AL299" s="49"/>
      <c r="AM299" s="52"/>
      <c r="AN299" s="49"/>
      <c r="AO299" s="71"/>
      <c r="AP299" s="49"/>
      <c r="AQ299" s="49"/>
      <c r="AR299" s="52"/>
      <c r="AS299" s="49"/>
      <c r="AT299" s="71"/>
      <c r="AU299" s="49"/>
      <c r="AV299" s="49"/>
      <c r="AW299" s="49"/>
      <c r="AX299" s="49"/>
      <c r="AY299" s="598"/>
      <c r="AZ299" s="598"/>
      <c r="BA299" s="49"/>
      <c r="BB299" s="49"/>
      <c r="BC299" s="49"/>
      <c r="BD299" s="2031"/>
      <c r="BE299" s="598"/>
      <c r="BF299" s="49"/>
      <c r="BG299" s="49"/>
      <c r="BH299" s="49"/>
      <c r="BI299" s="71"/>
      <c r="BJ299" s="49"/>
      <c r="BK299" s="49"/>
      <c r="BL299" s="49"/>
      <c r="BM299" s="49"/>
      <c r="BN299" s="71"/>
      <c r="BO299" s="49"/>
      <c r="BP299" s="49"/>
      <c r="BQ299" s="49"/>
      <c r="BR299" s="49"/>
      <c r="BS299" s="71"/>
      <c r="BT299" s="49"/>
      <c r="BU299" s="49"/>
      <c r="BV299" s="49"/>
      <c r="BW299" s="49"/>
      <c r="BX299" s="71"/>
      <c r="BY299" s="49"/>
      <c r="BZ299" s="49"/>
      <c r="CA299" s="49"/>
      <c r="CB299" s="49"/>
      <c r="CC299" s="71"/>
      <c r="CD299" s="209"/>
      <c r="CE299" s="133"/>
      <c r="CF299" s="173"/>
      <c r="CG299" s="173"/>
      <c r="CH299" s="173"/>
      <c r="CI299" s="239"/>
      <c r="CJ299" s="177"/>
      <c r="CK299" s="2070"/>
      <c r="CL299" s="177"/>
      <c r="CM299" s="177"/>
      <c r="CN299" s="177"/>
      <c r="CO299" s="177"/>
      <c r="CP299" s="177"/>
      <c r="CQ299" s="40"/>
      <c r="CR299" s="40"/>
      <c r="CS299" s="45"/>
      <c r="CT299" s="45"/>
      <c r="CU299" s="45"/>
      <c r="CV299" s="45"/>
      <c r="CW299" s="45"/>
      <c r="CX299" s="45"/>
      <c r="CY299" s="146"/>
      <c r="CZ299"/>
      <c r="DA299"/>
      <c r="DB299"/>
      <c r="DC299"/>
      <c r="DD299"/>
      <c r="DE299"/>
      <c r="DF299" s="37"/>
      <c r="DG299" s="37"/>
      <c r="DH299" s="37"/>
      <c r="DI299" s="37"/>
      <c r="DJ299" s="37"/>
    </row>
    <row r="300" spans="1:114" s="1920" customFormat="1" ht="12.75" customHeight="1">
      <c r="A300" s="1907" t="s">
        <v>536</v>
      </c>
      <c r="B300" s="1908"/>
      <c r="C300" s="1909"/>
      <c r="D300" s="1909"/>
      <c r="E300" s="1909"/>
      <c r="F300" s="1910"/>
      <c r="G300" s="1911"/>
      <c r="H300" s="1911"/>
      <c r="I300" s="1911"/>
      <c r="J300" s="1911"/>
      <c r="K300" s="1910"/>
      <c r="L300" s="1911"/>
      <c r="M300" s="1911"/>
      <c r="N300" s="1911"/>
      <c r="O300" s="1911"/>
      <c r="P300" s="1910"/>
      <c r="Q300" s="1911"/>
      <c r="R300" s="1911"/>
      <c r="S300" s="1911"/>
      <c r="T300" s="1911"/>
      <c r="U300" s="1910"/>
      <c r="V300" s="1911"/>
      <c r="W300" s="1911"/>
      <c r="X300" s="1911"/>
      <c r="Y300" s="1911"/>
      <c r="Z300" s="1910"/>
      <c r="AA300" s="1911"/>
      <c r="AB300" s="1911"/>
      <c r="AC300" s="1911"/>
      <c r="AD300" s="1911"/>
      <c r="AE300" s="1910"/>
      <c r="AF300" s="1911"/>
      <c r="AG300" s="1911"/>
      <c r="AH300" s="1911"/>
      <c r="AI300" s="1912"/>
      <c r="AJ300" s="1910"/>
      <c r="AK300" s="1912"/>
      <c r="AL300" s="1912"/>
      <c r="AM300" s="1911"/>
      <c r="AN300" s="1912"/>
      <c r="AO300" s="1910"/>
      <c r="AP300" s="1912"/>
      <c r="AQ300" s="1912"/>
      <c r="AR300" s="1911"/>
      <c r="AS300" s="1912"/>
      <c r="AT300" s="1921">
        <f t="shared" ref="AT300:BB300" si="1057">+AT284+AT283+AT277-AT267</f>
        <v>162.16900000000007</v>
      </c>
      <c r="AU300" s="1922">
        <f t="shared" si="1057"/>
        <v>-41.795000000000002</v>
      </c>
      <c r="AV300" s="1923">
        <f t="shared" si="1057"/>
        <v>-8.4970000000000141</v>
      </c>
      <c r="AW300" s="1923">
        <f t="shared" si="1057"/>
        <v>-74.625999999999976</v>
      </c>
      <c r="AX300" s="1924">
        <f t="shared" si="1057"/>
        <v>-50.200000000000159</v>
      </c>
      <c r="AY300" s="1921">
        <f t="shared" si="1057"/>
        <v>-50.200000000000159</v>
      </c>
      <c r="AZ300" s="1922">
        <f t="shared" si="1057"/>
        <v>-53.200000000000273</v>
      </c>
      <c r="BA300" s="1923">
        <f t="shared" si="1057"/>
        <v>2595.0999999999995</v>
      </c>
      <c r="BB300" s="1923">
        <f t="shared" si="1057"/>
        <v>2194.1</v>
      </c>
      <c r="BC300" s="1924">
        <f t="shared" ref="BC300:BG300" si="1058">+BC284+BC283+BC277-BC267</f>
        <v>5118.1000000000004</v>
      </c>
      <c r="BD300" s="1921">
        <f t="shared" si="1058"/>
        <v>5118.1000000000004</v>
      </c>
      <c r="BE300" s="1922">
        <f t="shared" si="1058"/>
        <v>5234.4000000000005</v>
      </c>
      <c r="BF300" s="1923">
        <f t="shared" si="1058"/>
        <v>5086</v>
      </c>
      <c r="BG300" s="1923">
        <f t="shared" si="1058"/>
        <v>5125.3</v>
      </c>
      <c r="BH300" s="1924">
        <f t="shared" ref="BH300" si="1059">+BH284+BH283+BH277-BH267</f>
        <v>4494.5999999999995</v>
      </c>
      <c r="BI300" s="1921">
        <f>+BI284+BI283+BI277-BI267</f>
        <v>4494.5999999999995</v>
      </c>
      <c r="BJ300" s="1923">
        <f t="shared" ref="BJ300:BR300" si="1060">+BJ284+BJ283+BJ277-BJ267</f>
        <v>4603.8999999999996</v>
      </c>
      <c r="BK300" s="1923">
        <f t="shared" si="1060"/>
        <v>4579.8999999999996</v>
      </c>
      <c r="BL300" s="1923">
        <f t="shared" si="1060"/>
        <v>4157.8999999999996</v>
      </c>
      <c r="BM300" s="1923">
        <f t="shared" si="1060"/>
        <v>4124.2999999999993</v>
      </c>
      <c r="BN300" s="1921">
        <f>+BN284+BN283+BN277-BN267</f>
        <v>4124.2999999999993</v>
      </c>
      <c r="BO300" s="1923">
        <f t="shared" si="1060"/>
        <v>4215.4260804686792</v>
      </c>
      <c r="BP300" s="1923">
        <f t="shared" si="1060"/>
        <v>3950.2567006028457</v>
      </c>
      <c r="BQ300" s="1923">
        <f t="shared" si="1060"/>
        <v>3684.3551545723003</v>
      </c>
      <c r="BR300" s="1923">
        <f t="shared" si="1060"/>
        <v>3417.1417717157824</v>
      </c>
      <c r="BS300" s="1921">
        <f>+BS284+BS283+BS277-BS267</f>
        <v>3417.1417717157824</v>
      </c>
      <c r="BT300" s="1925"/>
      <c r="BU300" s="1925"/>
      <c r="BV300" s="1925"/>
      <c r="BW300" s="1925"/>
      <c r="BX300" s="1921">
        <f>+BX284+BX283+BX277-BX267</f>
        <v>3751.6965680676376</v>
      </c>
      <c r="BY300" s="1925"/>
      <c r="BZ300" s="1925"/>
      <c r="CA300" s="1925"/>
      <c r="CB300" s="1925"/>
      <c r="CC300" s="1921">
        <f>+CC284+CC283+CC277-CC267</f>
        <v>3875.9696487235196</v>
      </c>
      <c r="CD300" s="1913"/>
      <c r="CE300" s="1914"/>
      <c r="CF300" s="1915"/>
      <c r="CG300" s="1915"/>
      <c r="CH300" s="1915"/>
      <c r="CI300" s="1916"/>
      <c r="CJ300" s="2065"/>
      <c r="CK300" s="2082"/>
      <c r="CL300" s="2065"/>
      <c r="CM300" s="2065"/>
      <c r="CN300" s="2065"/>
      <c r="CO300" s="2065"/>
      <c r="CP300" s="2065"/>
      <c r="CQ300" s="1917"/>
      <c r="CR300" s="1917"/>
      <c r="CS300" s="1917"/>
      <c r="CT300" s="1917"/>
      <c r="CU300" s="1917"/>
      <c r="CV300" s="1917"/>
      <c r="CW300" s="1917"/>
      <c r="CX300" s="1917"/>
      <c r="CY300" s="1918"/>
      <c r="CZ300"/>
      <c r="DA300"/>
      <c r="DB300"/>
      <c r="DC300"/>
      <c r="DD300"/>
      <c r="DE300"/>
      <c r="DF300" s="1919"/>
      <c r="DG300" s="1919"/>
      <c r="DH300" s="1919"/>
      <c r="DI300" s="1919"/>
      <c r="DJ300" s="1919"/>
    </row>
    <row r="301" spans="1:114" s="277" customFormat="1" ht="12.75" customHeight="1">
      <c r="A301" s="395" t="s">
        <v>198</v>
      </c>
      <c r="B301" s="398"/>
      <c r="C301" s="396"/>
      <c r="D301" s="396"/>
      <c r="E301" s="396"/>
      <c r="F301" s="397" t="str">
        <f>IF(((F283+F277+F284-F267)/F186)&lt;0,"NM",(F283+F277+F284-F267)/F186)</f>
        <v>NM</v>
      </c>
      <c r="G301" s="396"/>
      <c r="H301" s="396"/>
      <c r="I301" s="396"/>
      <c r="J301" s="396"/>
      <c r="K301" s="397">
        <f>IF(((K283+K277+K284-K267)/K186)&lt;0,"NM",(K283+K277+K284-K267)/K186)</f>
        <v>0.42613453492114711</v>
      </c>
      <c r="L301" s="396"/>
      <c r="M301" s="396"/>
      <c r="N301" s="396"/>
      <c r="O301" s="396"/>
      <c r="P301" s="397" t="str">
        <f>IF(((P283+P277+P284-P267)/P186)&lt;0,"NM",(P283+P277+P284-P267)/P186)</f>
        <v>NM</v>
      </c>
      <c r="Q301" s="396"/>
      <c r="R301" s="396"/>
      <c r="S301" s="396"/>
      <c r="T301" s="396"/>
      <c r="U301" s="397">
        <f>IF(((U283+U277+U284-U267)/U186)&lt;0,"NM",(U283+U277+U284-U267)/U186)</f>
        <v>0.93284848484848437</v>
      </c>
      <c r="V301" s="396"/>
      <c r="W301" s="396"/>
      <c r="X301" s="396"/>
      <c r="Y301" s="396"/>
      <c r="Z301" s="397">
        <f>IF(((Z283+Z277+Z284-Z267)/Z186)&lt;0,"NM",(Z283+Z277+Z284-Z267)/Z186)</f>
        <v>0.67510853835021833</v>
      </c>
      <c r="AA301" s="396"/>
      <c r="AB301" s="396"/>
      <c r="AC301" s="396"/>
      <c r="AD301" s="396"/>
      <c r="AE301" s="397">
        <f>IF(((AE283+AE277+AE284-AE267)/AE186)&lt;0,"NM",(AE283+AE277+AE284-AE267)/AE186)</f>
        <v>0.94310618066561092</v>
      </c>
      <c r="AF301" s="396"/>
      <c r="AG301" s="396"/>
      <c r="AH301" s="396"/>
      <c r="AI301" s="396"/>
      <c r="AJ301" s="397">
        <f>IF(((AJ283+AJ277+AJ284-AJ267)/AJ186)&lt;0,"NM",(AJ283+AJ277+AJ284-AJ267)/AJ186)</f>
        <v>37.30046704722367</v>
      </c>
      <c r="AK301" s="398"/>
      <c r="AL301" s="276"/>
      <c r="AM301" s="396"/>
      <c r="AN301" s="396"/>
      <c r="AO301" s="397">
        <f>IF(((AO283+AO277+AO284-AO267)/AO186)&lt;0,"NM",(AO283+AO277+AO284-AO267)/AO186)</f>
        <v>5.6437998893543044</v>
      </c>
      <c r="AP301" s="444"/>
      <c r="AQ301" s="445"/>
      <c r="AR301" s="396"/>
      <c r="AS301" s="396"/>
      <c r="AT301" s="397" t="str">
        <f>IF(((AT283+AT277+AT284-AT267)/AT186)&lt;0,"NM",(AT283+AT277+AT284-AT267)/AT186)</f>
        <v>NM</v>
      </c>
      <c r="AU301" s="444"/>
      <c r="AV301" s="445"/>
      <c r="AW301" s="396"/>
      <c r="AX301" s="396"/>
      <c r="AY301" s="597" t="str">
        <f>IF(((AY283+AY277+AY284-AY267)/AY186)&lt;0,"NM",(AY283+AY277+AY284-AY267)/AY186)</f>
        <v>NM</v>
      </c>
      <c r="AZ301" s="621"/>
      <c r="BA301" s="445"/>
      <c r="BB301" s="513"/>
      <c r="BC301" s="512"/>
      <c r="BD301" s="1974">
        <f>IF(((BD283+BD277+BD284-BD267)/BD186)&lt;0,"NM",(BD283+BD277+BD284-BD267)/BD186)</f>
        <v>10.391026291747028</v>
      </c>
      <c r="BE301" s="399"/>
      <c r="BF301" s="399"/>
      <c r="BG301" s="399"/>
      <c r="BH301" s="512"/>
      <c r="BI301" s="397">
        <f>IF(((BI283+BI277+BI284-BI267)/BI186)&lt;0,"NM",(BI283+BI277+BI284-BI267)/BI186)</f>
        <v>3.6014423076923054</v>
      </c>
      <c r="BJ301" s="399"/>
      <c r="BK301" s="399"/>
      <c r="BL301" s="399"/>
      <c r="BM301" s="399"/>
      <c r="BN301" s="397">
        <f>IF(((BN283+BN277+BN284-BN267)/BN186)&lt;0,"NM",(BN283+BN277+BN284-BN267)/BN186)</f>
        <v>3.0168239338746252</v>
      </c>
      <c r="BO301" s="399"/>
      <c r="BP301" s="399"/>
      <c r="BQ301" s="399"/>
      <c r="BR301" s="399"/>
      <c r="BS301" s="2221">
        <f>IF(((BS283+BS277+BS284-BS267)/BS186)&lt;0,"NM",(BS283+BS277+BS284-BS267)/BS186)</f>
        <v>2.0905726907887319</v>
      </c>
      <c r="BT301" s="2222"/>
      <c r="BU301" s="2222"/>
      <c r="BV301" s="2222"/>
      <c r="BW301" s="2222"/>
      <c r="BX301" s="2221">
        <f>IF(((BX283+BX277+BX284-BX267)/BX186)&lt;0,"NM",(BX283+BX277+BX284-BX267)/BX186)</f>
        <v>2.0539336791325051</v>
      </c>
      <c r="BY301" s="2222"/>
      <c r="BZ301" s="2222"/>
      <c r="CA301" s="2222"/>
      <c r="CB301" s="2222"/>
      <c r="CC301" s="2221">
        <f>IF(((CC283+CC277+CC284-CC267)/CC186)&lt;0,"NM",(CC283+CC277+CC284-CC267)/CC186)</f>
        <v>1.9180085803404867</v>
      </c>
      <c r="CE301" s="275"/>
      <c r="CF301" s="400"/>
      <c r="CG301" s="400"/>
      <c r="CH301" s="400"/>
      <c r="CI301" s="401"/>
      <c r="CJ301" s="2066"/>
      <c r="CK301" s="2083"/>
      <c r="CL301" s="2066"/>
      <c r="CM301" s="2066"/>
      <c r="CN301" s="2066"/>
      <c r="CO301" s="2066"/>
      <c r="CP301" s="2066"/>
      <c r="CQ301" s="304" t="s">
        <v>228</v>
      </c>
      <c r="CR301" s="274"/>
      <c r="CS301" s="274"/>
      <c r="CT301" s="274"/>
      <c r="CU301" s="274"/>
      <c r="CV301" s="274"/>
      <c r="CW301" s="274"/>
      <c r="CX301" s="274"/>
      <c r="CY301" s="275"/>
      <c r="CZ301"/>
      <c r="DA301"/>
      <c r="DB301"/>
      <c r="DC301"/>
      <c r="DD301"/>
      <c r="DE301"/>
      <c r="DF301" s="276"/>
      <c r="DG301" s="276"/>
      <c r="DH301" s="276"/>
      <c r="DI301" s="276"/>
      <c r="DJ301" s="276"/>
    </row>
    <row r="302" spans="1:114" s="183" customFormat="1" ht="12.75" customHeight="1">
      <c r="A302" s="36"/>
      <c r="B302" s="570"/>
      <c r="C302" s="50"/>
      <c r="D302" s="50"/>
      <c r="E302" s="50"/>
      <c r="F302" s="71"/>
      <c r="G302" s="52"/>
      <c r="H302" s="52"/>
      <c r="I302" s="52"/>
      <c r="J302" s="52"/>
      <c r="K302" s="71"/>
      <c r="L302" s="52"/>
      <c r="M302" s="52"/>
      <c r="N302" s="52"/>
      <c r="O302" s="52"/>
      <c r="P302" s="71"/>
      <c r="Q302" s="52"/>
      <c r="R302" s="52"/>
      <c r="S302" s="52"/>
      <c r="T302" s="52"/>
      <c r="U302" s="71"/>
      <c r="V302" s="52"/>
      <c r="W302" s="52"/>
      <c r="X302" s="52"/>
      <c r="Y302" s="52"/>
      <c r="Z302" s="71"/>
      <c r="AA302" s="52"/>
      <c r="AB302" s="52"/>
      <c r="AC302" s="52"/>
      <c r="AD302" s="52"/>
      <c r="AE302" s="71"/>
      <c r="AF302" s="52"/>
      <c r="AG302" s="52"/>
      <c r="AH302" s="52"/>
      <c r="AI302" s="49"/>
      <c r="AJ302" s="71"/>
      <c r="AK302" s="49"/>
      <c r="AL302" s="49"/>
      <c r="AM302" s="52"/>
      <c r="AN302" s="49"/>
      <c r="AO302" s="71"/>
      <c r="AP302" s="49"/>
      <c r="AQ302" s="49"/>
      <c r="AR302" s="52"/>
      <c r="AS302" s="49"/>
      <c r="AT302" s="71"/>
      <c r="AU302" s="49"/>
      <c r="AV302" s="49"/>
      <c r="AW302" s="49"/>
      <c r="AX302" s="49"/>
      <c r="AY302" s="598"/>
      <c r="AZ302" s="598"/>
      <c r="BA302" s="49"/>
      <c r="BB302" s="49"/>
      <c r="BC302" s="49"/>
      <c r="BD302" s="1973"/>
      <c r="BE302" s="49"/>
      <c r="BF302" s="49"/>
      <c r="BG302" s="49"/>
      <c r="BH302" s="49"/>
      <c r="BI302" s="71"/>
      <c r="BJ302" s="49"/>
      <c r="BK302" s="49"/>
      <c r="BL302" s="49"/>
      <c r="BM302" s="49"/>
      <c r="BN302" s="1926"/>
      <c r="BO302" s="49"/>
      <c r="BP302" s="49"/>
      <c r="BQ302" s="49"/>
      <c r="BR302" s="49"/>
      <c r="BS302" s="71"/>
      <c r="BT302" s="49"/>
      <c r="BU302" s="49"/>
      <c r="BV302" s="49"/>
      <c r="BW302" s="49"/>
      <c r="BX302" s="71"/>
      <c r="BY302" s="49"/>
      <c r="BZ302" s="49"/>
      <c r="CA302" s="49"/>
      <c r="CB302" s="49"/>
      <c r="CC302" s="71"/>
      <c r="CD302" s="209"/>
      <c r="CE302" s="133"/>
      <c r="CF302" s="173"/>
      <c r="CG302" s="173"/>
      <c r="CH302" s="173"/>
      <c r="CI302" s="239"/>
      <c r="CJ302" s="177"/>
      <c r="CK302" s="2070"/>
      <c r="CL302" s="177"/>
      <c r="CM302" s="177"/>
      <c r="CN302" s="177"/>
      <c r="CO302" s="177"/>
      <c r="CP302" s="177"/>
      <c r="CQ302" s="40"/>
      <c r="CR302" s="40"/>
      <c r="CS302" s="45"/>
      <c r="CT302" s="45"/>
      <c r="CU302" s="45"/>
      <c r="CV302" s="45"/>
      <c r="CW302" s="45"/>
      <c r="CX302" s="45"/>
      <c r="CY302" s="146"/>
      <c r="CZ302"/>
      <c r="DA302"/>
      <c r="DB302"/>
      <c r="DC302"/>
      <c r="DD302"/>
      <c r="DE302"/>
      <c r="DF302" s="37"/>
      <c r="DG302" s="37"/>
      <c r="DH302" s="37"/>
      <c r="DI302" s="37"/>
      <c r="DJ302" s="37"/>
    </row>
    <row r="303" spans="1:114" s="1" customFormat="1" ht="12.75" customHeight="1">
      <c r="A303" s="165" t="s">
        <v>72</v>
      </c>
      <c r="B303" s="571"/>
      <c r="C303" s="167"/>
      <c r="D303" s="167"/>
      <c r="E303" s="167"/>
      <c r="F303" s="168"/>
      <c r="G303" s="167"/>
      <c r="H303" s="167"/>
      <c r="I303" s="167"/>
      <c r="J303" s="167"/>
      <c r="K303" s="168"/>
      <c r="L303" s="167"/>
      <c r="M303" s="167"/>
      <c r="N303" s="167"/>
      <c r="O303" s="167"/>
      <c r="P303" s="168"/>
      <c r="Q303" s="166"/>
      <c r="R303" s="169"/>
      <c r="S303" s="166"/>
      <c r="T303" s="166"/>
      <c r="U303" s="168"/>
      <c r="V303" s="167"/>
      <c r="W303" s="167"/>
      <c r="X303" s="167"/>
      <c r="Y303" s="167"/>
      <c r="Z303" s="168"/>
      <c r="AA303" s="167"/>
      <c r="AB303" s="167"/>
      <c r="AC303" s="167"/>
      <c r="AD303" s="167"/>
      <c r="AE303" s="168"/>
      <c r="AF303" s="167"/>
      <c r="AG303" s="167"/>
      <c r="AH303" s="167"/>
      <c r="AI303" s="167"/>
      <c r="AJ303" s="170"/>
      <c r="AK303" s="167"/>
      <c r="AL303" s="167"/>
      <c r="AM303" s="167"/>
      <c r="AN303" s="167"/>
      <c r="AO303" s="170"/>
      <c r="AP303" s="167"/>
      <c r="AQ303" s="167"/>
      <c r="AR303" s="167"/>
      <c r="AS303" s="167"/>
      <c r="AT303" s="170"/>
      <c r="AU303" s="167"/>
      <c r="AV303" s="167"/>
      <c r="AW303" s="167"/>
      <c r="AX303" s="167"/>
      <c r="AY303" s="571"/>
      <c r="AZ303" s="571"/>
      <c r="BA303" s="167"/>
      <c r="BB303" s="167"/>
      <c r="BC303" s="167"/>
      <c r="BD303" s="1975"/>
      <c r="BE303" s="1930"/>
      <c r="BF303" s="167"/>
      <c r="BG303" s="167"/>
      <c r="BH303" s="167"/>
      <c r="BI303" s="170"/>
      <c r="BJ303" s="167"/>
      <c r="BK303" s="167"/>
      <c r="BL303" s="167"/>
      <c r="BM303" s="167"/>
      <c r="BN303" s="170"/>
      <c r="BO303" s="167"/>
      <c r="BP303" s="167"/>
      <c r="BQ303" s="167"/>
      <c r="BR303" s="167"/>
      <c r="BS303" s="170"/>
      <c r="BT303" s="167"/>
      <c r="BU303" s="167"/>
      <c r="BV303" s="167"/>
      <c r="BW303" s="167"/>
      <c r="BX303" s="170"/>
      <c r="BY303" s="167"/>
      <c r="BZ303" s="167"/>
      <c r="CA303" s="167"/>
      <c r="CB303" s="167"/>
      <c r="CC303" s="170"/>
      <c r="CD303" s="210"/>
      <c r="CE303" s="134"/>
      <c r="CF303" s="173"/>
      <c r="CG303" s="173"/>
      <c r="CH303" s="173"/>
      <c r="CI303" s="239"/>
      <c r="CJ303" s="177"/>
      <c r="CK303" s="2070"/>
      <c r="CL303" s="177"/>
      <c r="CM303" s="177"/>
      <c r="CN303" s="177"/>
      <c r="CO303" s="177"/>
      <c r="CP303" s="177"/>
      <c r="CQ303" s="40"/>
      <c r="CR303" s="40"/>
      <c r="CS303" s="40"/>
      <c r="CT303" s="40"/>
      <c r="CU303" s="40"/>
      <c r="CV303" s="40"/>
      <c r="CW303" s="40"/>
      <c r="CX303" s="40"/>
      <c r="CY303" s="139"/>
      <c r="CZ303"/>
      <c r="DA303"/>
      <c r="DB303"/>
      <c r="DC303"/>
      <c r="DD303"/>
      <c r="DE303"/>
      <c r="DF303" s="3"/>
      <c r="DG303" s="3"/>
      <c r="DH303" s="3"/>
      <c r="DI303" s="3"/>
      <c r="DJ303" s="3"/>
    </row>
    <row r="304" spans="1:114" s="1" customFormat="1" ht="12.75" customHeight="1">
      <c r="A304" s="154" t="s">
        <v>73</v>
      </c>
      <c r="B304" s="572"/>
      <c r="C304" s="156"/>
      <c r="D304" s="156"/>
      <c r="E304" s="156"/>
      <c r="F304" s="157">
        <f>F257</f>
        <v>-0.26700000000000002</v>
      </c>
      <c r="G304" s="156"/>
      <c r="H304" s="156"/>
      <c r="I304" s="156"/>
      <c r="J304" s="156"/>
      <c r="K304" s="157">
        <f>K257</f>
        <v>0</v>
      </c>
      <c r="L304" s="156"/>
      <c r="M304" s="156"/>
      <c r="N304" s="156"/>
      <c r="O304" s="156"/>
      <c r="P304" s="157">
        <f>P257</f>
        <v>0</v>
      </c>
      <c r="Q304" s="154"/>
      <c r="R304" s="154"/>
      <c r="S304" s="154"/>
      <c r="T304" s="154"/>
      <c r="U304" s="157">
        <f>U257</f>
        <v>0</v>
      </c>
      <c r="V304" s="156"/>
      <c r="W304" s="156"/>
      <c r="X304" s="156"/>
      <c r="Y304" s="156"/>
      <c r="Z304" s="157">
        <f>Z257</f>
        <v>0</v>
      </c>
      <c r="AA304" s="156"/>
      <c r="AB304" s="156"/>
      <c r="AC304" s="156"/>
      <c r="AD304" s="156"/>
      <c r="AE304" s="157">
        <f>AE257</f>
        <v>0</v>
      </c>
      <c r="AF304" s="156"/>
      <c r="AG304" s="156"/>
      <c r="AH304" s="156"/>
      <c r="AI304" s="156"/>
      <c r="AJ304" s="157">
        <f>AJ257</f>
        <v>71.628</v>
      </c>
      <c r="AK304" s="155"/>
      <c r="AL304" s="155"/>
      <c r="AM304" s="156"/>
      <c r="AN304" s="156"/>
      <c r="AO304" s="157">
        <f>AO257</f>
        <v>136.96100000000001</v>
      </c>
      <c r="AP304" s="155"/>
      <c r="AQ304" s="156"/>
      <c r="AR304" s="156"/>
      <c r="AS304" s="156"/>
      <c r="AT304" s="157">
        <f>AT257</f>
        <v>232.43799999999999</v>
      </c>
      <c r="AU304" s="155"/>
      <c r="AV304" s="156"/>
      <c r="AW304" s="156"/>
      <c r="AX304" s="156"/>
      <c r="AY304" s="572">
        <f>AY257</f>
        <v>1097.4000000000001</v>
      </c>
      <c r="AZ304" s="572"/>
      <c r="BA304" s="156"/>
      <c r="BB304" s="156"/>
      <c r="BC304" s="156"/>
      <c r="BD304" s="1976">
        <f>BD257</f>
        <v>1228.0999999999999</v>
      </c>
      <c r="BE304" s="156"/>
      <c r="BF304" s="156"/>
      <c r="BG304" s="156"/>
      <c r="BH304" s="156"/>
      <c r="BI304" s="157">
        <f>BI257</f>
        <v>0</v>
      </c>
      <c r="BJ304" s="156"/>
      <c r="BK304" s="156"/>
      <c r="BL304" s="156"/>
      <c r="BM304" s="156"/>
      <c r="BN304" s="157">
        <f>BN257</f>
        <v>0</v>
      </c>
      <c r="BO304" s="156"/>
      <c r="BP304" s="156"/>
      <c r="BQ304" s="156"/>
      <c r="BR304" s="156"/>
      <c r="BS304" s="157">
        <f>BS257</f>
        <v>0</v>
      </c>
      <c r="BT304" s="156"/>
      <c r="BU304" s="156"/>
      <c r="BV304" s="156"/>
      <c r="BW304" s="156"/>
      <c r="BX304" s="157">
        <f>BX257</f>
        <v>-1156.4354999999996</v>
      </c>
      <c r="BY304" s="156"/>
      <c r="BZ304" s="156"/>
      <c r="CA304" s="156"/>
      <c r="CB304" s="156"/>
      <c r="CC304" s="157">
        <f>CC257</f>
        <v>-1040.7919499999998</v>
      </c>
      <c r="CD304" s="155"/>
      <c r="CE304" s="135"/>
      <c r="CF304" s="173"/>
      <c r="CG304" s="173"/>
      <c r="CH304" s="173"/>
      <c r="CI304" s="239"/>
      <c r="CJ304" s="177"/>
      <c r="CK304" s="2070"/>
      <c r="CL304" s="177"/>
      <c r="CM304" s="177"/>
      <c r="CN304" s="177"/>
      <c r="CO304" s="177"/>
      <c r="CP304" s="177"/>
      <c r="CQ304" s="40"/>
      <c r="CR304" s="40"/>
      <c r="CS304" s="40"/>
      <c r="CT304" s="40"/>
      <c r="CU304" s="40"/>
      <c r="CV304" s="40"/>
      <c r="CW304" s="40"/>
      <c r="CX304" s="40"/>
      <c r="CY304" s="139"/>
      <c r="CZ304"/>
      <c r="DA304"/>
      <c r="DB304"/>
      <c r="DC304"/>
      <c r="DD304"/>
      <c r="DE304"/>
      <c r="DF304" s="3"/>
      <c r="DG304" s="3"/>
      <c r="DH304" s="3"/>
      <c r="DI304" s="3"/>
      <c r="DJ304" s="3"/>
    </row>
    <row r="305" spans="1:114" s="1" customFormat="1" ht="12.75" customHeight="1">
      <c r="A305" s="154" t="s">
        <v>74</v>
      </c>
      <c r="B305" s="572"/>
      <c r="C305" s="156"/>
      <c r="D305" s="156"/>
      <c r="E305" s="156"/>
      <c r="F305" s="157">
        <f>-F254</f>
        <v>0</v>
      </c>
      <c r="G305" s="156"/>
      <c r="H305" s="156"/>
      <c r="I305" s="156"/>
      <c r="J305" s="156"/>
      <c r="K305" s="157">
        <f>-K254</f>
        <v>0</v>
      </c>
      <c r="L305" s="156"/>
      <c r="M305" s="156"/>
      <c r="N305" s="156"/>
      <c r="O305" s="156"/>
      <c r="P305" s="157">
        <f>-P254</f>
        <v>0</v>
      </c>
      <c r="Q305" s="154"/>
      <c r="R305" s="154"/>
      <c r="S305" s="154"/>
      <c r="T305" s="154"/>
      <c r="U305" s="157">
        <f>-U254</f>
        <v>0</v>
      </c>
      <c r="V305" s="156"/>
      <c r="W305" s="156"/>
      <c r="X305" s="156"/>
      <c r="Y305" s="156"/>
      <c r="Z305" s="157">
        <f>-Z254</f>
        <v>0</v>
      </c>
      <c r="AA305" s="156"/>
      <c r="AB305" s="156"/>
      <c r="AC305" s="156"/>
      <c r="AD305" s="156"/>
      <c r="AE305" s="157">
        <f>-AE254</f>
        <v>0</v>
      </c>
      <c r="AF305" s="156"/>
      <c r="AG305" s="156"/>
      <c r="AH305" s="156"/>
      <c r="AI305" s="156"/>
      <c r="AJ305" s="157">
        <f>-AJ254</f>
        <v>0</v>
      </c>
      <c r="AK305" s="156"/>
      <c r="AL305" s="156"/>
      <c r="AM305" s="156"/>
      <c r="AN305" s="156"/>
      <c r="AO305" s="157">
        <f>-AO254</f>
        <v>0</v>
      </c>
      <c r="AP305" s="156"/>
      <c r="AQ305" s="156"/>
      <c r="AR305" s="156"/>
      <c r="AS305" s="156"/>
      <c r="AT305" s="157">
        <f>-AT254</f>
        <v>0</v>
      </c>
      <c r="AU305" s="156"/>
      <c r="AV305" s="156"/>
      <c r="AW305" s="156"/>
      <c r="AX305" s="156"/>
      <c r="AY305" s="572">
        <f>-AY254</f>
        <v>0</v>
      </c>
      <c r="AZ305" s="572"/>
      <c r="BA305" s="156"/>
      <c r="BB305" s="156"/>
      <c r="BC305" s="156"/>
      <c r="BD305" s="1976">
        <f>-BD254</f>
        <v>2.8</v>
      </c>
      <c r="BE305" s="156"/>
      <c r="BF305" s="156"/>
      <c r="BG305" s="156"/>
      <c r="BH305" s="156"/>
      <c r="BI305" s="157">
        <f>-BI254</f>
        <v>5.4</v>
      </c>
      <c r="BJ305" s="156"/>
      <c r="BK305" s="156"/>
      <c r="BL305" s="156"/>
      <c r="BM305" s="156"/>
      <c r="BN305" s="157">
        <f>-BN254</f>
        <v>6.6</v>
      </c>
      <c r="BO305" s="156"/>
      <c r="BP305" s="156"/>
      <c r="BQ305" s="156"/>
      <c r="BR305" s="156"/>
      <c r="BS305" s="157">
        <f>-BS254</f>
        <v>0</v>
      </c>
      <c r="BT305" s="156"/>
      <c r="BU305" s="156"/>
      <c r="BV305" s="156"/>
      <c r="BW305" s="156"/>
      <c r="BX305" s="157">
        <f>-BX254</f>
        <v>0</v>
      </c>
      <c r="BY305" s="156"/>
      <c r="BZ305" s="156"/>
      <c r="CA305" s="156"/>
      <c r="CB305" s="156"/>
      <c r="CC305" s="157">
        <f>-CC254</f>
        <v>0</v>
      </c>
      <c r="CD305" s="156"/>
      <c r="CE305" s="136"/>
      <c r="CF305" s="173"/>
      <c r="CG305" s="173"/>
      <c r="CH305" s="173"/>
      <c r="CI305" s="239"/>
      <c r="CJ305" s="177"/>
      <c r="CK305" s="2070"/>
      <c r="CL305" s="177"/>
      <c r="CM305" s="177"/>
      <c r="CN305" s="177"/>
      <c r="CO305" s="177"/>
      <c r="CP305" s="177"/>
      <c r="CQ305" s="40"/>
      <c r="CR305" s="40"/>
      <c r="CS305" s="40"/>
      <c r="CT305" s="40"/>
      <c r="CU305" s="40"/>
      <c r="CV305" s="40"/>
      <c r="CW305" s="40"/>
      <c r="CX305" s="40"/>
      <c r="CY305" s="139"/>
      <c r="CZ305"/>
      <c r="DA305"/>
      <c r="DB305"/>
      <c r="DC305"/>
      <c r="DD305"/>
      <c r="DE305"/>
      <c r="DF305" s="3"/>
      <c r="DG305" s="3"/>
      <c r="DH305" s="3"/>
      <c r="DI305" s="3"/>
      <c r="DJ305" s="3"/>
    </row>
    <row r="306" spans="1:114" s="1" customFormat="1" ht="12.75" customHeight="1">
      <c r="A306" s="158" t="s">
        <v>75</v>
      </c>
      <c r="B306" s="573"/>
      <c r="C306" s="188"/>
      <c r="D306" s="188"/>
      <c r="E306" s="188"/>
      <c r="F306" s="187"/>
      <c r="G306" s="188"/>
      <c r="H306" s="188"/>
      <c r="I306" s="188"/>
      <c r="J306" s="188"/>
      <c r="K306" s="187"/>
      <c r="P306" s="187"/>
      <c r="U306" s="187"/>
      <c r="V306" s="189"/>
      <c r="W306" s="189"/>
      <c r="X306" s="189"/>
      <c r="Y306" s="189"/>
      <c r="Z306" s="187"/>
      <c r="AA306" s="189"/>
      <c r="AB306" s="189"/>
      <c r="AC306" s="189"/>
      <c r="AD306" s="189"/>
      <c r="AE306" s="187"/>
      <c r="AF306" s="189"/>
      <c r="AG306" s="189"/>
      <c r="AH306" s="189"/>
      <c r="AI306" s="189"/>
      <c r="AJ306" s="256"/>
      <c r="AK306" s="159"/>
      <c r="AL306" s="159"/>
      <c r="AM306" s="189"/>
      <c r="AN306" s="189"/>
      <c r="AO306" s="256"/>
      <c r="AP306" s="159"/>
      <c r="AQ306" s="189"/>
      <c r="AR306" s="189"/>
      <c r="AS306" s="189"/>
      <c r="AT306" s="256"/>
      <c r="AU306" s="159"/>
      <c r="AV306" s="189"/>
      <c r="AW306" s="189"/>
      <c r="AX306" s="189"/>
      <c r="AY306" s="599"/>
      <c r="AZ306" s="599"/>
      <c r="BA306" s="189"/>
      <c r="BB306" s="189"/>
      <c r="BC306" s="189"/>
      <c r="BD306" s="1977"/>
      <c r="BE306" s="189"/>
      <c r="BF306" s="189"/>
      <c r="BG306" s="189"/>
      <c r="BH306" s="189"/>
      <c r="BI306" s="256"/>
      <c r="BJ306" s="189"/>
      <c r="BK306" s="189"/>
      <c r="BL306" s="189"/>
      <c r="BM306" s="189"/>
      <c r="BN306" s="256"/>
      <c r="BO306" s="189"/>
      <c r="BP306" s="189"/>
      <c r="BQ306" s="189"/>
      <c r="BR306" s="189"/>
      <c r="BS306" s="256"/>
      <c r="BT306" s="189"/>
      <c r="BU306" s="189"/>
      <c r="BV306" s="189"/>
      <c r="BW306" s="189"/>
      <c r="BX306" s="256"/>
      <c r="BY306" s="189"/>
      <c r="BZ306" s="189"/>
      <c r="CA306" s="189"/>
      <c r="CB306" s="189"/>
      <c r="CC306" s="256"/>
      <c r="CD306" s="159"/>
      <c r="CE306" s="137"/>
      <c r="CF306" s="173"/>
      <c r="CG306" s="173"/>
      <c r="CH306" s="173"/>
      <c r="CI306" s="239"/>
      <c r="CJ306" s="177"/>
      <c r="CK306" s="2070"/>
      <c r="CL306" s="177"/>
      <c r="CM306" s="177"/>
      <c r="CN306" s="177"/>
      <c r="CO306" s="177"/>
      <c r="CP306" s="177"/>
      <c r="CQ306" s="40"/>
      <c r="CR306" s="40"/>
      <c r="CS306" s="40"/>
      <c r="CT306" s="40"/>
      <c r="CU306" s="40"/>
      <c r="CV306" s="40"/>
      <c r="CW306" s="40"/>
      <c r="CX306" s="40"/>
      <c r="CY306" s="139"/>
      <c r="CZ306"/>
      <c r="DA306"/>
      <c r="DB306"/>
      <c r="DC306"/>
      <c r="DD306"/>
      <c r="DE306"/>
      <c r="DF306" s="3"/>
      <c r="DG306" s="3"/>
      <c r="DH306" s="3"/>
      <c r="DI306" s="3"/>
      <c r="DJ306" s="3"/>
    </row>
    <row r="307" spans="1:114" s="1" customFormat="1" ht="12.75" customHeight="1">
      <c r="A307" s="160" t="s">
        <v>83</v>
      </c>
      <c r="B307" s="574"/>
      <c r="C307" s="161"/>
      <c r="D307" s="161"/>
      <c r="E307" s="161"/>
      <c r="F307" s="157">
        <v>0</v>
      </c>
      <c r="G307" s="161"/>
      <c r="H307" s="161"/>
      <c r="I307" s="161"/>
      <c r="J307" s="161"/>
      <c r="K307" s="157">
        <v>0</v>
      </c>
      <c r="L307" s="161"/>
      <c r="M307" s="161"/>
      <c r="N307" s="161"/>
      <c r="O307" s="161"/>
      <c r="P307" s="157">
        <v>0</v>
      </c>
      <c r="Q307" s="161"/>
      <c r="R307" s="161"/>
      <c r="S307" s="161"/>
      <c r="T307" s="161"/>
      <c r="U307" s="157">
        <v>0</v>
      </c>
      <c r="V307" s="161"/>
      <c r="W307" s="161"/>
      <c r="X307" s="161"/>
      <c r="Y307" s="161"/>
      <c r="Z307" s="157">
        <v>0</v>
      </c>
      <c r="AA307" s="161"/>
      <c r="AB307" s="161"/>
      <c r="AC307" s="161"/>
      <c r="AD307" s="161"/>
      <c r="AE307" s="157">
        <v>0</v>
      </c>
      <c r="AF307" s="161"/>
      <c r="AG307" s="161"/>
      <c r="AH307" s="161"/>
      <c r="AI307" s="161"/>
      <c r="AJ307" s="157">
        <v>0</v>
      </c>
      <c r="AK307" s="161"/>
      <c r="AL307" s="161"/>
      <c r="AM307" s="161"/>
      <c r="AN307" s="161"/>
      <c r="AO307" s="157">
        <v>0</v>
      </c>
      <c r="AP307" s="161"/>
      <c r="AQ307" s="161"/>
      <c r="AR307" s="161"/>
      <c r="AS307" s="161"/>
      <c r="AT307" s="157">
        <v>0</v>
      </c>
      <c r="AU307" s="161"/>
      <c r="AV307" s="161"/>
      <c r="AW307" s="161"/>
      <c r="AX307" s="161"/>
      <c r="AY307" s="572">
        <v>0</v>
      </c>
      <c r="AZ307" s="574"/>
      <c r="BA307" s="161"/>
      <c r="BB307" s="161"/>
      <c r="BC307" s="161"/>
      <c r="BD307" s="1976">
        <v>0</v>
      </c>
      <c r="BE307" s="161"/>
      <c r="BF307" s="161"/>
      <c r="BG307" s="161"/>
      <c r="BH307" s="161"/>
      <c r="BI307" s="157">
        <v>0</v>
      </c>
      <c r="BJ307" s="161"/>
      <c r="BK307" s="161"/>
      <c r="BL307" s="161"/>
      <c r="BM307" s="161"/>
      <c r="BN307" s="157">
        <v>0</v>
      </c>
      <c r="BO307" s="161"/>
      <c r="BP307" s="161"/>
      <c r="BQ307" s="161"/>
      <c r="BR307" s="161"/>
      <c r="BS307" s="157">
        <v>0</v>
      </c>
      <c r="BT307" s="161"/>
      <c r="BU307" s="161"/>
      <c r="BV307" s="161"/>
      <c r="BW307" s="161"/>
      <c r="BX307" s="157">
        <v>0</v>
      </c>
      <c r="BY307" s="161"/>
      <c r="BZ307" s="161"/>
      <c r="CA307" s="161"/>
      <c r="CB307" s="161"/>
      <c r="CC307" s="157">
        <v>0</v>
      </c>
      <c r="CD307" s="155"/>
      <c r="CE307" s="135"/>
      <c r="CF307" s="173"/>
      <c r="CG307" s="173"/>
      <c r="CH307" s="173"/>
      <c r="CI307" s="239"/>
      <c r="CJ307" s="177"/>
      <c r="CK307" s="2070"/>
      <c r="CL307" s="177"/>
      <c r="CM307" s="177"/>
      <c r="CN307" s="177"/>
      <c r="CO307" s="177"/>
      <c r="CP307" s="177"/>
      <c r="CQ307" s="40"/>
      <c r="CR307" s="40"/>
      <c r="CS307" s="40"/>
      <c r="CT307" s="40"/>
      <c r="CU307" s="40"/>
      <c r="CV307" s="40"/>
      <c r="CW307" s="40"/>
      <c r="CX307" s="40"/>
      <c r="CY307" s="139"/>
      <c r="CZ307"/>
      <c r="DA307"/>
      <c r="DB307"/>
      <c r="DC307"/>
      <c r="DD307"/>
      <c r="DE307"/>
      <c r="DF307" s="3"/>
      <c r="DG307" s="3"/>
      <c r="DH307" s="3"/>
      <c r="DI307" s="3"/>
      <c r="DJ307" s="3"/>
    </row>
    <row r="308" spans="1:114" s="1" customFormat="1" ht="12.75" customHeight="1">
      <c r="A308" s="162" t="s">
        <v>45</v>
      </c>
      <c r="B308" s="438"/>
      <c r="C308" s="164"/>
      <c r="D308" s="164"/>
      <c r="E308" s="164"/>
      <c r="F308" s="163">
        <f>F210</f>
        <v>6.6328721250000005</v>
      </c>
      <c r="G308" s="164"/>
      <c r="H308" s="164"/>
      <c r="I308" s="164"/>
      <c r="J308" s="164"/>
      <c r="K308" s="163">
        <f>K210</f>
        <v>6.5742553125000001</v>
      </c>
      <c r="L308" s="164"/>
      <c r="M308" s="164"/>
      <c r="N308" s="164"/>
      <c r="O308" s="164"/>
      <c r="P308" s="163">
        <f>P210</f>
        <v>6.6817568124999998</v>
      </c>
      <c r="Q308" s="164"/>
      <c r="R308" s="164"/>
      <c r="S308" s="164"/>
      <c r="T308" s="164"/>
      <c r="U308" s="163">
        <f>U210</f>
        <v>7.8337406250000008</v>
      </c>
      <c r="V308" s="164"/>
      <c r="W308" s="164"/>
      <c r="X308" s="164"/>
      <c r="Y308" s="164"/>
      <c r="Z308" s="163">
        <f>Z210</f>
        <v>8.0088045000000001</v>
      </c>
      <c r="AA308" s="164"/>
      <c r="AB308" s="164"/>
      <c r="AC308" s="164"/>
      <c r="AD308" s="164"/>
      <c r="AE308" s="163">
        <f>AE210</f>
        <v>8.0599298749999999</v>
      </c>
      <c r="AF308" s="164"/>
      <c r="AG308" s="164"/>
      <c r="AH308" s="164"/>
      <c r="AI308" s="164"/>
      <c r="AJ308" s="163">
        <f>AJ210</f>
        <v>8.2462105625</v>
      </c>
      <c r="AK308" s="164"/>
      <c r="AL308" s="164"/>
      <c r="AM308" s="164"/>
      <c r="AN308" s="164"/>
      <c r="AO308" s="163">
        <f>AO210</f>
        <v>15.62575</v>
      </c>
      <c r="AP308" s="164"/>
      <c r="AQ308" s="164"/>
      <c r="AR308" s="164"/>
      <c r="AS308" s="164"/>
      <c r="AT308" s="163">
        <f>AT210</f>
        <v>22.714142499999998</v>
      </c>
      <c r="AU308" s="164"/>
      <c r="AV308" s="164"/>
      <c r="AW308" s="164"/>
      <c r="AX308" s="164"/>
      <c r="AY308" s="438">
        <f>AY210</f>
        <v>53.560261000000004</v>
      </c>
      <c r="AZ308" s="438"/>
      <c r="BA308" s="164"/>
      <c r="BB308" s="164"/>
      <c r="BC308" s="164"/>
      <c r="BD308" s="1978">
        <f>BD210</f>
        <v>92.658851499999997</v>
      </c>
      <c r="BE308" s="164"/>
      <c r="BF308" s="164"/>
      <c r="BG308" s="164"/>
      <c r="BH308" s="164"/>
      <c r="BI308" s="163">
        <f>BI210</f>
        <v>110.2320235</v>
      </c>
      <c r="BJ308" s="164"/>
      <c r="BK308" s="164"/>
      <c r="BL308" s="164"/>
      <c r="BM308" s="164"/>
      <c r="BN308" s="163">
        <f>BN210</f>
        <v>115.15</v>
      </c>
      <c r="BO308" s="164"/>
      <c r="BP308" s="164"/>
      <c r="BQ308" s="164"/>
      <c r="BR308" s="164"/>
      <c r="BS308" s="163">
        <f>BS210</f>
        <v>119.9</v>
      </c>
      <c r="BT308" s="164"/>
      <c r="BU308" s="164"/>
      <c r="BV308" s="164"/>
      <c r="BW308" s="164"/>
      <c r="BX308" s="163">
        <f>BX210</f>
        <v>107.91000000000001</v>
      </c>
      <c r="BY308" s="164"/>
      <c r="BZ308" s="164"/>
      <c r="CA308" s="164"/>
      <c r="CB308" s="164"/>
      <c r="CC308" s="163">
        <f>CC210</f>
        <v>97.119000000000014</v>
      </c>
      <c r="CD308" s="164"/>
      <c r="CE308" s="124"/>
      <c r="CF308" s="173"/>
      <c r="CG308" s="173"/>
      <c r="CH308" s="173"/>
      <c r="CI308" s="239"/>
      <c r="CJ308" s="177"/>
      <c r="CK308" s="2070"/>
      <c r="CL308" s="177"/>
      <c r="CM308" s="177"/>
      <c r="CN308" s="177"/>
      <c r="CO308" s="177"/>
      <c r="CP308" s="177"/>
      <c r="CQ308" s="40"/>
      <c r="CR308" s="40"/>
      <c r="CS308" s="40"/>
      <c r="CT308" s="40"/>
      <c r="CU308" s="40"/>
      <c r="CV308" s="40"/>
      <c r="CW308" s="40"/>
      <c r="CX308" s="40"/>
      <c r="CY308" s="139"/>
      <c r="CZ308"/>
      <c r="DA308"/>
      <c r="DB308"/>
      <c r="DC308"/>
      <c r="DD308"/>
      <c r="DE308"/>
      <c r="DF308" s="3"/>
      <c r="DG308" s="3"/>
      <c r="DH308" s="3"/>
      <c r="DI308" s="3"/>
      <c r="DJ308" s="3"/>
    </row>
    <row r="309" spans="1:114" s="154" customFormat="1" ht="12.75" customHeight="1">
      <c r="A309" s="417" t="s">
        <v>173</v>
      </c>
      <c r="B309" s="575"/>
      <c r="C309" s="418"/>
      <c r="D309" s="418"/>
      <c r="E309" s="418"/>
      <c r="F309" s="419">
        <v>0.38</v>
      </c>
      <c r="G309" s="426">
        <v>0.38</v>
      </c>
      <c r="H309" s="426">
        <v>0.38</v>
      </c>
      <c r="I309" s="426">
        <v>0.38</v>
      </c>
      <c r="J309" s="426">
        <v>0.38</v>
      </c>
      <c r="K309" s="419">
        <v>0.38</v>
      </c>
      <c r="L309" s="426">
        <v>0.38</v>
      </c>
      <c r="M309" s="426">
        <v>0.38</v>
      </c>
      <c r="N309" s="426">
        <v>0.38</v>
      </c>
      <c r="O309" s="426">
        <v>0.38</v>
      </c>
      <c r="P309" s="419">
        <v>0.38</v>
      </c>
      <c r="Q309" s="426">
        <v>0.38</v>
      </c>
      <c r="R309" s="426">
        <v>0.38</v>
      </c>
      <c r="S309" s="426">
        <v>0.38</v>
      </c>
      <c r="T309" s="426">
        <v>0.38</v>
      </c>
      <c r="U309" s="419">
        <v>0.38</v>
      </c>
      <c r="V309" s="426">
        <v>0.38</v>
      </c>
      <c r="W309" s="426">
        <v>0.38</v>
      </c>
      <c r="X309" s="426">
        <v>0.38</v>
      </c>
      <c r="Y309" s="426">
        <v>0.38</v>
      </c>
      <c r="Z309" s="419">
        <v>0.38</v>
      </c>
      <c r="AA309" s="426">
        <v>0.38</v>
      </c>
      <c r="AB309" s="426">
        <v>0.38</v>
      </c>
      <c r="AC309" s="426">
        <v>0.38</v>
      </c>
      <c r="AD309" s="426">
        <v>0.38</v>
      </c>
      <c r="AE309" s="419">
        <v>0.38</v>
      </c>
      <c r="AF309" s="426">
        <v>0.38</v>
      </c>
      <c r="AG309" s="426">
        <v>0.38</v>
      </c>
      <c r="AH309" s="426">
        <v>0.38</v>
      </c>
      <c r="AI309" s="426">
        <v>0.38</v>
      </c>
      <c r="AJ309" s="419">
        <v>0.38</v>
      </c>
      <c r="AK309" s="426">
        <v>0.38</v>
      </c>
      <c r="AL309" s="426">
        <v>0.38</v>
      </c>
      <c r="AM309" s="426">
        <v>0.38</v>
      </c>
      <c r="AN309" s="426">
        <v>0.38</v>
      </c>
      <c r="AO309" s="419">
        <v>0.38</v>
      </c>
      <c r="AP309" s="426">
        <v>0.38</v>
      </c>
      <c r="AQ309" s="426">
        <v>0.38</v>
      </c>
      <c r="AR309" s="426">
        <v>0.38</v>
      </c>
      <c r="AS309" s="426">
        <v>0.38</v>
      </c>
      <c r="AT309" s="419">
        <v>0.38</v>
      </c>
      <c r="AU309" s="426">
        <v>0.38</v>
      </c>
      <c r="AV309" s="426">
        <v>0.38</v>
      </c>
      <c r="AW309" s="426">
        <v>0.38</v>
      </c>
      <c r="AX309" s="426">
        <v>0.38</v>
      </c>
      <c r="AY309" s="600">
        <v>0.38</v>
      </c>
      <c r="AZ309" s="600">
        <v>0.38</v>
      </c>
      <c r="BA309" s="426">
        <v>0.38</v>
      </c>
      <c r="BB309" s="426">
        <v>0.38</v>
      </c>
      <c r="BC309" s="426">
        <v>0.38</v>
      </c>
      <c r="BD309" s="1979">
        <v>0.38</v>
      </c>
      <c r="BE309" s="426">
        <v>0.38</v>
      </c>
      <c r="BF309" s="426">
        <v>0.38</v>
      </c>
      <c r="BG309" s="426">
        <v>0.38</v>
      </c>
      <c r="BH309" s="426">
        <v>0.38</v>
      </c>
      <c r="BI309" s="419">
        <v>0.38</v>
      </c>
      <c r="BJ309" s="426">
        <v>0.38</v>
      </c>
      <c r="BK309" s="426">
        <v>0.38</v>
      </c>
      <c r="BL309" s="426">
        <v>0.38</v>
      </c>
      <c r="BM309" s="426">
        <v>0.38</v>
      </c>
      <c r="BN309" s="419">
        <v>0.38</v>
      </c>
      <c r="BO309" s="426">
        <v>0.38</v>
      </c>
      <c r="BP309" s="426">
        <v>0.38</v>
      </c>
      <c r="BQ309" s="426">
        <v>0.38</v>
      </c>
      <c r="BR309" s="426">
        <v>0.38</v>
      </c>
      <c r="BS309" s="419">
        <v>0.38</v>
      </c>
      <c r="BT309" s="426">
        <v>0.38</v>
      </c>
      <c r="BU309" s="426">
        <v>0.38</v>
      </c>
      <c r="BV309" s="426">
        <v>0.38</v>
      </c>
      <c r="BW309" s="426">
        <v>0.38</v>
      </c>
      <c r="BX309" s="419">
        <v>0.38</v>
      </c>
      <c r="BY309" s="426">
        <v>0.38</v>
      </c>
      <c r="BZ309" s="426">
        <v>0.38</v>
      </c>
      <c r="CA309" s="426">
        <v>0.38</v>
      </c>
      <c r="CB309" s="426">
        <v>0.38</v>
      </c>
      <c r="CC309" s="419">
        <v>0.38</v>
      </c>
      <c r="CD309" s="418"/>
      <c r="CE309" s="420"/>
      <c r="CF309" s="421"/>
      <c r="CG309" s="421"/>
      <c r="CH309" s="421"/>
      <c r="CI309" s="422"/>
      <c r="CJ309" s="2067"/>
      <c r="CK309" s="2084"/>
      <c r="CL309" s="2067"/>
      <c r="CM309" s="2067"/>
      <c r="CN309" s="2067"/>
      <c r="CO309" s="2067"/>
      <c r="CP309" s="2067"/>
      <c r="CQ309" s="423"/>
      <c r="CR309" s="423"/>
      <c r="CS309" s="423"/>
      <c r="CT309" s="423"/>
      <c r="CU309" s="423"/>
      <c r="CV309" s="423"/>
      <c r="CW309" s="423"/>
      <c r="CX309" s="423"/>
      <c r="CY309" s="424"/>
      <c r="CZ309"/>
      <c r="DA309"/>
      <c r="DB309"/>
      <c r="DC309"/>
      <c r="DD309"/>
      <c r="DE309"/>
      <c r="DF309" s="425"/>
      <c r="DG309" s="425"/>
      <c r="DH309" s="425"/>
      <c r="DI309" s="425"/>
      <c r="DJ309" s="425"/>
    </row>
    <row r="310" spans="1:114" customFormat="1" ht="12.75" customHeight="1"/>
    <row r="311" spans="1:114" s="1" customFormat="1" ht="12.75" customHeight="1">
      <c r="A311" s="58"/>
      <c r="B311" s="190"/>
      <c r="C311" s="6"/>
      <c r="D311" s="6"/>
      <c r="E311" s="6"/>
      <c r="F311" s="61"/>
      <c r="G311" s="6"/>
      <c r="H311" s="6"/>
      <c r="I311" s="6"/>
      <c r="J311" s="6"/>
      <c r="K311" s="61"/>
      <c r="L311" s="6"/>
      <c r="M311" s="6"/>
      <c r="N311" s="6"/>
      <c r="O311" s="6"/>
      <c r="P311" s="61"/>
      <c r="Q311" s="6"/>
      <c r="R311" s="6"/>
      <c r="S311" s="6"/>
      <c r="T311" s="6"/>
      <c r="U311" s="61"/>
      <c r="V311" s="6"/>
      <c r="W311" s="6"/>
      <c r="X311" s="6"/>
      <c r="Y311" s="6"/>
      <c r="Z311" s="61"/>
      <c r="AA311" s="6"/>
      <c r="AB311" s="6"/>
      <c r="AC311" s="6"/>
      <c r="AD311" s="6"/>
      <c r="AE311" s="61"/>
      <c r="AF311" s="6"/>
      <c r="AG311" s="6"/>
      <c r="AH311" s="6"/>
      <c r="AI311" s="6"/>
      <c r="AJ311" s="61"/>
      <c r="AK311" s="6"/>
      <c r="AL311" s="6"/>
      <c r="AM311" s="6"/>
      <c r="AN311" s="6"/>
      <c r="AO311" s="61"/>
      <c r="AP311" s="6"/>
      <c r="AQ311" s="6"/>
      <c r="AR311" s="6"/>
      <c r="AS311" s="6"/>
      <c r="AT311" s="190"/>
      <c r="AU311" s="6"/>
      <c r="AV311" s="6"/>
      <c r="AW311" s="6"/>
      <c r="AX311" s="6"/>
      <c r="AY311" s="190"/>
      <c r="AZ311" s="190"/>
      <c r="BA311" s="6"/>
      <c r="BB311" s="6"/>
      <c r="BC311" s="6"/>
      <c r="BD311" s="190"/>
      <c r="BE311" s="6"/>
      <c r="BF311" s="6"/>
      <c r="BG311" s="6"/>
      <c r="BH311" s="6"/>
      <c r="BI311" s="190"/>
      <c r="BJ311" s="6"/>
      <c r="BK311" s="6"/>
      <c r="BL311" s="6"/>
      <c r="BM311" s="6"/>
      <c r="BN311" s="190"/>
      <c r="BO311" s="6"/>
      <c r="BP311" s="6"/>
      <c r="BQ311" s="6"/>
      <c r="BR311" s="6"/>
      <c r="BS311" s="190"/>
      <c r="BT311" s="6"/>
      <c r="BU311" s="6"/>
      <c r="BV311" s="6"/>
      <c r="BW311" s="6"/>
      <c r="BX311" s="190"/>
      <c r="BY311" s="6"/>
      <c r="BZ311" s="6"/>
      <c r="CA311" s="6"/>
      <c r="CB311" s="6"/>
      <c r="CC311" s="190"/>
      <c r="CD311" s="194"/>
      <c r="CE311" s="114"/>
      <c r="CF311" s="173"/>
      <c r="CG311" s="173"/>
      <c r="CH311" s="173"/>
      <c r="CI311" s="239"/>
      <c r="CJ311" s="177"/>
      <c r="CK311" s="2070"/>
      <c r="CL311" s="177"/>
      <c r="CM311" s="177"/>
      <c r="CN311" s="177"/>
      <c r="CO311" s="177"/>
      <c r="CP311" s="177"/>
      <c r="CQ311" s="40"/>
      <c r="CR311" s="40"/>
      <c r="CS311" s="40"/>
      <c r="CT311" s="40"/>
      <c r="CU311" s="40"/>
      <c r="CV311" s="40"/>
      <c r="CW311" s="40"/>
      <c r="CX311" s="40"/>
      <c r="CY311" s="139"/>
      <c r="CZ311"/>
      <c r="DA311"/>
      <c r="DB311"/>
      <c r="DC311"/>
      <c r="DD311"/>
      <c r="DE311"/>
      <c r="DF311" s="3"/>
      <c r="DG311" s="3"/>
      <c r="DH311" s="3"/>
      <c r="DI311" s="3"/>
      <c r="DJ311" s="3"/>
    </row>
    <row r="312" spans="1:114" s="1" customFormat="1" ht="12.75" customHeight="1">
      <c r="A312" s="3"/>
      <c r="B312" s="576"/>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576"/>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E312" s="3"/>
      <c r="CF312" s="3"/>
      <c r="CG312" s="3"/>
      <c r="CH312" s="3"/>
      <c r="CI312" s="3"/>
      <c r="CJ312" s="3"/>
      <c r="CK312" s="3"/>
      <c r="CL312" s="3"/>
      <c r="CM312" s="3"/>
      <c r="CN312" s="3"/>
      <c r="CO312" s="3"/>
      <c r="CP312" s="3"/>
      <c r="CQ312" s="3"/>
      <c r="CR312" s="3"/>
      <c r="CS312" s="3"/>
      <c r="CT312" s="3"/>
      <c r="CU312" s="3"/>
      <c r="CV312" s="3"/>
      <c r="CW312" s="3"/>
      <c r="CX312" s="3"/>
      <c r="CY312" s="3"/>
      <c r="CZ312"/>
      <c r="DA312"/>
      <c r="DB312"/>
      <c r="DC312"/>
      <c r="DD312"/>
      <c r="DE312"/>
      <c r="DF312" s="3"/>
      <c r="DG312" s="3"/>
      <c r="DH312" s="3"/>
      <c r="DI312" s="3"/>
      <c r="DJ312" s="3"/>
    </row>
    <row r="313" spans="1:114" s="1" customFormat="1" ht="12.75" customHeight="1">
      <c r="A313" s="3"/>
      <c r="B313" s="576"/>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576"/>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E313" s="3"/>
      <c r="CF313" s="3"/>
      <c r="CG313" s="3"/>
      <c r="CH313" s="3"/>
      <c r="CI313" s="3"/>
      <c r="CJ313" s="3"/>
      <c r="CK313" s="3"/>
      <c r="CL313" s="3"/>
      <c r="CM313" s="3"/>
      <c r="CN313" s="3"/>
      <c r="CO313" s="3"/>
      <c r="CP313" s="3"/>
      <c r="CQ313" s="3"/>
      <c r="CR313" s="3"/>
      <c r="CS313" s="3"/>
      <c r="CT313" s="3"/>
      <c r="CU313" s="3"/>
      <c r="CV313" s="3"/>
      <c r="CW313" s="3"/>
      <c r="CX313" s="3"/>
      <c r="CY313" s="3"/>
      <c r="CZ313"/>
      <c r="DA313"/>
      <c r="DB313"/>
      <c r="DC313"/>
      <c r="DD313"/>
      <c r="DE313"/>
      <c r="DF313" s="3"/>
      <c r="DG313" s="3"/>
      <c r="DH313" s="3"/>
      <c r="DI313" s="3"/>
      <c r="DJ313" s="3"/>
    </row>
    <row r="314" spans="1:114" s="1" customFormat="1" ht="12.75" customHeight="1">
      <c r="A314" s="3"/>
      <c r="B314" s="576"/>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576"/>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E314" s="3"/>
      <c r="CF314" s="3"/>
      <c r="CG314" s="3"/>
      <c r="CH314" s="3"/>
      <c r="CI314" s="3"/>
      <c r="CJ314" s="3"/>
      <c r="CK314" s="3"/>
      <c r="CL314" s="3"/>
      <c r="CM314" s="3"/>
      <c r="CN314" s="3"/>
      <c r="CO314" s="3"/>
      <c r="CP314" s="3"/>
      <c r="CQ314" s="3"/>
      <c r="CR314" s="3"/>
      <c r="CS314" s="3"/>
      <c r="CT314" s="3"/>
      <c r="CU314" s="3"/>
      <c r="CV314" s="3"/>
      <c r="CW314" s="3"/>
      <c r="CX314" s="3"/>
      <c r="CY314" s="3"/>
      <c r="CZ314"/>
      <c r="DA314"/>
      <c r="DB314"/>
      <c r="DC314"/>
      <c r="DD314"/>
      <c r="DE314"/>
      <c r="DF314" s="3"/>
      <c r="DG314" s="3"/>
      <c r="DH314" s="3"/>
      <c r="DI314" s="3"/>
      <c r="DJ314" s="3"/>
    </row>
    <row r="315" spans="1:114" s="1" customFormat="1" ht="12.75" customHeight="1">
      <c r="A315" s="3"/>
      <c r="B315" s="576"/>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576"/>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E315" s="3"/>
      <c r="CF315" s="3"/>
      <c r="CG315" s="3"/>
      <c r="CH315" s="3"/>
      <c r="CI315" s="3"/>
      <c r="CJ315" s="3"/>
      <c r="CK315" s="3"/>
      <c r="CL315" s="3"/>
      <c r="CM315" s="3"/>
      <c r="CN315" s="3"/>
      <c r="CO315" s="3"/>
      <c r="CP315" s="3"/>
      <c r="CQ315" s="3"/>
      <c r="CR315" s="3"/>
      <c r="CS315" s="3"/>
      <c r="CT315" s="3"/>
      <c r="CU315" s="3"/>
      <c r="CV315" s="3"/>
      <c r="CW315" s="3"/>
      <c r="CX315" s="3"/>
      <c r="CY315" s="3"/>
      <c r="CZ315"/>
      <c r="DA315"/>
      <c r="DB315"/>
      <c r="DC315"/>
      <c r="DD315"/>
      <c r="DE315"/>
      <c r="DF315" s="3"/>
      <c r="DG315" s="3"/>
      <c r="DH315" s="3"/>
      <c r="DI315" s="3"/>
      <c r="DJ315" s="3"/>
    </row>
    <row r="316" spans="1:114" s="1" customFormat="1" ht="12.75" customHeight="1">
      <c r="A316" s="3"/>
      <c r="B316" s="576"/>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576"/>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E316" s="3"/>
      <c r="CF316" s="3"/>
      <c r="CG316" s="3"/>
      <c r="CH316" s="3"/>
      <c r="CI316" s="3"/>
      <c r="CJ316" s="3"/>
      <c r="CK316" s="3"/>
      <c r="CL316" s="3"/>
      <c r="CM316" s="3"/>
      <c r="CN316" s="3"/>
      <c r="CO316" s="3"/>
      <c r="CP316" s="3"/>
      <c r="CQ316" s="3"/>
      <c r="CR316" s="3"/>
      <c r="CS316" s="3"/>
      <c r="CT316" s="3"/>
      <c r="CU316" s="3"/>
      <c r="CV316" s="3"/>
      <c r="CW316" s="3"/>
      <c r="CX316" s="3"/>
      <c r="CY316" s="3"/>
      <c r="CZ316"/>
      <c r="DA316"/>
      <c r="DB316"/>
      <c r="DC316"/>
      <c r="DD316"/>
      <c r="DE316"/>
      <c r="DF316" s="3"/>
      <c r="DG316" s="3"/>
      <c r="DH316" s="3"/>
      <c r="DI316" s="3"/>
      <c r="DJ316" s="3"/>
    </row>
    <row r="317" spans="1:114" s="1" customFormat="1" ht="12.75" customHeight="1">
      <c r="A317" s="3"/>
      <c r="B317" s="576"/>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576"/>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E317" s="3"/>
      <c r="CF317" s="3"/>
      <c r="CG317" s="3"/>
      <c r="CH317" s="3"/>
      <c r="CI317" s="3"/>
      <c r="CJ317" s="3"/>
      <c r="CK317" s="3"/>
      <c r="CL317" s="3"/>
      <c r="CM317" s="3"/>
      <c r="CN317" s="3"/>
      <c r="CO317" s="3"/>
      <c r="CP317" s="3"/>
      <c r="CQ317" s="3"/>
      <c r="CR317" s="3"/>
      <c r="CS317" s="3"/>
      <c r="CT317" s="3"/>
      <c r="CU317" s="3"/>
      <c r="CV317" s="3"/>
      <c r="CW317" s="3"/>
      <c r="CX317" s="3"/>
      <c r="CY317" s="3"/>
      <c r="CZ317"/>
      <c r="DA317"/>
      <c r="DB317"/>
      <c r="DC317"/>
      <c r="DD317"/>
      <c r="DE317"/>
      <c r="DF317" s="3"/>
      <c r="DG317" s="3"/>
      <c r="DH317" s="3"/>
      <c r="DI317" s="3"/>
      <c r="DJ317" s="3"/>
    </row>
    <row r="318" spans="1:114" s="1" customFormat="1" ht="12.75" customHeight="1">
      <c r="A318" s="3"/>
      <c r="B318" s="576"/>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576"/>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E318" s="3"/>
      <c r="CF318" s="3"/>
      <c r="CG318" s="3"/>
      <c r="CH318" s="3"/>
      <c r="CI318" s="3"/>
      <c r="CJ318" s="3"/>
      <c r="CK318" s="3"/>
      <c r="CL318" s="3"/>
      <c r="CM318" s="3"/>
      <c r="CN318" s="3"/>
      <c r="CO318" s="3"/>
      <c r="CP318" s="3"/>
      <c r="CQ318" s="3"/>
      <c r="CR318" s="3"/>
      <c r="CS318" s="3"/>
      <c r="CT318" s="3"/>
      <c r="CU318" s="3"/>
      <c r="CV318" s="3"/>
      <c r="CW318" s="3"/>
      <c r="CX318" s="3"/>
      <c r="CY318" s="3"/>
      <c r="CZ318"/>
      <c r="DA318"/>
      <c r="DB318"/>
      <c r="DC318"/>
      <c r="DD318"/>
      <c r="DE318"/>
      <c r="DF318" s="3"/>
      <c r="DG318" s="3"/>
      <c r="DH318" s="3"/>
      <c r="DI318" s="3"/>
      <c r="DJ318" s="3"/>
    </row>
  </sheetData>
  <phoneticPr fontId="13" type="noConversion"/>
  <conditionalFormatting sqref="B306:P306 U306:BG306 CD306:CP306 BI306:BN306">
    <cfRule type="cellIs" dxfId="43" priority="35" stopIfTrue="1" operator="notBetween">
      <formula>0.001</formula>
      <formula>-0.001</formula>
    </cfRule>
  </conditionalFormatting>
  <conditionalFormatting sqref="V303:Y303 AA303:AD303 AF303:BG303 CD303:CP303 BI303:BN303">
    <cfRule type="cellIs" dxfId="42" priority="36" stopIfTrue="1" operator="notBetween">
      <formula>-0.0001</formula>
      <formula>0.0001</formula>
    </cfRule>
  </conditionalFormatting>
  <conditionalFormatting sqref="AZ298 B298:AU299 AW299:BB299 AW302:BG302 B302:AU302 B300:AS300 BF299:BG299 CD298:CP300 CD302:CP302 BI298:BI299 BI302:BN302">
    <cfRule type="cellIs" dxfId="41" priority="37" stopIfTrue="1" operator="notEqual">
      <formula>0</formula>
    </cfRule>
  </conditionalFormatting>
  <conditionalFormatting sqref="AV298:AV299 AV302">
    <cfRule type="cellIs" dxfId="40" priority="34" stopIfTrue="1" operator="notEqual">
      <formula>0</formula>
    </cfRule>
  </conditionalFormatting>
  <conditionalFormatting sqref="AW298">
    <cfRule type="cellIs" dxfId="39" priority="33" stopIfTrue="1" operator="notEqual">
      <formula>0</formula>
    </cfRule>
  </conditionalFormatting>
  <conditionalFormatting sqref="AX298:AY298">
    <cfRule type="cellIs" dxfId="38" priority="31" stopIfTrue="1" operator="notEqual">
      <formula>0</formula>
    </cfRule>
  </conditionalFormatting>
  <conditionalFormatting sqref="BO306:BS306">
    <cfRule type="cellIs" dxfId="37" priority="28" stopIfTrue="1" operator="notBetween">
      <formula>0.001</formula>
      <formula>-0.001</formula>
    </cfRule>
  </conditionalFormatting>
  <conditionalFormatting sqref="BO303:BS303">
    <cfRule type="cellIs" dxfId="36" priority="29" stopIfTrue="1" operator="notBetween">
      <formula>-0.0001</formula>
      <formula>0.0001</formula>
    </cfRule>
  </conditionalFormatting>
  <conditionalFormatting sqref="BO299:BS299 BO302:BS302">
    <cfRule type="cellIs" dxfId="35" priority="30" stopIfTrue="1" operator="notEqual">
      <formula>0</formula>
    </cfRule>
  </conditionalFormatting>
  <conditionalFormatting sqref="BT306:BX306">
    <cfRule type="cellIs" dxfId="34" priority="25" stopIfTrue="1" operator="notBetween">
      <formula>0.001</formula>
      <formula>-0.001</formula>
    </cfRule>
  </conditionalFormatting>
  <conditionalFormatting sqref="BT303:BX303">
    <cfRule type="cellIs" dxfId="33" priority="26" stopIfTrue="1" operator="notBetween">
      <formula>-0.0001</formula>
      <formula>0.0001</formula>
    </cfRule>
  </conditionalFormatting>
  <conditionalFormatting sqref="BT298:BX299 BT302:BX302">
    <cfRule type="cellIs" dxfId="32" priority="27" stopIfTrue="1" operator="notEqual">
      <formula>0</formula>
    </cfRule>
  </conditionalFormatting>
  <conditionalFormatting sqref="BY306:CC306">
    <cfRule type="cellIs" dxfId="31" priority="22" stopIfTrue="1" operator="notBetween">
      <formula>0.001</formula>
      <formula>-0.001</formula>
    </cfRule>
  </conditionalFormatting>
  <conditionalFormatting sqref="BY303:CC303">
    <cfRule type="cellIs" dxfId="30" priority="23" stopIfTrue="1" operator="notBetween">
      <formula>-0.0001</formula>
      <formula>0.0001</formula>
    </cfRule>
  </conditionalFormatting>
  <conditionalFormatting sqref="BY298:CC299 BY302:CC302">
    <cfRule type="cellIs" dxfId="29" priority="24" stopIfTrue="1" operator="notEqual">
      <formula>0</formula>
    </cfRule>
  </conditionalFormatting>
  <conditionalFormatting sqref="BA298:BB298">
    <cfRule type="cellIs" dxfId="28" priority="21" stopIfTrue="1" operator="notEqual">
      <formula>0</formula>
    </cfRule>
  </conditionalFormatting>
  <conditionalFormatting sqref="BC299:BD299">
    <cfRule type="cellIs" dxfId="27" priority="16" stopIfTrue="1" operator="notEqual">
      <formula>0</formula>
    </cfRule>
  </conditionalFormatting>
  <conditionalFormatting sqref="BC298:BD298">
    <cfRule type="cellIs" dxfId="26" priority="15" stopIfTrue="1" operator="notEqual">
      <formula>0</formula>
    </cfRule>
  </conditionalFormatting>
  <conditionalFormatting sqref="BE298:BE299 BF298:BG298">
    <cfRule type="cellIs" dxfId="25" priority="14" stopIfTrue="1" operator="notEqual">
      <formula>0</formula>
    </cfRule>
  </conditionalFormatting>
  <conditionalFormatting sqref="BJ299:BM299">
    <cfRule type="cellIs" dxfId="24" priority="13" stopIfTrue="1" operator="notEqual">
      <formula>0</formula>
    </cfRule>
  </conditionalFormatting>
  <conditionalFormatting sqref="BM298">
    <cfRule type="cellIs" dxfId="23" priority="12" stopIfTrue="1" operator="notEqual">
      <formula>0</formula>
    </cfRule>
  </conditionalFormatting>
  <conditionalFormatting sqref="BN298:BN299">
    <cfRule type="cellIs" dxfId="22" priority="11" stopIfTrue="1" operator="notEqual">
      <formula>0</formula>
    </cfRule>
  </conditionalFormatting>
  <conditionalFormatting sqref="BH306">
    <cfRule type="cellIs" dxfId="21" priority="8" stopIfTrue="1" operator="notBetween">
      <formula>0.001</formula>
      <formula>-0.001</formula>
    </cfRule>
  </conditionalFormatting>
  <conditionalFormatting sqref="BH303">
    <cfRule type="cellIs" dxfId="20" priority="9" stopIfTrue="1" operator="notBetween">
      <formula>-0.0001</formula>
      <formula>0.0001</formula>
    </cfRule>
  </conditionalFormatting>
  <conditionalFormatting sqref="BH302">
    <cfRule type="cellIs" dxfId="19" priority="10" stopIfTrue="1" operator="notEqual">
      <formula>0</formula>
    </cfRule>
  </conditionalFormatting>
  <conditionalFormatting sqref="BH299">
    <cfRule type="cellIs" dxfId="18" priority="7" stopIfTrue="1" operator="notEqual">
      <formula>0</formula>
    </cfRule>
  </conditionalFormatting>
  <conditionalFormatting sqref="BH298">
    <cfRule type="cellIs" dxfId="17" priority="6" stopIfTrue="1" operator="notEqual">
      <formula>0</formula>
    </cfRule>
  </conditionalFormatting>
  <conditionalFormatting sqref="BJ298">
    <cfRule type="cellIs" dxfId="16" priority="5" stopIfTrue="1" operator="notEqual">
      <formula>0</formula>
    </cfRule>
  </conditionalFormatting>
  <conditionalFormatting sqref="BK298">
    <cfRule type="cellIs" dxfId="15" priority="4" stopIfTrue="1" operator="notEqual">
      <formula>0</formula>
    </cfRule>
  </conditionalFormatting>
  <conditionalFormatting sqref="BL298">
    <cfRule type="cellIs" dxfId="14" priority="3" stopIfTrue="1" operator="notEqual">
      <formula>0</formula>
    </cfRule>
  </conditionalFormatting>
  <conditionalFormatting sqref="BO298:BR298">
    <cfRule type="cellIs" dxfId="13" priority="2" stopIfTrue="1" operator="notEqual">
      <formula>0</formula>
    </cfRule>
  </conditionalFormatting>
  <conditionalFormatting sqref="BS298">
    <cfRule type="cellIs" dxfId="12" priority="1" stopIfTrue="1" operator="notEqual">
      <formula>0</formula>
    </cfRule>
  </conditionalFormatting>
  <pageMargins left="0" right="0" top="0" bottom="0" header="0" footer="0"/>
  <pageSetup paperSize="5" scale="20" orientation="landscape" r:id="rId1"/>
  <headerFooter alignWithMargins="0">
    <oddHeader>&amp;L&amp;G</oddHeader>
    <oddFooter>Page &amp;P of &amp;N</oddFooter>
  </headerFooter>
  <cellWatches>
    <cellWatch r="AX186"/>
    <cellWatch r="BN186"/>
    <cellWatch r="AU186"/>
  </cellWatches>
  <legacyDrawing r:id="rId2"/>
  <legacyDrawingHF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249977111117893"/>
    <pageSetUpPr fitToPage="1"/>
  </sheetPr>
  <dimension ref="A1:JL324"/>
  <sheetViews>
    <sheetView showGridLines="0" zoomScaleNormal="100" zoomScaleSheetLayoutView="85" workbookViewId="0">
      <pane xSplit="1" ySplit="2" topLeftCell="EJ3" activePane="bottomRight" state="frozen"/>
      <selection pane="topRight" activeCell="C1" sqref="C1"/>
      <selection pane="bottomLeft" activeCell="A8" sqref="A8"/>
      <selection pane="bottomRight" activeCell="EP33" sqref="EP33"/>
    </sheetView>
  </sheetViews>
  <sheetFormatPr defaultRowHeight="12.75" customHeight="1" outlineLevelRow="1" outlineLevelCol="1"/>
  <cols>
    <col min="1" max="1" width="40.7109375" style="1713" customWidth="1"/>
    <col min="2" max="41" width="9.85546875" style="1713" hidden="1" customWidth="1" outlineLevel="1"/>
    <col min="42" max="42" width="9.85546875" style="1713" hidden="1" customWidth="1" outlineLevel="1" collapsed="1"/>
    <col min="43" max="55" width="9.85546875" style="1713" hidden="1" customWidth="1" outlineLevel="1"/>
    <col min="56" max="56" width="9.28515625" style="1713" customWidth="1" collapsed="1"/>
    <col min="57" max="60" width="9.28515625" style="1713" customWidth="1" outlineLevel="1"/>
    <col min="61" max="61" width="9.28515625" style="1713" customWidth="1"/>
    <col min="62" max="65" width="9.28515625" style="1713" customWidth="1" outlineLevel="1"/>
    <col min="66" max="66" width="9.28515625" style="1713" customWidth="1"/>
    <col min="67" max="70" width="9.28515625" style="1713" customWidth="1" outlineLevel="1"/>
    <col min="71" max="71" width="9.28515625" style="1713" customWidth="1"/>
    <col min="72" max="75" width="9.28515625" style="1713" customWidth="1" outlineLevel="1"/>
    <col min="76" max="76" width="9.28515625" style="1713" customWidth="1"/>
    <col min="77" max="80" width="9.28515625" style="1713" customWidth="1" outlineLevel="1"/>
    <col min="81" max="81" width="9.28515625" style="1713" customWidth="1"/>
    <col min="82" max="85" width="9.28515625" style="1713" customWidth="1" outlineLevel="1"/>
    <col min="86" max="86" width="9.28515625" style="1713" customWidth="1"/>
    <col min="87" max="90" width="9.28515625" style="1713" customWidth="1" outlineLevel="1"/>
    <col min="91" max="91" width="9.28515625" style="1713" customWidth="1"/>
    <col min="92" max="95" width="9.28515625" style="1713" customWidth="1" outlineLevel="1"/>
    <col min="96" max="96" width="9.28515625" style="1713" customWidth="1"/>
    <col min="97" max="100" width="9.28515625" style="1713" customWidth="1" outlineLevel="1"/>
    <col min="101" max="101" width="9.28515625" style="1713" customWidth="1"/>
    <col min="102" max="105" width="9.28515625" style="1713" customWidth="1" outlineLevel="1"/>
    <col min="106" max="106" width="9.28515625" style="1713" customWidth="1"/>
    <col min="107" max="110" width="9.28515625" style="1713" customWidth="1" outlineLevel="1"/>
    <col min="111" max="111" width="9.28515625" style="1713" customWidth="1"/>
    <col min="112" max="115" width="9.28515625" style="1713" customWidth="1" outlineLevel="1"/>
    <col min="116" max="116" width="9.28515625" style="1713" customWidth="1"/>
    <col min="117" max="120" width="9.28515625" style="1713" customWidth="1" outlineLevel="1"/>
    <col min="121" max="121" width="9.28515625" style="1713" customWidth="1"/>
    <col min="122" max="125" width="9.28515625" style="1713" customWidth="1" outlineLevel="1"/>
    <col min="126" max="126" width="9.28515625" style="1713" customWidth="1"/>
    <col min="127" max="130" width="9.28515625" style="1713" customWidth="1" outlineLevel="1"/>
    <col min="131" max="131" width="9.28515625" style="1713" customWidth="1"/>
    <col min="132" max="135" width="9.28515625" style="1713" customWidth="1" outlineLevel="1"/>
    <col min="136" max="136" width="9.28515625" style="1713" customWidth="1"/>
    <col min="137" max="140" width="9.28515625" style="1713" customWidth="1" outlineLevel="1"/>
    <col min="141" max="141" width="9.28515625" style="1713" customWidth="1"/>
    <col min="142" max="145" width="9.28515625" style="1713" customWidth="1" outlineLevel="1"/>
    <col min="146" max="146" width="9.28515625" style="1713" customWidth="1"/>
    <col min="147" max="150" width="9.28515625" style="1713" customWidth="1" outlineLevel="1"/>
    <col min="151" max="151" width="9.28515625" style="1713" customWidth="1"/>
    <col min="152" max="155" width="9.28515625" style="1713" hidden="1" customWidth="1" outlineLevel="1"/>
    <col min="156" max="156" width="9.28515625" style="1713" customWidth="1" collapsed="1"/>
    <col min="157" max="160" width="9.28515625" style="1713" hidden="1" customWidth="1" outlineLevel="1"/>
    <col min="161" max="161" width="9.28515625" style="1713" customWidth="1" collapsed="1"/>
    <col min="162" max="163" width="1.7109375" style="1713" customWidth="1"/>
    <col min="164" max="165" width="6.28515625" style="1713" customWidth="1" outlineLevel="1"/>
    <col min="166" max="167" width="5.85546875" style="1713" customWidth="1" outlineLevel="1"/>
    <col min="168" max="168" width="1.7109375" style="1713" customWidth="1"/>
    <col min="169" max="170" width="2.7109375" style="534" hidden="1" customWidth="1" outlineLevel="1"/>
    <col min="171" max="172" width="10.7109375" style="1713" hidden="1" customWidth="1" outlineLevel="1"/>
    <col min="173" max="173" width="3.42578125" style="1713" customWidth="1" collapsed="1"/>
    <col min="174" max="175" width="10.7109375" style="1713" customWidth="1"/>
    <col min="176" max="176" width="15.5703125" style="1713" customWidth="1"/>
    <col min="177" max="177" width="1.7109375" style="1713" customWidth="1"/>
    <col min="178" max="178" width="24.7109375" customWidth="1"/>
    <col min="179" max="183" width="7" customWidth="1"/>
    <col min="184" max="184" width="8.42578125" style="1714" customWidth="1"/>
    <col min="185" max="272" width="9.140625" style="529"/>
    <col min="273" max="273" width="40.7109375" style="529" customWidth="1"/>
    <col min="274" max="327" width="9.85546875" style="529" customWidth="1"/>
    <col min="328" max="408" width="9.28515625" style="529" customWidth="1"/>
    <col min="409" max="412" width="0" style="529" hidden="1" customWidth="1"/>
    <col min="413" max="413" width="9.28515625" style="529" customWidth="1"/>
    <col min="414" max="417" width="0" style="529" hidden="1" customWidth="1"/>
    <col min="418" max="418" width="9.28515625" style="529" customWidth="1"/>
    <col min="419" max="420" width="1.7109375" style="529" customWidth="1"/>
    <col min="421" max="422" width="6.28515625" style="529" bestFit="1" customWidth="1"/>
    <col min="423" max="424" width="5.85546875" style="529" bestFit="1" customWidth="1"/>
    <col min="425" max="426" width="2.7109375" style="529" customWidth="1"/>
    <col min="427" max="431" width="10.7109375" style="529" customWidth="1"/>
    <col min="432" max="432" width="15.5703125" style="529" customWidth="1"/>
    <col min="433" max="433" width="1.7109375" style="529" customWidth="1"/>
    <col min="434" max="434" width="24.7109375" style="529" customWidth="1"/>
    <col min="435" max="439" width="7" style="529" customWidth="1"/>
    <col min="440" max="440" width="8.42578125" style="529" customWidth="1"/>
    <col min="441" max="528" width="9.140625" style="529"/>
    <col min="529" max="529" width="40.7109375" style="529" customWidth="1"/>
    <col min="530" max="583" width="9.85546875" style="529" customWidth="1"/>
    <col min="584" max="664" width="9.28515625" style="529" customWidth="1"/>
    <col min="665" max="668" width="0" style="529" hidden="1" customWidth="1"/>
    <col min="669" max="669" width="9.28515625" style="529" customWidth="1"/>
    <col min="670" max="673" width="0" style="529" hidden="1" customWidth="1"/>
    <col min="674" max="674" width="9.28515625" style="529" customWidth="1"/>
    <col min="675" max="676" width="1.7109375" style="529" customWidth="1"/>
    <col min="677" max="678" width="6.28515625" style="529" bestFit="1" customWidth="1"/>
    <col min="679" max="680" width="5.85546875" style="529" bestFit="1" customWidth="1"/>
    <col min="681" max="682" width="2.7109375" style="529" customWidth="1"/>
    <col min="683" max="687" width="10.7109375" style="529" customWidth="1"/>
    <col min="688" max="688" width="15.5703125" style="529" customWidth="1"/>
    <col min="689" max="689" width="1.7109375" style="529" customWidth="1"/>
    <col min="690" max="690" width="24.7109375" style="529" customWidth="1"/>
    <col min="691" max="695" width="7" style="529" customWidth="1"/>
    <col min="696" max="696" width="8.42578125" style="529" customWidth="1"/>
    <col min="697" max="784" width="9.140625" style="529"/>
    <col min="785" max="785" width="40.7109375" style="529" customWidth="1"/>
    <col min="786" max="839" width="9.85546875" style="529" customWidth="1"/>
    <col min="840" max="920" width="9.28515625" style="529" customWidth="1"/>
    <col min="921" max="924" width="0" style="529" hidden="1" customWidth="1"/>
    <col min="925" max="925" width="9.28515625" style="529" customWidth="1"/>
    <col min="926" max="929" width="0" style="529" hidden="1" customWidth="1"/>
    <col min="930" max="930" width="9.28515625" style="529" customWidth="1"/>
    <col min="931" max="932" width="1.7109375" style="529" customWidth="1"/>
    <col min="933" max="934" width="6.28515625" style="529" bestFit="1" customWidth="1"/>
    <col min="935" max="936" width="5.85546875" style="529" bestFit="1" customWidth="1"/>
    <col min="937" max="938" width="2.7109375" style="529" customWidth="1"/>
    <col min="939" max="943" width="10.7109375" style="529" customWidth="1"/>
    <col min="944" max="944" width="15.5703125" style="529" customWidth="1"/>
    <col min="945" max="945" width="1.7109375" style="529" customWidth="1"/>
    <col min="946" max="946" width="24.7109375" style="529" customWidth="1"/>
    <col min="947" max="951" width="7" style="529" customWidth="1"/>
    <col min="952" max="952" width="8.42578125" style="529" customWidth="1"/>
    <col min="953" max="1040" width="9.140625" style="529"/>
    <col min="1041" max="1041" width="40.7109375" style="529" customWidth="1"/>
    <col min="1042" max="1095" width="9.85546875" style="529" customWidth="1"/>
    <col min="1096" max="1176" width="9.28515625" style="529" customWidth="1"/>
    <col min="1177" max="1180" width="0" style="529" hidden="1" customWidth="1"/>
    <col min="1181" max="1181" width="9.28515625" style="529" customWidth="1"/>
    <col min="1182" max="1185" width="0" style="529" hidden="1" customWidth="1"/>
    <col min="1186" max="1186" width="9.28515625" style="529" customWidth="1"/>
    <col min="1187" max="1188" width="1.7109375" style="529" customWidth="1"/>
    <col min="1189" max="1190" width="6.28515625" style="529" bestFit="1" customWidth="1"/>
    <col min="1191" max="1192" width="5.85546875" style="529" bestFit="1" customWidth="1"/>
    <col min="1193" max="1194" width="2.7109375" style="529" customWidth="1"/>
    <col min="1195" max="1199" width="10.7109375" style="529" customWidth="1"/>
    <col min="1200" max="1200" width="15.5703125" style="529" customWidth="1"/>
    <col min="1201" max="1201" width="1.7109375" style="529" customWidth="1"/>
    <col min="1202" max="1202" width="24.7109375" style="529" customWidth="1"/>
    <col min="1203" max="1207" width="7" style="529" customWidth="1"/>
    <col min="1208" max="1208" width="8.42578125" style="529" customWidth="1"/>
    <col min="1209" max="1296" width="9.140625" style="529"/>
    <col min="1297" max="1297" width="40.7109375" style="529" customWidth="1"/>
    <col min="1298" max="1351" width="9.85546875" style="529" customWidth="1"/>
    <col min="1352" max="1432" width="9.28515625" style="529" customWidth="1"/>
    <col min="1433" max="1436" width="0" style="529" hidden="1" customWidth="1"/>
    <col min="1437" max="1437" width="9.28515625" style="529" customWidth="1"/>
    <col min="1438" max="1441" width="0" style="529" hidden="1" customWidth="1"/>
    <col min="1442" max="1442" width="9.28515625" style="529" customWidth="1"/>
    <col min="1443" max="1444" width="1.7109375" style="529" customWidth="1"/>
    <col min="1445" max="1446" width="6.28515625" style="529" bestFit="1" customWidth="1"/>
    <col min="1447" max="1448" width="5.85546875" style="529" bestFit="1" customWidth="1"/>
    <col min="1449" max="1450" width="2.7109375" style="529" customWidth="1"/>
    <col min="1451" max="1455" width="10.7109375" style="529" customWidth="1"/>
    <col min="1456" max="1456" width="15.5703125" style="529" customWidth="1"/>
    <col min="1457" max="1457" width="1.7109375" style="529" customWidth="1"/>
    <col min="1458" max="1458" width="24.7109375" style="529" customWidth="1"/>
    <col min="1459" max="1463" width="7" style="529" customWidth="1"/>
    <col min="1464" max="1464" width="8.42578125" style="529" customWidth="1"/>
    <col min="1465" max="1552" width="9.140625" style="529"/>
    <col min="1553" max="1553" width="40.7109375" style="529" customWidth="1"/>
    <col min="1554" max="1607" width="9.85546875" style="529" customWidth="1"/>
    <col min="1608" max="1688" width="9.28515625" style="529" customWidth="1"/>
    <col min="1689" max="1692" width="0" style="529" hidden="1" customWidth="1"/>
    <col min="1693" max="1693" width="9.28515625" style="529" customWidth="1"/>
    <col min="1694" max="1697" width="0" style="529" hidden="1" customWidth="1"/>
    <col min="1698" max="1698" width="9.28515625" style="529" customWidth="1"/>
    <col min="1699" max="1700" width="1.7109375" style="529" customWidth="1"/>
    <col min="1701" max="1702" width="6.28515625" style="529" bestFit="1" customWidth="1"/>
    <col min="1703" max="1704" width="5.85546875" style="529" bestFit="1" customWidth="1"/>
    <col min="1705" max="1706" width="2.7109375" style="529" customWidth="1"/>
    <col min="1707" max="1711" width="10.7109375" style="529" customWidth="1"/>
    <col min="1712" max="1712" width="15.5703125" style="529" customWidth="1"/>
    <col min="1713" max="1713" width="1.7109375" style="529" customWidth="1"/>
    <col min="1714" max="1714" width="24.7109375" style="529" customWidth="1"/>
    <col min="1715" max="1719" width="7" style="529" customWidth="1"/>
    <col min="1720" max="1720" width="8.42578125" style="529" customWidth="1"/>
    <col min="1721" max="1808" width="9.140625" style="529"/>
    <col min="1809" max="1809" width="40.7109375" style="529" customWidth="1"/>
    <col min="1810" max="1863" width="9.85546875" style="529" customWidth="1"/>
    <col min="1864" max="1944" width="9.28515625" style="529" customWidth="1"/>
    <col min="1945" max="1948" width="0" style="529" hidden="1" customWidth="1"/>
    <col min="1949" max="1949" width="9.28515625" style="529" customWidth="1"/>
    <col min="1950" max="1953" width="0" style="529" hidden="1" customWidth="1"/>
    <col min="1954" max="1954" width="9.28515625" style="529" customWidth="1"/>
    <col min="1955" max="1956" width="1.7109375" style="529" customWidth="1"/>
    <col min="1957" max="1958" width="6.28515625" style="529" bestFit="1" customWidth="1"/>
    <col min="1959" max="1960" width="5.85546875" style="529" bestFit="1" customWidth="1"/>
    <col min="1961" max="1962" width="2.7109375" style="529" customWidth="1"/>
    <col min="1963" max="1967" width="10.7109375" style="529" customWidth="1"/>
    <col min="1968" max="1968" width="15.5703125" style="529" customWidth="1"/>
    <col min="1969" max="1969" width="1.7109375" style="529" customWidth="1"/>
    <col min="1970" max="1970" width="24.7109375" style="529" customWidth="1"/>
    <col min="1971" max="1975" width="7" style="529" customWidth="1"/>
    <col min="1976" max="1976" width="8.42578125" style="529" customWidth="1"/>
    <col min="1977" max="2064" width="9.140625" style="529"/>
    <col min="2065" max="2065" width="40.7109375" style="529" customWidth="1"/>
    <col min="2066" max="2119" width="9.85546875" style="529" customWidth="1"/>
    <col min="2120" max="2200" width="9.28515625" style="529" customWidth="1"/>
    <col min="2201" max="2204" width="0" style="529" hidden="1" customWidth="1"/>
    <col min="2205" max="2205" width="9.28515625" style="529" customWidth="1"/>
    <col min="2206" max="2209" width="0" style="529" hidden="1" customWidth="1"/>
    <col min="2210" max="2210" width="9.28515625" style="529" customWidth="1"/>
    <col min="2211" max="2212" width="1.7109375" style="529" customWidth="1"/>
    <col min="2213" max="2214" width="6.28515625" style="529" bestFit="1" customWidth="1"/>
    <col min="2215" max="2216" width="5.85546875" style="529" bestFit="1" customWidth="1"/>
    <col min="2217" max="2218" width="2.7109375" style="529" customWidth="1"/>
    <col min="2219" max="2223" width="10.7109375" style="529" customWidth="1"/>
    <col min="2224" max="2224" width="15.5703125" style="529" customWidth="1"/>
    <col min="2225" max="2225" width="1.7109375" style="529" customWidth="1"/>
    <col min="2226" max="2226" width="24.7109375" style="529" customWidth="1"/>
    <col min="2227" max="2231" width="7" style="529" customWidth="1"/>
    <col min="2232" max="2232" width="8.42578125" style="529" customWidth="1"/>
    <col min="2233" max="2320" width="9.140625" style="529"/>
    <col min="2321" max="2321" width="40.7109375" style="529" customWidth="1"/>
    <col min="2322" max="2375" width="9.85546875" style="529" customWidth="1"/>
    <col min="2376" max="2456" width="9.28515625" style="529" customWidth="1"/>
    <col min="2457" max="2460" width="0" style="529" hidden="1" customWidth="1"/>
    <col min="2461" max="2461" width="9.28515625" style="529" customWidth="1"/>
    <col min="2462" max="2465" width="0" style="529" hidden="1" customWidth="1"/>
    <col min="2466" max="2466" width="9.28515625" style="529" customWidth="1"/>
    <col min="2467" max="2468" width="1.7109375" style="529" customWidth="1"/>
    <col min="2469" max="2470" width="6.28515625" style="529" bestFit="1" customWidth="1"/>
    <col min="2471" max="2472" width="5.85546875" style="529" bestFit="1" customWidth="1"/>
    <col min="2473" max="2474" width="2.7109375" style="529" customWidth="1"/>
    <col min="2475" max="2479" width="10.7109375" style="529" customWidth="1"/>
    <col min="2480" max="2480" width="15.5703125" style="529" customWidth="1"/>
    <col min="2481" max="2481" width="1.7109375" style="529" customWidth="1"/>
    <col min="2482" max="2482" width="24.7109375" style="529" customWidth="1"/>
    <col min="2483" max="2487" width="7" style="529" customWidth="1"/>
    <col min="2488" max="2488" width="8.42578125" style="529" customWidth="1"/>
    <col min="2489" max="2576" width="9.140625" style="529"/>
    <col min="2577" max="2577" width="40.7109375" style="529" customWidth="1"/>
    <col min="2578" max="2631" width="9.85546875" style="529" customWidth="1"/>
    <col min="2632" max="2712" width="9.28515625" style="529" customWidth="1"/>
    <col min="2713" max="2716" width="0" style="529" hidden="1" customWidth="1"/>
    <col min="2717" max="2717" width="9.28515625" style="529" customWidth="1"/>
    <col min="2718" max="2721" width="0" style="529" hidden="1" customWidth="1"/>
    <col min="2722" max="2722" width="9.28515625" style="529" customWidth="1"/>
    <col min="2723" max="2724" width="1.7109375" style="529" customWidth="1"/>
    <col min="2725" max="2726" width="6.28515625" style="529" bestFit="1" customWidth="1"/>
    <col min="2727" max="2728" width="5.85546875" style="529" bestFit="1" customWidth="1"/>
    <col min="2729" max="2730" width="2.7109375" style="529" customWidth="1"/>
    <col min="2731" max="2735" width="10.7109375" style="529" customWidth="1"/>
    <col min="2736" max="2736" width="15.5703125" style="529" customWidth="1"/>
    <col min="2737" max="2737" width="1.7109375" style="529" customWidth="1"/>
    <col min="2738" max="2738" width="24.7109375" style="529" customWidth="1"/>
    <col min="2739" max="2743" width="7" style="529" customWidth="1"/>
    <col min="2744" max="2744" width="8.42578125" style="529" customWidth="1"/>
    <col min="2745" max="2832" width="9.140625" style="529"/>
    <col min="2833" max="2833" width="40.7109375" style="529" customWidth="1"/>
    <col min="2834" max="2887" width="9.85546875" style="529" customWidth="1"/>
    <col min="2888" max="2968" width="9.28515625" style="529" customWidth="1"/>
    <col min="2969" max="2972" width="0" style="529" hidden="1" customWidth="1"/>
    <col min="2973" max="2973" width="9.28515625" style="529" customWidth="1"/>
    <col min="2974" max="2977" width="0" style="529" hidden="1" customWidth="1"/>
    <col min="2978" max="2978" width="9.28515625" style="529" customWidth="1"/>
    <col min="2979" max="2980" width="1.7109375" style="529" customWidth="1"/>
    <col min="2981" max="2982" width="6.28515625" style="529" bestFit="1" customWidth="1"/>
    <col min="2983" max="2984" width="5.85546875" style="529" bestFit="1" customWidth="1"/>
    <col min="2985" max="2986" width="2.7109375" style="529" customWidth="1"/>
    <col min="2987" max="2991" width="10.7109375" style="529" customWidth="1"/>
    <col min="2992" max="2992" width="15.5703125" style="529" customWidth="1"/>
    <col min="2993" max="2993" width="1.7109375" style="529" customWidth="1"/>
    <col min="2994" max="2994" width="24.7109375" style="529" customWidth="1"/>
    <col min="2995" max="2999" width="7" style="529" customWidth="1"/>
    <col min="3000" max="3000" width="8.42578125" style="529" customWidth="1"/>
    <col min="3001" max="3088" width="9.140625" style="529"/>
    <col min="3089" max="3089" width="40.7109375" style="529" customWidth="1"/>
    <col min="3090" max="3143" width="9.85546875" style="529" customWidth="1"/>
    <col min="3144" max="3224" width="9.28515625" style="529" customWidth="1"/>
    <col min="3225" max="3228" width="0" style="529" hidden="1" customWidth="1"/>
    <col min="3229" max="3229" width="9.28515625" style="529" customWidth="1"/>
    <col min="3230" max="3233" width="0" style="529" hidden="1" customWidth="1"/>
    <col min="3234" max="3234" width="9.28515625" style="529" customWidth="1"/>
    <col min="3235" max="3236" width="1.7109375" style="529" customWidth="1"/>
    <col min="3237" max="3238" width="6.28515625" style="529" bestFit="1" customWidth="1"/>
    <col min="3239" max="3240" width="5.85546875" style="529" bestFit="1" customWidth="1"/>
    <col min="3241" max="3242" width="2.7109375" style="529" customWidth="1"/>
    <col min="3243" max="3247" width="10.7109375" style="529" customWidth="1"/>
    <col min="3248" max="3248" width="15.5703125" style="529" customWidth="1"/>
    <col min="3249" max="3249" width="1.7109375" style="529" customWidth="1"/>
    <col min="3250" max="3250" width="24.7109375" style="529" customWidth="1"/>
    <col min="3251" max="3255" width="7" style="529" customWidth="1"/>
    <col min="3256" max="3256" width="8.42578125" style="529" customWidth="1"/>
    <col min="3257" max="3344" width="9.140625" style="529"/>
    <col min="3345" max="3345" width="40.7109375" style="529" customWidth="1"/>
    <col min="3346" max="3399" width="9.85546875" style="529" customWidth="1"/>
    <col min="3400" max="3480" width="9.28515625" style="529" customWidth="1"/>
    <col min="3481" max="3484" width="0" style="529" hidden="1" customWidth="1"/>
    <col min="3485" max="3485" width="9.28515625" style="529" customWidth="1"/>
    <col min="3486" max="3489" width="0" style="529" hidden="1" customWidth="1"/>
    <col min="3490" max="3490" width="9.28515625" style="529" customWidth="1"/>
    <col min="3491" max="3492" width="1.7109375" style="529" customWidth="1"/>
    <col min="3493" max="3494" width="6.28515625" style="529" bestFit="1" customWidth="1"/>
    <col min="3495" max="3496" width="5.85546875" style="529" bestFit="1" customWidth="1"/>
    <col min="3497" max="3498" width="2.7109375" style="529" customWidth="1"/>
    <col min="3499" max="3503" width="10.7109375" style="529" customWidth="1"/>
    <col min="3504" max="3504" width="15.5703125" style="529" customWidth="1"/>
    <col min="3505" max="3505" width="1.7109375" style="529" customWidth="1"/>
    <col min="3506" max="3506" width="24.7109375" style="529" customWidth="1"/>
    <col min="3507" max="3511" width="7" style="529" customWidth="1"/>
    <col min="3512" max="3512" width="8.42578125" style="529" customWidth="1"/>
    <col min="3513" max="3600" width="9.140625" style="529"/>
    <col min="3601" max="3601" width="40.7109375" style="529" customWidth="1"/>
    <col min="3602" max="3655" width="9.85546875" style="529" customWidth="1"/>
    <col min="3656" max="3736" width="9.28515625" style="529" customWidth="1"/>
    <col min="3737" max="3740" width="0" style="529" hidden="1" customWidth="1"/>
    <col min="3741" max="3741" width="9.28515625" style="529" customWidth="1"/>
    <col min="3742" max="3745" width="0" style="529" hidden="1" customWidth="1"/>
    <col min="3746" max="3746" width="9.28515625" style="529" customWidth="1"/>
    <col min="3747" max="3748" width="1.7109375" style="529" customWidth="1"/>
    <col min="3749" max="3750" width="6.28515625" style="529" bestFit="1" customWidth="1"/>
    <col min="3751" max="3752" width="5.85546875" style="529" bestFit="1" customWidth="1"/>
    <col min="3753" max="3754" width="2.7109375" style="529" customWidth="1"/>
    <col min="3755" max="3759" width="10.7109375" style="529" customWidth="1"/>
    <col min="3760" max="3760" width="15.5703125" style="529" customWidth="1"/>
    <col min="3761" max="3761" width="1.7109375" style="529" customWidth="1"/>
    <col min="3762" max="3762" width="24.7109375" style="529" customWidth="1"/>
    <col min="3763" max="3767" width="7" style="529" customWidth="1"/>
    <col min="3768" max="3768" width="8.42578125" style="529" customWidth="1"/>
    <col min="3769" max="3856" width="9.140625" style="529"/>
    <col min="3857" max="3857" width="40.7109375" style="529" customWidth="1"/>
    <col min="3858" max="3911" width="9.85546875" style="529" customWidth="1"/>
    <col min="3912" max="3992" width="9.28515625" style="529" customWidth="1"/>
    <col min="3993" max="3996" width="0" style="529" hidden="1" customWidth="1"/>
    <col min="3997" max="3997" width="9.28515625" style="529" customWidth="1"/>
    <col min="3998" max="4001" width="0" style="529" hidden="1" customWidth="1"/>
    <col min="4002" max="4002" width="9.28515625" style="529" customWidth="1"/>
    <col min="4003" max="4004" width="1.7109375" style="529" customWidth="1"/>
    <col min="4005" max="4006" width="6.28515625" style="529" bestFit="1" customWidth="1"/>
    <col min="4007" max="4008" width="5.85546875" style="529" bestFit="1" customWidth="1"/>
    <col min="4009" max="4010" width="2.7109375" style="529" customWidth="1"/>
    <col min="4011" max="4015" width="10.7109375" style="529" customWidth="1"/>
    <col min="4016" max="4016" width="15.5703125" style="529" customWidth="1"/>
    <col min="4017" max="4017" width="1.7109375" style="529" customWidth="1"/>
    <col min="4018" max="4018" width="24.7109375" style="529" customWidth="1"/>
    <col min="4019" max="4023" width="7" style="529" customWidth="1"/>
    <col min="4024" max="4024" width="8.42578125" style="529" customWidth="1"/>
    <col min="4025" max="4112" width="9.140625" style="529"/>
    <col min="4113" max="4113" width="40.7109375" style="529" customWidth="1"/>
    <col min="4114" max="4167" width="9.85546875" style="529" customWidth="1"/>
    <col min="4168" max="4248" width="9.28515625" style="529" customWidth="1"/>
    <col min="4249" max="4252" width="0" style="529" hidden="1" customWidth="1"/>
    <col min="4253" max="4253" width="9.28515625" style="529" customWidth="1"/>
    <col min="4254" max="4257" width="0" style="529" hidden="1" customWidth="1"/>
    <col min="4258" max="4258" width="9.28515625" style="529" customWidth="1"/>
    <col min="4259" max="4260" width="1.7109375" style="529" customWidth="1"/>
    <col min="4261" max="4262" width="6.28515625" style="529" bestFit="1" customWidth="1"/>
    <col min="4263" max="4264" width="5.85546875" style="529" bestFit="1" customWidth="1"/>
    <col min="4265" max="4266" width="2.7109375" style="529" customWidth="1"/>
    <col min="4267" max="4271" width="10.7109375" style="529" customWidth="1"/>
    <col min="4272" max="4272" width="15.5703125" style="529" customWidth="1"/>
    <col min="4273" max="4273" width="1.7109375" style="529" customWidth="1"/>
    <col min="4274" max="4274" width="24.7109375" style="529" customWidth="1"/>
    <col min="4275" max="4279" width="7" style="529" customWidth="1"/>
    <col min="4280" max="4280" width="8.42578125" style="529" customWidth="1"/>
    <col min="4281" max="4368" width="9.140625" style="529"/>
    <col min="4369" max="4369" width="40.7109375" style="529" customWidth="1"/>
    <col min="4370" max="4423" width="9.85546875" style="529" customWidth="1"/>
    <col min="4424" max="4504" width="9.28515625" style="529" customWidth="1"/>
    <col min="4505" max="4508" width="0" style="529" hidden="1" customWidth="1"/>
    <col min="4509" max="4509" width="9.28515625" style="529" customWidth="1"/>
    <col min="4510" max="4513" width="0" style="529" hidden="1" customWidth="1"/>
    <col min="4514" max="4514" width="9.28515625" style="529" customWidth="1"/>
    <col min="4515" max="4516" width="1.7109375" style="529" customWidth="1"/>
    <col min="4517" max="4518" width="6.28515625" style="529" bestFit="1" customWidth="1"/>
    <col min="4519" max="4520" width="5.85546875" style="529" bestFit="1" customWidth="1"/>
    <col min="4521" max="4522" width="2.7109375" style="529" customWidth="1"/>
    <col min="4523" max="4527" width="10.7109375" style="529" customWidth="1"/>
    <col min="4528" max="4528" width="15.5703125" style="529" customWidth="1"/>
    <col min="4529" max="4529" width="1.7109375" style="529" customWidth="1"/>
    <col min="4530" max="4530" width="24.7109375" style="529" customWidth="1"/>
    <col min="4531" max="4535" width="7" style="529" customWidth="1"/>
    <col min="4536" max="4536" width="8.42578125" style="529" customWidth="1"/>
    <col min="4537" max="4624" width="9.140625" style="529"/>
    <col min="4625" max="4625" width="40.7109375" style="529" customWidth="1"/>
    <col min="4626" max="4679" width="9.85546875" style="529" customWidth="1"/>
    <col min="4680" max="4760" width="9.28515625" style="529" customWidth="1"/>
    <col min="4761" max="4764" width="0" style="529" hidden="1" customWidth="1"/>
    <col min="4765" max="4765" width="9.28515625" style="529" customWidth="1"/>
    <col min="4766" max="4769" width="0" style="529" hidden="1" customWidth="1"/>
    <col min="4770" max="4770" width="9.28515625" style="529" customWidth="1"/>
    <col min="4771" max="4772" width="1.7109375" style="529" customWidth="1"/>
    <col min="4773" max="4774" width="6.28515625" style="529" bestFit="1" customWidth="1"/>
    <col min="4775" max="4776" width="5.85546875" style="529" bestFit="1" customWidth="1"/>
    <col min="4777" max="4778" width="2.7109375" style="529" customWidth="1"/>
    <col min="4779" max="4783" width="10.7109375" style="529" customWidth="1"/>
    <col min="4784" max="4784" width="15.5703125" style="529" customWidth="1"/>
    <col min="4785" max="4785" width="1.7109375" style="529" customWidth="1"/>
    <col min="4786" max="4786" width="24.7109375" style="529" customWidth="1"/>
    <col min="4787" max="4791" width="7" style="529" customWidth="1"/>
    <col min="4792" max="4792" width="8.42578125" style="529" customWidth="1"/>
    <col min="4793" max="4880" width="9.140625" style="529"/>
    <col min="4881" max="4881" width="40.7109375" style="529" customWidth="1"/>
    <col min="4882" max="4935" width="9.85546875" style="529" customWidth="1"/>
    <col min="4936" max="5016" width="9.28515625" style="529" customWidth="1"/>
    <col min="5017" max="5020" width="0" style="529" hidden="1" customWidth="1"/>
    <col min="5021" max="5021" width="9.28515625" style="529" customWidth="1"/>
    <col min="5022" max="5025" width="0" style="529" hidden="1" customWidth="1"/>
    <col min="5026" max="5026" width="9.28515625" style="529" customWidth="1"/>
    <col min="5027" max="5028" width="1.7109375" style="529" customWidth="1"/>
    <col min="5029" max="5030" width="6.28515625" style="529" bestFit="1" customWidth="1"/>
    <col min="5031" max="5032" width="5.85546875" style="529" bestFit="1" customWidth="1"/>
    <col min="5033" max="5034" width="2.7109375" style="529" customWidth="1"/>
    <col min="5035" max="5039" width="10.7109375" style="529" customWidth="1"/>
    <col min="5040" max="5040" width="15.5703125" style="529" customWidth="1"/>
    <col min="5041" max="5041" width="1.7109375" style="529" customWidth="1"/>
    <col min="5042" max="5042" width="24.7109375" style="529" customWidth="1"/>
    <col min="5043" max="5047" width="7" style="529" customWidth="1"/>
    <col min="5048" max="5048" width="8.42578125" style="529" customWidth="1"/>
    <col min="5049" max="5136" width="9.140625" style="529"/>
    <col min="5137" max="5137" width="40.7109375" style="529" customWidth="1"/>
    <col min="5138" max="5191" width="9.85546875" style="529" customWidth="1"/>
    <col min="5192" max="5272" width="9.28515625" style="529" customWidth="1"/>
    <col min="5273" max="5276" width="0" style="529" hidden="1" customWidth="1"/>
    <col min="5277" max="5277" width="9.28515625" style="529" customWidth="1"/>
    <col min="5278" max="5281" width="0" style="529" hidden="1" customWidth="1"/>
    <col min="5282" max="5282" width="9.28515625" style="529" customWidth="1"/>
    <col min="5283" max="5284" width="1.7109375" style="529" customWidth="1"/>
    <col min="5285" max="5286" width="6.28515625" style="529" bestFit="1" customWidth="1"/>
    <col min="5287" max="5288" width="5.85546875" style="529" bestFit="1" customWidth="1"/>
    <col min="5289" max="5290" width="2.7109375" style="529" customWidth="1"/>
    <col min="5291" max="5295" width="10.7109375" style="529" customWidth="1"/>
    <col min="5296" max="5296" width="15.5703125" style="529" customWidth="1"/>
    <col min="5297" max="5297" width="1.7109375" style="529" customWidth="1"/>
    <col min="5298" max="5298" width="24.7109375" style="529" customWidth="1"/>
    <col min="5299" max="5303" width="7" style="529" customWidth="1"/>
    <col min="5304" max="5304" width="8.42578125" style="529" customWidth="1"/>
    <col min="5305" max="5392" width="9.140625" style="529"/>
    <col min="5393" max="5393" width="40.7109375" style="529" customWidth="1"/>
    <col min="5394" max="5447" width="9.85546875" style="529" customWidth="1"/>
    <col min="5448" max="5528" width="9.28515625" style="529" customWidth="1"/>
    <col min="5529" max="5532" width="0" style="529" hidden="1" customWidth="1"/>
    <col min="5533" max="5533" width="9.28515625" style="529" customWidth="1"/>
    <col min="5534" max="5537" width="0" style="529" hidden="1" customWidth="1"/>
    <col min="5538" max="5538" width="9.28515625" style="529" customWidth="1"/>
    <col min="5539" max="5540" width="1.7109375" style="529" customWidth="1"/>
    <col min="5541" max="5542" width="6.28515625" style="529" bestFit="1" customWidth="1"/>
    <col min="5543" max="5544" width="5.85546875" style="529" bestFit="1" customWidth="1"/>
    <col min="5545" max="5546" width="2.7109375" style="529" customWidth="1"/>
    <col min="5547" max="5551" width="10.7109375" style="529" customWidth="1"/>
    <col min="5552" max="5552" width="15.5703125" style="529" customWidth="1"/>
    <col min="5553" max="5553" width="1.7109375" style="529" customWidth="1"/>
    <col min="5554" max="5554" width="24.7109375" style="529" customWidth="1"/>
    <col min="5555" max="5559" width="7" style="529" customWidth="1"/>
    <col min="5560" max="5560" width="8.42578125" style="529" customWidth="1"/>
    <col min="5561" max="5648" width="9.140625" style="529"/>
    <col min="5649" max="5649" width="40.7109375" style="529" customWidth="1"/>
    <col min="5650" max="5703" width="9.85546875" style="529" customWidth="1"/>
    <col min="5704" max="5784" width="9.28515625" style="529" customWidth="1"/>
    <col min="5785" max="5788" width="0" style="529" hidden="1" customWidth="1"/>
    <col min="5789" max="5789" width="9.28515625" style="529" customWidth="1"/>
    <col min="5790" max="5793" width="0" style="529" hidden="1" customWidth="1"/>
    <col min="5794" max="5794" width="9.28515625" style="529" customWidth="1"/>
    <col min="5795" max="5796" width="1.7109375" style="529" customWidth="1"/>
    <col min="5797" max="5798" width="6.28515625" style="529" bestFit="1" customWidth="1"/>
    <col min="5799" max="5800" width="5.85546875" style="529" bestFit="1" customWidth="1"/>
    <col min="5801" max="5802" width="2.7109375" style="529" customWidth="1"/>
    <col min="5803" max="5807" width="10.7109375" style="529" customWidth="1"/>
    <col min="5808" max="5808" width="15.5703125" style="529" customWidth="1"/>
    <col min="5809" max="5809" width="1.7109375" style="529" customWidth="1"/>
    <col min="5810" max="5810" width="24.7109375" style="529" customWidth="1"/>
    <col min="5811" max="5815" width="7" style="529" customWidth="1"/>
    <col min="5816" max="5816" width="8.42578125" style="529" customWidth="1"/>
    <col min="5817" max="5904" width="9.140625" style="529"/>
    <col min="5905" max="5905" width="40.7109375" style="529" customWidth="1"/>
    <col min="5906" max="5959" width="9.85546875" style="529" customWidth="1"/>
    <col min="5960" max="6040" width="9.28515625" style="529" customWidth="1"/>
    <col min="6041" max="6044" width="0" style="529" hidden="1" customWidth="1"/>
    <col min="6045" max="6045" width="9.28515625" style="529" customWidth="1"/>
    <col min="6046" max="6049" width="0" style="529" hidden="1" customWidth="1"/>
    <col min="6050" max="6050" width="9.28515625" style="529" customWidth="1"/>
    <col min="6051" max="6052" width="1.7109375" style="529" customWidth="1"/>
    <col min="6053" max="6054" width="6.28515625" style="529" bestFit="1" customWidth="1"/>
    <col min="6055" max="6056" width="5.85546875" style="529" bestFit="1" customWidth="1"/>
    <col min="6057" max="6058" width="2.7109375" style="529" customWidth="1"/>
    <col min="6059" max="6063" width="10.7109375" style="529" customWidth="1"/>
    <col min="6064" max="6064" width="15.5703125" style="529" customWidth="1"/>
    <col min="6065" max="6065" width="1.7109375" style="529" customWidth="1"/>
    <col min="6066" max="6066" width="24.7109375" style="529" customWidth="1"/>
    <col min="6067" max="6071" width="7" style="529" customWidth="1"/>
    <col min="6072" max="6072" width="8.42578125" style="529" customWidth="1"/>
    <col min="6073" max="6160" width="9.140625" style="529"/>
    <col min="6161" max="6161" width="40.7109375" style="529" customWidth="1"/>
    <col min="6162" max="6215" width="9.85546875" style="529" customWidth="1"/>
    <col min="6216" max="6296" width="9.28515625" style="529" customWidth="1"/>
    <col min="6297" max="6300" width="0" style="529" hidden="1" customWidth="1"/>
    <col min="6301" max="6301" width="9.28515625" style="529" customWidth="1"/>
    <col min="6302" max="6305" width="0" style="529" hidden="1" customWidth="1"/>
    <col min="6306" max="6306" width="9.28515625" style="529" customWidth="1"/>
    <col min="6307" max="6308" width="1.7109375" style="529" customWidth="1"/>
    <col min="6309" max="6310" width="6.28515625" style="529" bestFit="1" customWidth="1"/>
    <col min="6311" max="6312" width="5.85546875" style="529" bestFit="1" customWidth="1"/>
    <col min="6313" max="6314" width="2.7109375" style="529" customWidth="1"/>
    <col min="6315" max="6319" width="10.7109375" style="529" customWidth="1"/>
    <col min="6320" max="6320" width="15.5703125" style="529" customWidth="1"/>
    <col min="6321" max="6321" width="1.7109375" style="529" customWidth="1"/>
    <col min="6322" max="6322" width="24.7109375" style="529" customWidth="1"/>
    <col min="6323" max="6327" width="7" style="529" customWidth="1"/>
    <col min="6328" max="6328" width="8.42578125" style="529" customWidth="1"/>
    <col min="6329" max="6416" width="9.140625" style="529"/>
    <col min="6417" max="6417" width="40.7109375" style="529" customWidth="1"/>
    <col min="6418" max="6471" width="9.85546875" style="529" customWidth="1"/>
    <col min="6472" max="6552" width="9.28515625" style="529" customWidth="1"/>
    <col min="6553" max="6556" width="0" style="529" hidden="1" customWidth="1"/>
    <col min="6557" max="6557" width="9.28515625" style="529" customWidth="1"/>
    <col min="6558" max="6561" width="0" style="529" hidden="1" customWidth="1"/>
    <col min="6562" max="6562" width="9.28515625" style="529" customWidth="1"/>
    <col min="6563" max="6564" width="1.7109375" style="529" customWidth="1"/>
    <col min="6565" max="6566" width="6.28515625" style="529" bestFit="1" customWidth="1"/>
    <col min="6567" max="6568" width="5.85546875" style="529" bestFit="1" customWidth="1"/>
    <col min="6569" max="6570" width="2.7109375" style="529" customWidth="1"/>
    <col min="6571" max="6575" width="10.7109375" style="529" customWidth="1"/>
    <col min="6576" max="6576" width="15.5703125" style="529" customWidth="1"/>
    <col min="6577" max="6577" width="1.7109375" style="529" customWidth="1"/>
    <col min="6578" max="6578" width="24.7109375" style="529" customWidth="1"/>
    <col min="6579" max="6583" width="7" style="529" customWidth="1"/>
    <col min="6584" max="6584" width="8.42578125" style="529" customWidth="1"/>
    <col min="6585" max="6672" width="9.140625" style="529"/>
    <col min="6673" max="6673" width="40.7109375" style="529" customWidth="1"/>
    <col min="6674" max="6727" width="9.85546875" style="529" customWidth="1"/>
    <col min="6728" max="6808" width="9.28515625" style="529" customWidth="1"/>
    <col min="6809" max="6812" width="0" style="529" hidden="1" customWidth="1"/>
    <col min="6813" max="6813" width="9.28515625" style="529" customWidth="1"/>
    <col min="6814" max="6817" width="0" style="529" hidden="1" customWidth="1"/>
    <col min="6818" max="6818" width="9.28515625" style="529" customWidth="1"/>
    <col min="6819" max="6820" width="1.7109375" style="529" customWidth="1"/>
    <col min="6821" max="6822" width="6.28515625" style="529" bestFit="1" customWidth="1"/>
    <col min="6823" max="6824" width="5.85546875" style="529" bestFit="1" customWidth="1"/>
    <col min="6825" max="6826" width="2.7109375" style="529" customWidth="1"/>
    <col min="6827" max="6831" width="10.7109375" style="529" customWidth="1"/>
    <col min="6832" max="6832" width="15.5703125" style="529" customWidth="1"/>
    <col min="6833" max="6833" width="1.7109375" style="529" customWidth="1"/>
    <col min="6834" max="6834" width="24.7109375" style="529" customWidth="1"/>
    <col min="6835" max="6839" width="7" style="529" customWidth="1"/>
    <col min="6840" max="6840" width="8.42578125" style="529" customWidth="1"/>
    <col min="6841" max="6928" width="9.140625" style="529"/>
    <col min="6929" max="6929" width="40.7109375" style="529" customWidth="1"/>
    <col min="6930" max="6983" width="9.85546875" style="529" customWidth="1"/>
    <col min="6984" max="7064" width="9.28515625" style="529" customWidth="1"/>
    <col min="7065" max="7068" width="0" style="529" hidden="1" customWidth="1"/>
    <col min="7069" max="7069" width="9.28515625" style="529" customWidth="1"/>
    <col min="7070" max="7073" width="0" style="529" hidden="1" customWidth="1"/>
    <col min="7074" max="7074" width="9.28515625" style="529" customWidth="1"/>
    <col min="7075" max="7076" width="1.7109375" style="529" customWidth="1"/>
    <col min="7077" max="7078" width="6.28515625" style="529" bestFit="1" customWidth="1"/>
    <col min="7079" max="7080" width="5.85546875" style="529" bestFit="1" customWidth="1"/>
    <col min="7081" max="7082" width="2.7109375" style="529" customWidth="1"/>
    <col min="7083" max="7087" width="10.7109375" style="529" customWidth="1"/>
    <col min="7088" max="7088" width="15.5703125" style="529" customWidth="1"/>
    <col min="7089" max="7089" width="1.7109375" style="529" customWidth="1"/>
    <col min="7090" max="7090" width="24.7109375" style="529" customWidth="1"/>
    <col min="7091" max="7095" width="7" style="529" customWidth="1"/>
    <col min="7096" max="7096" width="8.42578125" style="529" customWidth="1"/>
    <col min="7097" max="7184" width="9.140625" style="529"/>
    <col min="7185" max="7185" width="40.7109375" style="529" customWidth="1"/>
    <col min="7186" max="7239" width="9.85546875" style="529" customWidth="1"/>
    <col min="7240" max="7320" width="9.28515625" style="529" customWidth="1"/>
    <col min="7321" max="7324" width="0" style="529" hidden="1" customWidth="1"/>
    <col min="7325" max="7325" width="9.28515625" style="529" customWidth="1"/>
    <col min="7326" max="7329" width="0" style="529" hidden="1" customWidth="1"/>
    <col min="7330" max="7330" width="9.28515625" style="529" customWidth="1"/>
    <col min="7331" max="7332" width="1.7109375" style="529" customWidth="1"/>
    <col min="7333" max="7334" width="6.28515625" style="529" bestFit="1" customWidth="1"/>
    <col min="7335" max="7336" width="5.85546875" style="529" bestFit="1" customWidth="1"/>
    <col min="7337" max="7338" width="2.7109375" style="529" customWidth="1"/>
    <col min="7339" max="7343" width="10.7109375" style="529" customWidth="1"/>
    <col min="7344" max="7344" width="15.5703125" style="529" customWidth="1"/>
    <col min="7345" max="7345" width="1.7109375" style="529" customWidth="1"/>
    <col min="7346" max="7346" width="24.7109375" style="529" customWidth="1"/>
    <col min="7347" max="7351" width="7" style="529" customWidth="1"/>
    <col min="7352" max="7352" width="8.42578125" style="529" customWidth="1"/>
    <col min="7353" max="7440" width="9.140625" style="529"/>
    <col min="7441" max="7441" width="40.7109375" style="529" customWidth="1"/>
    <col min="7442" max="7495" width="9.85546875" style="529" customWidth="1"/>
    <col min="7496" max="7576" width="9.28515625" style="529" customWidth="1"/>
    <col min="7577" max="7580" width="0" style="529" hidden="1" customWidth="1"/>
    <col min="7581" max="7581" width="9.28515625" style="529" customWidth="1"/>
    <col min="7582" max="7585" width="0" style="529" hidden="1" customWidth="1"/>
    <col min="7586" max="7586" width="9.28515625" style="529" customWidth="1"/>
    <col min="7587" max="7588" width="1.7109375" style="529" customWidth="1"/>
    <col min="7589" max="7590" width="6.28515625" style="529" bestFit="1" customWidth="1"/>
    <col min="7591" max="7592" width="5.85546875" style="529" bestFit="1" customWidth="1"/>
    <col min="7593" max="7594" width="2.7109375" style="529" customWidth="1"/>
    <col min="7595" max="7599" width="10.7109375" style="529" customWidth="1"/>
    <col min="7600" max="7600" width="15.5703125" style="529" customWidth="1"/>
    <col min="7601" max="7601" width="1.7109375" style="529" customWidth="1"/>
    <col min="7602" max="7602" width="24.7109375" style="529" customWidth="1"/>
    <col min="7603" max="7607" width="7" style="529" customWidth="1"/>
    <col min="7608" max="7608" width="8.42578125" style="529" customWidth="1"/>
    <col min="7609" max="7696" width="9.140625" style="529"/>
    <col min="7697" max="7697" width="40.7109375" style="529" customWidth="1"/>
    <col min="7698" max="7751" width="9.85546875" style="529" customWidth="1"/>
    <col min="7752" max="7832" width="9.28515625" style="529" customWidth="1"/>
    <col min="7833" max="7836" width="0" style="529" hidden="1" customWidth="1"/>
    <col min="7837" max="7837" width="9.28515625" style="529" customWidth="1"/>
    <col min="7838" max="7841" width="0" style="529" hidden="1" customWidth="1"/>
    <col min="7842" max="7842" width="9.28515625" style="529" customWidth="1"/>
    <col min="7843" max="7844" width="1.7109375" style="529" customWidth="1"/>
    <col min="7845" max="7846" width="6.28515625" style="529" bestFit="1" customWidth="1"/>
    <col min="7847" max="7848" width="5.85546875" style="529" bestFit="1" customWidth="1"/>
    <col min="7849" max="7850" width="2.7109375" style="529" customWidth="1"/>
    <col min="7851" max="7855" width="10.7109375" style="529" customWidth="1"/>
    <col min="7856" max="7856" width="15.5703125" style="529" customWidth="1"/>
    <col min="7857" max="7857" width="1.7109375" style="529" customWidth="1"/>
    <col min="7858" max="7858" width="24.7109375" style="529" customWidth="1"/>
    <col min="7859" max="7863" width="7" style="529" customWidth="1"/>
    <col min="7864" max="7864" width="8.42578125" style="529" customWidth="1"/>
    <col min="7865" max="7952" width="9.140625" style="529"/>
    <col min="7953" max="7953" width="40.7109375" style="529" customWidth="1"/>
    <col min="7954" max="8007" width="9.85546875" style="529" customWidth="1"/>
    <col min="8008" max="8088" width="9.28515625" style="529" customWidth="1"/>
    <col min="8089" max="8092" width="0" style="529" hidden="1" customWidth="1"/>
    <col min="8093" max="8093" width="9.28515625" style="529" customWidth="1"/>
    <col min="8094" max="8097" width="0" style="529" hidden="1" customWidth="1"/>
    <col min="8098" max="8098" width="9.28515625" style="529" customWidth="1"/>
    <col min="8099" max="8100" width="1.7109375" style="529" customWidth="1"/>
    <col min="8101" max="8102" width="6.28515625" style="529" bestFit="1" customWidth="1"/>
    <col min="8103" max="8104" width="5.85546875" style="529" bestFit="1" customWidth="1"/>
    <col min="8105" max="8106" width="2.7109375" style="529" customWidth="1"/>
    <col min="8107" max="8111" width="10.7109375" style="529" customWidth="1"/>
    <col min="8112" max="8112" width="15.5703125" style="529" customWidth="1"/>
    <col min="8113" max="8113" width="1.7109375" style="529" customWidth="1"/>
    <col min="8114" max="8114" width="24.7109375" style="529" customWidth="1"/>
    <col min="8115" max="8119" width="7" style="529" customWidth="1"/>
    <col min="8120" max="8120" width="8.42578125" style="529" customWidth="1"/>
    <col min="8121" max="8208" width="9.140625" style="529"/>
    <col min="8209" max="8209" width="40.7109375" style="529" customWidth="1"/>
    <col min="8210" max="8263" width="9.85546875" style="529" customWidth="1"/>
    <col min="8264" max="8344" width="9.28515625" style="529" customWidth="1"/>
    <col min="8345" max="8348" width="0" style="529" hidden="1" customWidth="1"/>
    <col min="8349" max="8349" width="9.28515625" style="529" customWidth="1"/>
    <col min="8350" max="8353" width="0" style="529" hidden="1" customWidth="1"/>
    <col min="8354" max="8354" width="9.28515625" style="529" customWidth="1"/>
    <col min="8355" max="8356" width="1.7109375" style="529" customWidth="1"/>
    <col min="8357" max="8358" width="6.28515625" style="529" bestFit="1" customWidth="1"/>
    <col min="8359" max="8360" width="5.85546875" style="529" bestFit="1" customWidth="1"/>
    <col min="8361" max="8362" width="2.7109375" style="529" customWidth="1"/>
    <col min="8363" max="8367" width="10.7109375" style="529" customWidth="1"/>
    <col min="8368" max="8368" width="15.5703125" style="529" customWidth="1"/>
    <col min="8369" max="8369" width="1.7109375" style="529" customWidth="1"/>
    <col min="8370" max="8370" width="24.7109375" style="529" customWidth="1"/>
    <col min="8371" max="8375" width="7" style="529" customWidth="1"/>
    <col min="8376" max="8376" width="8.42578125" style="529" customWidth="1"/>
    <col min="8377" max="8464" width="9.140625" style="529"/>
    <col min="8465" max="8465" width="40.7109375" style="529" customWidth="1"/>
    <col min="8466" max="8519" width="9.85546875" style="529" customWidth="1"/>
    <col min="8520" max="8600" width="9.28515625" style="529" customWidth="1"/>
    <col min="8601" max="8604" width="0" style="529" hidden="1" customWidth="1"/>
    <col min="8605" max="8605" width="9.28515625" style="529" customWidth="1"/>
    <col min="8606" max="8609" width="0" style="529" hidden="1" customWidth="1"/>
    <col min="8610" max="8610" width="9.28515625" style="529" customWidth="1"/>
    <col min="8611" max="8612" width="1.7109375" style="529" customWidth="1"/>
    <col min="8613" max="8614" width="6.28515625" style="529" bestFit="1" customWidth="1"/>
    <col min="8615" max="8616" width="5.85546875" style="529" bestFit="1" customWidth="1"/>
    <col min="8617" max="8618" width="2.7109375" style="529" customWidth="1"/>
    <col min="8619" max="8623" width="10.7109375" style="529" customWidth="1"/>
    <col min="8624" max="8624" width="15.5703125" style="529" customWidth="1"/>
    <col min="8625" max="8625" width="1.7109375" style="529" customWidth="1"/>
    <col min="8626" max="8626" width="24.7109375" style="529" customWidth="1"/>
    <col min="8627" max="8631" width="7" style="529" customWidth="1"/>
    <col min="8632" max="8632" width="8.42578125" style="529" customWidth="1"/>
    <col min="8633" max="8720" width="9.140625" style="529"/>
    <col min="8721" max="8721" width="40.7109375" style="529" customWidth="1"/>
    <col min="8722" max="8775" width="9.85546875" style="529" customWidth="1"/>
    <col min="8776" max="8856" width="9.28515625" style="529" customWidth="1"/>
    <col min="8857" max="8860" width="0" style="529" hidden="1" customWidth="1"/>
    <col min="8861" max="8861" width="9.28515625" style="529" customWidth="1"/>
    <col min="8862" max="8865" width="0" style="529" hidden="1" customWidth="1"/>
    <col min="8866" max="8866" width="9.28515625" style="529" customWidth="1"/>
    <col min="8867" max="8868" width="1.7109375" style="529" customWidth="1"/>
    <col min="8869" max="8870" width="6.28515625" style="529" bestFit="1" customWidth="1"/>
    <col min="8871" max="8872" width="5.85546875" style="529" bestFit="1" customWidth="1"/>
    <col min="8873" max="8874" width="2.7109375" style="529" customWidth="1"/>
    <col min="8875" max="8879" width="10.7109375" style="529" customWidth="1"/>
    <col min="8880" max="8880" width="15.5703125" style="529" customWidth="1"/>
    <col min="8881" max="8881" width="1.7109375" style="529" customWidth="1"/>
    <col min="8882" max="8882" width="24.7109375" style="529" customWidth="1"/>
    <col min="8883" max="8887" width="7" style="529" customWidth="1"/>
    <col min="8888" max="8888" width="8.42578125" style="529" customWidth="1"/>
    <col min="8889" max="8976" width="9.140625" style="529"/>
    <col min="8977" max="8977" width="40.7109375" style="529" customWidth="1"/>
    <col min="8978" max="9031" width="9.85546875" style="529" customWidth="1"/>
    <col min="9032" max="9112" width="9.28515625" style="529" customWidth="1"/>
    <col min="9113" max="9116" width="0" style="529" hidden="1" customWidth="1"/>
    <col min="9117" max="9117" width="9.28515625" style="529" customWidth="1"/>
    <col min="9118" max="9121" width="0" style="529" hidden="1" customWidth="1"/>
    <col min="9122" max="9122" width="9.28515625" style="529" customWidth="1"/>
    <col min="9123" max="9124" width="1.7109375" style="529" customWidth="1"/>
    <col min="9125" max="9126" width="6.28515625" style="529" bestFit="1" customWidth="1"/>
    <col min="9127" max="9128" width="5.85546875" style="529" bestFit="1" customWidth="1"/>
    <col min="9129" max="9130" width="2.7109375" style="529" customWidth="1"/>
    <col min="9131" max="9135" width="10.7109375" style="529" customWidth="1"/>
    <col min="9136" max="9136" width="15.5703125" style="529" customWidth="1"/>
    <col min="9137" max="9137" width="1.7109375" style="529" customWidth="1"/>
    <col min="9138" max="9138" width="24.7109375" style="529" customWidth="1"/>
    <col min="9139" max="9143" width="7" style="529" customWidth="1"/>
    <col min="9144" max="9144" width="8.42578125" style="529" customWidth="1"/>
    <col min="9145" max="9232" width="9.140625" style="529"/>
    <col min="9233" max="9233" width="40.7109375" style="529" customWidth="1"/>
    <col min="9234" max="9287" width="9.85546875" style="529" customWidth="1"/>
    <col min="9288" max="9368" width="9.28515625" style="529" customWidth="1"/>
    <col min="9369" max="9372" width="0" style="529" hidden="1" customWidth="1"/>
    <col min="9373" max="9373" width="9.28515625" style="529" customWidth="1"/>
    <col min="9374" max="9377" width="0" style="529" hidden="1" customWidth="1"/>
    <col min="9378" max="9378" width="9.28515625" style="529" customWidth="1"/>
    <col min="9379" max="9380" width="1.7109375" style="529" customWidth="1"/>
    <col min="9381" max="9382" width="6.28515625" style="529" bestFit="1" customWidth="1"/>
    <col min="9383" max="9384" width="5.85546875" style="529" bestFit="1" customWidth="1"/>
    <col min="9385" max="9386" width="2.7109375" style="529" customWidth="1"/>
    <col min="9387" max="9391" width="10.7109375" style="529" customWidth="1"/>
    <col min="9392" max="9392" width="15.5703125" style="529" customWidth="1"/>
    <col min="9393" max="9393" width="1.7109375" style="529" customWidth="1"/>
    <col min="9394" max="9394" width="24.7109375" style="529" customWidth="1"/>
    <col min="9395" max="9399" width="7" style="529" customWidth="1"/>
    <col min="9400" max="9400" width="8.42578125" style="529" customWidth="1"/>
    <col min="9401" max="9488" width="9.140625" style="529"/>
    <col min="9489" max="9489" width="40.7109375" style="529" customWidth="1"/>
    <col min="9490" max="9543" width="9.85546875" style="529" customWidth="1"/>
    <col min="9544" max="9624" width="9.28515625" style="529" customWidth="1"/>
    <col min="9625" max="9628" width="0" style="529" hidden="1" customWidth="1"/>
    <col min="9629" max="9629" width="9.28515625" style="529" customWidth="1"/>
    <col min="9630" max="9633" width="0" style="529" hidden="1" customWidth="1"/>
    <col min="9634" max="9634" width="9.28515625" style="529" customWidth="1"/>
    <col min="9635" max="9636" width="1.7109375" style="529" customWidth="1"/>
    <col min="9637" max="9638" width="6.28515625" style="529" bestFit="1" customWidth="1"/>
    <col min="9639" max="9640" width="5.85546875" style="529" bestFit="1" customWidth="1"/>
    <col min="9641" max="9642" width="2.7109375" style="529" customWidth="1"/>
    <col min="9643" max="9647" width="10.7109375" style="529" customWidth="1"/>
    <col min="9648" max="9648" width="15.5703125" style="529" customWidth="1"/>
    <col min="9649" max="9649" width="1.7109375" style="529" customWidth="1"/>
    <col min="9650" max="9650" width="24.7109375" style="529" customWidth="1"/>
    <col min="9651" max="9655" width="7" style="529" customWidth="1"/>
    <col min="9656" max="9656" width="8.42578125" style="529" customWidth="1"/>
    <col min="9657" max="9744" width="9.140625" style="529"/>
    <col min="9745" max="9745" width="40.7109375" style="529" customWidth="1"/>
    <col min="9746" max="9799" width="9.85546875" style="529" customWidth="1"/>
    <col min="9800" max="9880" width="9.28515625" style="529" customWidth="1"/>
    <col min="9881" max="9884" width="0" style="529" hidden="1" customWidth="1"/>
    <col min="9885" max="9885" width="9.28515625" style="529" customWidth="1"/>
    <col min="9886" max="9889" width="0" style="529" hidden="1" customWidth="1"/>
    <col min="9890" max="9890" width="9.28515625" style="529" customWidth="1"/>
    <col min="9891" max="9892" width="1.7109375" style="529" customWidth="1"/>
    <col min="9893" max="9894" width="6.28515625" style="529" bestFit="1" customWidth="1"/>
    <col min="9895" max="9896" width="5.85546875" style="529" bestFit="1" customWidth="1"/>
    <col min="9897" max="9898" width="2.7109375" style="529" customWidth="1"/>
    <col min="9899" max="9903" width="10.7109375" style="529" customWidth="1"/>
    <col min="9904" max="9904" width="15.5703125" style="529" customWidth="1"/>
    <col min="9905" max="9905" width="1.7109375" style="529" customWidth="1"/>
    <col min="9906" max="9906" width="24.7109375" style="529" customWidth="1"/>
    <col min="9907" max="9911" width="7" style="529" customWidth="1"/>
    <col min="9912" max="9912" width="8.42578125" style="529" customWidth="1"/>
    <col min="9913" max="10000" width="9.140625" style="529"/>
    <col min="10001" max="10001" width="40.7109375" style="529" customWidth="1"/>
    <col min="10002" max="10055" width="9.85546875" style="529" customWidth="1"/>
    <col min="10056" max="10136" width="9.28515625" style="529" customWidth="1"/>
    <col min="10137" max="10140" width="0" style="529" hidden="1" customWidth="1"/>
    <col min="10141" max="10141" width="9.28515625" style="529" customWidth="1"/>
    <col min="10142" max="10145" width="0" style="529" hidden="1" customWidth="1"/>
    <col min="10146" max="10146" width="9.28515625" style="529" customWidth="1"/>
    <col min="10147" max="10148" width="1.7109375" style="529" customWidth="1"/>
    <col min="10149" max="10150" width="6.28515625" style="529" bestFit="1" customWidth="1"/>
    <col min="10151" max="10152" width="5.85546875" style="529" bestFit="1" customWidth="1"/>
    <col min="10153" max="10154" width="2.7109375" style="529" customWidth="1"/>
    <col min="10155" max="10159" width="10.7109375" style="529" customWidth="1"/>
    <col min="10160" max="10160" width="15.5703125" style="529" customWidth="1"/>
    <col min="10161" max="10161" width="1.7109375" style="529" customWidth="1"/>
    <col min="10162" max="10162" width="24.7109375" style="529" customWidth="1"/>
    <col min="10163" max="10167" width="7" style="529" customWidth="1"/>
    <col min="10168" max="10168" width="8.42578125" style="529" customWidth="1"/>
    <col min="10169" max="10256" width="9.140625" style="529"/>
    <col min="10257" max="10257" width="40.7109375" style="529" customWidth="1"/>
    <col min="10258" max="10311" width="9.85546875" style="529" customWidth="1"/>
    <col min="10312" max="10392" width="9.28515625" style="529" customWidth="1"/>
    <col min="10393" max="10396" width="0" style="529" hidden="1" customWidth="1"/>
    <col min="10397" max="10397" width="9.28515625" style="529" customWidth="1"/>
    <col min="10398" max="10401" width="0" style="529" hidden="1" customWidth="1"/>
    <col min="10402" max="10402" width="9.28515625" style="529" customWidth="1"/>
    <col min="10403" max="10404" width="1.7109375" style="529" customWidth="1"/>
    <col min="10405" max="10406" width="6.28515625" style="529" bestFit="1" customWidth="1"/>
    <col min="10407" max="10408" width="5.85546875" style="529" bestFit="1" customWidth="1"/>
    <col min="10409" max="10410" width="2.7109375" style="529" customWidth="1"/>
    <col min="10411" max="10415" width="10.7109375" style="529" customWidth="1"/>
    <col min="10416" max="10416" width="15.5703125" style="529" customWidth="1"/>
    <col min="10417" max="10417" width="1.7109375" style="529" customWidth="1"/>
    <col min="10418" max="10418" width="24.7109375" style="529" customWidth="1"/>
    <col min="10419" max="10423" width="7" style="529" customWidth="1"/>
    <col min="10424" max="10424" width="8.42578125" style="529" customWidth="1"/>
    <col min="10425" max="10512" width="9.140625" style="529"/>
    <col min="10513" max="10513" width="40.7109375" style="529" customWidth="1"/>
    <col min="10514" max="10567" width="9.85546875" style="529" customWidth="1"/>
    <col min="10568" max="10648" width="9.28515625" style="529" customWidth="1"/>
    <col min="10649" max="10652" width="0" style="529" hidden="1" customWidth="1"/>
    <col min="10653" max="10653" width="9.28515625" style="529" customWidth="1"/>
    <col min="10654" max="10657" width="0" style="529" hidden="1" customWidth="1"/>
    <col min="10658" max="10658" width="9.28515625" style="529" customWidth="1"/>
    <col min="10659" max="10660" width="1.7109375" style="529" customWidth="1"/>
    <col min="10661" max="10662" width="6.28515625" style="529" bestFit="1" customWidth="1"/>
    <col min="10663" max="10664" width="5.85546875" style="529" bestFit="1" customWidth="1"/>
    <col min="10665" max="10666" width="2.7109375" style="529" customWidth="1"/>
    <col min="10667" max="10671" width="10.7109375" style="529" customWidth="1"/>
    <col min="10672" max="10672" width="15.5703125" style="529" customWidth="1"/>
    <col min="10673" max="10673" width="1.7109375" style="529" customWidth="1"/>
    <col min="10674" max="10674" width="24.7109375" style="529" customWidth="1"/>
    <col min="10675" max="10679" width="7" style="529" customWidth="1"/>
    <col min="10680" max="10680" width="8.42578125" style="529" customWidth="1"/>
    <col min="10681" max="10768" width="9.140625" style="529"/>
    <col min="10769" max="10769" width="40.7109375" style="529" customWidth="1"/>
    <col min="10770" max="10823" width="9.85546875" style="529" customWidth="1"/>
    <col min="10824" max="10904" width="9.28515625" style="529" customWidth="1"/>
    <col min="10905" max="10908" width="0" style="529" hidden="1" customWidth="1"/>
    <col min="10909" max="10909" width="9.28515625" style="529" customWidth="1"/>
    <col min="10910" max="10913" width="0" style="529" hidden="1" customWidth="1"/>
    <col min="10914" max="10914" width="9.28515625" style="529" customWidth="1"/>
    <col min="10915" max="10916" width="1.7109375" style="529" customWidth="1"/>
    <col min="10917" max="10918" width="6.28515625" style="529" bestFit="1" customWidth="1"/>
    <col min="10919" max="10920" width="5.85546875" style="529" bestFit="1" customWidth="1"/>
    <col min="10921" max="10922" width="2.7109375" style="529" customWidth="1"/>
    <col min="10923" max="10927" width="10.7109375" style="529" customWidth="1"/>
    <col min="10928" max="10928" width="15.5703125" style="529" customWidth="1"/>
    <col min="10929" max="10929" width="1.7109375" style="529" customWidth="1"/>
    <col min="10930" max="10930" width="24.7109375" style="529" customWidth="1"/>
    <col min="10931" max="10935" width="7" style="529" customWidth="1"/>
    <col min="10936" max="10936" width="8.42578125" style="529" customWidth="1"/>
    <col min="10937" max="11024" width="9.140625" style="529"/>
    <col min="11025" max="11025" width="40.7109375" style="529" customWidth="1"/>
    <col min="11026" max="11079" width="9.85546875" style="529" customWidth="1"/>
    <col min="11080" max="11160" width="9.28515625" style="529" customWidth="1"/>
    <col min="11161" max="11164" width="0" style="529" hidden="1" customWidth="1"/>
    <col min="11165" max="11165" width="9.28515625" style="529" customWidth="1"/>
    <col min="11166" max="11169" width="0" style="529" hidden="1" customWidth="1"/>
    <col min="11170" max="11170" width="9.28515625" style="529" customWidth="1"/>
    <col min="11171" max="11172" width="1.7109375" style="529" customWidth="1"/>
    <col min="11173" max="11174" width="6.28515625" style="529" bestFit="1" customWidth="1"/>
    <col min="11175" max="11176" width="5.85546875" style="529" bestFit="1" customWidth="1"/>
    <col min="11177" max="11178" width="2.7109375" style="529" customWidth="1"/>
    <col min="11179" max="11183" width="10.7109375" style="529" customWidth="1"/>
    <col min="11184" max="11184" width="15.5703125" style="529" customWidth="1"/>
    <col min="11185" max="11185" width="1.7109375" style="529" customWidth="1"/>
    <col min="11186" max="11186" width="24.7109375" style="529" customWidth="1"/>
    <col min="11187" max="11191" width="7" style="529" customWidth="1"/>
    <col min="11192" max="11192" width="8.42578125" style="529" customWidth="1"/>
    <col min="11193" max="11280" width="9.140625" style="529"/>
    <col min="11281" max="11281" width="40.7109375" style="529" customWidth="1"/>
    <col min="11282" max="11335" width="9.85546875" style="529" customWidth="1"/>
    <col min="11336" max="11416" width="9.28515625" style="529" customWidth="1"/>
    <col min="11417" max="11420" width="0" style="529" hidden="1" customWidth="1"/>
    <col min="11421" max="11421" width="9.28515625" style="529" customWidth="1"/>
    <col min="11422" max="11425" width="0" style="529" hidden="1" customWidth="1"/>
    <col min="11426" max="11426" width="9.28515625" style="529" customWidth="1"/>
    <col min="11427" max="11428" width="1.7109375" style="529" customWidth="1"/>
    <col min="11429" max="11430" width="6.28515625" style="529" bestFit="1" customWidth="1"/>
    <col min="11431" max="11432" width="5.85546875" style="529" bestFit="1" customWidth="1"/>
    <col min="11433" max="11434" width="2.7109375" style="529" customWidth="1"/>
    <col min="11435" max="11439" width="10.7109375" style="529" customWidth="1"/>
    <col min="11440" max="11440" width="15.5703125" style="529" customWidth="1"/>
    <col min="11441" max="11441" width="1.7109375" style="529" customWidth="1"/>
    <col min="11442" max="11442" width="24.7109375" style="529" customWidth="1"/>
    <col min="11443" max="11447" width="7" style="529" customWidth="1"/>
    <col min="11448" max="11448" width="8.42578125" style="529" customWidth="1"/>
    <col min="11449" max="11536" width="9.140625" style="529"/>
    <col min="11537" max="11537" width="40.7109375" style="529" customWidth="1"/>
    <col min="11538" max="11591" width="9.85546875" style="529" customWidth="1"/>
    <col min="11592" max="11672" width="9.28515625" style="529" customWidth="1"/>
    <col min="11673" max="11676" width="0" style="529" hidden="1" customWidth="1"/>
    <col min="11677" max="11677" width="9.28515625" style="529" customWidth="1"/>
    <col min="11678" max="11681" width="0" style="529" hidden="1" customWidth="1"/>
    <col min="11682" max="11682" width="9.28515625" style="529" customWidth="1"/>
    <col min="11683" max="11684" width="1.7109375" style="529" customWidth="1"/>
    <col min="11685" max="11686" width="6.28515625" style="529" bestFit="1" customWidth="1"/>
    <col min="11687" max="11688" width="5.85546875" style="529" bestFit="1" customWidth="1"/>
    <col min="11689" max="11690" width="2.7109375" style="529" customWidth="1"/>
    <col min="11691" max="11695" width="10.7109375" style="529" customWidth="1"/>
    <col min="11696" max="11696" width="15.5703125" style="529" customWidth="1"/>
    <col min="11697" max="11697" width="1.7109375" style="529" customWidth="1"/>
    <col min="11698" max="11698" width="24.7109375" style="529" customWidth="1"/>
    <col min="11699" max="11703" width="7" style="529" customWidth="1"/>
    <col min="11704" max="11704" width="8.42578125" style="529" customWidth="1"/>
    <col min="11705" max="11792" width="9.140625" style="529"/>
    <col min="11793" max="11793" width="40.7109375" style="529" customWidth="1"/>
    <col min="11794" max="11847" width="9.85546875" style="529" customWidth="1"/>
    <col min="11848" max="11928" width="9.28515625" style="529" customWidth="1"/>
    <col min="11929" max="11932" width="0" style="529" hidden="1" customWidth="1"/>
    <col min="11933" max="11933" width="9.28515625" style="529" customWidth="1"/>
    <col min="11934" max="11937" width="0" style="529" hidden="1" customWidth="1"/>
    <col min="11938" max="11938" width="9.28515625" style="529" customWidth="1"/>
    <col min="11939" max="11940" width="1.7109375" style="529" customWidth="1"/>
    <col min="11941" max="11942" width="6.28515625" style="529" bestFit="1" customWidth="1"/>
    <col min="11943" max="11944" width="5.85546875" style="529" bestFit="1" customWidth="1"/>
    <col min="11945" max="11946" width="2.7109375" style="529" customWidth="1"/>
    <col min="11947" max="11951" width="10.7109375" style="529" customWidth="1"/>
    <col min="11952" max="11952" width="15.5703125" style="529" customWidth="1"/>
    <col min="11953" max="11953" width="1.7109375" style="529" customWidth="1"/>
    <col min="11954" max="11954" width="24.7109375" style="529" customWidth="1"/>
    <col min="11955" max="11959" width="7" style="529" customWidth="1"/>
    <col min="11960" max="11960" width="8.42578125" style="529" customWidth="1"/>
    <col min="11961" max="12048" width="9.140625" style="529"/>
    <col min="12049" max="12049" width="40.7109375" style="529" customWidth="1"/>
    <col min="12050" max="12103" width="9.85546875" style="529" customWidth="1"/>
    <col min="12104" max="12184" width="9.28515625" style="529" customWidth="1"/>
    <col min="12185" max="12188" width="0" style="529" hidden="1" customWidth="1"/>
    <col min="12189" max="12189" width="9.28515625" style="529" customWidth="1"/>
    <col min="12190" max="12193" width="0" style="529" hidden="1" customWidth="1"/>
    <col min="12194" max="12194" width="9.28515625" style="529" customWidth="1"/>
    <col min="12195" max="12196" width="1.7109375" style="529" customWidth="1"/>
    <col min="12197" max="12198" width="6.28515625" style="529" bestFit="1" customWidth="1"/>
    <col min="12199" max="12200" width="5.85546875" style="529" bestFit="1" customWidth="1"/>
    <col min="12201" max="12202" width="2.7109375" style="529" customWidth="1"/>
    <col min="12203" max="12207" width="10.7109375" style="529" customWidth="1"/>
    <col min="12208" max="12208" width="15.5703125" style="529" customWidth="1"/>
    <col min="12209" max="12209" width="1.7109375" style="529" customWidth="1"/>
    <col min="12210" max="12210" width="24.7109375" style="529" customWidth="1"/>
    <col min="12211" max="12215" width="7" style="529" customWidth="1"/>
    <col min="12216" max="12216" width="8.42578125" style="529" customWidth="1"/>
    <col min="12217" max="12304" width="9.140625" style="529"/>
    <col min="12305" max="12305" width="40.7109375" style="529" customWidth="1"/>
    <col min="12306" max="12359" width="9.85546875" style="529" customWidth="1"/>
    <col min="12360" max="12440" width="9.28515625" style="529" customWidth="1"/>
    <col min="12441" max="12444" width="0" style="529" hidden="1" customWidth="1"/>
    <col min="12445" max="12445" width="9.28515625" style="529" customWidth="1"/>
    <col min="12446" max="12449" width="0" style="529" hidden="1" customWidth="1"/>
    <col min="12450" max="12450" width="9.28515625" style="529" customWidth="1"/>
    <col min="12451" max="12452" width="1.7109375" style="529" customWidth="1"/>
    <col min="12453" max="12454" width="6.28515625" style="529" bestFit="1" customWidth="1"/>
    <col min="12455" max="12456" width="5.85546875" style="529" bestFit="1" customWidth="1"/>
    <col min="12457" max="12458" width="2.7109375" style="529" customWidth="1"/>
    <col min="12459" max="12463" width="10.7109375" style="529" customWidth="1"/>
    <col min="12464" max="12464" width="15.5703125" style="529" customWidth="1"/>
    <col min="12465" max="12465" width="1.7109375" style="529" customWidth="1"/>
    <col min="12466" max="12466" width="24.7109375" style="529" customWidth="1"/>
    <col min="12467" max="12471" width="7" style="529" customWidth="1"/>
    <col min="12472" max="12472" width="8.42578125" style="529" customWidth="1"/>
    <col min="12473" max="12560" width="9.140625" style="529"/>
    <col min="12561" max="12561" width="40.7109375" style="529" customWidth="1"/>
    <col min="12562" max="12615" width="9.85546875" style="529" customWidth="1"/>
    <col min="12616" max="12696" width="9.28515625" style="529" customWidth="1"/>
    <col min="12697" max="12700" width="0" style="529" hidden="1" customWidth="1"/>
    <col min="12701" max="12701" width="9.28515625" style="529" customWidth="1"/>
    <col min="12702" max="12705" width="0" style="529" hidden="1" customWidth="1"/>
    <col min="12706" max="12706" width="9.28515625" style="529" customWidth="1"/>
    <col min="12707" max="12708" width="1.7109375" style="529" customWidth="1"/>
    <col min="12709" max="12710" width="6.28515625" style="529" bestFit="1" customWidth="1"/>
    <col min="12711" max="12712" width="5.85546875" style="529" bestFit="1" customWidth="1"/>
    <col min="12713" max="12714" width="2.7109375" style="529" customWidth="1"/>
    <col min="12715" max="12719" width="10.7109375" style="529" customWidth="1"/>
    <col min="12720" max="12720" width="15.5703125" style="529" customWidth="1"/>
    <col min="12721" max="12721" width="1.7109375" style="529" customWidth="1"/>
    <col min="12722" max="12722" width="24.7109375" style="529" customWidth="1"/>
    <col min="12723" max="12727" width="7" style="529" customWidth="1"/>
    <col min="12728" max="12728" width="8.42578125" style="529" customWidth="1"/>
    <col min="12729" max="12816" width="9.140625" style="529"/>
    <col min="12817" max="12817" width="40.7109375" style="529" customWidth="1"/>
    <col min="12818" max="12871" width="9.85546875" style="529" customWidth="1"/>
    <col min="12872" max="12952" width="9.28515625" style="529" customWidth="1"/>
    <col min="12953" max="12956" width="0" style="529" hidden="1" customWidth="1"/>
    <col min="12957" max="12957" width="9.28515625" style="529" customWidth="1"/>
    <col min="12958" max="12961" width="0" style="529" hidden="1" customWidth="1"/>
    <col min="12962" max="12962" width="9.28515625" style="529" customWidth="1"/>
    <col min="12963" max="12964" width="1.7109375" style="529" customWidth="1"/>
    <col min="12965" max="12966" width="6.28515625" style="529" bestFit="1" customWidth="1"/>
    <col min="12967" max="12968" width="5.85546875" style="529" bestFit="1" customWidth="1"/>
    <col min="12969" max="12970" width="2.7109375" style="529" customWidth="1"/>
    <col min="12971" max="12975" width="10.7109375" style="529" customWidth="1"/>
    <col min="12976" max="12976" width="15.5703125" style="529" customWidth="1"/>
    <col min="12977" max="12977" width="1.7109375" style="529" customWidth="1"/>
    <col min="12978" max="12978" width="24.7109375" style="529" customWidth="1"/>
    <col min="12979" max="12983" width="7" style="529" customWidth="1"/>
    <col min="12984" max="12984" width="8.42578125" style="529" customWidth="1"/>
    <col min="12985" max="13072" width="9.140625" style="529"/>
    <col min="13073" max="13073" width="40.7109375" style="529" customWidth="1"/>
    <col min="13074" max="13127" width="9.85546875" style="529" customWidth="1"/>
    <col min="13128" max="13208" width="9.28515625" style="529" customWidth="1"/>
    <col min="13209" max="13212" width="0" style="529" hidden="1" customWidth="1"/>
    <col min="13213" max="13213" width="9.28515625" style="529" customWidth="1"/>
    <col min="13214" max="13217" width="0" style="529" hidden="1" customWidth="1"/>
    <col min="13218" max="13218" width="9.28515625" style="529" customWidth="1"/>
    <col min="13219" max="13220" width="1.7109375" style="529" customWidth="1"/>
    <col min="13221" max="13222" width="6.28515625" style="529" bestFit="1" customWidth="1"/>
    <col min="13223" max="13224" width="5.85546875" style="529" bestFit="1" customWidth="1"/>
    <col min="13225" max="13226" width="2.7109375" style="529" customWidth="1"/>
    <col min="13227" max="13231" width="10.7109375" style="529" customWidth="1"/>
    <col min="13232" max="13232" width="15.5703125" style="529" customWidth="1"/>
    <col min="13233" max="13233" width="1.7109375" style="529" customWidth="1"/>
    <col min="13234" max="13234" width="24.7109375" style="529" customWidth="1"/>
    <col min="13235" max="13239" width="7" style="529" customWidth="1"/>
    <col min="13240" max="13240" width="8.42578125" style="529" customWidth="1"/>
    <col min="13241" max="13328" width="9.140625" style="529"/>
    <col min="13329" max="13329" width="40.7109375" style="529" customWidth="1"/>
    <col min="13330" max="13383" width="9.85546875" style="529" customWidth="1"/>
    <col min="13384" max="13464" width="9.28515625" style="529" customWidth="1"/>
    <col min="13465" max="13468" width="0" style="529" hidden="1" customWidth="1"/>
    <col min="13469" max="13469" width="9.28515625" style="529" customWidth="1"/>
    <col min="13470" max="13473" width="0" style="529" hidden="1" customWidth="1"/>
    <col min="13474" max="13474" width="9.28515625" style="529" customWidth="1"/>
    <col min="13475" max="13476" width="1.7109375" style="529" customWidth="1"/>
    <col min="13477" max="13478" width="6.28515625" style="529" bestFit="1" customWidth="1"/>
    <col min="13479" max="13480" width="5.85546875" style="529" bestFit="1" customWidth="1"/>
    <col min="13481" max="13482" width="2.7109375" style="529" customWidth="1"/>
    <col min="13483" max="13487" width="10.7109375" style="529" customWidth="1"/>
    <col min="13488" max="13488" width="15.5703125" style="529" customWidth="1"/>
    <col min="13489" max="13489" width="1.7109375" style="529" customWidth="1"/>
    <col min="13490" max="13490" width="24.7109375" style="529" customWidth="1"/>
    <col min="13491" max="13495" width="7" style="529" customWidth="1"/>
    <col min="13496" max="13496" width="8.42578125" style="529" customWidth="1"/>
    <col min="13497" max="13584" width="9.140625" style="529"/>
    <col min="13585" max="13585" width="40.7109375" style="529" customWidth="1"/>
    <col min="13586" max="13639" width="9.85546875" style="529" customWidth="1"/>
    <col min="13640" max="13720" width="9.28515625" style="529" customWidth="1"/>
    <col min="13721" max="13724" width="0" style="529" hidden="1" customWidth="1"/>
    <col min="13725" max="13725" width="9.28515625" style="529" customWidth="1"/>
    <col min="13726" max="13729" width="0" style="529" hidden="1" customWidth="1"/>
    <col min="13730" max="13730" width="9.28515625" style="529" customWidth="1"/>
    <col min="13731" max="13732" width="1.7109375" style="529" customWidth="1"/>
    <col min="13733" max="13734" width="6.28515625" style="529" bestFit="1" customWidth="1"/>
    <col min="13735" max="13736" width="5.85546875" style="529" bestFit="1" customWidth="1"/>
    <col min="13737" max="13738" width="2.7109375" style="529" customWidth="1"/>
    <col min="13739" max="13743" width="10.7109375" style="529" customWidth="1"/>
    <col min="13744" max="13744" width="15.5703125" style="529" customWidth="1"/>
    <col min="13745" max="13745" width="1.7109375" style="529" customWidth="1"/>
    <col min="13746" max="13746" width="24.7109375" style="529" customWidth="1"/>
    <col min="13747" max="13751" width="7" style="529" customWidth="1"/>
    <col min="13752" max="13752" width="8.42578125" style="529" customWidth="1"/>
    <col min="13753" max="13840" width="9.140625" style="529"/>
    <col min="13841" max="13841" width="40.7109375" style="529" customWidth="1"/>
    <col min="13842" max="13895" width="9.85546875" style="529" customWidth="1"/>
    <col min="13896" max="13976" width="9.28515625" style="529" customWidth="1"/>
    <col min="13977" max="13980" width="0" style="529" hidden="1" customWidth="1"/>
    <col min="13981" max="13981" width="9.28515625" style="529" customWidth="1"/>
    <col min="13982" max="13985" width="0" style="529" hidden="1" customWidth="1"/>
    <col min="13986" max="13986" width="9.28515625" style="529" customWidth="1"/>
    <col min="13987" max="13988" width="1.7109375" style="529" customWidth="1"/>
    <col min="13989" max="13990" width="6.28515625" style="529" bestFit="1" customWidth="1"/>
    <col min="13991" max="13992" width="5.85546875" style="529" bestFit="1" customWidth="1"/>
    <col min="13993" max="13994" width="2.7109375" style="529" customWidth="1"/>
    <col min="13995" max="13999" width="10.7109375" style="529" customWidth="1"/>
    <col min="14000" max="14000" width="15.5703125" style="529" customWidth="1"/>
    <col min="14001" max="14001" width="1.7109375" style="529" customWidth="1"/>
    <col min="14002" max="14002" width="24.7109375" style="529" customWidth="1"/>
    <col min="14003" max="14007" width="7" style="529" customWidth="1"/>
    <col min="14008" max="14008" width="8.42578125" style="529" customWidth="1"/>
    <col min="14009" max="14096" width="9.140625" style="529"/>
    <col min="14097" max="14097" width="40.7109375" style="529" customWidth="1"/>
    <col min="14098" max="14151" width="9.85546875" style="529" customWidth="1"/>
    <col min="14152" max="14232" width="9.28515625" style="529" customWidth="1"/>
    <col min="14233" max="14236" width="0" style="529" hidden="1" customWidth="1"/>
    <col min="14237" max="14237" width="9.28515625" style="529" customWidth="1"/>
    <col min="14238" max="14241" width="0" style="529" hidden="1" customWidth="1"/>
    <col min="14242" max="14242" width="9.28515625" style="529" customWidth="1"/>
    <col min="14243" max="14244" width="1.7109375" style="529" customWidth="1"/>
    <col min="14245" max="14246" width="6.28515625" style="529" bestFit="1" customWidth="1"/>
    <col min="14247" max="14248" width="5.85546875" style="529" bestFit="1" customWidth="1"/>
    <col min="14249" max="14250" width="2.7109375" style="529" customWidth="1"/>
    <col min="14251" max="14255" width="10.7109375" style="529" customWidth="1"/>
    <col min="14256" max="14256" width="15.5703125" style="529" customWidth="1"/>
    <col min="14257" max="14257" width="1.7109375" style="529" customWidth="1"/>
    <col min="14258" max="14258" width="24.7109375" style="529" customWidth="1"/>
    <col min="14259" max="14263" width="7" style="529" customWidth="1"/>
    <col min="14264" max="14264" width="8.42578125" style="529" customWidth="1"/>
    <col min="14265" max="14352" width="9.140625" style="529"/>
    <col min="14353" max="14353" width="40.7109375" style="529" customWidth="1"/>
    <col min="14354" max="14407" width="9.85546875" style="529" customWidth="1"/>
    <col min="14408" max="14488" width="9.28515625" style="529" customWidth="1"/>
    <col min="14489" max="14492" width="0" style="529" hidden="1" customWidth="1"/>
    <col min="14493" max="14493" width="9.28515625" style="529" customWidth="1"/>
    <col min="14494" max="14497" width="0" style="529" hidden="1" customWidth="1"/>
    <col min="14498" max="14498" width="9.28515625" style="529" customWidth="1"/>
    <col min="14499" max="14500" width="1.7109375" style="529" customWidth="1"/>
    <col min="14501" max="14502" width="6.28515625" style="529" bestFit="1" customWidth="1"/>
    <col min="14503" max="14504" width="5.85546875" style="529" bestFit="1" customWidth="1"/>
    <col min="14505" max="14506" width="2.7109375" style="529" customWidth="1"/>
    <col min="14507" max="14511" width="10.7109375" style="529" customWidth="1"/>
    <col min="14512" max="14512" width="15.5703125" style="529" customWidth="1"/>
    <col min="14513" max="14513" width="1.7109375" style="529" customWidth="1"/>
    <col min="14514" max="14514" width="24.7109375" style="529" customWidth="1"/>
    <col min="14515" max="14519" width="7" style="529" customWidth="1"/>
    <col min="14520" max="14520" width="8.42578125" style="529" customWidth="1"/>
    <col min="14521" max="14608" width="9.140625" style="529"/>
    <col min="14609" max="14609" width="40.7109375" style="529" customWidth="1"/>
    <col min="14610" max="14663" width="9.85546875" style="529" customWidth="1"/>
    <col min="14664" max="14744" width="9.28515625" style="529" customWidth="1"/>
    <col min="14745" max="14748" width="0" style="529" hidden="1" customWidth="1"/>
    <col min="14749" max="14749" width="9.28515625" style="529" customWidth="1"/>
    <col min="14750" max="14753" width="0" style="529" hidden="1" customWidth="1"/>
    <col min="14754" max="14754" width="9.28515625" style="529" customWidth="1"/>
    <col min="14755" max="14756" width="1.7109375" style="529" customWidth="1"/>
    <col min="14757" max="14758" width="6.28515625" style="529" bestFit="1" customWidth="1"/>
    <col min="14759" max="14760" width="5.85546875" style="529" bestFit="1" customWidth="1"/>
    <col min="14761" max="14762" width="2.7109375" style="529" customWidth="1"/>
    <col min="14763" max="14767" width="10.7109375" style="529" customWidth="1"/>
    <col min="14768" max="14768" width="15.5703125" style="529" customWidth="1"/>
    <col min="14769" max="14769" width="1.7109375" style="529" customWidth="1"/>
    <col min="14770" max="14770" width="24.7109375" style="529" customWidth="1"/>
    <col min="14771" max="14775" width="7" style="529" customWidth="1"/>
    <col min="14776" max="14776" width="8.42578125" style="529" customWidth="1"/>
    <col min="14777" max="14864" width="9.140625" style="529"/>
    <col min="14865" max="14865" width="40.7109375" style="529" customWidth="1"/>
    <col min="14866" max="14919" width="9.85546875" style="529" customWidth="1"/>
    <col min="14920" max="15000" width="9.28515625" style="529" customWidth="1"/>
    <col min="15001" max="15004" width="0" style="529" hidden="1" customWidth="1"/>
    <col min="15005" max="15005" width="9.28515625" style="529" customWidth="1"/>
    <col min="15006" max="15009" width="0" style="529" hidden="1" customWidth="1"/>
    <col min="15010" max="15010" width="9.28515625" style="529" customWidth="1"/>
    <col min="15011" max="15012" width="1.7109375" style="529" customWidth="1"/>
    <col min="15013" max="15014" width="6.28515625" style="529" bestFit="1" customWidth="1"/>
    <col min="15015" max="15016" width="5.85546875" style="529" bestFit="1" customWidth="1"/>
    <col min="15017" max="15018" width="2.7109375" style="529" customWidth="1"/>
    <col min="15019" max="15023" width="10.7109375" style="529" customWidth="1"/>
    <col min="15024" max="15024" width="15.5703125" style="529" customWidth="1"/>
    <col min="15025" max="15025" width="1.7109375" style="529" customWidth="1"/>
    <col min="15026" max="15026" width="24.7109375" style="529" customWidth="1"/>
    <col min="15027" max="15031" width="7" style="529" customWidth="1"/>
    <col min="15032" max="15032" width="8.42578125" style="529" customWidth="1"/>
    <col min="15033" max="15120" width="9.140625" style="529"/>
    <col min="15121" max="15121" width="40.7109375" style="529" customWidth="1"/>
    <col min="15122" max="15175" width="9.85546875" style="529" customWidth="1"/>
    <col min="15176" max="15256" width="9.28515625" style="529" customWidth="1"/>
    <col min="15257" max="15260" width="0" style="529" hidden="1" customWidth="1"/>
    <col min="15261" max="15261" width="9.28515625" style="529" customWidth="1"/>
    <col min="15262" max="15265" width="0" style="529" hidden="1" customWidth="1"/>
    <col min="15266" max="15266" width="9.28515625" style="529" customWidth="1"/>
    <col min="15267" max="15268" width="1.7109375" style="529" customWidth="1"/>
    <col min="15269" max="15270" width="6.28515625" style="529" bestFit="1" customWidth="1"/>
    <col min="15271" max="15272" width="5.85546875" style="529" bestFit="1" customWidth="1"/>
    <col min="15273" max="15274" width="2.7109375" style="529" customWidth="1"/>
    <col min="15275" max="15279" width="10.7109375" style="529" customWidth="1"/>
    <col min="15280" max="15280" width="15.5703125" style="529" customWidth="1"/>
    <col min="15281" max="15281" width="1.7109375" style="529" customWidth="1"/>
    <col min="15282" max="15282" width="24.7109375" style="529" customWidth="1"/>
    <col min="15283" max="15287" width="7" style="529" customWidth="1"/>
    <col min="15288" max="15288" width="8.42578125" style="529" customWidth="1"/>
    <col min="15289" max="15376" width="9.140625" style="529"/>
    <col min="15377" max="15377" width="40.7109375" style="529" customWidth="1"/>
    <col min="15378" max="15431" width="9.85546875" style="529" customWidth="1"/>
    <col min="15432" max="15512" width="9.28515625" style="529" customWidth="1"/>
    <col min="15513" max="15516" width="0" style="529" hidden="1" customWidth="1"/>
    <col min="15517" max="15517" width="9.28515625" style="529" customWidth="1"/>
    <col min="15518" max="15521" width="0" style="529" hidden="1" customWidth="1"/>
    <col min="15522" max="15522" width="9.28515625" style="529" customWidth="1"/>
    <col min="15523" max="15524" width="1.7109375" style="529" customWidth="1"/>
    <col min="15525" max="15526" width="6.28515625" style="529" bestFit="1" customWidth="1"/>
    <col min="15527" max="15528" width="5.85546875" style="529" bestFit="1" customWidth="1"/>
    <col min="15529" max="15530" width="2.7109375" style="529" customWidth="1"/>
    <col min="15531" max="15535" width="10.7109375" style="529" customWidth="1"/>
    <col min="15536" max="15536" width="15.5703125" style="529" customWidth="1"/>
    <col min="15537" max="15537" width="1.7109375" style="529" customWidth="1"/>
    <col min="15538" max="15538" width="24.7109375" style="529" customWidth="1"/>
    <col min="15539" max="15543" width="7" style="529" customWidth="1"/>
    <col min="15544" max="15544" width="8.42578125" style="529" customWidth="1"/>
    <col min="15545" max="15632" width="9.140625" style="529"/>
    <col min="15633" max="15633" width="40.7109375" style="529" customWidth="1"/>
    <col min="15634" max="15687" width="9.85546875" style="529" customWidth="1"/>
    <col min="15688" max="15768" width="9.28515625" style="529" customWidth="1"/>
    <col min="15769" max="15772" width="0" style="529" hidden="1" customWidth="1"/>
    <col min="15773" max="15773" width="9.28515625" style="529" customWidth="1"/>
    <col min="15774" max="15777" width="0" style="529" hidden="1" customWidth="1"/>
    <col min="15778" max="15778" width="9.28515625" style="529" customWidth="1"/>
    <col min="15779" max="15780" width="1.7109375" style="529" customWidth="1"/>
    <col min="15781" max="15782" width="6.28515625" style="529" bestFit="1" customWidth="1"/>
    <col min="15783" max="15784" width="5.85546875" style="529" bestFit="1" customWidth="1"/>
    <col min="15785" max="15786" width="2.7109375" style="529" customWidth="1"/>
    <col min="15787" max="15791" width="10.7109375" style="529" customWidth="1"/>
    <col min="15792" max="15792" width="15.5703125" style="529" customWidth="1"/>
    <col min="15793" max="15793" width="1.7109375" style="529" customWidth="1"/>
    <col min="15794" max="15794" width="24.7109375" style="529" customWidth="1"/>
    <col min="15795" max="15799" width="7" style="529" customWidth="1"/>
    <col min="15800" max="15800" width="8.42578125" style="529" customWidth="1"/>
    <col min="15801" max="15888" width="9.140625" style="529"/>
    <col min="15889" max="15889" width="40.7109375" style="529" customWidth="1"/>
    <col min="15890" max="15943" width="9.85546875" style="529" customWidth="1"/>
    <col min="15944" max="16024" width="9.28515625" style="529" customWidth="1"/>
    <col min="16025" max="16028" width="0" style="529" hidden="1" customWidth="1"/>
    <col min="16029" max="16029" width="9.28515625" style="529" customWidth="1"/>
    <col min="16030" max="16033" width="0" style="529" hidden="1" customWidth="1"/>
    <col min="16034" max="16034" width="9.28515625" style="529" customWidth="1"/>
    <col min="16035" max="16036" width="1.7109375" style="529" customWidth="1"/>
    <col min="16037" max="16038" width="6.28515625" style="529" bestFit="1" customWidth="1"/>
    <col min="16039" max="16040" width="5.85546875" style="529" bestFit="1" customWidth="1"/>
    <col min="16041" max="16042" width="2.7109375" style="529" customWidth="1"/>
    <col min="16043" max="16047" width="10.7109375" style="529" customWidth="1"/>
    <col min="16048" max="16048" width="15.5703125" style="529" customWidth="1"/>
    <col min="16049" max="16049" width="1.7109375" style="529" customWidth="1"/>
    <col min="16050" max="16050" width="24.7109375" style="529" customWidth="1"/>
    <col min="16051" max="16055" width="7" style="529" customWidth="1"/>
    <col min="16056" max="16056" width="8.42578125" style="529" customWidth="1"/>
    <col min="16057" max="16144" width="9.140625" style="529"/>
    <col min="16145" max="16145" width="40.7109375" style="529" customWidth="1"/>
    <col min="16146" max="16199" width="9.85546875" style="529" customWidth="1"/>
    <col min="16200" max="16280" width="9.28515625" style="529" customWidth="1"/>
    <col min="16281" max="16284" width="0" style="529" hidden="1" customWidth="1"/>
    <col min="16285" max="16285" width="9.28515625" style="529" customWidth="1"/>
    <col min="16286" max="16289" width="0" style="529" hidden="1" customWidth="1"/>
    <col min="16290" max="16290" width="9.28515625" style="529" customWidth="1"/>
    <col min="16291" max="16292" width="1.7109375" style="529" customWidth="1"/>
    <col min="16293" max="16294" width="6.28515625" style="529" bestFit="1" customWidth="1"/>
    <col min="16295" max="16296" width="5.85546875" style="529" bestFit="1" customWidth="1"/>
    <col min="16297" max="16298" width="2.7109375" style="529" customWidth="1"/>
    <col min="16299" max="16303" width="10.7109375" style="529" customWidth="1"/>
    <col min="16304" max="16304" width="15.5703125" style="529" customWidth="1"/>
    <col min="16305" max="16305" width="1.7109375" style="529" customWidth="1"/>
    <col min="16306" max="16306" width="24.7109375" style="529" customWidth="1"/>
    <col min="16307" max="16311" width="7" style="529" customWidth="1"/>
    <col min="16312" max="16312" width="8.42578125" style="529" customWidth="1"/>
    <col min="16313" max="16384" width="9.140625" style="529"/>
  </cols>
  <sheetData>
    <row r="1" spans="1:184" s="693" customFormat="1" ht="12.75" customHeight="1">
      <c r="A1" s="686"/>
      <c r="B1" s="687">
        <v>1989</v>
      </c>
      <c r="C1" s="688"/>
      <c r="D1" s="688"/>
      <c r="E1" s="688"/>
      <c r="F1" s="689" t="s">
        <v>10</v>
      </c>
      <c r="G1" s="688">
        <f>B1+1</f>
        <v>1990</v>
      </c>
      <c r="H1" s="688"/>
      <c r="I1" s="688"/>
      <c r="J1" s="688"/>
      <c r="K1" s="689" t="s">
        <v>10</v>
      </c>
      <c r="L1" s="688">
        <f>G1+1</f>
        <v>1991</v>
      </c>
      <c r="M1" s="688"/>
      <c r="N1" s="688"/>
      <c r="O1" s="688"/>
      <c r="P1" s="689" t="s">
        <v>10</v>
      </c>
      <c r="Q1" s="688">
        <f>L1+1</f>
        <v>1992</v>
      </c>
      <c r="R1" s="688"/>
      <c r="S1" s="688"/>
      <c r="T1" s="688"/>
      <c r="U1" s="689" t="s">
        <v>10</v>
      </c>
      <c r="V1" s="688">
        <f>Q1+1</f>
        <v>1993</v>
      </c>
      <c r="W1" s="688"/>
      <c r="X1" s="688"/>
      <c r="Y1" s="688"/>
      <c r="Z1" s="689" t="s">
        <v>10</v>
      </c>
      <c r="AA1" s="688">
        <f>V1+1</f>
        <v>1994</v>
      </c>
      <c r="AB1" s="688"/>
      <c r="AC1" s="688"/>
      <c r="AD1" s="688"/>
      <c r="AE1" s="689" t="s">
        <v>10</v>
      </c>
      <c r="AF1" s="688">
        <f>AA1+1</f>
        <v>1995</v>
      </c>
      <c r="AG1" s="688"/>
      <c r="AH1" s="688"/>
      <c r="AI1" s="688"/>
      <c r="AJ1" s="689" t="s">
        <v>10</v>
      </c>
      <c r="AK1" s="688">
        <f>AF1+1</f>
        <v>1996</v>
      </c>
      <c r="AL1" s="688"/>
      <c r="AM1" s="688"/>
      <c r="AN1" s="688"/>
      <c r="AO1" s="689" t="s">
        <v>10</v>
      </c>
      <c r="AP1" s="688">
        <f>AK1+1</f>
        <v>1997</v>
      </c>
      <c r="AQ1" s="688"/>
      <c r="AR1" s="688"/>
      <c r="AS1" s="688"/>
      <c r="AT1" s="689" t="s">
        <v>10</v>
      </c>
      <c r="AU1" s="688">
        <f>AP1+1</f>
        <v>1998</v>
      </c>
      <c r="AV1" s="688"/>
      <c r="AW1" s="688"/>
      <c r="AX1" s="688"/>
      <c r="AY1" s="689" t="s">
        <v>10</v>
      </c>
      <c r="AZ1" s="688">
        <f>AU1+1</f>
        <v>1999</v>
      </c>
      <c r="BA1" s="688"/>
      <c r="BB1" s="688"/>
      <c r="BC1" s="688"/>
      <c r="BD1" s="689" t="s">
        <v>10</v>
      </c>
      <c r="BE1" s="688">
        <f>AZ1+1</f>
        <v>2000</v>
      </c>
      <c r="BF1" s="688"/>
      <c r="BG1" s="688"/>
      <c r="BH1" s="688"/>
      <c r="BI1" s="689" t="s">
        <v>10</v>
      </c>
      <c r="BJ1" s="688">
        <f>BE1+1</f>
        <v>2001</v>
      </c>
      <c r="BK1" s="688"/>
      <c r="BL1" s="688"/>
      <c r="BM1" s="688"/>
      <c r="BN1" s="689" t="s">
        <v>10</v>
      </c>
      <c r="BO1" s="688">
        <f>BJ1+1</f>
        <v>2002</v>
      </c>
      <c r="BP1" s="688"/>
      <c r="BQ1" s="688"/>
      <c r="BR1" s="688"/>
      <c r="BS1" s="689" t="s">
        <v>10</v>
      </c>
      <c r="BT1" s="688">
        <f>BO1+1</f>
        <v>2003</v>
      </c>
      <c r="BU1" s="688"/>
      <c r="BV1" s="688"/>
      <c r="BW1" s="688"/>
      <c r="BX1" s="689" t="s">
        <v>10</v>
      </c>
      <c r="BY1" s="688">
        <f>BT1+1</f>
        <v>2004</v>
      </c>
      <c r="BZ1" s="688"/>
      <c r="CA1" s="688"/>
      <c r="CB1" s="688"/>
      <c r="CC1" s="689" t="s">
        <v>10</v>
      </c>
      <c r="CD1" s="688">
        <f>BY1+1</f>
        <v>2005</v>
      </c>
      <c r="CE1" s="688"/>
      <c r="CF1" s="688"/>
      <c r="CG1" s="688"/>
      <c r="CH1" s="689" t="s">
        <v>10</v>
      </c>
      <c r="CI1" s="688">
        <f>CD1+1</f>
        <v>2006</v>
      </c>
      <c r="CJ1" s="688"/>
      <c r="CK1" s="688"/>
      <c r="CL1" s="688"/>
      <c r="CM1" s="689" t="s">
        <v>10</v>
      </c>
      <c r="CN1" s="688">
        <f>CI1+1</f>
        <v>2007</v>
      </c>
      <c r="CO1" s="688"/>
      <c r="CP1" s="688"/>
      <c r="CQ1" s="688"/>
      <c r="CR1" s="689" t="s">
        <v>10</v>
      </c>
      <c r="CS1" s="688">
        <f>CN1+1</f>
        <v>2008</v>
      </c>
      <c r="CT1" s="688"/>
      <c r="CU1" s="688"/>
      <c r="CV1" s="688"/>
      <c r="CW1" s="689" t="s">
        <v>10</v>
      </c>
      <c r="CX1" s="688">
        <f>CS1+1</f>
        <v>2009</v>
      </c>
      <c r="CY1" s="688"/>
      <c r="CZ1" s="688"/>
      <c r="DA1" s="688"/>
      <c r="DB1" s="689" t="s">
        <v>10</v>
      </c>
      <c r="DC1" s="688">
        <f>CX1+1</f>
        <v>2010</v>
      </c>
      <c r="DD1" s="688"/>
      <c r="DE1" s="688"/>
      <c r="DF1" s="688"/>
      <c r="DG1" s="689" t="s">
        <v>10</v>
      </c>
      <c r="DH1" s="688">
        <f>DC1+1</f>
        <v>2011</v>
      </c>
      <c r="DI1" s="688"/>
      <c r="DJ1" s="688"/>
      <c r="DK1" s="688"/>
      <c r="DL1" s="689" t="s">
        <v>10</v>
      </c>
      <c r="DM1" s="688">
        <f>DH1+1</f>
        <v>2012</v>
      </c>
      <c r="DN1" s="688"/>
      <c r="DO1" s="688"/>
      <c r="DP1" s="688"/>
      <c r="DQ1" s="689" t="s">
        <v>10</v>
      </c>
      <c r="DR1" s="688">
        <f>DM1+1</f>
        <v>2013</v>
      </c>
      <c r="DS1" s="688"/>
      <c r="DT1" s="688"/>
      <c r="DU1" s="688"/>
      <c r="DV1" s="689" t="s">
        <v>10</v>
      </c>
      <c r="DW1" s="688">
        <f>DR1+1</f>
        <v>2014</v>
      </c>
      <c r="DX1" s="688"/>
      <c r="DY1" s="688"/>
      <c r="DZ1" s="688"/>
      <c r="EA1" s="689" t="s">
        <v>10</v>
      </c>
      <c r="EB1" s="688">
        <f>DW1+1</f>
        <v>2015</v>
      </c>
      <c r="EC1" s="688"/>
      <c r="ED1" s="688"/>
      <c r="EE1" s="688"/>
      <c r="EF1" s="689" t="s">
        <v>10</v>
      </c>
      <c r="EG1" s="688">
        <f>EB1+1</f>
        <v>2016</v>
      </c>
      <c r="EH1" s="688"/>
      <c r="EI1" s="688"/>
      <c r="EJ1" s="688"/>
      <c r="EK1" s="689" t="s">
        <v>10</v>
      </c>
      <c r="EL1" s="688">
        <f>EG1+1</f>
        <v>2017</v>
      </c>
      <c r="EM1" s="688"/>
      <c r="EN1" s="688"/>
      <c r="EO1" s="688"/>
      <c r="EP1" s="689" t="s">
        <v>10</v>
      </c>
      <c r="EQ1" s="688">
        <f>EL1+1</f>
        <v>2018</v>
      </c>
      <c r="ER1" s="688"/>
      <c r="ES1" s="688"/>
      <c r="ET1" s="688"/>
      <c r="EU1" s="689" t="s">
        <v>10</v>
      </c>
      <c r="EV1" s="688">
        <f>EQ1+1</f>
        <v>2019</v>
      </c>
      <c r="EW1" s="688"/>
      <c r="EX1" s="688"/>
      <c r="EY1" s="688"/>
      <c r="EZ1" s="689" t="s">
        <v>10</v>
      </c>
      <c r="FA1" s="688">
        <f>EV1+1</f>
        <v>2020</v>
      </c>
      <c r="FB1" s="688"/>
      <c r="FC1" s="688"/>
      <c r="FD1" s="688"/>
      <c r="FE1" s="689" t="s">
        <v>10</v>
      </c>
      <c r="FF1" s="690"/>
      <c r="FG1" s="690"/>
      <c r="FH1" s="237" t="s">
        <v>109</v>
      </c>
      <c r="FI1" s="237" t="s">
        <v>110</v>
      </c>
      <c r="FJ1" s="237" t="s">
        <v>111</v>
      </c>
      <c r="FK1" s="237" t="s">
        <v>112</v>
      </c>
      <c r="FL1" s="690"/>
      <c r="FM1" s="691" t="s">
        <v>114</v>
      </c>
      <c r="FN1" s="691"/>
      <c r="FO1" s="690"/>
      <c r="FP1" s="690"/>
      <c r="FQ1" s="690"/>
      <c r="FR1" s="690"/>
      <c r="FS1" s="690"/>
      <c r="FT1" s="690"/>
      <c r="FU1" s="690"/>
      <c r="FV1"/>
      <c r="FW1"/>
      <c r="FX1"/>
      <c r="FY1"/>
      <c r="FZ1"/>
      <c r="GA1"/>
      <c r="GB1" s="692"/>
    </row>
    <row r="2" spans="1:184" s="699" customFormat="1" ht="12.75" customHeight="1">
      <c r="A2" s="694" t="s">
        <v>255</v>
      </c>
      <c r="B2" s="695" t="s">
        <v>11</v>
      </c>
      <c r="C2" s="696" t="s">
        <v>12</v>
      </c>
      <c r="D2" s="696" t="s">
        <v>13</v>
      </c>
      <c r="E2" s="696" t="s">
        <v>14</v>
      </c>
      <c r="F2" s="689" t="s">
        <v>256</v>
      </c>
      <c r="G2" s="696" t="s">
        <v>11</v>
      </c>
      <c r="H2" s="696" t="s">
        <v>12</v>
      </c>
      <c r="I2" s="696" t="s">
        <v>13</v>
      </c>
      <c r="J2" s="696" t="s">
        <v>14</v>
      </c>
      <c r="K2" s="689" t="s">
        <v>257</v>
      </c>
      <c r="L2" s="696" t="s">
        <v>11</v>
      </c>
      <c r="M2" s="696" t="s">
        <v>12</v>
      </c>
      <c r="N2" s="696" t="s">
        <v>13</v>
      </c>
      <c r="O2" s="696" t="s">
        <v>14</v>
      </c>
      <c r="P2" s="689" t="s">
        <v>258</v>
      </c>
      <c r="Q2" s="696" t="s">
        <v>11</v>
      </c>
      <c r="R2" s="696" t="s">
        <v>12</v>
      </c>
      <c r="S2" s="696" t="s">
        <v>13</v>
      </c>
      <c r="T2" s="696" t="s">
        <v>14</v>
      </c>
      <c r="U2" s="689" t="s">
        <v>259</v>
      </c>
      <c r="V2" s="696" t="s">
        <v>11</v>
      </c>
      <c r="W2" s="696" t="s">
        <v>12</v>
      </c>
      <c r="X2" s="696" t="s">
        <v>13</v>
      </c>
      <c r="Y2" s="696" t="s">
        <v>14</v>
      </c>
      <c r="Z2" s="689" t="s">
        <v>260</v>
      </c>
      <c r="AA2" s="696" t="s">
        <v>11</v>
      </c>
      <c r="AB2" s="696" t="s">
        <v>12</v>
      </c>
      <c r="AC2" s="696" t="s">
        <v>13</v>
      </c>
      <c r="AD2" s="696" t="s">
        <v>14</v>
      </c>
      <c r="AE2" s="689" t="s">
        <v>261</v>
      </c>
      <c r="AF2" s="696" t="s">
        <v>11</v>
      </c>
      <c r="AG2" s="696" t="s">
        <v>12</v>
      </c>
      <c r="AH2" s="696" t="s">
        <v>13</v>
      </c>
      <c r="AI2" s="696" t="s">
        <v>14</v>
      </c>
      <c r="AJ2" s="689" t="s">
        <v>262</v>
      </c>
      <c r="AK2" s="696" t="s">
        <v>11</v>
      </c>
      <c r="AL2" s="696" t="s">
        <v>12</v>
      </c>
      <c r="AM2" s="696" t="s">
        <v>13</v>
      </c>
      <c r="AN2" s="696" t="s">
        <v>14</v>
      </c>
      <c r="AO2" s="689" t="s">
        <v>263</v>
      </c>
      <c r="AP2" s="696" t="s">
        <v>11</v>
      </c>
      <c r="AQ2" s="696" t="s">
        <v>12</v>
      </c>
      <c r="AR2" s="696" t="s">
        <v>13</v>
      </c>
      <c r="AS2" s="696" t="s">
        <v>14</v>
      </c>
      <c r="AT2" s="689" t="s">
        <v>264</v>
      </c>
      <c r="AU2" s="696" t="s">
        <v>11</v>
      </c>
      <c r="AV2" s="696" t="s">
        <v>12</v>
      </c>
      <c r="AW2" s="696" t="s">
        <v>13</v>
      </c>
      <c r="AX2" s="696" t="s">
        <v>14</v>
      </c>
      <c r="AY2" s="689" t="s">
        <v>265</v>
      </c>
      <c r="AZ2" s="696" t="s">
        <v>11</v>
      </c>
      <c r="BA2" s="696" t="s">
        <v>12</v>
      </c>
      <c r="BB2" s="696" t="s">
        <v>13</v>
      </c>
      <c r="BC2" s="696" t="s">
        <v>14</v>
      </c>
      <c r="BD2" s="689" t="s">
        <v>266</v>
      </c>
      <c r="BE2" s="696" t="s">
        <v>11</v>
      </c>
      <c r="BF2" s="696" t="s">
        <v>12</v>
      </c>
      <c r="BG2" s="696" t="s">
        <v>13</v>
      </c>
      <c r="BH2" s="696" t="s">
        <v>14</v>
      </c>
      <c r="BI2" s="689" t="s">
        <v>267</v>
      </c>
      <c r="BJ2" s="696" t="s">
        <v>11</v>
      </c>
      <c r="BK2" s="696" t="s">
        <v>12</v>
      </c>
      <c r="BL2" s="696" t="s">
        <v>13</v>
      </c>
      <c r="BM2" s="696" t="s">
        <v>14</v>
      </c>
      <c r="BN2" s="689" t="s">
        <v>268</v>
      </c>
      <c r="BO2" s="696" t="s">
        <v>11</v>
      </c>
      <c r="BP2" s="696" t="s">
        <v>12</v>
      </c>
      <c r="BQ2" s="696" t="s">
        <v>13</v>
      </c>
      <c r="BR2" s="696" t="s">
        <v>14</v>
      </c>
      <c r="BS2" s="689" t="s">
        <v>269</v>
      </c>
      <c r="BT2" s="696" t="s">
        <v>11</v>
      </c>
      <c r="BU2" s="696" t="s">
        <v>12</v>
      </c>
      <c r="BV2" s="696" t="s">
        <v>13</v>
      </c>
      <c r="BW2" s="696" t="s">
        <v>14</v>
      </c>
      <c r="BX2" s="689" t="s">
        <v>270</v>
      </c>
      <c r="BY2" s="696" t="s">
        <v>11</v>
      </c>
      <c r="BZ2" s="696" t="s">
        <v>12</v>
      </c>
      <c r="CA2" s="696" t="s">
        <v>13</v>
      </c>
      <c r="CB2" s="696" t="s">
        <v>14</v>
      </c>
      <c r="CC2" s="689" t="s">
        <v>271</v>
      </c>
      <c r="CD2" s="696" t="s">
        <v>11</v>
      </c>
      <c r="CE2" s="696" t="s">
        <v>12</v>
      </c>
      <c r="CF2" s="696" t="s">
        <v>13</v>
      </c>
      <c r="CG2" s="696" t="s">
        <v>14</v>
      </c>
      <c r="CH2" s="689" t="s">
        <v>32</v>
      </c>
      <c r="CI2" s="696" t="s">
        <v>11</v>
      </c>
      <c r="CJ2" s="696" t="s">
        <v>12</v>
      </c>
      <c r="CK2" s="696" t="s">
        <v>13</v>
      </c>
      <c r="CL2" s="696" t="s">
        <v>14</v>
      </c>
      <c r="CM2" s="689" t="s">
        <v>33</v>
      </c>
      <c r="CN2" s="696" t="s">
        <v>11</v>
      </c>
      <c r="CO2" s="696" t="s">
        <v>12</v>
      </c>
      <c r="CP2" s="696" t="s">
        <v>13</v>
      </c>
      <c r="CQ2" s="696" t="s">
        <v>14</v>
      </c>
      <c r="CR2" s="689" t="s">
        <v>34</v>
      </c>
      <c r="CS2" s="696" t="s">
        <v>11</v>
      </c>
      <c r="CT2" s="696" t="s">
        <v>12</v>
      </c>
      <c r="CU2" s="696" t="s">
        <v>13</v>
      </c>
      <c r="CV2" s="696" t="s">
        <v>14</v>
      </c>
      <c r="CW2" s="689" t="s">
        <v>38</v>
      </c>
      <c r="CX2" s="696" t="s">
        <v>11</v>
      </c>
      <c r="CY2" s="696" t="s">
        <v>12</v>
      </c>
      <c r="CZ2" s="696" t="s">
        <v>13</v>
      </c>
      <c r="DA2" s="696" t="s">
        <v>14</v>
      </c>
      <c r="DB2" s="689" t="s">
        <v>37</v>
      </c>
      <c r="DC2" s="696" t="s">
        <v>11</v>
      </c>
      <c r="DD2" s="696" t="s">
        <v>12</v>
      </c>
      <c r="DE2" s="696" t="s">
        <v>13</v>
      </c>
      <c r="DF2" s="696" t="s">
        <v>14</v>
      </c>
      <c r="DG2" s="689" t="s">
        <v>82</v>
      </c>
      <c r="DH2" s="696" t="s">
        <v>11</v>
      </c>
      <c r="DI2" s="696" t="s">
        <v>12</v>
      </c>
      <c r="DJ2" s="696" t="s">
        <v>13</v>
      </c>
      <c r="DK2" s="696" t="s">
        <v>14</v>
      </c>
      <c r="DL2" s="689" t="s">
        <v>108</v>
      </c>
      <c r="DM2" s="696" t="s">
        <v>11</v>
      </c>
      <c r="DN2" s="696" t="s">
        <v>12</v>
      </c>
      <c r="DO2" s="696" t="s">
        <v>13</v>
      </c>
      <c r="DP2" s="696" t="s">
        <v>14</v>
      </c>
      <c r="DQ2" s="689" t="s">
        <v>172</v>
      </c>
      <c r="DR2" s="696" t="s">
        <v>11</v>
      </c>
      <c r="DS2" s="696" t="s">
        <v>12</v>
      </c>
      <c r="DT2" s="696" t="s">
        <v>13</v>
      </c>
      <c r="DU2" s="696" t="s">
        <v>14</v>
      </c>
      <c r="DV2" s="689" t="s">
        <v>179</v>
      </c>
      <c r="DW2" s="696" t="s">
        <v>11</v>
      </c>
      <c r="DX2" s="696" t="s">
        <v>12</v>
      </c>
      <c r="DY2" s="696" t="s">
        <v>13</v>
      </c>
      <c r="DZ2" s="696" t="s">
        <v>14</v>
      </c>
      <c r="EA2" s="689" t="s">
        <v>183</v>
      </c>
      <c r="EB2" s="696" t="s">
        <v>11</v>
      </c>
      <c r="EC2" s="696" t="s">
        <v>12</v>
      </c>
      <c r="ED2" s="696" t="s">
        <v>35</v>
      </c>
      <c r="EE2" s="696" t="s">
        <v>15</v>
      </c>
      <c r="EF2" s="689" t="s">
        <v>129</v>
      </c>
      <c r="EG2" s="696" t="s">
        <v>117</v>
      </c>
      <c r="EH2" s="696" t="s">
        <v>118</v>
      </c>
      <c r="EI2" s="696" t="s">
        <v>35</v>
      </c>
      <c r="EJ2" s="696" t="s">
        <v>15</v>
      </c>
      <c r="EK2" s="689" t="s">
        <v>130</v>
      </c>
      <c r="EL2" s="696" t="s">
        <v>117</v>
      </c>
      <c r="EM2" s="696" t="s">
        <v>118</v>
      </c>
      <c r="EN2" s="696" t="s">
        <v>35</v>
      </c>
      <c r="EO2" s="696" t="s">
        <v>15</v>
      </c>
      <c r="EP2" s="689" t="s">
        <v>131</v>
      </c>
      <c r="EQ2" s="696" t="s">
        <v>117</v>
      </c>
      <c r="ER2" s="696" t="s">
        <v>118</v>
      </c>
      <c r="ES2" s="696" t="s">
        <v>35</v>
      </c>
      <c r="ET2" s="696" t="s">
        <v>15</v>
      </c>
      <c r="EU2" s="689" t="s">
        <v>209</v>
      </c>
      <c r="EV2" s="696" t="s">
        <v>117</v>
      </c>
      <c r="EW2" s="696" t="s">
        <v>118</v>
      </c>
      <c r="EX2" s="696" t="s">
        <v>35</v>
      </c>
      <c r="EY2" s="696" t="s">
        <v>15</v>
      </c>
      <c r="EZ2" s="689" t="s">
        <v>210</v>
      </c>
      <c r="FA2" s="696" t="s">
        <v>117</v>
      </c>
      <c r="FB2" s="696" t="s">
        <v>118</v>
      </c>
      <c r="FC2" s="696" t="s">
        <v>35</v>
      </c>
      <c r="FD2" s="696" t="s">
        <v>15</v>
      </c>
      <c r="FE2" s="689" t="s">
        <v>211</v>
      </c>
      <c r="FF2" s="697"/>
      <c r="FG2" s="690"/>
      <c r="FH2" s="238" t="s">
        <v>113</v>
      </c>
      <c r="FI2" s="238" t="s">
        <v>113</v>
      </c>
      <c r="FJ2" s="238" t="s">
        <v>113</v>
      </c>
      <c r="FK2" s="238" t="s">
        <v>113</v>
      </c>
      <c r="FL2" s="690"/>
      <c r="FM2" s="698"/>
      <c r="FN2" s="698"/>
      <c r="FO2" s="697"/>
      <c r="FP2" s="697"/>
      <c r="FQ2" s="697"/>
      <c r="FR2" s="697"/>
      <c r="FS2" s="697"/>
      <c r="FT2" s="697"/>
      <c r="FU2" s="690"/>
      <c r="FV2"/>
      <c r="FW2"/>
      <c r="FX2"/>
      <c r="FY2"/>
      <c r="FZ2"/>
      <c r="GA2"/>
      <c r="GB2" s="696"/>
    </row>
    <row r="3" spans="1:184" s="714" customFormat="1" ht="12.75" hidden="1" customHeight="1" outlineLevel="1">
      <c r="A3" s="700" t="s">
        <v>272</v>
      </c>
      <c r="B3" s="701"/>
      <c r="C3" s="702"/>
      <c r="D3" s="702"/>
      <c r="E3" s="702"/>
      <c r="F3" s="703"/>
      <c r="G3" s="702"/>
      <c r="H3" s="702"/>
      <c r="I3" s="702"/>
      <c r="J3" s="702"/>
      <c r="K3" s="703"/>
      <c r="L3" s="702"/>
      <c r="M3" s="702"/>
      <c r="N3" s="702"/>
      <c r="O3" s="702"/>
      <c r="P3" s="703"/>
      <c r="Q3" s="702"/>
      <c r="R3" s="702"/>
      <c r="S3" s="702"/>
      <c r="T3" s="702"/>
      <c r="U3" s="703"/>
      <c r="V3" s="702"/>
      <c r="W3" s="702"/>
      <c r="X3" s="702"/>
      <c r="Y3" s="702"/>
      <c r="Z3" s="703"/>
      <c r="AA3" s="702"/>
      <c r="AB3" s="702"/>
      <c r="AC3" s="702"/>
      <c r="AD3" s="702"/>
      <c r="AE3" s="703"/>
      <c r="AF3" s="702"/>
      <c r="AG3" s="702"/>
      <c r="AH3" s="702"/>
      <c r="AI3" s="702"/>
      <c r="AJ3" s="703"/>
      <c r="AK3" s="704"/>
      <c r="AL3" s="702"/>
      <c r="AM3" s="702"/>
      <c r="AN3" s="702"/>
      <c r="AO3" s="703"/>
      <c r="AP3" s="704"/>
      <c r="AQ3" s="702"/>
      <c r="AR3" s="702"/>
      <c r="AS3" s="702"/>
      <c r="AT3" s="703"/>
      <c r="AU3" s="704"/>
      <c r="AV3" s="702"/>
      <c r="AW3" s="702"/>
      <c r="AX3" s="702"/>
      <c r="AY3" s="703"/>
      <c r="AZ3" s="704"/>
      <c r="BA3" s="702"/>
      <c r="BB3" s="702"/>
      <c r="BC3" s="702"/>
      <c r="BD3" s="703"/>
      <c r="BE3" s="704"/>
      <c r="BF3" s="702"/>
      <c r="BG3" s="702"/>
      <c r="BH3" s="702"/>
      <c r="BI3" s="703"/>
      <c r="BJ3" s="704"/>
      <c r="BK3" s="702"/>
      <c r="BL3" s="702"/>
      <c r="BM3" s="702"/>
      <c r="BN3" s="703"/>
      <c r="BO3" s="704"/>
      <c r="BP3" s="702"/>
      <c r="BQ3" s="702"/>
      <c r="BR3" s="702"/>
      <c r="BS3" s="703"/>
      <c r="BT3" s="704"/>
      <c r="BU3" s="702"/>
      <c r="BV3" s="702"/>
      <c r="BW3" s="702"/>
      <c r="BX3" s="703"/>
      <c r="BY3" s="704"/>
      <c r="BZ3" s="702"/>
      <c r="CA3" s="702"/>
      <c r="CB3" s="702"/>
      <c r="CC3" s="703"/>
      <c r="CD3" s="704"/>
      <c r="CE3" s="704"/>
      <c r="CF3" s="704"/>
      <c r="CG3" s="704"/>
      <c r="CH3" s="703"/>
      <c r="CI3" s="704"/>
      <c r="CJ3" s="704"/>
      <c r="CK3" s="704"/>
      <c r="CL3" s="704"/>
      <c r="CM3" s="703"/>
      <c r="CN3" s="704"/>
      <c r="CO3" s="704"/>
      <c r="CP3" s="705"/>
      <c r="CQ3" s="705"/>
      <c r="CR3" s="703"/>
      <c r="CS3" s="705"/>
      <c r="CT3" s="705"/>
      <c r="CU3" s="705"/>
      <c r="CV3" s="705"/>
      <c r="CW3" s="703"/>
      <c r="CX3" s="705"/>
      <c r="CY3" s="705"/>
      <c r="CZ3" s="705"/>
      <c r="DA3" s="705"/>
      <c r="DB3" s="703"/>
      <c r="DC3" s="705"/>
      <c r="DD3" s="705"/>
      <c r="DE3" s="705"/>
      <c r="DF3" s="705"/>
      <c r="DG3" s="703"/>
      <c r="DH3" s="705"/>
      <c r="DI3" s="705"/>
      <c r="DJ3" s="705"/>
      <c r="DK3" s="705"/>
      <c r="DL3" s="703"/>
      <c r="DM3" s="702"/>
      <c r="DN3" s="702"/>
      <c r="DO3" s="702"/>
      <c r="DP3" s="705"/>
      <c r="DQ3" s="703"/>
      <c r="DR3" s="702"/>
      <c r="DS3" s="702"/>
      <c r="DT3" s="702"/>
      <c r="DU3" s="705"/>
      <c r="DV3" s="703"/>
      <c r="DW3" s="702"/>
      <c r="DX3" s="702"/>
      <c r="DY3" s="702"/>
      <c r="DZ3" s="705"/>
      <c r="EA3" s="703"/>
      <c r="EB3" s="702"/>
      <c r="EC3" s="702"/>
      <c r="ED3" s="702"/>
      <c r="EE3" s="702"/>
      <c r="EF3" s="703"/>
      <c r="EG3" s="702"/>
      <c r="EH3" s="702"/>
      <c r="EI3" s="702"/>
      <c r="EJ3" s="702"/>
      <c r="EK3" s="703"/>
      <c r="EL3" s="702"/>
      <c r="EM3" s="702"/>
      <c r="EN3" s="702"/>
      <c r="EO3" s="702"/>
      <c r="EP3" s="703"/>
      <c r="EQ3" s="702"/>
      <c r="ER3" s="702"/>
      <c r="ES3" s="702"/>
      <c r="ET3" s="702"/>
      <c r="EU3" s="703"/>
      <c r="EV3" s="702"/>
      <c r="EW3" s="702"/>
      <c r="EX3" s="702"/>
      <c r="EY3" s="702"/>
      <c r="EZ3" s="703"/>
      <c r="FA3" s="702"/>
      <c r="FB3" s="702"/>
      <c r="FC3" s="702"/>
      <c r="FD3" s="702"/>
      <c r="FE3" s="703"/>
      <c r="FF3" s="706"/>
      <c r="FG3" s="690"/>
      <c r="FH3" s="707"/>
      <c r="FI3" s="707"/>
      <c r="FJ3" s="707"/>
      <c r="FK3" s="707"/>
      <c r="FL3" s="690"/>
      <c r="FM3" s="708"/>
      <c r="FN3" s="708"/>
      <c r="FO3" s="709"/>
      <c r="FP3" s="709"/>
      <c r="FQ3" s="709"/>
      <c r="FR3" s="709"/>
      <c r="FS3" s="709"/>
      <c r="FT3" s="709"/>
      <c r="FU3" s="690"/>
      <c r="FV3"/>
      <c r="FW3"/>
      <c r="FX3"/>
      <c r="FY3"/>
      <c r="FZ3"/>
      <c r="GA3"/>
      <c r="GB3" s="713"/>
    </row>
    <row r="4" spans="1:184" s="726" customFormat="1" ht="12.75" hidden="1" customHeight="1" outlineLevel="1">
      <c r="A4" s="715" t="s">
        <v>273</v>
      </c>
      <c r="B4" s="716"/>
      <c r="C4" s="717"/>
      <c r="D4" s="717"/>
      <c r="E4" s="717"/>
      <c r="F4" s="718"/>
      <c r="G4" s="719"/>
      <c r="H4" s="719"/>
      <c r="I4" s="719"/>
      <c r="J4" s="719"/>
      <c r="K4" s="718"/>
      <c r="L4" s="719"/>
      <c r="M4" s="719"/>
      <c r="N4" s="719"/>
      <c r="O4" s="719"/>
      <c r="P4" s="718"/>
      <c r="Q4" s="719"/>
      <c r="R4" s="719"/>
      <c r="S4" s="719"/>
      <c r="T4" s="719"/>
      <c r="U4" s="718"/>
      <c r="V4" s="719"/>
      <c r="W4" s="719"/>
      <c r="X4" s="719"/>
      <c r="Y4" s="719"/>
      <c r="Z4" s="718"/>
      <c r="AA4" s="719"/>
      <c r="AB4" s="719"/>
      <c r="AC4" s="719"/>
      <c r="AD4" s="719"/>
      <c r="AE4" s="718"/>
      <c r="AF4" s="719"/>
      <c r="AG4" s="719"/>
      <c r="AH4" s="719"/>
      <c r="AI4" s="719"/>
      <c r="AJ4" s="718"/>
      <c r="AK4" s="719"/>
      <c r="AL4" s="719"/>
      <c r="AM4" s="719"/>
      <c r="AN4" s="719"/>
      <c r="AO4" s="718"/>
      <c r="AP4" s="719"/>
      <c r="AQ4" s="719"/>
      <c r="AR4" s="719"/>
      <c r="AS4" s="719"/>
      <c r="AT4" s="718"/>
      <c r="AU4" s="719"/>
      <c r="AV4" s="719"/>
      <c r="AW4" s="719"/>
      <c r="AX4" s="719"/>
      <c r="AY4" s="718"/>
      <c r="AZ4" s="719"/>
      <c r="BA4" s="719"/>
      <c r="BB4" s="719"/>
      <c r="BC4" s="719"/>
      <c r="BD4" s="718"/>
      <c r="BE4" s="719"/>
      <c r="BF4" s="719"/>
      <c r="BG4" s="719"/>
      <c r="BH4" s="719"/>
      <c r="BI4" s="718"/>
      <c r="BJ4" s="719"/>
      <c r="BK4" s="719"/>
      <c r="BL4" s="719"/>
      <c r="BM4" s="719"/>
      <c r="BN4" s="718"/>
      <c r="BO4" s="719"/>
      <c r="BP4" s="719"/>
      <c r="BQ4" s="719"/>
      <c r="BR4" s="719"/>
      <c r="BS4" s="718"/>
      <c r="BT4" s="719"/>
      <c r="BU4" s="719"/>
      <c r="BV4" s="719"/>
      <c r="BW4" s="719"/>
      <c r="BX4" s="718"/>
      <c r="BY4" s="719"/>
      <c r="BZ4" s="719"/>
      <c r="CA4" s="719"/>
      <c r="CB4" s="719"/>
      <c r="CC4" s="718"/>
      <c r="CD4" s="719"/>
      <c r="CE4" s="719"/>
      <c r="CF4" s="719"/>
      <c r="CG4" s="719"/>
      <c r="CH4" s="718"/>
      <c r="CI4" s="719"/>
      <c r="CJ4" s="719"/>
      <c r="CK4" s="719"/>
      <c r="CL4" s="719"/>
      <c r="CM4" s="718"/>
      <c r="CN4" s="719"/>
      <c r="CO4" s="719"/>
      <c r="CP4" s="719"/>
      <c r="CQ4" s="719"/>
      <c r="CR4" s="718"/>
      <c r="CS4" s="719"/>
      <c r="CT4" s="719"/>
      <c r="CU4" s="719"/>
      <c r="CV4" s="719"/>
      <c r="CW4" s="718"/>
      <c r="CX4" s="719"/>
      <c r="CY4" s="719"/>
      <c r="CZ4" s="719"/>
      <c r="DA4" s="719"/>
      <c r="DB4" s="718"/>
      <c r="DC4" s="719"/>
      <c r="DD4" s="719"/>
      <c r="DE4" s="719"/>
      <c r="DF4" s="719"/>
      <c r="DG4" s="718"/>
      <c r="DH4" s="719"/>
      <c r="DI4" s="719"/>
      <c r="DJ4" s="719"/>
      <c r="DK4" s="719"/>
      <c r="DL4" s="718"/>
      <c r="DM4" s="720"/>
      <c r="DN4" s="720"/>
      <c r="DO4" s="720"/>
      <c r="DP4" s="719"/>
      <c r="DQ4" s="718"/>
      <c r="DR4" s="720"/>
      <c r="DS4" s="720"/>
      <c r="DT4" s="720"/>
      <c r="DU4" s="719"/>
      <c r="DV4" s="718"/>
      <c r="DW4" s="720"/>
      <c r="DX4" s="720"/>
      <c r="DY4" s="720"/>
      <c r="DZ4" s="719"/>
      <c r="EA4" s="718"/>
      <c r="EB4" s="720"/>
      <c r="EC4" s="720"/>
      <c r="ED4" s="720"/>
      <c r="EE4" s="720"/>
      <c r="EF4" s="718"/>
      <c r="EG4" s="720"/>
      <c r="EH4" s="720"/>
      <c r="EI4" s="720"/>
      <c r="EJ4" s="720"/>
      <c r="EK4" s="718"/>
      <c r="EL4" s="720"/>
      <c r="EM4" s="720"/>
      <c r="EN4" s="720"/>
      <c r="EO4" s="720"/>
      <c r="EP4" s="718"/>
      <c r="EQ4" s="720"/>
      <c r="ER4" s="720"/>
      <c r="ES4" s="720"/>
      <c r="ET4" s="720"/>
      <c r="EU4" s="718"/>
      <c r="EV4" s="720"/>
      <c r="EW4" s="720"/>
      <c r="EX4" s="720"/>
      <c r="EY4" s="720"/>
      <c r="EZ4" s="718"/>
      <c r="FA4" s="720"/>
      <c r="FB4" s="720"/>
      <c r="FC4" s="720"/>
      <c r="FD4" s="720"/>
      <c r="FE4" s="718"/>
      <c r="FF4" s="721"/>
      <c r="FG4" s="690"/>
      <c r="FH4" s="722"/>
      <c r="FI4" s="722"/>
      <c r="FJ4" s="722"/>
      <c r="FK4" s="722"/>
      <c r="FL4" s="690"/>
      <c r="FM4" s="708"/>
      <c r="FN4" s="708"/>
      <c r="FO4" s="723"/>
      <c r="FP4" s="723"/>
      <c r="FQ4" s="723"/>
      <c r="FR4" s="723"/>
      <c r="FS4" s="723"/>
      <c r="FT4" s="723"/>
      <c r="FU4" s="690"/>
      <c r="FV4"/>
      <c r="FW4"/>
      <c r="FX4"/>
      <c r="FY4"/>
      <c r="FZ4"/>
      <c r="GA4"/>
      <c r="GB4" s="725"/>
    </row>
    <row r="5" spans="1:184" s="726" customFormat="1" ht="12.75" hidden="1" customHeight="1" outlineLevel="1">
      <c r="A5" s="727" t="s">
        <v>274</v>
      </c>
      <c r="B5" s="728"/>
      <c r="C5" s="729"/>
      <c r="D5" s="729"/>
      <c r="E5" s="729"/>
      <c r="F5" s="730"/>
      <c r="G5" s="731"/>
      <c r="H5" s="731"/>
      <c r="I5" s="731"/>
      <c r="J5" s="731"/>
      <c r="K5" s="730"/>
      <c r="L5" s="731"/>
      <c r="M5" s="731"/>
      <c r="N5" s="731"/>
      <c r="O5" s="731"/>
      <c r="P5" s="730"/>
      <c r="Q5" s="731"/>
      <c r="R5" s="731"/>
      <c r="S5" s="731"/>
      <c r="T5" s="731"/>
      <c r="U5" s="730"/>
      <c r="V5" s="731"/>
      <c r="W5" s="731"/>
      <c r="X5" s="731"/>
      <c r="Y5" s="731"/>
      <c r="Z5" s="730"/>
      <c r="AA5" s="732">
        <f>AA9/1000*AA7</f>
        <v>40.940143954523919</v>
      </c>
      <c r="AB5" s="732">
        <f>AB9/1000*AB7</f>
        <v>51.193317103722435</v>
      </c>
      <c r="AC5" s="732">
        <f>AC9/1000*AC7</f>
        <v>51.000837402554055</v>
      </c>
      <c r="AD5" s="732">
        <f>AD9/1000*AD7</f>
        <v>52.108532865248485</v>
      </c>
      <c r="AE5" s="730">
        <f>SUM(AA5:AD5)</f>
        <v>195.2428313260489</v>
      </c>
      <c r="AF5" s="732">
        <f>AF9/1000*AF7</f>
        <v>57.868522959898662</v>
      </c>
      <c r="AG5" s="732">
        <f>AG9/1000*AG7</f>
        <v>67.201849458119099</v>
      </c>
      <c r="AH5" s="732">
        <f>AH9/1000*AH7</f>
        <v>73.042343585199859</v>
      </c>
      <c r="AI5" s="732">
        <f>AI9/1000*AI7</f>
        <v>75.446328499687183</v>
      </c>
      <c r="AJ5" s="730">
        <f>SUM(AF5:AI5)</f>
        <v>273.55904450290484</v>
      </c>
      <c r="AK5" s="732">
        <f>AK9/1000*AK7</f>
        <v>70.421078664125432</v>
      </c>
      <c r="AL5" s="732">
        <f>AL9/1000*AL7</f>
        <v>73.045290451259348</v>
      </c>
      <c r="AM5" s="732">
        <f>AM9/1000*AM7</f>
        <v>78.022341759356621</v>
      </c>
      <c r="AN5" s="732">
        <f>AN9/1000*AN7</f>
        <v>75.854643122532636</v>
      </c>
      <c r="AO5" s="730">
        <f>SUM(AK5:AN5)</f>
        <v>297.34335399727405</v>
      </c>
      <c r="AP5" s="732">
        <f>AP9/1000*AP7</f>
        <v>73.9133118966284</v>
      </c>
      <c r="AQ5" s="732">
        <f>AQ9/1000*AQ7</f>
        <v>77.495260667810356</v>
      </c>
      <c r="AR5" s="732">
        <f>AR9/1000*AR7</f>
        <v>80.693158905343523</v>
      </c>
      <c r="AS5" s="732">
        <f>AS9/1000*AS7</f>
        <v>81.287840904455194</v>
      </c>
      <c r="AT5" s="730">
        <f>SUM(AP5:AS5)</f>
        <v>313.3895723742375</v>
      </c>
      <c r="AU5" s="732">
        <f>AU9/1000*AU7</f>
        <v>82.037258322053148</v>
      </c>
      <c r="AV5" s="732">
        <f>AV9/1000*AV7</f>
        <v>92.409770570821365</v>
      </c>
      <c r="AW5" s="732">
        <f>AW9/1000*AW7</f>
        <v>99.326933058574539</v>
      </c>
      <c r="AX5" s="732">
        <f>AX9/1000*AX7</f>
        <v>95.765743238026005</v>
      </c>
      <c r="AY5" s="730">
        <f>SUM(AU5:AX5)</f>
        <v>369.53970518947506</v>
      </c>
      <c r="AZ5" s="732">
        <f>AZ9/1000*AZ7</f>
        <v>93.785830100733008</v>
      </c>
      <c r="BA5" s="732">
        <f>BA9/1000*BA7</f>
        <v>100.33428084999518</v>
      </c>
      <c r="BB5" s="732">
        <f>BB9/1000*BB7</f>
        <v>107.8921644783513</v>
      </c>
      <c r="BC5" s="732">
        <f>BC9/1000*BC7</f>
        <v>105.52078658930569</v>
      </c>
      <c r="BD5" s="730">
        <f>SUM(AZ5:BC5)</f>
        <v>407.53306201838518</v>
      </c>
      <c r="BE5" s="732">
        <f>BE9/1000*BE7</f>
        <v>106.12944061607628</v>
      </c>
      <c r="BF5" s="732">
        <f>BF9/1000*BF7</f>
        <v>110.54610543800828</v>
      </c>
      <c r="BG5" s="732">
        <f>BG9/1000*BG7</f>
        <v>112.02794630310471</v>
      </c>
      <c r="BH5" s="732">
        <f>BH9/1000*BH7</f>
        <v>106.99325050473192</v>
      </c>
      <c r="BI5" s="730">
        <f>SUM(BE5:BH5)</f>
        <v>435.69674286192122</v>
      </c>
      <c r="BJ5" s="732">
        <f>BJ9/1000*BJ7</f>
        <v>104.43333692957302</v>
      </c>
      <c r="BK5" s="732">
        <f>BK9/1000*BK7</f>
        <v>108.72222095284724</v>
      </c>
      <c r="BL5" s="732">
        <f>BL9/1000*BL7</f>
        <v>109.02859619159997</v>
      </c>
      <c r="BM5" s="732">
        <f>BM9/1000*BM7</f>
        <v>104.39928553938518</v>
      </c>
      <c r="BN5" s="730">
        <f>SUM(BJ5:BM5)</f>
        <v>426.5834396134054</v>
      </c>
      <c r="BO5" s="732">
        <f>BO9/1000*BO7</f>
        <v>105.7485873667917</v>
      </c>
      <c r="BP5" s="732">
        <f>BP9/1000*BP7</f>
        <v>114.06693652664042</v>
      </c>
      <c r="BQ5" s="732">
        <f>BQ9/1000*BQ7</f>
        <v>116.8083410039754</v>
      </c>
      <c r="BR5" s="732">
        <f>BR9/1000*BR7</f>
        <v>115.690262224232</v>
      </c>
      <c r="BS5" s="730">
        <f>SUM(BO5:BR5)</f>
        <v>452.3141271216395</v>
      </c>
      <c r="BT5" s="732">
        <f>BT9/1000*BT7</f>
        <v>114.0178084223716</v>
      </c>
      <c r="BU5" s="732">
        <f>BU9/1000*BU7</f>
        <v>120.07783111079169</v>
      </c>
      <c r="BV5" s="732">
        <f>BV9/1000*BV7</f>
        <v>124.23428497349285</v>
      </c>
      <c r="BW5" s="732">
        <f>BW9/1000*BW7</f>
        <v>123.46294101776689</v>
      </c>
      <c r="BX5" s="730">
        <f>SUM(BT5:BW5)</f>
        <v>481.79286552442306</v>
      </c>
      <c r="BY5" s="732">
        <f>BY9/1000*BY7</f>
        <v>126.42386861557657</v>
      </c>
      <c r="BZ5" s="732">
        <f>BZ9/1000*BZ7</f>
        <v>135.9602754090667</v>
      </c>
      <c r="CA5" s="732">
        <f>CA9/1000*CA7</f>
        <v>137.73486834399841</v>
      </c>
      <c r="CB5" s="732">
        <f>CB9/1000*CB7</f>
        <v>134.1511143292833</v>
      </c>
      <c r="CC5" s="730">
        <f>SUM(BY5:CB5)</f>
        <v>534.27012669792498</v>
      </c>
      <c r="CD5" s="732">
        <f>CD9/1000*CD7</f>
        <v>133.91019266521425</v>
      </c>
      <c r="CE5" s="732">
        <f>CE9/1000*CE7</f>
        <v>143.47111650810348</v>
      </c>
      <c r="CF5" s="732">
        <f>CF9/1000*CF7</f>
        <v>152.84713539938889</v>
      </c>
      <c r="CG5" s="732">
        <f>CG9/1000*CG7</f>
        <v>151.72686129335509</v>
      </c>
      <c r="CH5" s="730">
        <f>SUM(CD5:CG5)</f>
        <v>581.95530586606174</v>
      </c>
      <c r="CI5" s="732">
        <f>CI9/1000*CI7</f>
        <v>145.45249316120362</v>
      </c>
      <c r="CJ5" s="732">
        <f>CJ9/1000*CJ7</f>
        <v>146.72252893151477</v>
      </c>
      <c r="CK5" s="732">
        <f>CK9/1000*CK7</f>
        <v>141.16658283313325</v>
      </c>
      <c r="CL5" s="732">
        <f>CL9/1000*CL7</f>
        <v>134.52978406209326</v>
      </c>
      <c r="CM5" s="730">
        <f>SUM(CI5:CL5)</f>
        <v>567.8713889879449</v>
      </c>
      <c r="CN5" s="732">
        <f>CN9/1000*CN7</f>
        <v>140.6341715757836</v>
      </c>
      <c r="CO5" s="732">
        <f>CO9/1000*CO7</f>
        <v>153.85117734575368</v>
      </c>
      <c r="CP5" s="732">
        <f>CP9/1000*CP7</f>
        <v>151.65940823041296</v>
      </c>
      <c r="CQ5" s="732">
        <f>CQ9/1000*CQ7</f>
        <v>146.25074863857841</v>
      </c>
      <c r="CR5" s="730">
        <f>SUM(CN5:CQ5)</f>
        <v>592.39550579052866</v>
      </c>
      <c r="CS5" s="732">
        <f>CS9/1000*CS7</f>
        <v>148.02084743638616</v>
      </c>
      <c r="CT5" s="732">
        <f>CT9/1000*CT7</f>
        <v>158.3086473901615</v>
      </c>
      <c r="CU5" s="732">
        <f>CU9/1000*CU7</f>
        <v>160.16600202546024</v>
      </c>
      <c r="CV5" s="732">
        <f>CV9/1000*CV7</f>
        <v>139.43657779917203</v>
      </c>
      <c r="CW5" s="730">
        <f>SUM(CS5:CV5)</f>
        <v>605.93207465117996</v>
      </c>
      <c r="CX5" s="732">
        <f>CX9/1000*CX7</f>
        <v>132.90171277177825</v>
      </c>
      <c r="CY5" s="732">
        <f>CY9/1000*CY7</f>
        <v>153.86761632266769</v>
      </c>
      <c r="CZ5" s="732">
        <f>CZ9/1000*CZ7</f>
        <v>177.5170565801152</v>
      </c>
      <c r="DA5" s="732">
        <f>DA9/1000*DA7</f>
        <v>175.94656414267297</v>
      </c>
      <c r="DB5" s="730">
        <f>SUM(CX5:DA5)</f>
        <v>640.23294981723416</v>
      </c>
      <c r="DC5" s="732">
        <f>DC9/1000*DC7</f>
        <v>183.1970337127614</v>
      </c>
      <c r="DD5" s="732">
        <f>DD9/1000*DD7</f>
        <v>198.69667743432981</v>
      </c>
      <c r="DE5" s="732">
        <f>DE9/1000*DE7</f>
        <v>191.9386864776009</v>
      </c>
      <c r="DF5" s="732">
        <f>DF9/1000*DF7</f>
        <v>168.28178852427186</v>
      </c>
      <c r="DG5" s="730">
        <f>SUM(DC5:DF5)</f>
        <v>742.114186148964</v>
      </c>
      <c r="DH5" s="732">
        <f>DH9/1000*DH7</f>
        <v>170.27863661038549</v>
      </c>
      <c r="DI5" s="732">
        <f>DI9/1000*DI7</f>
        <v>179.04898591268221</v>
      </c>
      <c r="DJ5" s="732">
        <f>DJ9/1000*DJ7</f>
        <v>176.56821578448077</v>
      </c>
      <c r="DK5" s="732">
        <f>DK9/1000*DK7</f>
        <v>166.56153312911744</v>
      </c>
      <c r="DL5" s="730">
        <f>SUM(DH5:DK5)</f>
        <v>692.45737143666588</v>
      </c>
      <c r="DM5" s="732">
        <f>DM9/1000*DM7</f>
        <v>170.8405761765998</v>
      </c>
      <c r="DN5" s="732">
        <f>DN9/1000*DN7</f>
        <v>178.65128117499773</v>
      </c>
      <c r="DO5" s="732">
        <f>DO9/1000*DO7</f>
        <v>174.34527976101154</v>
      </c>
      <c r="DP5" s="732">
        <f>DP9/1000*DP7</f>
        <v>166.15192266927258</v>
      </c>
      <c r="DQ5" s="730">
        <f>SUM(DM5:DP5)</f>
        <v>689.98905978188168</v>
      </c>
      <c r="DR5" s="732">
        <f>DR9/1000*DR7</f>
        <v>166.42275127123355</v>
      </c>
      <c r="DS5" s="732">
        <f>DS9/1000*DS7</f>
        <v>175.41468568305362</v>
      </c>
      <c r="DT5" s="732">
        <f>DT9/1000*DT7</f>
        <v>174.65493882875373</v>
      </c>
      <c r="DU5" s="732">
        <f>DU9/1000*DU7</f>
        <v>164.04298505980569</v>
      </c>
      <c r="DV5" s="730">
        <f>SUM(DR5:DU5)</f>
        <v>680.53536084284656</v>
      </c>
      <c r="DW5" s="732">
        <f>DW9/1000*DW7</f>
        <v>167.27498644385977</v>
      </c>
      <c r="DX5" s="732">
        <f>DX9/1000*DX7</f>
        <v>178.37570033774284</v>
      </c>
      <c r="DY5" s="732">
        <f>DY9/1000*DY7</f>
        <v>179.05709394408143</v>
      </c>
      <c r="DZ5" s="732">
        <f>DZ9/1000*DZ7</f>
        <v>170.87812361172996</v>
      </c>
      <c r="EA5" s="730">
        <f>SUM(DW5:DZ5)</f>
        <v>695.58590433741404</v>
      </c>
      <c r="EB5" s="732">
        <f>EB9/1000*EB7</f>
        <v>170.20020054932635</v>
      </c>
      <c r="EC5" s="732">
        <f>EC9/1000*EC7</f>
        <v>179.6847309795053</v>
      </c>
      <c r="ED5" s="733"/>
      <c r="EE5" s="734"/>
      <c r="EF5" s="730"/>
      <c r="EG5" s="735"/>
      <c r="EH5" s="733"/>
      <c r="EI5" s="733"/>
      <c r="EJ5" s="734"/>
      <c r="EK5" s="730"/>
      <c r="EL5" s="735"/>
      <c r="EM5" s="733"/>
      <c r="EN5" s="733"/>
      <c r="EO5" s="734"/>
      <c r="EP5" s="730"/>
      <c r="EQ5" s="735"/>
      <c r="ER5" s="733"/>
      <c r="ES5" s="733"/>
      <c r="ET5" s="734"/>
      <c r="EU5" s="730"/>
      <c r="EV5" s="735"/>
      <c r="EW5" s="733"/>
      <c r="EX5" s="733"/>
      <c r="EY5" s="734"/>
      <c r="EZ5" s="730"/>
      <c r="FA5" s="735"/>
      <c r="FB5" s="733"/>
      <c r="FC5" s="733"/>
      <c r="FD5" s="734"/>
      <c r="FE5" s="730"/>
      <c r="FF5" s="733"/>
      <c r="FG5" s="690"/>
      <c r="FH5" s="736"/>
      <c r="FI5" s="736"/>
      <c r="FJ5" s="736"/>
      <c r="FK5" s="736"/>
      <c r="FL5" s="690"/>
      <c r="FM5" s="737"/>
      <c r="FN5" s="737"/>
      <c r="FO5" s="738"/>
      <c r="FP5" s="738"/>
      <c r="FQ5" s="738"/>
      <c r="FR5" s="738"/>
      <c r="FS5" s="738"/>
      <c r="FT5" s="738"/>
      <c r="FU5" s="690"/>
      <c r="FV5"/>
      <c r="FW5"/>
      <c r="FX5"/>
      <c r="FY5"/>
      <c r="FZ5"/>
      <c r="GA5"/>
      <c r="GB5" s="725"/>
    </row>
    <row r="6" spans="1:184" s="749" customFormat="1" ht="12.75" hidden="1" customHeight="1" outlineLevel="1">
      <c r="A6" s="58" t="s">
        <v>85</v>
      </c>
      <c r="B6" s="739"/>
      <c r="C6" s="740"/>
      <c r="D6" s="740"/>
      <c r="E6" s="740"/>
      <c r="F6" s="741"/>
      <c r="G6" s="742"/>
      <c r="H6" s="742"/>
      <c r="I6" s="742"/>
      <c r="J6" s="742"/>
      <c r="K6" s="741"/>
      <c r="L6" s="742"/>
      <c r="M6" s="742"/>
      <c r="N6" s="742"/>
      <c r="O6" s="742"/>
      <c r="P6" s="741"/>
      <c r="Q6" s="742"/>
      <c r="R6" s="742"/>
      <c r="S6" s="742"/>
      <c r="T6" s="742"/>
      <c r="U6" s="741"/>
      <c r="V6" s="721"/>
      <c r="W6" s="721"/>
      <c r="X6" s="721"/>
      <c r="Y6" s="721"/>
      <c r="Z6" s="741"/>
      <c r="AA6" s="721"/>
      <c r="AB6" s="721"/>
      <c r="AC6" s="721"/>
      <c r="AD6" s="721"/>
      <c r="AE6" s="741"/>
      <c r="AF6" s="721">
        <f t="shared" ref="AF6:CQ6" si="0">AF5/AA5-1</f>
        <v>0.41349094971865985</v>
      </c>
      <c r="AG6" s="721">
        <f t="shared" si="0"/>
        <v>0.31270746378793701</v>
      </c>
      <c r="AH6" s="721">
        <f t="shared" si="0"/>
        <v>0.43217929950189404</v>
      </c>
      <c r="AI6" s="721">
        <f t="shared" si="0"/>
        <v>0.44786898327745517</v>
      </c>
      <c r="AJ6" s="741">
        <f t="shared" si="0"/>
        <v>0.40112209316443748</v>
      </c>
      <c r="AK6" s="721">
        <f t="shared" si="0"/>
        <v>0.21691508720423625</v>
      </c>
      <c r="AL6" s="721">
        <f t="shared" si="0"/>
        <v>8.695357404980264E-2</v>
      </c>
      <c r="AM6" s="721">
        <f t="shared" si="0"/>
        <v>6.817960555096203E-2</v>
      </c>
      <c r="AN6" s="721">
        <f t="shared" si="0"/>
        <v>5.4119879782770219E-3</v>
      </c>
      <c r="AO6" s="741">
        <f t="shared" si="0"/>
        <v>8.6943970496711653E-2</v>
      </c>
      <c r="AP6" s="721">
        <f t="shared" si="0"/>
        <v>4.9590737585251121E-2</v>
      </c>
      <c r="AQ6" s="721">
        <f t="shared" si="0"/>
        <v>6.0920699870723682E-2</v>
      </c>
      <c r="AR6" s="721">
        <f t="shared" si="0"/>
        <v>3.4231440453613482E-2</v>
      </c>
      <c r="AS6" s="721">
        <f t="shared" si="0"/>
        <v>7.1626436540555449E-2</v>
      </c>
      <c r="AT6" s="741">
        <f t="shared" si="0"/>
        <v>5.3965283438319522E-2</v>
      </c>
      <c r="AU6" s="721">
        <f t="shared" si="0"/>
        <v>0.10991181719453325</v>
      </c>
      <c r="AV6" s="721">
        <f t="shared" si="0"/>
        <v>0.19245705833474447</v>
      </c>
      <c r="AW6" s="721">
        <f t="shared" si="0"/>
        <v>0.23092136193464952</v>
      </c>
      <c r="AX6" s="721">
        <f t="shared" si="0"/>
        <v>0.17810661683815621</v>
      </c>
      <c r="AY6" s="741">
        <f t="shared" si="0"/>
        <v>0.1791703929069639</v>
      </c>
      <c r="AZ6" s="721">
        <f t="shared" si="0"/>
        <v>0.14321019520860356</v>
      </c>
      <c r="BA6" s="721">
        <f t="shared" si="0"/>
        <v>8.5754030447468654E-2</v>
      </c>
      <c r="BB6" s="721">
        <f t="shared" si="0"/>
        <v>8.6232718116099782E-2</v>
      </c>
      <c r="BC6" s="721">
        <f t="shared" si="0"/>
        <v>0.10186359987864857</v>
      </c>
      <c r="BD6" s="741">
        <f t="shared" si="0"/>
        <v>0.10281265123981664</v>
      </c>
      <c r="BE6" s="721">
        <f t="shared" si="0"/>
        <v>0.13161487723769483</v>
      </c>
      <c r="BF6" s="721">
        <f t="shared" si="0"/>
        <v>0.10177802144493664</v>
      </c>
      <c r="BG6" s="721">
        <f t="shared" si="0"/>
        <v>3.8332550326981796E-2</v>
      </c>
      <c r="BH6" s="721">
        <f t="shared" si="0"/>
        <v>1.3954254540929023E-2</v>
      </c>
      <c r="BI6" s="741">
        <f t="shared" si="0"/>
        <v>6.9107720252315374E-2</v>
      </c>
      <c r="BJ6" s="721">
        <f t="shared" si="0"/>
        <v>-1.5981462605074159E-2</v>
      </c>
      <c r="BK6" s="721">
        <f t="shared" si="0"/>
        <v>-1.649885790127481E-2</v>
      </c>
      <c r="BL6" s="721">
        <f t="shared" si="0"/>
        <v>-2.6773231238120254E-2</v>
      </c>
      <c r="BM6" s="721">
        <f t="shared" si="0"/>
        <v>-2.4244192536537867E-2</v>
      </c>
      <c r="BN6" s="741">
        <f t="shared" si="0"/>
        <v>-2.091662009831452E-2</v>
      </c>
      <c r="BO6" s="721">
        <f t="shared" si="0"/>
        <v>1.2594162705972467E-2</v>
      </c>
      <c r="BP6" s="721">
        <f t="shared" si="0"/>
        <v>4.9159367118807973E-2</v>
      </c>
      <c r="BQ6" s="721">
        <f t="shared" si="0"/>
        <v>7.135508558418735E-2</v>
      </c>
      <c r="BR6" s="721">
        <f t="shared" si="0"/>
        <v>0.10815185780737213</v>
      </c>
      <c r="BS6" s="741">
        <f t="shared" si="0"/>
        <v>6.0318064694571127E-2</v>
      </c>
      <c r="BT6" s="721">
        <f t="shared" si="0"/>
        <v>7.8196988361630693E-2</v>
      </c>
      <c r="BU6" s="721">
        <f t="shared" si="0"/>
        <v>5.2696204239231381E-2</v>
      </c>
      <c r="BV6" s="721">
        <f t="shared" si="0"/>
        <v>6.3573747436963535E-2</v>
      </c>
      <c r="BW6" s="721">
        <f t="shared" si="0"/>
        <v>6.7185246572177393E-2</v>
      </c>
      <c r="BX6" s="741">
        <f t="shared" si="0"/>
        <v>6.5173154308434622E-2</v>
      </c>
      <c r="BY6" s="721">
        <f t="shared" si="0"/>
        <v>0.1088080920416179</v>
      </c>
      <c r="BZ6" s="721">
        <f t="shared" si="0"/>
        <v>0.13226791449639697</v>
      </c>
      <c r="CA6" s="721">
        <f t="shared" si="0"/>
        <v>0.10867035113041545</v>
      </c>
      <c r="CB6" s="721">
        <f t="shared" si="0"/>
        <v>8.6569890717072218E-2</v>
      </c>
      <c r="CC6" s="741">
        <f t="shared" si="0"/>
        <v>0.10892079341270722</v>
      </c>
      <c r="CD6" s="721">
        <f t="shared" si="0"/>
        <v>5.9216065222633896E-2</v>
      </c>
      <c r="CE6" s="721">
        <f t="shared" si="0"/>
        <v>5.5242908830823945E-2</v>
      </c>
      <c r="CF6" s="721">
        <f t="shared" si="0"/>
        <v>0.10971998040210829</v>
      </c>
      <c r="CG6" s="721">
        <f t="shared" si="0"/>
        <v>0.13101454320335271</v>
      </c>
      <c r="CH6" s="741">
        <f t="shared" si="0"/>
        <v>8.9252939262871811E-2</v>
      </c>
      <c r="CI6" s="721">
        <f t="shared" si="0"/>
        <v>8.6194338655355418E-2</v>
      </c>
      <c r="CJ6" s="721">
        <f t="shared" si="0"/>
        <v>2.2662487771381246E-2</v>
      </c>
      <c r="CK6" s="721">
        <f t="shared" si="0"/>
        <v>-7.6419833029480189E-2</v>
      </c>
      <c r="CL6" s="721">
        <f t="shared" si="0"/>
        <v>-0.1133423382298292</v>
      </c>
      <c r="CM6" s="741">
        <f t="shared" si="0"/>
        <v>-2.4201028388524226E-2</v>
      </c>
      <c r="CN6" s="721">
        <f t="shared" si="0"/>
        <v>-3.3126428297656774E-2</v>
      </c>
      <c r="CO6" s="721">
        <f t="shared" si="0"/>
        <v>4.8585915647394007E-2</v>
      </c>
      <c r="CP6" s="721">
        <f t="shared" si="0"/>
        <v>7.4329385798640679E-2</v>
      </c>
      <c r="CQ6" s="721">
        <f t="shared" si="0"/>
        <v>8.7125424739217916E-2</v>
      </c>
      <c r="CR6" s="741">
        <f t="shared" ref="CR6:EC6" si="1">CR5/CM5-1</f>
        <v>4.3186040498166989E-2</v>
      </c>
      <c r="CS6" s="721">
        <f t="shared" si="1"/>
        <v>5.2524047163189591E-2</v>
      </c>
      <c r="CT6" s="721">
        <f t="shared" si="1"/>
        <v>2.8972609253359316E-2</v>
      </c>
      <c r="CU6" s="721">
        <f t="shared" si="1"/>
        <v>5.6090115966451526E-2</v>
      </c>
      <c r="CV6" s="721">
        <f t="shared" si="1"/>
        <v>-4.6592382622572925E-2</v>
      </c>
      <c r="CW6" s="741">
        <f t="shared" si="1"/>
        <v>2.2850559682398908E-2</v>
      </c>
      <c r="CX6" s="721">
        <f t="shared" si="1"/>
        <v>-0.10214192748157014</v>
      </c>
      <c r="CY6" s="721">
        <f t="shared" si="1"/>
        <v>-2.8052991044441256E-2</v>
      </c>
      <c r="CZ6" s="721">
        <f t="shared" si="1"/>
        <v>0.10833169546116794</v>
      </c>
      <c r="DA6" s="721">
        <f t="shared" si="1"/>
        <v>0.26183937471619245</v>
      </c>
      <c r="DB6" s="741">
        <f t="shared" si="1"/>
        <v>5.660844936423004E-2</v>
      </c>
      <c r="DC6" s="721">
        <f t="shared" si="1"/>
        <v>0.37843997561830811</v>
      </c>
      <c r="DD6" s="721">
        <f t="shared" si="1"/>
        <v>0.29134825236814921</v>
      </c>
      <c r="DE6" s="721">
        <f t="shared" si="1"/>
        <v>8.124081243413972E-2</v>
      </c>
      <c r="DF6" s="721">
        <f t="shared" si="1"/>
        <v>-4.3563087780366327E-2</v>
      </c>
      <c r="DG6" s="741">
        <f t="shared" si="1"/>
        <v>0.15913151043040452</v>
      </c>
      <c r="DH6" s="721">
        <f t="shared" si="1"/>
        <v>-7.051640979422702E-2</v>
      </c>
      <c r="DI6" s="721">
        <f t="shared" si="1"/>
        <v>-9.8882838783961313E-2</v>
      </c>
      <c r="DJ6" s="721">
        <f t="shared" si="1"/>
        <v>-8.0080107742708018E-2</v>
      </c>
      <c r="DK6" s="721">
        <f t="shared" si="1"/>
        <v>-1.0222469170550252E-2</v>
      </c>
      <c r="DL6" s="741">
        <f t="shared" si="1"/>
        <v>-6.69126337147401E-2</v>
      </c>
      <c r="DM6" s="721">
        <f t="shared" si="1"/>
        <v>3.3001178386227181E-3</v>
      </c>
      <c r="DN6" s="721">
        <f t="shared" si="1"/>
        <v>-2.2212063121006542E-3</v>
      </c>
      <c r="DO6" s="721">
        <f t="shared" si="1"/>
        <v>-1.2589672572681732E-2</v>
      </c>
      <c r="DP6" s="721">
        <f t="shared" si="1"/>
        <v>-2.4592140342952762E-3</v>
      </c>
      <c r="DQ6" s="741">
        <f t="shared" si="1"/>
        <v>-3.5645683858677168E-3</v>
      </c>
      <c r="DR6" s="743">
        <f t="shared" si="1"/>
        <v>-2.5859342108513483E-2</v>
      </c>
      <c r="DS6" s="743">
        <f t="shared" si="1"/>
        <v>-1.8116833367535223E-2</v>
      </c>
      <c r="DT6" s="721">
        <f t="shared" si="1"/>
        <v>1.7761253311054936E-3</v>
      </c>
      <c r="DU6" s="721">
        <f t="shared" si="1"/>
        <v>-1.2692826995837736E-2</v>
      </c>
      <c r="DV6" s="741">
        <f t="shared" si="1"/>
        <v>-1.3701230193452041E-2</v>
      </c>
      <c r="DW6" s="743">
        <f t="shared" si="1"/>
        <v>5.1209054418122069E-3</v>
      </c>
      <c r="DX6" s="743">
        <f t="shared" si="1"/>
        <v>1.6880084145516117E-2</v>
      </c>
      <c r="DY6" s="721">
        <f t="shared" si="1"/>
        <v>2.5204870499791365E-2</v>
      </c>
      <c r="DZ6" s="721">
        <f t="shared" si="1"/>
        <v>4.1666753073484664E-2</v>
      </c>
      <c r="EA6" s="741">
        <f t="shared" si="1"/>
        <v>2.2115740578016796E-2</v>
      </c>
      <c r="EB6" s="743">
        <f t="shared" si="1"/>
        <v>1.7487456837716353E-2</v>
      </c>
      <c r="EC6" s="743">
        <f t="shared" si="1"/>
        <v>7.3386152894363565E-3</v>
      </c>
      <c r="ED6" s="712"/>
      <c r="EE6" s="744"/>
      <c r="EF6" s="741"/>
      <c r="EG6" s="745"/>
      <c r="EH6" s="712"/>
      <c r="EI6" s="712"/>
      <c r="EJ6" s="744"/>
      <c r="EK6" s="741"/>
      <c r="EL6" s="745"/>
      <c r="EM6" s="712"/>
      <c r="EN6" s="712"/>
      <c r="EO6" s="744"/>
      <c r="EP6" s="741"/>
      <c r="EQ6" s="745"/>
      <c r="ER6" s="712"/>
      <c r="ES6" s="712"/>
      <c r="ET6" s="744"/>
      <c r="EU6" s="741"/>
      <c r="EV6" s="745"/>
      <c r="EW6" s="712"/>
      <c r="EX6" s="712"/>
      <c r="EY6" s="744"/>
      <c r="EZ6" s="741"/>
      <c r="FA6" s="745"/>
      <c r="FB6" s="712"/>
      <c r="FC6" s="712"/>
      <c r="FD6" s="744"/>
      <c r="FE6" s="741"/>
      <c r="FF6" s="712"/>
      <c r="FG6" s="690"/>
      <c r="FH6" s="746"/>
      <c r="FI6" s="746"/>
      <c r="FJ6" s="746"/>
      <c r="FK6" s="746"/>
      <c r="FL6" s="690"/>
      <c r="FM6" s="747"/>
      <c r="FN6" s="747"/>
      <c r="FO6" s="748"/>
      <c r="FP6" s="748"/>
      <c r="FQ6" s="748"/>
      <c r="FR6" s="748"/>
      <c r="FS6" s="748"/>
      <c r="FT6" s="748"/>
      <c r="FU6" s="690"/>
      <c r="FV6"/>
      <c r="FW6"/>
      <c r="FX6"/>
      <c r="FY6"/>
      <c r="FZ6"/>
      <c r="GA6"/>
      <c r="GB6" s="725"/>
    </row>
    <row r="7" spans="1:184" s="726" customFormat="1" ht="12.75" hidden="1" customHeight="1" outlineLevel="1">
      <c r="A7" s="727" t="s">
        <v>275</v>
      </c>
      <c r="B7" s="728"/>
      <c r="C7" s="729"/>
      <c r="D7" s="729"/>
      <c r="E7" s="729"/>
      <c r="F7" s="730"/>
      <c r="G7" s="731">
        <v>277.60000000000002</v>
      </c>
      <c r="H7" s="731">
        <v>278.73333333333335</v>
      </c>
      <c r="I7" s="731">
        <v>278.39999999999998</v>
      </c>
      <c r="J7" s="731">
        <v>283</v>
      </c>
      <c r="K7" s="730">
        <f>SUMPRODUCT(G7:J7,G$58:J$58)/K$58</f>
        <v>279.37340620731749</v>
      </c>
      <c r="L7" s="731">
        <v>282.66666666666669</v>
      </c>
      <c r="M7" s="731">
        <v>282.43333333333334</v>
      </c>
      <c r="N7" s="731">
        <v>282.26666666666665</v>
      </c>
      <c r="O7" s="731">
        <v>283.56666666666666</v>
      </c>
      <c r="P7" s="730">
        <f>SUMPRODUCT(L7:O7,L$58:O$58)/P$58</f>
        <v>282.73528184671898</v>
      </c>
      <c r="Q7" s="731">
        <v>279.56666666666666</v>
      </c>
      <c r="R7" s="731">
        <v>279.10000000000002</v>
      </c>
      <c r="S7" s="731">
        <v>282.13333333333333</v>
      </c>
      <c r="T7" s="731">
        <v>285</v>
      </c>
      <c r="U7" s="730">
        <f>SUMPRODUCT(Q7:T7,Q$58:T$58)/U$58</f>
        <v>281.4695041090414</v>
      </c>
      <c r="V7" s="731">
        <v>293.33333333333331</v>
      </c>
      <c r="W7" s="731">
        <v>302.60000000000002</v>
      </c>
      <c r="X7" s="731">
        <v>311.46666666666664</v>
      </c>
      <c r="Y7" s="731">
        <v>321.56666666666666</v>
      </c>
      <c r="Z7" s="730">
        <f>SUMPRODUCT(V7:Y7,V$58:Y$58)/Z$58</f>
        <v>307.80659011465247</v>
      </c>
      <c r="AA7" s="731">
        <v>323.8</v>
      </c>
      <c r="AB7" s="731">
        <v>363.7</v>
      </c>
      <c r="AC7" s="731">
        <v>356.7</v>
      </c>
      <c r="AD7" s="731">
        <v>364.4</v>
      </c>
      <c r="AE7" s="730">
        <f>AE5*1000/AE9</f>
        <v>352.95183645715991</v>
      </c>
      <c r="AF7" s="731">
        <v>384.1</v>
      </c>
      <c r="AG7" s="731">
        <v>413.4</v>
      </c>
      <c r="AH7" s="731">
        <v>435.1</v>
      </c>
      <c r="AI7" s="731">
        <v>450.5</v>
      </c>
      <c r="AJ7" s="730">
        <f>AJ5*1000/AJ9</f>
        <v>421.79046454852846</v>
      </c>
      <c r="AK7" s="731">
        <v>456.3</v>
      </c>
      <c r="AL7" s="731">
        <v>467.7</v>
      </c>
      <c r="AM7" s="731">
        <v>474.7</v>
      </c>
      <c r="AN7" s="731">
        <v>478.9</v>
      </c>
      <c r="AO7" s="730">
        <f>AO5*1000/AO9</f>
        <v>469.53993529573313</v>
      </c>
      <c r="AP7" s="732">
        <v>484.9</v>
      </c>
      <c r="AQ7" s="731">
        <v>491.3</v>
      </c>
      <c r="AR7" s="732">
        <v>501.3</v>
      </c>
      <c r="AS7" s="732">
        <v>510.3</v>
      </c>
      <c r="AT7" s="730">
        <f>AT5*1000/AT9</f>
        <v>497.10672354817171</v>
      </c>
      <c r="AU7" s="732">
        <v>527.70000000000005</v>
      </c>
      <c r="AV7" s="731">
        <v>557.20000000000005</v>
      </c>
      <c r="AW7" s="732">
        <v>571.6</v>
      </c>
      <c r="AX7" s="732">
        <v>586.5</v>
      </c>
      <c r="AY7" s="730">
        <f>AY5*1000/AY9</f>
        <v>561.30164324132295</v>
      </c>
      <c r="AZ7" s="732">
        <v>598.4</v>
      </c>
      <c r="BA7" s="731">
        <v>614.5</v>
      </c>
      <c r="BB7" s="732">
        <v>624.20000000000005</v>
      </c>
      <c r="BC7" s="732">
        <v>629.9</v>
      </c>
      <c r="BD7" s="730">
        <f>BD5*1000/BD9</f>
        <v>617.12445706007486</v>
      </c>
      <c r="BE7" s="732">
        <v>629.79999999999995</v>
      </c>
      <c r="BF7" s="731">
        <v>636.6</v>
      </c>
      <c r="BG7" s="732">
        <v>647.9</v>
      </c>
      <c r="BH7" s="732">
        <v>654.1</v>
      </c>
      <c r="BI7" s="730">
        <f>BI5*1000/BI9</f>
        <v>642.00858915743163</v>
      </c>
      <c r="BJ7" s="732">
        <v>606.5</v>
      </c>
      <c r="BK7" s="731">
        <v>607.1</v>
      </c>
      <c r="BL7" s="732">
        <v>611.9</v>
      </c>
      <c r="BM7" s="732">
        <v>616</v>
      </c>
      <c r="BN7" s="730">
        <f>BN5*1000/BN9</f>
        <v>610.33394862613943</v>
      </c>
      <c r="BO7" s="732">
        <v>627.5</v>
      </c>
      <c r="BP7" s="731">
        <v>637.1</v>
      </c>
      <c r="BQ7" s="732">
        <v>644.6</v>
      </c>
      <c r="BR7" s="732">
        <v>664.5</v>
      </c>
      <c r="BS7" s="730">
        <f>BS5*1000/BS9</f>
        <v>643.5188047803008</v>
      </c>
      <c r="BT7" s="732">
        <v>671</v>
      </c>
      <c r="BU7" s="731">
        <v>677.1</v>
      </c>
      <c r="BV7" s="732">
        <v>682.9</v>
      </c>
      <c r="BW7" s="732">
        <v>684</v>
      </c>
      <c r="BX7" s="730">
        <f>BX5*1000/BX9</f>
        <v>678.88117985692236</v>
      </c>
      <c r="BY7" s="732">
        <v>688.3</v>
      </c>
      <c r="BZ7" s="731">
        <v>691.5</v>
      </c>
      <c r="CA7" s="732">
        <v>685.3</v>
      </c>
      <c r="CB7" s="732">
        <v>691.1</v>
      </c>
      <c r="CC7" s="730">
        <f>CC5*1000/CC9</f>
        <v>689.03477056432803</v>
      </c>
      <c r="CD7" s="732">
        <v>696.5</v>
      </c>
      <c r="CE7" s="732">
        <v>695.6</v>
      </c>
      <c r="CF7" s="732">
        <v>697.8</v>
      </c>
      <c r="CG7" s="732">
        <v>701.8</v>
      </c>
      <c r="CH7" s="730">
        <f>CH5*1000/CH9</f>
        <v>697.99320472704073</v>
      </c>
      <c r="CI7" s="732">
        <v>699.5</v>
      </c>
      <c r="CJ7" s="732">
        <v>692.8</v>
      </c>
      <c r="CK7" s="732">
        <v>693.9</v>
      </c>
      <c r="CL7" s="732">
        <v>694.1</v>
      </c>
      <c r="CM7" s="730">
        <f>CM5*1000/CM9</f>
        <v>695.08761483854948</v>
      </c>
      <c r="CN7" s="732">
        <v>696.6</v>
      </c>
      <c r="CO7" s="732">
        <v>692.9</v>
      </c>
      <c r="CP7" s="732">
        <v>700.2</v>
      </c>
      <c r="CQ7" s="732">
        <v>712</v>
      </c>
      <c r="CR7" s="730">
        <f>CR5*1000/CR9</f>
        <v>700.29000588196845</v>
      </c>
      <c r="CS7" s="732">
        <v>717.9</v>
      </c>
      <c r="CT7" s="732">
        <v>715.7</v>
      </c>
      <c r="CU7" s="732">
        <v>725.2</v>
      </c>
      <c r="CV7" s="732">
        <v>735.9</v>
      </c>
      <c r="CW7" s="730">
        <f>CW5*1000/CW9</f>
        <v>723.31500310022841</v>
      </c>
      <c r="CX7" s="732">
        <v>742.4</v>
      </c>
      <c r="CY7" s="732">
        <v>752.4</v>
      </c>
      <c r="CZ7" s="732">
        <v>766</v>
      </c>
      <c r="DA7" s="732">
        <v>770.4</v>
      </c>
      <c r="DB7" s="730">
        <f>DB5*1000/DB9</f>
        <v>758.88668540699655</v>
      </c>
      <c r="DC7" s="732">
        <v>765.4</v>
      </c>
      <c r="DD7" s="732">
        <v>768.1</v>
      </c>
      <c r="DE7" s="732">
        <v>777.7</v>
      </c>
      <c r="DF7" s="732">
        <v>771</v>
      </c>
      <c r="DG7" s="730">
        <f>DG5*1000/DG9</f>
        <v>770.54630055073505</v>
      </c>
      <c r="DH7" s="732">
        <v>762.2</v>
      </c>
      <c r="DI7" s="732">
        <v>755.5</v>
      </c>
      <c r="DJ7" s="732">
        <v>760.8</v>
      </c>
      <c r="DK7" s="732">
        <v>761.2</v>
      </c>
      <c r="DL7" s="730">
        <f>DL5*1000/DL9</f>
        <v>759.860922229582</v>
      </c>
      <c r="DM7" s="732">
        <v>755.7</v>
      </c>
      <c r="DN7" s="733">
        <v>757.4</v>
      </c>
      <c r="DO7" s="733">
        <v>774.4</v>
      </c>
      <c r="DP7" s="732">
        <v>791.5</v>
      </c>
      <c r="DQ7" s="730">
        <f>DQ5*1000/DQ9</f>
        <v>769.21859089458997</v>
      </c>
      <c r="DR7" s="750">
        <v>780.1</v>
      </c>
      <c r="DS7" s="751">
        <v>774.6</v>
      </c>
      <c r="DT7" s="733">
        <v>788.5</v>
      </c>
      <c r="DU7" s="732">
        <v>790.1</v>
      </c>
      <c r="DV7" s="730">
        <f>DV5*1000/DV9</f>
        <v>783.19733296879565</v>
      </c>
      <c r="DW7" s="750">
        <v>780.8</v>
      </c>
      <c r="DX7" s="750">
        <v>781.1</v>
      </c>
      <c r="DY7" s="733">
        <v>794.2</v>
      </c>
      <c r="DZ7" s="732">
        <v>798.9</v>
      </c>
      <c r="EA7" s="730">
        <f>EA5*1000/EA9</f>
        <v>788.69282488307681</v>
      </c>
      <c r="EB7" s="750">
        <v>793.2</v>
      </c>
      <c r="EC7" s="750">
        <v>787.2</v>
      </c>
      <c r="ED7" s="733"/>
      <c r="EE7" s="734"/>
      <c r="EF7" s="730"/>
      <c r="EG7" s="735"/>
      <c r="EH7" s="733"/>
      <c r="EI7" s="733"/>
      <c r="EJ7" s="734"/>
      <c r="EK7" s="730"/>
      <c r="EL7" s="735"/>
      <c r="EM7" s="733"/>
      <c r="EN7" s="733"/>
      <c r="EO7" s="734"/>
      <c r="EP7" s="730"/>
      <c r="EQ7" s="735"/>
      <c r="ER7" s="733"/>
      <c r="ES7" s="733"/>
      <c r="ET7" s="734"/>
      <c r="EU7" s="730"/>
      <c r="EV7" s="735"/>
      <c r="EW7" s="733"/>
      <c r="EX7" s="733"/>
      <c r="EY7" s="734"/>
      <c r="EZ7" s="730"/>
      <c r="FA7" s="735"/>
      <c r="FB7" s="733"/>
      <c r="FC7" s="733"/>
      <c r="FD7" s="734"/>
      <c r="FE7" s="730"/>
      <c r="FF7" s="733"/>
      <c r="FG7" s="690"/>
      <c r="FH7" s="736"/>
      <c r="FI7" s="736"/>
      <c r="FJ7" s="736"/>
      <c r="FK7" s="736"/>
      <c r="FL7" s="690"/>
      <c r="FM7" s="752"/>
      <c r="FN7" s="737"/>
      <c r="FO7" s="738"/>
      <c r="FP7" s="738"/>
      <c r="FQ7" s="738"/>
      <c r="FR7" s="738"/>
      <c r="FS7" s="738"/>
      <c r="FT7" s="738"/>
      <c r="FU7" s="690"/>
      <c r="FV7"/>
      <c r="FW7"/>
      <c r="FX7"/>
      <c r="FY7"/>
      <c r="FZ7"/>
      <c r="GA7"/>
      <c r="GB7" s="725"/>
    </row>
    <row r="8" spans="1:184" s="749" customFormat="1" ht="12.75" hidden="1" customHeight="1" outlineLevel="1">
      <c r="A8" s="58" t="s">
        <v>85</v>
      </c>
      <c r="B8" s="739"/>
      <c r="C8" s="740"/>
      <c r="D8" s="740"/>
      <c r="E8" s="740"/>
      <c r="F8" s="741"/>
      <c r="G8" s="742"/>
      <c r="H8" s="742"/>
      <c r="I8" s="742"/>
      <c r="J8" s="742"/>
      <c r="K8" s="741"/>
      <c r="L8" s="721">
        <f t="shared" ref="L8:BW8" si="2">L7/G7-1</f>
        <v>1.8251681075888593E-2</v>
      </c>
      <c r="M8" s="742">
        <f t="shared" si="2"/>
        <v>1.327433628318575E-2</v>
      </c>
      <c r="N8" s="721">
        <f t="shared" si="2"/>
        <v>1.388888888888884E-2</v>
      </c>
      <c r="O8" s="721">
        <f t="shared" si="2"/>
        <v>2.0023557126029878E-3</v>
      </c>
      <c r="P8" s="741">
        <f t="shared" si="2"/>
        <v>1.2033627985717166E-2</v>
      </c>
      <c r="Q8" s="721">
        <f t="shared" si="2"/>
        <v>-1.0966981132075504E-2</v>
      </c>
      <c r="R8" s="742">
        <f t="shared" si="2"/>
        <v>-1.1802195208308719E-2</v>
      </c>
      <c r="S8" s="721">
        <f t="shared" si="2"/>
        <v>-4.7236655644777858E-4</v>
      </c>
      <c r="T8" s="721">
        <f t="shared" si="2"/>
        <v>5.0546608675208216E-3</v>
      </c>
      <c r="U8" s="741">
        <f t="shared" si="2"/>
        <v>-4.4769005460160161E-3</v>
      </c>
      <c r="V8" s="721">
        <f t="shared" si="2"/>
        <v>4.9242875879337067E-2</v>
      </c>
      <c r="W8" s="742">
        <f t="shared" si="2"/>
        <v>8.4199211752060243E-2</v>
      </c>
      <c r="X8" s="721">
        <f t="shared" si="2"/>
        <v>0.10396975425330801</v>
      </c>
      <c r="Y8" s="721">
        <f t="shared" si="2"/>
        <v>0.12830409356725148</v>
      </c>
      <c r="Z8" s="741">
        <f t="shared" si="2"/>
        <v>9.3569944953638906E-2</v>
      </c>
      <c r="AA8" s="721">
        <f t="shared" si="2"/>
        <v>0.10386363636363649</v>
      </c>
      <c r="AB8" s="742">
        <f t="shared" si="2"/>
        <v>0.20191672174487763</v>
      </c>
      <c r="AC8" s="721">
        <f t="shared" si="2"/>
        <v>0.14522688356164393</v>
      </c>
      <c r="AD8" s="721">
        <f t="shared" si="2"/>
        <v>0.13320203171970557</v>
      </c>
      <c r="AE8" s="741">
        <f t="shared" si="2"/>
        <v>0.14666757565421729</v>
      </c>
      <c r="AF8" s="721">
        <f t="shared" si="2"/>
        <v>0.18622606547251386</v>
      </c>
      <c r="AG8" s="742">
        <f t="shared" si="2"/>
        <v>0.13665108605993947</v>
      </c>
      <c r="AH8" s="721">
        <f t="shared" si="2"/>
        <v>0.21979254275301385</v>
      </c>
      <c r="AI8" s="721">
        <f t="shared" si="2"/>
        <v>0.236278814489572</v>
      </c>
      <c r="AJ8" s="741">
        <f t="shared" si="2"/>
        <v>0.19503688883546566</v>
      </c>
      <c r="AK8" s="721">
        <f t="shared" si="2"/>
        <v>0.18797188232231177</v>
      </c>
      <c r="AL8" s="742">
        <f t="shared" si="2"/>
        <v>0.13134978229317862</v>
      </c>
      <c r="AM8" s="742">
        <f t="shared" si="2"/>
        <v>9.1013560101126156E-2</v>
      </c>
      <c r="AN8" s="721">
        <f t="shared" si="2"/>
        <v>6.3041065482796865E-2</v>
      </c>
      <c r="AO8" s="741">
        <f t="shared" si="2"/>
        <v>0.11320661503885399</v>
      </c>
      <c r="AP8" s="721">
        <f t="shared" si="2"/>
        <v>6.2678062678062529E-2</v>
      </c>
      <c r="AQ8" s="742">
        <f t="shared" si="2"/>
        <v>5.0459696386572661E-2</v>
      </c>
      <c r="AR8" s="742">
        <f t="shared" si="2"/>
        <v>5.603539077311992E-2</v>
      </c>
      <c r="AS8" s="721">
        <f t="shared" si="2"/>
        <v>6.5566924201294619E-2</v>
      </c>
      <c r="AT8" s="741">
        <f t="shared" si="2"/>
        <v>5.8710210101886373E-2</v>
      </c>
      <c r="AU8" s="721">
        <f t="shared" si="2"/>
        <v>8.8265621777686265E-2</v>
      </c>
      <c r="AV8" s="742">
        <f t="shared" si="2"/>
        <v>0.13413393038876453</v>
      </c>
      <c r="AW8" s="742">
        <f t="shared" si="2"/>
        <v>0.14023538799122282</v>
      </c>
      <c r="AX8" s="721">
        <f t="shared" si="2"/>
        <v>0.14932392710170483</v>
      </c>
      <c r="AY8" s="741">
        <f t="shared" si="2"/>
        <v>0.12913709803591189</v>
      </c>
      <c r="AZ8" s="721">
        <f t="shared" si="2"/>
        <v>0.13397763880992963</v>
      </c>
      <c r="BA8" s="742">
        <f t="shared" si="2"/>
        <v>0.10283560660445068</v>
      </c>
      <c r="BB8" s="742">
        <f t="shared" si="2"/>
        <v>9.2022393282015447E-2</v>
      </c>
      <c r="BC8" s="721">
        <f t="shared" si="2"/>
        <v>7.399829497016186E-2</v>
      </c>
      <c r="BD8" s="741">
        <f t="shared" si="2"/>
        <v>9.9452432557286752E-2</v>
      </c>
      <c r="BE8" s="721">
        <f t="shared" si="2"/>
        <v>5.2473262032085577E-2</v>
      </c>
      <c r="BF8" s="742">
        <f t="shared" si="2"/>
        <v>3.5964198535394676E-2</v>
      </c>
      <c r="BG8" s="742">
        <f t="shared" si="2"/>
        <v>3.7968599807753911E-2</v>
      </c>
      <c r="BH8" s="721">
        <f t="shared" si="2"/>
        <v>3.8418796634386521E-2</v>
      </c>
      <c r="BI8" s="741">
        <f t="shared" si="2"/>
        <v>4.0322712562555818E-2</v>
      </c>
      <c r="BJ8" s="721">
        <f t="shared" si="2"/>
        <v>-3.6995871705303163E-2</v>
      </c>
      <c r="BK8" s="742">
        <f t="shared" si="2"/>
        <v>-4.6339930882814961E-2</v>
      </c>
      <c r="BL8" s="742">
        <f t="shared" si="2"/>
        <v>-5.5564130267016565E-2</v>
      </c>
      <c r="BM8" s="721">
        <f t="shared" si="2"/>
        <v>-5.8247974315853823E-2</v>
      </c>
      <c r="BN8" s="741">
        <f t="shared" si="2"/>
        <v>-4.933678624590021E-2</v>
      </c>
      <c r="BO8" s="721">
        <f t="shared" si="2"/>
        <v>3.4624896949711381E-2</v>
      </c>
      <c r="BP8" s="742">
        <f t="shared" si="2"/>
        <v>4.9415252841376933E-2</v>
      </c>
      <c r="BQ8" s="742">
        <f t="shared" si="2"/>
        <v>5.3440104592253679E-2</v>
      </c>
      <c r="BR8" s="721">
        <f t="shared" si="2"/>
        <v>7.8733766233766156E-2</v>
      </c>
      <c r="BS8" s="741">
        <f t="shared" si="2"/>
        <v>5.4371637410733031E-2</v>
      </c>
      <c r="BT8" s="721">
        <f t="shared" si="2"/>
        <v>6.9322709163346596E-2</v>
      </c>
      <c r="BU8" s="742">
        <f t="shared" si="2"/>
        <v>6.2784492230419042E-2</v>
      </c>
      <c r="BV8" s="742">
        <f t="shared" si="2"/>
        <v>5.9416692522494596E-2</v>
      </c>
      <c r="BW8" s="721">
        <f t="shared" si="2"/>
        <v>2.9345372460496622E-2</v>
      </c>
      <c r="BX8" s="741">
        <f t="shared" ref="BX8:EC8" si="3">BX7/BS7-1</f>
        <v>5.4951579991037613E-2</v>
      </c>
      <c r="BY8" s="721">
        <f t="shared" si="3"/>
        <v>2.5782414307004453E-2</v>
      </c>
      <c r="BZ8" s="742">
        <f t="shared" si="3"/>
        <v>2.126716880815227E-2</v>
      </c>
      <c r="CA8" s="742">
        <f t="shared" si="3"/>
        <v>3.5144237809341394E-3</v>
      </c>
      <c r="CB8" s="721">
        <f t="shared" si="3"/>
        <v>1.0380116959064267E-2</v>
      </c>
      <c r="CC8" s="741">
        <f t="shared" si="3"/>
        <v>1.4956359092979321E-2</v>
      </c>
      <c r="CD8" s="721">
        <f t="shared" si="3"/>
        <v>1.1913409850355938E-2</v>
      </c>
      <c r="CE8" s="721">
        <f t="shared" si="3"/>
        <v>5.9291395516991585E-3</v>
      </c>
      <c r="CF8" s="721">
        <f t="shared" si="3"/>
        <v>1.8240186779512557E-2</v>
      </c>
      <c r="CG8" s="721">
        <f t="shared" si="3"/>
        <v>1.5482564028360457E-2</v>
      </c>
      <c r="CH8" s="741">
        <f t="shared" si="3"/>
        <v>1.3001425393054822E-2</v>
      </c>
      <c r="CI8" s="721">
        <f t="shared" si="3"/>
        <v>4.3072505384063042E-3</v>
      </c>
      <c r="CJ8" s="721">
        <f t="shared" si="3"/>
        <v>-4.025301897642386E-3</v>
      </c>
      <c r="CK8" s="721">
        <f t="shared" si="3"/>
        <v>-5.5889939810833678E-3</v>
      </c>
      <c r="CL8" s="721">
        <f t="shared" si="3"/>
        <v>-1.097178683385569E-2</v>
      </c>
      <c r="CM8" s="741">
        <f t="shared" si="3"/>
        <v>-4.1627767560108442E-3</v>
      </c>
      <c r="CN8" s="721">
        <f t="shared" si="3"/>
        <v>-4.1458184417441091E-3</v>
      </c>
      <c r="CO8" s="721">
        <f t="shared" si="3"/>
        <v>1.4434180138578334E-4</v>
      </c>
      <c r="CP8" s="721">
        <f t="shared" si="3"/>
        <v>9.0791180285345607E-3</v>
      </c>
      <c r="CQ8" s="721">
        <f t="shared" si="3"/>
        <v>2.57887912404553E-2</v>
      </c>
      <c r="CR8" s="741">
        <f t="shared" si="3"/>
        <v>7.4845112074501952E-3</v>
      </c>
      <c r="CS8" s="721">
        <f t="shared" si="3"/>
        <v>3.0577088716623457E-2</v>
      </c>
      <c r="CT8" s="721">
        <f t="shared" si="3"/>
        <v>3.2905181122817151E-2</v>
      </c>
      <c r="CU8" s="721">
        <f t="shared" si="3"/>
        <v>3.5704084547272252E-2</v>
      </c>
      <c r="CV8" s="721">
        <f t="shared" si="3"/>
        <v>3.3567415730336947E-2</v>
      </c>
      <c r="CW8" s="741">
        <f t="shared" si="3"/>
        <v>3.2879231496758976E-2</v>
      </c>
      <c r="CX8" s="721">
        <f t="shared" si="3"/>
        <v>3.4127315782142453E-2</v>
      </c>
      <c r="CY8" s="721">
        <f t="shared" si="3"/>
        <v>5.1278468632108387E-2</v>
      </c>
      <c r="CZ8" s="721">
        <f t="shared" si="3"/>
        <v>5.6260341974627703E-2</v>
      </c>
      <c r="DA8" s="721">
        <f t="shared" si="3"/>
        <v>4.6881369751324842E-2</v>
      </c>
      <c r="DB8" s="741">
        <f t="shared" si="3"/>
        <v>4.9178687230740481E-2</v>
      </c>
      <c r="DC8" s="721">
        <f t="shared" si="3"/>
        <v>3.0980603448275801E-2</v>
      </c>
      <c r="DD8" s="721">
        <f t="shared" si="3"/>
        <v>2.08665603402447E-2</v>
      </c>
      <c r="DE8" s="721">
        <f t="shared" si="3"/>
        <v>1.527415143603128E-2</v>
      </c>
      <c r="DF8" s="721">
        <f t="shared" si="3"/>
        <v>7.7881619937691937E-4</v>
      </c>
      <c r="DG8" s="741">
        <f t="shared" si="3"/>
        <v>1.5364105561405772E-2</v>
      </c>
      <c r="DH8" s="721">
        <f t="shared" si="3"/>
        <v>-4.1808204860203091E-3</v>
      </c>
      <c r="DI8" s="721">
        <f t="shared" si="3"/>
        <v>-1.6404114047650076E-2</v>
      </c>
      <c r="DJ8" s="721">
        <f t="shared" si="3"/>
        <v>-2.1730744503021815E-2</v>
      </c>
      <c r="DK8" s="721">
        <f t="shared" si="3"/>
        <v>-1.2710765239948074E-2</v>
      </c>
      <c r="DL8" s="741">
        <f t="shared" si="3"/>
        <v>-1.3867276130604789E-2</v>
      </c>
      <c r="DM8" s="721">
        <f t="shared" si="3"/>
        <v>-8.5279454211493189E-3</v>
      </c>
      <c r="DN8" s="721">
        <f t="shared" si="3"/>
        <v>2.5148908007941451E-3</v>
      </c>
      <c r="DO8" s="721">
        <f t="shared" si="3"/>
        <v>1.7875920084122088E-2</v>
      </c>
      <c r="DP8" s="721">
        <f t="shared" si="3"/>
        <v>3.9805570152390946E-2</v>
      </c>
      <c r="DQ8" s="741">
        <f t="shared" si="3"/>
        <v>1.2314975532036421E-2</v>
      </c>
      <c r="DR8" s="743">
        <f t="shared" si="3"/>
        <v>3.2287944951700398E-2</v>
      </c>
      <c r="DS8" s="743">
        <f t="shared" si="3"/>
        <v>2.2709268550303641E-2</v>
      </c>
      <c r="DT8" s="721">
        <f t="shared" si="3"/>
        <v>1.8207644628099207E-2</v>
      </c>
      <c r="DU8" s="721">
        <f t="shared" si="3"/>
        <v>-1.7687934301957586E-3</v>
      </c>
      <c r="DV8" s="741">
        <f t="shared" si="3"/>
        <v>1.8172652402938638E-2</v>
      </c>
      <c r="DW8" s="743">
        <f t="shared" si="3"/>
        <v>8.9732085630034319E-4</v>
      </c>
      <c r="DX8" s="743">
        <f t="shared" si="3"/>
        <v>8.3914278337207104E-3</v>
      </c>
      <c r="DY8" s="721">
        <f t="shared" si="3"/>
        <v>7.2289156626506035E-3</v>
      </c>
      <c r="DZ8" s="721">
        <f t="shared" si="3"/>
        <v>1.113783065434748E-2</v>
      </c>
      <c r="EA8" s="741">
        <f t="shared" si="3"/>
        <v>7.0167398214315835E-3</v>
      </c>
      <c r="EB8" s="743">
        <f t="shared" si="3"/>
        <v>1.5881147540983687E-2</v>
      </c>
      <c r="EC8" s="743">
        <f t="shared" si="3"/>
        <v>7.8094994238893101E-3</v>
      </c>
      <c r="ED8" s="712"/>
      <c r="EE8" s="744"/>
      <c r="EF8" s="753"/>
      <c r="EG8" s="745"/>
      <c r="EH8" s="712"/>
      <c r="EI8" s="712"/>
      <c r="EJ8" s="744"/>
      <c r="EK8" s="753"/>
      <c r="EL8" s="745"/>
      <c r="EM8" s="712"/>
      <c r="EN8" s="712"/>
      <c r="EO8" s="744"/>
      <c r="EP8" s="753"/>
      <c r="EQ8" s="745"/>
      <c r="ER8" s="712"/>
      <c r="ES8" s="712"/>
      <c r="ET8" s="744"/>
      <c r="EU8" s="753"/>
      <c r="EV8" s="745"/>
      <c r="EW8" s="712"/>
      <c r="EX8" s="712"/>
      <c r="EY8" s="744"/>
      <c r="EZ8" s="753"/>
      <c r="FA8" s="745"/>
      <c r="FB8" s="712"/>
      <c r="FC8" s="712"/>
      <c r="FD8" s="744"/>
      <c r="FE8" s="753"/>
      <c r="FF8" s="721"/>
      <c r="FG8" s="690"/>
      <c r="FH8" s="754"/>
      <c r="FI8" s="754"/>
      <c r="FJ8" s="754"/>
      <c r="FK8" s="754"/>
      <c r="FL8" s="690"/>
      <c r="FM8" s="708"/>
      <c r="FN8" s="708"/>
      <c r="FO8" s="723"/>
      <c r="FP8" s="723"/>
      <c r="FQ8" s="723"/>
      <c r="FR8" s="723"/>
      <c r="FS8" s="723"/>
      <c r="FT8" s="723"/>
      <c r="FU8" s="690"/>
      <c r="FV8"/>
      <c r="FW8"/>
      <c r="FX8"/>
      <c r="FY8"/>
      <c r="FZ8"/>
      <c r="GA8"/>
      <c r="GB8" s="725"/>
    </row>
    <row r="9" spans="1:184" s="726" customFormat="1" ht="12.75" hidden="1" customHeight="1" outlineLevel="1">
      <c r="A9" s="727" t="s">
        <v>276</v>
      </c>
      <c r="B9" s="728"/>
      <c r="C9" s="729"/>
      <c r="D9" s="729"/>
      <c r="E9" s="729"/>
      <c r="F9" s="730"/>
      <c r="G9" s="731"/>
      <c r="H9" s="731"/>
      <c r="I9" s="731"/>
      <c r="J9" s="731"/>
      <c r="K9" s="730"/>
      <c r="L9" s="731"/>
      <c r="M9" s="731"/>
      <c r="N9" s="731"/>
      <c r="O9" s="731"/>
      <c r="P9" s="730"/>
      <c r="Q9" s="731"/>
      <c r="R9" s="731"/>
      <c r="S9" s="731"/>
      <c r="T9" s="731"/>
      <c r="U9" s="730"/>
      <c r="V9" s="731"/>
      <c r="W9" s="731"/>
      <c r="X9" s="731"/>
      <c r="Y9" s="731">
        <f t="shared" ref="Y9:AD9" si="4">Y58/Y13</f>
        <v>123.00353452374372</v>
      </c>
      <c r="Z9" s="730">
        <f t="shared" si="4"/>
        <v>459.20950937033558</v>
      </c>
      <c r="AA9" s="731">
        <f t="shared" si="4"/>
        <v>126.43651622768351</v>
      </c>
      <c r="AB9" s="731">
        <f t="shared" si="4"/>
        <v>140.75698956206335</v>
      </c>
      <c r="AC9" s="731">
        <f t="shared" si="4"/>
        <v>142.9796394801067</v>
      </c>
      <c r="AD9" s="731">
        <f t="shared" si="4"/>
        <v>142.99816922406279</v>
      </c>
      <c r="AE9" s="730">
        <f>SUM(AA9:AD9)</f>
        <v>553.17131449391627</v>
      </c>
      <c r="AF9" s="731">
        <f>AF58/AF13</f>
        <v>150.66004415490409</v>
      </c>
      <c r="AG9" s="731">
        <f>AG58/AG13</f>
        <v>162.55890047924314</v>
      </c>
      <c r="AH9" s="731">
        <f>AH58/AH13</f>
        <v>167.87484161158324</v>
      </c>
      <c r="AI9" s="731">
        <f>AI58/AI13</f>
        <v>167.47242730230229</v>
      </c>
      <c r="AJ9" s="730">
        <f>SUM(AF9:AI9)</f>
        <v>648.56621354803269</v>
      </c>
      <c r="AK9" s="731">
        <f>AK58/AK13</f>
        <v>154.33065672611315</v>
      </c>
      <c r="AL9" s="731">
        <f>AL58/AL13</f>
        <v>156.17979570506597</v>
      </c>
      <c r="AM9" s="731">
        <f>AM58/AM13</f>
        <v>164.36136877892696</v>
      </c>
      <c r="AN9" s="731">
        <f>AN58/AN13</f>
        <v>158.39349159017047</v>
      </c>
      <c r="AO9" s="730">
        <f>SUM(AK9:AN9)</f>
        <v>633.26531280027655</v>
      </c>
      <c r="AP9" s="732">
        <f>AP58/AP13</f>
        <v>152.43001009822316</v>
      </c>
      <c r="AQ9" s="731">
        <f>AQ58/AQ13</f>
        <v>157.73511228945728</v>
      </c>
      <c r="AR9" s="732">
        <f>AR58/AR13</f>
        <v>160.96780152671758</v>
      </c>
      <c r="AS9" s="732">
        <f>AS58/AS13</f>
        <v>159.29422085921064</v>
      </c>
      <c r="AT9" s="730">
        <f>SUM(AP9:AS9)</f>
        <v>630.42714477360869</v>
      </c>
      <c r="AU9" s="732">
        <f>AU58/AU13</f>
        <v>155.46192594666124</v>
      </c>
      <c r="AV9" s="731">
        <f>AV58/AV13</f>
        <v>165.84668085215606</v>
      </c>
      <c r="AW9" s="732">
        <f>AW58/AW13</f>
        <v>173.77000185194984</v>
      </c>
      <c r="AX9" s="732">
        <f>AX58/AX13</f>
        <v>163.28344968120376</v>
      </c>
      <c r="AY9" s="730">
        <f>SUM(AU9:AX9)</f>
        <v>658.36205833197096</v>
      </c>
      <c r="AZ9" s="732">
        <f>AZ58/AZ13</f>
        <v>156.72765725389877</v>
      </c>
      <c r="BA9" s="731">
        <f>BA58/BA13</f>
        <v>163.27791838892625</v>
      </c>
      <c r="BB9" s="732">
        <f>BB58/BB13</f>
        <v>172.8487095135394</v>
      </c>
      <c r="BC9" s="732">
        <f>BC58/BC13</f>
        <v>167.51990250723239</v>
      </c>
      <c r="BD9" s="730">
        <f>SUM(AZ9:BC9)</f>
        <v>660.37418766359679</v>
      </c>
      <c r="BE9" s="732">
        <f>BE58/BE13</f>
        <v>168.51292571622147</v>
      </c>
      <c r="BF9" s="731">
        <f>BF58/BF13</f>
        <v>173.65080967327722</v>
      </c>
      <c r="BG9" s="732">
        <f>BG58/BG13</f>
        <v>172.90931672033449</v>
      </c>
      <c r="BH9" s="732">
        <f>BH58/BH13</f>
        <v>163.57323116454964</v>
      </c>
      <c r="BI9" s="730">
        <f>SUM(BE9:BH9)</f>
        <v>678.64628327438277</v>
      </c>
      <c r="BJ9" s="732">
        <f>BJ58/BJ13</f>
        <v>172.19016806195057</v>
      </c>
      <c r="BK9" s="731">
        <f>BK58/BK13</f>
        <v>179.08453459536688</v>
      </c>
      <c r="BL9" s="732">
        <f>BL58/BL13</f>
        <v>178.18041541362965</v>
      </c>
      <c r="BM9" s="732">
        <f>BM58/BM13</f>
        <v>169.47935964185905</v>
      </c>
      <c r="BN9" s="730">
        <f>SUM(BJ9:BM9)</f>
        <v>698.93447771280603</v>
      </c>
      <c r="BO9" s="732">
        <f>BO58/BO13</f>
        <v>168.52364520604254</v>
      </c>
      <c r="BP9" s="731">
        <f>BP58/BP13</f>
        <v>179.04086725261405</v>
      </c>
      <c r="BQ9" s="732">
        <f>BQ58/BQ13</f>
        <v>181.21058176229508</v>
      </c>
      <c r="BR9" s="732">
        <f>BR58/BR13</f>
        <v>174.10122230885179</v>
      </c>
      <c r="BS9" s="730">
        <f>SUM(BO9:BR9)</f>
        <v>702.87631652980349</v>
      </c>
      <c r="BT9" s="732">
        <f>BT58/BT13</f>
        <v>169.92221821515886</v>
      </c>
      <c r="BU9" s="731">
        <f>BU58/BU13</f>
        <v>177.34135446875158</v>
      </c>
      <c r="BV9" s="732">
        <f>BV58/BV13</f>
        <v>181.9216356325858</v>
      </c>
      <c r="BW9" s="732">
        <f>BW58/BW13</f>
        <v>180.50137575696914</v>
      </c>
      <c r="BX9" s="730">
        <f>SUM(BT9:BW9)</f>
        <v>709.68658407346538</v>
      </c>
      <c r="BY9" s="732">
        <f>BY58/BY13</f>
        <v>183.67553191279467</v>
      </c>
      <c r="BZ9" s="731">
        <f>BZ58/BZ13</f>
        <v>196.61645033849126</v>
      </c>
      <c r="CA9" s="732">
        <f>CA58/CA13</f>
        <v>200.98477797168891</v>
      </c>
      <c r="CB9" s="732">
        <f>CB58/CB13</f>
        <v>194.1124501943037</v>
      </c>
      <c r="CC9" s="730">
        <f>SUM(BY9:CB9)</f>
        <v>775.3892104172786</v>
      </c>
      <c r="CD9" s="732">
        <f>CD58/CD13</f>
        <v>192.26158315177923</v>
      </c>
      <c r="CE9" s="732">
        <f>CE58/CE13</f>
        <v>206.25519912033278</v>
      </c>
      <c r="CF9" s="732">
        <f>CF58/CF13</f>
        <v>219.04146660846791</v>
      </c>
      <c r="CG9" s="732">
        <f>CG58/CG13</f>
        <v>216.19672455593488</v>
      </c>
      <c r="CH9" s="730">
        <f>SUM(CD9:CG9)</f>
        <v>833.75497343651477</v>
      </c>
      <c r="CI9" s="732">
        <f>CI58/CI13</f>
        <v>207.93780294668139</v>
      </c>
      <c r="CJ9" s="732">
        <f>CJ58/CJ13</f>
        <v>211.78194129837581</v>
      </c>
      <c r="CK9" s="732">
        <f>CK58/CK13</f>
        <v>203.43937575030014</v>
      </c>
      <c r="CL9" s="732">
        <f>CL58/CL13</f>
        <v>193.81902328496361</v>
      </c>
      <c r="CM9" s="730">
        <f>SUM(CI9:CL9)</f>
        <v>816.97814328032086</v>
      </c>
      <c r="CN9" s="732">
        <f>CN58/CN13</f>
        <v>201.88655121415962</v>
      </c>
      <c r="CO9" s="732">
        <f>CO58/CO13</f>
        <v>222.03951125090734</v>
      </c>
      <c r="CP9" s="732">
        <f>CP58/CP13</f>
        <v>216.59441335391739</v>
      </c>
      <c r="CQ9" s="732">
        <f>CQ58/CQ13</f>
        <v>205.40835482946406</v>
      </c>
      <c r="CR9" s="730">
        <f>SUM(CN9:CQ9)</f>
        <v>845.92883064844841</v>
      </c>
      <c r="CS9" s="732">
        <f>CS58/CS13</f>
        <v>206.18588582864768</v>
      </c>
      <c r="CT9" s="732">
        <f>CT58/CT13</f>
        <v>221.19414194517464</v>
      </c>
      <c r="CU9" s="732">
        <f>CU58/CU13</f>
        <v>220.85769722209079</v>
      </c>
      <c r="CV9" s="732">
        <f>CV58/CV13</f>
        <v>189.47761625108308</v>
      </c>
      <c r="CW9" s="730">
        <f>SUM(CS9:CV9)</f>
        <v>837.71534124699622</v>
      </c>
      <c r="CX9" s="732">
        <f>CX58/CX13</f>
        <v>179.01631569474441</v>
      </c>
      <c r="CY9" s="732">
        <f>CY58/CY13</f>
        <v>204.50241403863328</v>
      </c>
      <c r="CZ9" s="732">
        <f>CZ58/CZ13</f>
        <v>231.74550467377964</v>
      </c>
      <c r="DA9" s="732">
        <f>DA58/DA13</f>
        <v>228.38339063171463</v>
      </c>
      <c r="DB9" s="730">
        <f>SUM(CX9:DA9)</f>
        <v>843.64762503887198</v>
      </c>
      <c r="DC9" s="732">
        <f>DC58/DC13</f>
        <v>239.34809735139982</v>
      </c>
      <c r="DD9" s="732">
        <f>DD58/DD13</f>
        <v>258.68594900967298</v>
      </c>
      <c r="DE9" s="732">
        <f>DE58/DE13</f>
        <v>246.8029914846353</v>
      </c>
      <c r="DF9" s="732">
        <f>DF58/DF13</f>
        <v>218.26431715210356</v>
      </c>
      <c r="DG9" s="730">
        <f>SUM(DC9:DF9)</f>
        <v>963.10135499781165</v>
      </c>
      <c r="DH9" s="732">
        <f>DH58/DH13</f>
        <v>223.40414144632049</v>
      </c>
      <c r="DI9" s="732">
        <f>DI58/DI13</f>
        <v>236.99402503333184</v>
      </c>
      <c r="DJ9" s="732">
        <f>DJ58/DJ13</f>
        <v>232.08230255583697</v>
      </c>
      <c r="DK9" s="732">
        <f>DK58/DK13</f>
        <v>218.81441556636551</v>
      </c>
      <c r="DL9" s="730">
        <f>SUM(DH9:DK9)</f>
        <v>911.29488460185473</v>
      </c>
      <c r="DM9" s="732">
        <f>DM58/DM13</f>
        <v>226.06930816011618</v>
      </c>
      <c r="DN9" s="732">
        <f>DN58/DN13</f>
        <v>235.8744140150485</v>
      </c>
      <c r="DO9" s="732">
        <f>DO58/DO13</f>
        <v>225.13595010461202</v>
      </c>
      <c r="DP9" s="732">
        <f>DP58/DP13</f>
        <v>209.92030659415363</v>
      </c>
      <c r="DQ9" s="730">
        <f>SUM(DM9:DP9)</f>
        <v>896.99997887393033</v>
      </c>
      <c r="DR9" s="750">
        <f>DR58/DR13</f>
        <v>213.33515096940593</v>
      </c>
      <c r="DS9" s="750">
        <f>DS58/DS13</f>
        <v>226.45841167448182</v>
      </c>
      <c r="DT9" s="732">
        <f>DT58/DT13</f>
        <v>221.50277594008082</v>
      </c>
      <c r="DU9" s="732">
        <f>DU58/DU13</f>
        <v>207.62306677611147</v>
      </c>
      <c r="DV9" s="730">
        <f>SUM(DR9:DU9)</f>
        <v>868.91940536008008</v>
      </c>
      <c r="DW9" s="750">
        <f>DW58/DW13</f>
        <v>214.23538222830405</v>
      </c>
      <c r="DX9" s="750">
        <f>DX58/DX13</f>
        <v>228.36474246286369</v>
      </c>
      <c r="DY9" s="732">
        <f>DY58/DY13</f>
        <v>225.45592287091591</v>
      </c>
      <c r="DZ9" s="732">
        <f>DZ58/DZ13</f>
        <v>213.8917556787207</v>
      </c>
      <c r="EA9" s="730">
        <f>SUM(DW9:DZ9)</f>
        <v>881.94780324080443</v>
      </c>
      <c r="EB9" s="750">
        <f>EB58/EB13</f>
        <v>214.57413079844471</v>
      </c>
      <c r="EC9" s="750">
        <f>EC58/EC13</f>
        <v>228.25804240282685</v>
      </c>
      <c r="ED9" s="733"/>
      <c r="EE9" s="733"/>
      <c r="EF9" s="730"/>
      <c r="EG9" s="733"/>
      <c r="EH9" s="733"/>
      <c r="EI9" s="733"/>
      <c r="EJ9" s="733"/>
      <c r="EK9" s="730"/>
      <c r="EL9" s="733"/>
      <c r="EM9" s="733"/>
      <c r="EN9" s="733"/>
      <c r="EO9" s="733"/>
      <c r="EP9" s="730"/>
      <c r="EQ9" s="733"/>
      <c r="ER9" s="733"/>
      <c r="ES9" s="733"/>
      <c r="ET9" s="733"/>
      <c r="EU9" s="730"/>
      <c r="EV9" s="733"/>
      <c r="EW9" s="733"/>
      <c r="EX9" s="733"/>
      <c r="EY9" s="733"/>
      <c r="EZ9" s="730"/>
      <c r="FA9" s="733"/>
      <c r="FB9" s="733"/>
      <c r="FC9" s="733"/>
      <c r="FD9" s="733"/>
      <c r="FE9" s="730"/>
      <c r="FF9" s="733"/>
      <c r="FG9" s="690"/>
      <c r="FH9" s="736"/>
      <c r="FI9" s="736"/>
      <c r="FJ9" s="736"/>
      <c r="FK9" s="736"/>
      <c r="FL9" s="690"/>
      <c r="FM9" s="737"/>
      <c r="FN9" s="737"/>
      <c r="FO9" s="738"/>
      <c r="FP9" s="738"/>
      <c r="FQ9" s="738"/>
      <c r="FR9" s="738"/>
      <c r="FS9" s="738"/>
      <c r="FT9" s="738"/>
      <c r="FU9" s="690"/>
      <c r="FV9"/>
      <c r="FW9"/>
      <c r="FX9"/>
      <c r="FY9"/>
      <c r="FZ9"/>
      <c r="GA9"/>
      <c r="GB9" s="725"/>
    </row>
    <row r="10" spans="1:184" s="749" customFormat="1" ht="12.75" hidden="1" customHeight="1" outlineLevel="1">
      <c r="A10" s="58" t="s">
        <v>85</v>
      </c>
      <c r="B10" s="739"/>
      <c r="C10" s="740"/>
      <c r="D10" s="740"/>
      <c r="E10" s="740"/>
      <c r="F10" s="741"/>
      <c r="G10" s="742"/>
      <c r="H10" s="742"/>
      <c r="I10" s="742"/>
      <c r="J10" s="742"/>
      <c r="K10" s="741"/>
      <c r="L10" s="742"/>
      <c r="M10" s="742"/>
      <c r="N10" s="742"/>
      <c r="O10" s="742"/>
      <c r="P10" s="741"/>
      <c r="Q10" s="742"/>
      <c r="R10" s="742"/>
      <c r="S10" s="742"/>
      <c r="T10" s="742"/>
      <c r="U10" s="741"/>
      <c r="V10" s="721"/>
      <c r="W10" s="721"/>
      <c r="X10" s="721"/>
      <c r="Y10" s="721"/>
      <c r="Z10" s="741"/>
      <c r="AA10" s="721"/>
      <c r="AB10" s="742"/>
      <c r="AC10" s="721"/>
      <c r="AD10" s="721">
        <f t="shared" ref="AD10:CO10" si="5">AD9/Y9-1</f>
        <v>0.16255333456665388</v>
      </c>
      <c r="AE10" s="741">
        <f t="shared" si="5"/>
        <v>0.20461641844573375</v>
      </c>
      <c r="AF10" s="721">
        <f t="shared" si="5"/>
        <v>0.19158648664124445</v>
      </c>
      <c r="AG10" s="742">
        <f t="shared" si="5"/>
        <v>0.15489043197792141</v>
      </c>
      <c r="AH10" s="721">
        <f t="shared" si="5"/>
        <v>0.17411711361141258</v>
      </c>
      <c r="AI10" s="721">
        <f t="shared" si="5"/>
        <v>0.17115084907059863</v>
      </c>
      <c r="AJ10" s="741">
        <f t="shared" si="5"/>
        <v>0.17245091449000927</v>
      </c>
      <c r="AK10" s="721">
        <f t="shared" si="5"/>
        <v>2.4363543710600899E-2</v>
      </c>
      <c r="AL10" s="721">
        <f t="shared" si="5"/>
        <v>-3.9241805618583814E-2</v>
      </c>
      <c r="AM10" s="721">
        <f t="shared" si="5"/>
        <v>-2.0929120760009412E-2</v>
      </c>
      <c r="AN10" s="721">
        <f t="shared" si="5"/>
        <v>-5.4211525194792554E-2</v>
      </c>
      <c r="AO10" s="741">
        <f t="shared" si="5"/>
        <v>-2.3591886885459767E-2</v>
      </c>
      <c r="AP10" s="721">
        <f t="shared" si="5"/>
        <v>-1.2315418518972665E-2</v>
      </c>
      <c r="AQ10" s="721">
        <f t="shared" si="5"/>
        <v>9.9585005689750705E-3</v>
      </c>
      <c r="AR10" s="721">
        <f t="shared" si="5"/>
        <v>-2.0646988263853361E-2</v>
      </c>
      <c r="AS10" s="721">
        <f t="shared" si="5"/>
        <v>5.6866558088808361E-3</v>
      </c>
      <c r="AT10" s="741">
        <f t="shared" si="5"/>
        <v>-4.4817992858594558E-3</v>
      </c>
      <c r="AU10" s="721">
        <f t="shared" si="5"/>
        <v>1.989054416833258E-2</v>
      </c>
      <c r="AV10" s="721">
        <f t="shared" si="5"/>
        <v>5.1425256209367998E-2</v>
      </c>
      <c r="AW10" s="721">
        <f t="shared" si="5"/>
        <v>7.9532677987823153E-2</v>
      </c>
      <c r="AX10" s="721">
        <f t="shared" si="5"/>
        <v>2.5043148461229681E-2</v>
      </c>
      <c r="AY10" s="741">
        <f t="shared" si="5"/>
        <v>4.4311089377970792E-2</v>
      </c>
      <c r="AZ10" s="721">
        <f t="shared" si="5"/>
        <v>8.141744671758433E-3</v>
      </c>
      <c r="BA10" s="721">
        <f t="shared" si="5"/>
        <v>-1.5488778250073776E-2</v>
      </c>
      <c r="BB10" s="721">
        <f t="shared" si="5"/>
        <v>-5.3017916130044807E-3</v>
      </c>
      <c r="BC10" s="721">
        <f t="shared" si="5"/>
        <v>2.5945390266435053E-2</v>
      </c>
      <c r="BD10" s="741">
        <f t="shared" si="5"/>
        <v>3.0562656309869318E-3</v>
      </c>
      <c r="BE10" s="721">
        <f t="shared" si="5"/>
        <v>7.5195843980686572E-2</v>
      </c>
      <c r="BF10" s="721">
        <f t="shared" si="5"/>
        <v>6.3529051489025212E-2</v>
      </c>
      <c r="BG10" s="721">
        <f t="shared" si="5"/>
        <v>3.5063731147122468E-4</v>
      </c>
      <c r="BH10" s="721">
        <f t="shared" si="5"/>
        <v>-2.3559417619123502E-2</v>
      </c>
      <c r="BI10" s="741">
        <f t="shared" si="5"/>
        <v>2.7669306208700561E-2</v>
      </c>
      <c r="BJ10" s="721">
        <f t="shared" si="5"/>
        <v>2.1821722755687167E-2</v>
      </c>
      <c r="BK10" s="721">
        <f t="shared" si="5"/>
        <v>3.129110041187344E-2</v>
      </c>
      <c r="BL10" s="721">
        <f t="shared" si="5"/>
        <v>3.0484758099071696E-2</v>
      </c>
      <c r="BM10" s="721">
        <f t="shared" si="5"/>
        <v>3.610693776274454E-2</v>
      </c>
      <c r="BN10" s="741">
        <f t="shared" si="5"/>
        <v>2.9895094010587098E-2</v>
      </c>
      <c r="BO10" s="721">
        <f t="shared" si="5"/>
        <v>-2.1293450707295269E-2</v>
      </c>
      <c r="BP10" s="721">
        <f t="shared" si="5"/>
        <v>-2.4383648119863377E-4</v>
      </c>
      <c r="BQ10" s="721">
        <f t="shared" si="5"/>
        <v>1.7006169514372171E-2</v>
      </c>
      <c r="BR10" s="721">
        <f t="shared" si="5"/>
        <v>2.7270947192387318E-2</v>
      </c>
      <c r="BS10" s="741">
        <f t="shared" si="5"/>
        <v>5.6397830450383157E-3</v>
      </c>
      <c r="BT10" s="721">
        <f t="shared" si="5"/>
        <v>8.2989719775310444E-3</v>
      </c>
      <c r="BU10" s="721">
        <f t="shared" si="5"/>
        <v>-9.4923176475937288E-3</v>
      </c>
      <c r="BV10" s="721">
        <f t="shared" si="5"/>
        <v>3.923909207595111E-3</v>
      </c>
      <c r="BW10" s="721">
        <f t="shared" si="5"/>
        <v>3.6761105770777514E-2</v>
      </c>
      <c r="BX10" s="741">
        <f t="shared" si="5"/>
        <v>9.6891407257611029E-3</v>
      </c>
      <c r="BY10" s="721">
        <f t="shared" si="5"/>
        <v>8.0938878047255081E-2</v>
      </c>
      <c r="BZ10" s="721">
        <f t="shared" si="5"/>
        <v>0.10868923341360892</v>
      </c>
      <c r="CA10" s="721">
        <f t="shared" si="5"/>
        <v>0.1047876591083623</v>
      </c>
      <c r="CB10" s="721">
        <f t="shared" si="5"/>
        <v>7.5407039864675562E-2</v>
      </c>
      <c r="CC10" s="741">
        <f t="shared" si="5"/>
        <v>9.2579777916460992E-2</v>
      </c>
      <c r="CD10" s="721">
        <f t="shared" si="5"/>
        <v>4.6745754045569132E-2</v>
      </c>
      <c r="CE10" s="721">
        <f t="shared" si="5"/>
        <v>4.9023104451573651E-2</v>
      </c>
      <c r="CF10" s="721">
        <f t="shared" si="5"/>
        <v>8.9841075622764333E-2</v>
      </c>
      <c r="CG10" s="721">
        <f t="shared" si="5"/>
        <v>0.11377051981737973</v>
      </c>
      <c r="CH10" s="741">
        <f t="shared" si="5"/>
        <v>7.5272859404151848E-2</v>
      </c>
      <c r="CI10" s="721">
        <f t="shared" si="5"/>
        <v>8.1535892599650106E-2</v>
      </c>
      <c r="CJ10" s="721">
        <f t="shared" si="5"/>
        <v>2.6795650250826641E-2</v>
      </c>
      <c r="CK10" s="721">
        <f t="shared" si="5"/>
        <v>-7.1228937149403704E-2</v>
      </c>
      <c r="CL10" s="721">
        <f t="shared" si="5"/>
        <v>-0.10350619935123795</v>
      </c>
      <c r="CM10" s="741">
        <f t="shared" si="5"/>
        <v>-2.0122015089210521E-2</v>
      </c>
      <c r="CN10" s="721">
        <f t="shared" si="5"/>
        <v>-2.9101258389622409E-2</v>
      </c>
      <c r="CO10" s="721">
        <f t="shared" si="5"/>
        <v>4.8434582711090579E-2</v>
      </c>
      <c r="CP10" s="721">
        <f t="shared" ref="CP10:EC10" si="6">CP9/CK9-1</f>
        <v>6.4663183098652599E-2</v>
      </c>
      <c r="CQ10" s="721">
        <f t="shared" si="6"/>
        <v>5.9794602965577592E-2</v>
      </c>
      <c r="CR10" s="741">
        <f t="shared" si="6"/>
        <v>3.5436305862339257E-2</v>
      </c>
      <c r="CS10" s="721">
        <f t="shared" si="6"/>
        <v>2.1295795032564513E-2</v>
      </c>
      <c r="CT10" s="721">
        <f t="shared" si="6"/>
        <v>-3.8072922290728339E-3</v>
      </c>
      <c r="CU10" s="721">
        <f t="shared" si="6"/>
        <v>1.9683258686858052E-2</v>
      </c>
      <c r="CV10" s="721">
        <f t="shared" si="6"/>
        <v>-7.7556429443228492E-2</v>
      </c>
      <c r="CW10" s="741">
        <f t="shared" si="6"/>
        <v>-9.709433115261179E-3</v>
      </c>
      <c r="CX10" s="721">
        <f t="shared" si="6"/>
        <v>-0.13177221139415307</v>
      </c>
      <c r="CY10" s="721">
        <f t="shared" si="6"/>
        <v>-7.5461889540811566E-2</v>
      </c>
      <c r="CZ10" s="721">
        <f t="shared" si="6"/>
        <v>4.929784014156513E-2</v>
      </c>
      <c r="DA10" s="721">
        <f t="shared" si="6"/>
        <v>0.20533177031885508</v>
      </c>
      <c r="DB10" s="741">
        <f t="shared" si="6"/>
        <v>7.0815031070639023E-3</v>
      </c>
      <c r="DC10" s="721">
        <f t="shared" si="6"/>
        <v>0.33701834060495428</v>
      </c>
      <c r="DD10" s="721">
        <f t="shared" si="6"/>
        <v>0.26495303356567557</v>
      </c>
      <c r="DE10" s="721">
        <f t="shared" si="6"/>
        <v>6.4974234697892319E-2</v>
      </c>
      <c r="DF10" s="721">
        <f t="shared" si="6"/>
        <v>-4.4307396661471099E-2</v>
      </c>
      <c r="DG10" s="741">
        <f t="shared" si="6"/>
        <v>0.14159197088172415</v>
      </c>
      <c r="DH10" s="721">
        <f t="shared" si="6"/>
        <v>-6.6614090863948427E-2</v>
      </c>
      <c r="DI10" s="721">
        <f t="shared" si="6"/>
        <v>-8.3854279907294216E-2</v>
      </c>
      <c r="DJ10" s="721">
        <f t="shared" si="6"/>
        <v>-5.9645504457812693E-2</v>
      </c>
      <c r="DK10" s="721">
        <f t="shared" si="6"/>
        <v>2.5203314102808516E-3</v>
      </c>
      <c r="DL10" s="741">
        <f t="shared" si="6"/>
        <v>-5.3791296343960182E-2</v>
      </c>
      <c r="DM10" s="721">
        <f t="shared" si="6"/>
        <v>1.1929799942567598E-2</v>
      </c>
      <c r="DN10" s="721">
        <f t="shared" si="6"/>
        <v>-4.7242162249696573E-3</v>
      </c>
      <c r="DO10" s="721">
        <f t="shared" si="6"/>
        <v>-2.9930556422128385E-2</v>
      </c>
      <c r="DP10" s="721">
        <f t="shared" si="6"/>
        <v>-4.0646814558313871E-2</v>
      </c>
      <c r="DQ10" s="741">
        <f t="shared" si="6"/>
        <v>-1.5686366695858101E-2</v>
      </c>
      <c r="DR10" s="743">
        <f t="shared" si="6"/>
        <v>-5.6328553815412796E-2</v>
      </c>
      <c r="DS10" s="743">
        <f t="shared" si="6"/>
        <v>-3.9919557955810925E-2</v>
      </c>
      <c r="DT10" s="721">
        <f t="shared" si="6"/>
        <v>-1.61376899728497E-2</v>
      </c>
      <c r="DU10" s="721">
        <f t="shared" si="6"/>
        <v>-1.0943390162265199E-2</v>
      </c>
      <c r="DV10" s="741">
        <f t="shared" si="6"/>
        <v>-3.1304987932220252E-2</v>
      </c>
      <c r="DW10" s="743">
        <f t="shared" si="6"/>
        <v>4.2197980726919049E-3</v>
      </c>
      <c r="DX10" s="743">
        <f t="shared" si="6"/>
        <v>8.418017128558164E-3</v>
      </c>
      <c r="DY10" s="721">
        <f t="shared" si="6"/>
        <v>1.7846940807209055E-2</v>
      </c>
      <c r="DZ10" s="721">
        <f t="shared" si="6"/>
        <v>3.0192641886794824E-2</v>
      </c>
      <c r="EA10" s="741">
        <f t="shared" si="6"/>
        <v>1.499379321068961E-2</v>
      </c>
      <c r="EB10" s="743">
        <f t="shared" si="6"/>
        <v>1.5811980570963335E-3</v>
      </c>
      <c r="EC10" s="743">
        <f t="shared" si="6"/>
        <v>-4.6723526095182599E-4</v>
      </c>
      <c r="ED10" s="712"/>
      <c r="EE10" s="744"/>
      <c r="EF10" s="741"/>
      <c r="EG10" s="745"/>
      <c r="EH10" s="712"/>
      <c r="EI10" s="712"/>
      <c r="EJ10" s="744"/>
      <c r="EK10" s="741"/>
      <c r="EL10" s="745"/>
      <c r="EM10" s="712"/>
      <c r="EN10" s="712"/>
      <c r="EO10" s="744"/>
      <c r="EP10" s="741"/>
      <c r="EQ10" s="745"/>
      <c r="ER10" s="712"/>
      <c r="ES10" s="712"/>
      <c r="ET10" s="744"/>
      <c r="EU10" s="741"/>
      <c r="EV10" s="745"/>
      <c r="EW10" s="712"/>
      <c r="EX10" s="712"/>
      <c r="EY10" s="744"/>
      <c r="EZ10" s="741"/>
      <c r="FA10" s="745"/>
      <c r="FB10" s="712"/>
      <c r="FC10" s="712"/>
      <c r="FD10" s="744"/>
      <c r="FE10" s="741"/>
      <c r="FF10" s="712"/>
      <c r="FG10" s="690"/>
      <c r="FH10" s="746"/>
      <c r="FI10" s="746"/>
      <c r="FJ10" s="746"/>
      <c r="FK10" s="746"/>
      <c r="FL10" s="690"/>
      <c r="FM10" s="747"/>
      <c r="FN10" s="747"/>
      <c r="FO10" s="748"/>
      <c r="FP10" s="748"/>
      <c r="FQ10" s="748"/>
      <c r="FR10" s="748"/>
      <c r="FS10" s="748"/>
      <c r="FT10" s="748"/>
      <c r="FU10" s="690"/>
      <c r="FV10"/>
      <c r="FW10"/>
      <c r="FX10"/>
      <c r="FY10"/>
      <c r="FZ10"/>
      <c r="GA10"/>
      <c r="GB10" s="725"/>
    </row>
    <row r="11" spans="1:184" s="726" customFormat="1" ht="12.75" hidden="1" customHeight="1" outlineLevel="1">
      <c r="A11" s="727" t="s">
        <v>277</v>
      </c>
      <c r="B11" s="728"/>
      <c r="C11" s="729"/>
      <c r="D11" s="729"/>
      <c r="E11" s="729"/>
      <c r="F11" s="730"/>
      <c r="G11" s="731"/>
      <c r="H11" s="731"/>
      <c r="I11" s="731"/>
      <c r="J11" s="731"/>
      <c r="K11" s="730"/>
      <c r="L11" s="731"/>
      <c r="M11" s="731"/>
      <c r="N11" s="731"/>
      <c r="O11" s="731"/>
      <c r="P11" s="730"/>
      <c r="Q11" s="731"/>
      <c r="R11" s="731"/>
      <c r="S11" s="731"/>
      <c r="T11" s="731"/>
      <c r="U11" s="730"/>
      <c r="V11" s="731"/>
      <c r="W11" s="731"/>
      <c r="X11" s="731"/>
      <c r="Y11" s="731">
        <v>18089</v>
      </c>
      <c r="Z11" s="730">
        <f>AVERAGE(V11:Y11)</f>
        <v>18089</v>
      </c>
      <c r="AA11" s="731">
        <v>18148</v>
      </c>
      <c r="AB11" s="731">
        <v>18610</v>
      </c>
      <c r="AC11" s="731">
        <v>17619</v>
      </c>
      <c r="AD11" s="731">
        <v>17205</v>
      </c>
      <c r="AE11" s="730">
        <f>AVERAGE(AA11:AD11)</f>
        <v>17895.5</v>
      </c>
      <c r="AF11" s="731">
        <v>16578</v>
      </c>
      <c r="AG11" s="731">
        <v>16067</v>
      </c>
      <c r="AH11" s="731">
        <v>15885</v>
      </c>
      <c r="AI11" s="731">
        <v>15984</v>
      </c>
      <c r="AJ11" s="730">
        <f>AVERAGE(AF11:AI11)</f>
        <v>16128.5</v>
      </c>
      <c r="AK11" s="731">
        <v>16934</v>
      </c>
      <c r="AL11" s="731">
        <v>17509</v>
      </c>
      <c r="AM11" s="731">
        <v>17501</v>
      </c>
      <c r="AN11" s="731">
        <v>17539</v>
      </c>
      <c r="AO11" s="730">
        <f>AVERAGE(AK11:AN11)</f>
        <v>17370.75</v>
      </c>
      <c r="AP11" s="732">
        <v>18122</v>
      </c>
      <c r="AQ11" s="731">
        <v>19236</v>
      </c>
      <c r="AR11" s="732">
        <v>19388</v>
      </c>
      <c r="AS11" s="732">
        <v>19483</v>
      </c>
      <c r="AT11" s="730">
        <f>AVERAGE(AP11:AS11)</f>
        <v>19057.25</v>
      </c>
      <c r="AU11" s="732">
        <v>19648</v>
      </c>
      <c r="AV11" s="731">
        <v>19480</v>
      </c>
      <c r="AW11" s="732">
        <v>18899</v>
      </c>
      <c r="AX11" s="732">
        <v>19605</v>
      </c>
      <c r="AY11" s="730">
        <f>AVERAGE(AU11:AX11)</f>
        <v>19408</v>
      </c>
      <c r="AZ11" s="732">
        <v>20327</v>
      </c>
      <c r="BA11" s="731">
        <v>20806</v>
      </c>
      <c r="BB11" s="732">
        <v>20865</v>
      </c>
      <c r="BC11" s="732">
        <v>20740</v>
      </c>
      <c r="BD11" s="730">
        <f>AVERAGE(AZ11:BC11)</f>
        <v>20684.5</v>
      </c>
      <c r="BE11" s="732">
        <v>20664</v>
      </c>
      <c r="BF11" s="731">
        <v>21027</v>
      </c>
      <c r="BG11" s="732">
        <v>20807</v>
      </c>
      <c r="BH11" s="732">
        <v>20626</v>
      </c>
      <c r="BI11" s="730">
        <f>AVERAGE(BE11:BH11)</f>
        <v>20781</v>
      </c>
      <c r="BJ11" s="732">
        <v>19112</v>
      </c>
      <c r="BK11" s="731">
        <v>19598</v>
      </c>
      <c r="BL11" s="732">
        <v>19619</v>
      </c>
      <c r="BM11" s="732">
        <v>19322</v>
      </c>
      <c r="BN11" s="730">
        <f>AVERAGE(BJ11:BM11)</f>
        <v>19412.75</v>
      </c>
      <c r="BO11" s="732">
        <v>19462</v>
      </c>
      <c r="BP11" s="731">
        <v>19797</v>
      </c>
      <c r="BQ11" s="732">
        <v>19520</v>
      </c>
      <c r="BR11" s="732">
        <v>19239</v>
      </c>
      <c r="BS11" s="730">
        <f>AVERAGE(BO11:BR11)</f>
        <v>19504.5</v>
      </c>
      <c r="BT11" s="732">
        <v>19632</v>
      </c>
      <c r="BU11" s="731">
        <v>19793</v>
      </c>
      <c r="BV11" s="732">
        <v>20021</v>
      </c>
      <c r="BW11" s="732">
        <v>19981</v>
      </c>
      <c r="BX11" s="730">
        <f>AVERAGE(BT11:BW11)</f>
        <v>19856.75</v>
      </c>
      <c r="BY11" s="732">
        <v>20274</v>
      </c>
      <c r="BZ11" s="731">
        <v>20680</v>
      </c>
      <c r="CA11" s="732">
        <v>20628</v>
      </c>
      <c r="CB11" s="732">
        <v>20329</v>
      </c>
      <c r="CC11" s="730">
        <f>AVERAGE(BY11:CB11)</f>
        <v>20477.75</v>
      </c>
      <c r="CD11" s="732">
        <v>20655</v>
      </c>
      <c r="CE11" s="732">
        <v>20917</v>
      </c>
      <c r="CF11" s="732">
        <v>20619</v>
      </c>
      <c r="CG11" s="732">
        <v>20211</v>
      </c>
      <c r="CH11" s="730">
        <f>AVERAGE(CD11:CG11)</f>
        <v>20600.5</v>
      </c>
      <c r="CI11" s="732">
        <v>20837</v>
      </c>
      <c r="CJ11" s="732">
        <v>20749</v>
      </c>
      <c r="CK11" s="732">
        <v>20825</v>
      </c>
      <c r="CL11" s="732">
        <v>20743</v>
      </c>
      <c r="CM11" s="730">
        <f>AVERAGE(CI11:CL11)</f>
        <v>20788.5</v>
      </c>
      <c r="CN11" s="732">
        <v>20961</v>
      </c>
      <c r="CO11" s="732">
        <v>20665</v>
      </c>
      <c r="CP11" s="732">
        <v>20728</v>
      </c>
      <c r="CQ11" s="732">
        <v>20934</v>
      </c>
      <c r="CR11" s="730">
        <f>AVERAGE(CN11:CQ11)</f>
        <v>20822</v>
      </c>
      <c r="CS11" s="732">
        <v>20986</v>
      </c>
      <c r="CT11" s="732">
        <v>21304</v>
      </c>
      <c r="CU11" s="732">
        <v>21131</v>
      </c>
      <c r="CV11" s="732">
        <v>20774</v>
      </c>
      <c r="CW11" s="730">
        <f>AVERAGE(CS11:CV11)</f>
        <v>21048.75</v>
      </c>
      <c r="CX11" s="732">
        <v>20835</v>
      </c>
      <c r="CY11" s="732">
        <v>21277</v>
      </c>
      <c r="CZ11" s="732">
        <v>21182</v>
      </c>
      <c r="DA11" s="732">
        <v>20943</v>
      </c>
      <c r="DB11" s="730">
        <f>AVERAGE(CX11:DA11)</f>
        <v>21059.25</v>
      </c>
      <c r="DC11" s="732">
        <v>21181</v>
      </c>
      <c r="DD11" s="732">
        <v>21710</v>
      </c>
      <c r="DE11" s="732">
        <v>21608</v>
      </c>
      <c r="DF11" s="732">
        <v>21630</v>
      </c>
      <c r="DG11" s="730">
        <f>AVERAGE(DC11:DF11)</f>
        <v>21532.25</v>
      </c>
      <c r="DH11" s="732">
        <v>21973</v>
      </c>
      <c r="DI11" s="732">
        <v>21751</v>
      </c>
      <c r="DJ11" s="732">
        <v>21715</v>
      </c>
      <c r="DK11" s="732">
        <v>21585</v>
      </c>
      <c r="DL11" s="730">
        <f>AVERAGE(DH11:DK11)</f>
        <v>21756</v>
      </c>
      <c r="DM11" s="732">
        <v>22034</v>
      </c>
      <c r="DN11" s="732">
        <v>22062</v>
      </c>
      <c r="DO11" s="732">
        <v>21986</v>
      </c>
      <c r="DP11" s="732">
        <v>22065</v>
      </c>
      <c r="DQ11" s="730">
        <f>AVERAGE(DM11:DP11)</f>
        <v>22036.75</v>
      </c>
      <c r="DR11" s="750">
        <v>22488</v>
      </c>
      <c r="DS11" s="750">
        <v>22819</v>
      </c>
      <c r="DT11" s="732">
        <v>22764</v>
      </c>
      <c r="DU11" s="732">
        <v>22538</v>
      </c>
      <c r="DV11" s="730">
        <f>AVERAGE(DR11:DU11)</f>
        <v>22652.25</v>
      </c>
      <c r="DW11" s="750">
        <v>22654</v>
      </c>
      <c r="DX11" s="750">
        <v>22754</v>
      </c>
      <c r="DY11" s="732">
        <v>22404</v>
      </c>
      <c r="DZ11" s="732">
        <v>22012</v>
      </c>
      <c r="EA11" s="730">
        <f>AVERAGE(DW11:DZ11)</f>
        <v>22456</v>
      </c>
      <c r="EB11" s="750">
        <v>22118</v>
      </c>
      <c r="EC11" s="750">
        <v>22074</v>
      </c>
      <c r="ED11" s="733"/>
      <c r="EE11" s="734"/>
      <c r="EF11" s="730"/>
      <c r="EG11" s="735"/>
      <c r="EH11" s="733"/>
      <c r="EI11" s="733"/>
      <c r="EJ11" s="734"/>
      <c r="EK11" s="730"/>
      <c r="EL11" s="735"/>
      <c r="EM11" s="733"/>
      <c r="EN11" s="733"/>
      <c r="EO11" s="734"/>
      <c r="EP11" s="730"/>
      <c r="EQ11" s="735"/>
      <c r="ER11" s="733"/>
      <c r="ES11" s="733"/>
      <c r="ET11" s="734"/>
      <c r="EU11" s="730"/>
      <c r="EV11" s="735"/>
      <c r="EW11" s="733"/>
      <c r="EX11" s="733"/>
      <c r="EY11" s="734"/>
      <c r="EZ11" s="730"/>
      <c r="FA11" s="735"/>
      <c r="FB11" s="733"/>
      <c r="FC11" s="733"/>
      <c r="FD11" s="734"/>
      <c r="FE11" s="730"/>
      <c r="FF11" s="733"/>
      <c r="FG11" s="690"/>
      <c r="FH11" s="736"/>
      <c r="FI11" s="736"/>
      <c r="FJ11" s="736"/>
      <c r="FK11" s="736"/>
      <c r="FL11" s="690"/>
      <c r="FM11" s="737"/>
      <c r="FN11" s="737"/>
      <c r="FO11" s="738"/>
      <c r="FP11" s="738"/>
      <c r="FQ11" s="738"/>
      <c r="FR11" s="738"/>
      <c r="FS11" s="738"/>
      <c r="FT11" s="738"/>
      <c r="FU11" s="690"/>
      <c r="FV11"/>
      <c r="FW11"/>
      <c r="FX11"/>
      <c r="FY11"/>
      <c r="FZ11"/>
      <c r="GA11"/>
      <c r="GB11" s="725"/>
    </row>
    <row r="12" spans="1:184" s="749" customFormat="1" ht="12.75" hidden="1" customHeight="1" outlineLevel="1">
      <c r="A12" s="58" t="s">
        <v>85</v>
      </c>
      <c r="B12" s="739"/>
      <c r="C12" s="740"/>
      <c r="D12" s="740"/>
      <c r="E12" s="740"/>
      <c r="F12" s="741"/>
      <c r="G12" s="742"/>
      <c r="H12" s="742"/>
      <c r="I12" s="742"/>
      <c r="J12" s="742"/>
      <c r="K12" s="741"/>
      <c r="L12" s="742"/>
      <c r="M12" s="742"/>
      <c r="N12" s="742"/>
      <c r="O12" s="742"/>
      <c r="P12" s="741"/>
      <c r="Q12" s="742"/>
      <c r="R12" s="742"/>
      <c r="S12" s="742"/>
      <c r="T12" s="742"/>
      <c r="U12" s="741"/>
      <c r="V12" s="721"/>
      <c r="W12" s="721"/>
      <c r="X12" s="721"/>
      <c r="Y12" s="721"/>
      <c r="Z12" s="741"/>
      <c r="AA12" s="721"/>
      <c r="AB12" s="742"/>
      <c r="AC12" s="721"/>
      <c r="AD12" s="721">
        <f t="shared" ref="AD12:CO12" si="7">AD11/Y11-1</f>
        <v>-4.8869478688705836E-2</v>
      </c>
      <c r="AE12" s="741">
        <f t="shared" si="7"/>
        <v>-1.0697108740118311E-2</v>
      </c>
      <c r="AF12" s="721">
        <f t="shared" si="7"/>
        <v>-8.6510910293145282E-2</v>
      </c>
      <c r="AG12" s="742">
        <f t="shared" si="7"/>
        <v>-0.13664696399785059</v>
      </c>
      <c r="AH12" s="721">
        <f t="shared" si="7"/>
        <v>-9.8416482206708622E-2</v>
      </c>
      <c r="AI12" s="721">
        <f t="shared" si="7"/>
        <v>-7.096774193548383E-2</v>
      </c>
      <c r="AJ12" s="741">
        <f t="shared" si="7"/>
        <v>-9.8739906680450407E-2</v>
      </c>
      <c r="AK12" s="721">
        <f t="shared" si="7"/>
        <v>2.1474242972614244E-2</v>
      </c>
      <c r="AL12" s="721">
        <f t="shared" si="7"/>
        <v>8.9749175328312614E-2</v>
      </c>
      <c r="AM12" s="721">
        <f t="shared" si="7"/>
        <v>0.1017311929493232</v>
      </c>
      <c r="AN12" s="721">
        <f t="shared" si="7"/>
        <v>9.7284784784784861E-2</v>
      </c>
      <c r="AO12" s="741">
        <f t="shared" si="7"/>
        <v>7.7022041727377033E-2</v>
      </c>
      <c r="AP12" s="721">
        <f t="shared" si="7"/>
        <v>7.0154718318176545E-2</v>
      </c>
      <c r="AQ12" s="721">
        <f t="shared" si="7"/>
        <v>9.8634987720600753E-2</v>
      </c>
      <c r="AR12" s="721">
        <f t="shared" si="7"/>
        <v>0.10782241014799165</v>
      </c>
      <c r="AS12" s="721">
        <f t="shared" si="7"/>
        <v>0.11083870232054283</v>
      </c>
      <c r="AT12" s="741">
        <f t="shared" si="7"/>
        <v>9.7088496466761764E-2</v>
      </c>
      <c r="AU12" s="721">
        <f t="shared" si="7"/>
        <v>8.4207041165434315E-2</v>
      </c>
      <c r="AV12" s="721">
        <f t="shared" si="7"/>
        <v>1.2684549802453704E-2</v>
      </c>
      <c r="AW12" s="721">
        <f t="shared" si="7"/>
        <v>-2.5221786672168345E-2</v>
      </c>
      <c r="AX12" s="721">
        <f t="shared" si="7"/>
        <v>6.2618693219729238E-3</v>
      </c>
      <c r="AY12" s="741">
        <f t="shared" si="7"/>
        <v>1.8405068937018765E-2</v>
      </c>
      <c r="AZ12" s="721">
        <f t="shared" si="7"/>
        <v>3.4558224755700362E-2</v>
      </c>
      <c r="BA12" s="721">
        <f t="shared" si="7"/>
        <v>6.8069815195071826E-2</v>
      </c>
      <c r="BB12" s="721">
        <f t="shared" si="7"/>
        <v>0.10402666807767602</v>
      </c>
      <c r="BC12" s="721">
        <f t="shared" si="7"/>
        <v>5.7893394542208654E-2</v>
      </c>
      <c r="BD12" s="741">
        <f t="shared" si="7"/>
        <v>6.5771846661170752E-2</v>
      </c>
      <c r="BE12" s="721">
        <f t="shared" si="7"/>
        <v>1.6578934422197156E-2</v>
      </c>
      <c r="BF12" s="721">
        <f t="shared" si="7"/>
        <v>1.0621935980005714E-2</v>
      </c>
      <c r="BG12" s="721">
        <f t="shared" si="7"/>
        <v>-2.7797747423915498E-3</v>
      </c>
      <c r="BH12" s="721">
        <f t="shared" si="7"/>
        <v>-5.4966248794600103E-3</v>
      </c>
      <c r="BI12" s="741">
        <f t="shared" si="7"/>
        <v>4.6653291111702355E-3</v>
      </c>
      <c r="BJ12" s="721">
        <f t="shared" si="7"/>
        <v>-7.5106465350367801E-2</v>
      </c>
      <c r="BK12" s="721">
        <f t="shared" si="7"/>
        <v>-6.7960241594140824E-2</v>
      </c>
      <c r="BL12" s="721">
        <f t="shared" si="7"/>
        <v>-5.7096169558321752E-2</v>
      </c>
      <c r="BM12" s="721">
        <f t="shared" si="7"/>
        <v>-6.3221177155047048E-2</v>
      </c>
      <c r="BN12" s="741">
        <f t="shared" si="7"/>
        <v>-6.5841393580674645E-2</v>
      </c>
      <c r="BO12" s="721">
        <f t="shared" si="7"/>
        <v>1.8313101716199265E-2</v>
      </c>
      <c r="BP12" s="721">
        <f t="shared" si="7"/>
        <v>1.0154097356873226E-2</v>
      </c>
      <c r="BQ12" s="721">
        <f t="shared" si="7"/>
        <v>-5.046128752739687E-3</v>
      </c>
      <c r="BR12" s="721">
        <f t="shared" si="7"/>
        <v>-4.2956215712659507E-3</v>
      </c>
      <c r="BS12" s="741">
        <f t="shared" si="7"/>
        <v>4.7262752572407862E-3</v>
      </c>
      <c r="BT12" s="721">
        <f t="shared" si="7"/>
        <v>8.7349707121571196E-3</v>
      </c>
      <c r="BU12" s="721">
        <f t="shared" si="7"/>
        <v>-2.0205081578017481E-4</v>
      </c>
      <c r="BV12" s="721">
        <f t="shared" si="7"/>
        <v>2.5665983606557363E-2</v>
      </c>
      <c r="BW12" s="721">
        <f t="shared" si="7"/>
        <v>3.8567493112947604E-2</v>
      </c>
      <c r="BX12" s="741">
        <f t="shared" si="7"/>
        <v>1.8059934886820894E-2</v>
      </c>
      <c r="BY12" s="721">
        <f t="shared" si="7"/>
        <v>3.270171149144252E-2</v>
      </c>
      <c r="BZ12" s="721">
        <f t="shared" si="7"/>
        <v>4.4813823068761582E-2</v>
      </c>
      <c r="CA12" s="721">
        <f t="shared" si="7"/>
        <v>3.0318165925777851E-2</v>
      </c>
      <c r="CB12" s="721">
        <f t="shared" si="7"/>
        <v>1.7416545718432541E-2</v>
      </c>
      <c r="CC12" s="741">
        <f t="shared" si="7"/>
        <v>3.1274000025180326E-2</v>
      </c>
      <c r="CD12" s="721">
        <f t="shared" si="7"/>
        <v>1.8792542172240356E-2</v>
      </c>
      <c r="CE12" s="721">
        <f t="shared" si="7"/>
        <v>1.1460348162475764E-2</v>
      </c>
      <c r="CF12" s="721">
        <f t="shared" si="7"/>
        <v>-4.3630017452012115E-4</v>
      </c>
      <c r="CG12" s="721">
        <f t="shared" si="7"/>
        <v>-5.8045157164641203E-3</v>
      </c>
      <c r="CH12" s="741">
        <f t="shared" si="7"/>
        <v>5.9943108984141791E-3</v>
      </c>
      <c r="CI12" s="721">
        <f t="shared" si="7"/>
        <v>8.8114258048899163E-3</v>
      </c>
      <c r="CJ12" s="721">
        <f t="shared" si="7"/>
        <v>-8.0317445140316579E-3</v>
      </c>
      <c r="CK12" s="721">
        <f t="shared" si="7"/>
        <v>9.9907851981182461E-3</v>
      </c>
      <c r="CL12" s="721">
        <f t="shared" si="7"/>
        <v>2.6322299737766564E-2</v>
      </c>
      <c r="CM12" s="741">
        <f t="shared" si="7"/>
        <v>9.1259920875705891E-3</v>
      </c>
      <c r="CN12" s="721">
        <f t="shared" si="7"/>
        <v>5.9509526323366924E-3</v>
      </c>
      <c r="CO12" s="721">
        <f t="shared" si="7"/>
        <v>-4.0483878741144341E-3</v>
      </c>
      <c r="CP12" s="721">
        <f t="shared" ref="CP12:EC12" si="8">CP11/CK11-1</f>
        <v>-4.6578631452580677E-3</v>
      </c>
      <c r="CQ12" s="721">
        <f t="shared" si="8"/>
        <v>9.2079255652508518E-3</v>
      </c>
      <c r="CR12" s="741">
        <f t="shared" si="8"/>
        <v>1.61146787887545E-3</v>
      </c>
      <c r="CS12" s="721">
        <f t="shared" si="8"/>
        <v>1.1926911883974878E-3</v>
      </c>
      <c r="CT12" s="721">
        <f t="shared" si="8"/>
        <v>3.0921848536172192E-2</v>
      </c>
      <c r="CU12" s="721">
        <f t="shared" si="8"/>
        <v>1.9442300270166024E-2</v>
      </c>
      <c r="CV12" s="721">
        <f t="shared" si="8"/>
        <v>-7.6430686920798685E-3</v>
      </c>
      <c r="CW12" s="741">
        <f t="shared" si="8"/>
        <v>1.0889924118720584E-2</v>
      </c>
      <c r="CX12" s="721">
        <f t="shared" si="8"/>
        <v>-7.1952730391690034E-3</v>
      </c>
      <c r="CY12" s="721">
        <f t="shared" si="8"/>
        <v>-1.2673676304919557E-3</v>
      </c>
      <c r="CZ12" s="721">
        <f t="shared" si="8"/>
        <v>2.4135156878519748E-3</v>
      </c>
      <c r="DA12" s="721">
        <f t="shared" si="8"/>
        <v>8.1351689612014777E-3</v>
      </c>
      <c r="DB12" s="741">
        <f>DB11/CW11-1</f>
        <v>4.9884197398886165E-4</v>
      </c>
      <c r="DC12" s="721">
        <f t="shared" si="8"/>
        <v>1.6606671466282696E-2</v>
      </c>
      <c r="DD12" s="721">
        <f t="shared" si="8"/>
        <v>2.0350613338346646E-2</v>
      </c>
      <c r="DE12" s="721">
        <f t="shared" si="8"/>
        <v>2.0111415352657813E-2</v>
      </c>
      <c r="DF12" s="721">
        <f t="shared" si="8"/>
        <v>3.2803323306116683E-2</v>
      </c>
      <c r="DG12" s="741">
        <f t="shared" si="8"/>
        <v>2.2460438999489574E-2</v>
      </c>
      <c r="DH12" s="721">
        <f t="shared" si="8"/>
        <v>3.7392002266182001E-2</v>
      </c>
      <c r="DI12" s="721">
        <f t="shared" si="8"/>
        <v>1.8885306310456595E-3</v>
      </c>
      <c r="DJ12" s="721">
        <f t="shared" si="8"/>
        <v>4.9518696778971805E-3</v>
      </c>
      <c r="DK12" s="721">
        <f t="shared" si="8"/>
        <v>-2.0804438280166426E-3</v>
      </c>
      <c r="DL12" s="741">
        <f t="shared" si="8"/>
        <v>1.0391389659696548E-2</v>
      </c>
      <c r="DM12" s="721">
        <f t="shared" si="8"/>
        <v>2.7761343466983224E-3</v>
      </c>
      <c r="DN12" s="721">
        <f t="shared" si="8"/>
        <v>1.4298193186520258E-2</v>
      </c>
      <c r="DO12" s="721">
        <f t="shared" si="8"/>
        <v>1.2479852636426481E-2</v>
      </c>
      <c r="DP12" s="721">
        <f t="shared" si="8"/>
        <v>2.2237665045170329E-2</v>
      </c>
      <c r="DQ12" s="741">
        <f t="shared" si="8"/>
        <v>1.290448611877193E-2</v>
      </c>
      <c r="DR12" s="743">
        <f t="shared" si="8"/>
        <v>2.0604520286829464E-2</v>
      </c>
      <c r="DS12" s="743">
        <f t="shared" si="8"/>
        <v>3.4312392348835097E-2</v>
      </c>
      <c r="DT12" s="721">
        <f t="shared" si="8"/>
        <v>3.5386154825798322E-2</v>
      </c>
      <c r="DU12" s="721">
        <f t="shared" si="8"/>
        <v>2.143666440063452E-2</v>
      </c>
      <c r="DV12" s="741">
        <f t="shared" si="8"/>
        <v>2.7930615902980183E-2</v>
      </c>
      <c r="DW12" s="743">
        <f t="shared" si="8"/>
        <v>7.3817146922803278E-3</v>
      </c>
      <c r="DX12" s="743">
        <f t="shared" si="8"/>
        <v>-2.8485034401156684E-3</v>
      </c>
      <c r="DY12" s="721">
        <f t="shared" si="8"/>
        <v>-1.5814443858724325E-2</v>
      </c>
      <c r="DZ12" s="721">
        <f t="shared" si="8"/>
        <v>-2.333836187771765E-2</v>
      </c>
      <c r="EA12" s="741">
        <f t="shared" si="8"/>
        <v>-8.663598538776518E-3</v>
      </c>
      <c r="EB12" s="743">
        <f t="shared" si="8"/>
        <v>-2.3660280745122275E-2</v>
      </c>
      <c r="EC12" s="743">
        <f t="shared" si="8"/>
        <v>-2.9884855410037825E-2</v>
      </c>
      <c r="ED12" s="712"/>
      <c r="EE12" s="744"/>
      <c r="EF12" s="753"/>
      <c r="EG12" s="745"/>
      <c r="EH12" s="712"/>
      <c r="EI12" s="712"/>
      <c r="EJ12" s="744"/>
      <c r="EK12" s="753"/>
      <c r="EL12" s="745"/>
      <c r="EM12" s="712"/>
      <c r="EN12" s="712"/>
      <c r="EO12" s="744"/>
      <c r="EP12" s="753"/>
      <c r="EQ12" s="745"/>
      <c r="ER12" s="712"/>
      <c r="ES12" s="712"/>
      <c r="ET12" s="744"/>
      <c r="EU12" s="753"/>
      <c r="EV12" s="745"/>
      <c r="EW12" s="712"/>
      <c r="EX12" s="712"/>
      <c r="EY12" s="744"/>
      <c r="EZ12" s="753"/>
      <c r="FA12" s="745"/>
      <c r="FB12" s="712"/>
      <c r="FC12" s="712"/>
      <c r="FD12" s="744"/>
      <c r="FE12" s="753"/>
      <c r="FF12" s="712"/>
      <c r="FG12" s="690"/>
      <c r="FH12" s="746"/>
      <c r="FI12" s="746"/>
      <c r="FJ12" s="746"/>
      <c r="FK12" s="746"/>
      <c r="FL12" s="690"/>
      <c r="FM12" s="747"/>
      <c r="FN12" s="747"/>
      <c r="FO12" s="748"/>
      <c r="FP12" s="748"/>
      <c r="FQ12" s="748"/>
      <c r="FR12" s="748"/>
      <c r="FS12" s="748"/>
      <c r="FT12" s="748"/>
      <c r="FU12" s="690"/>
      <c r="FV12"/>
      <c r="FW12"/>
      <c r="FX12"/>
      <c r="FY12"/>
      <c r="FZ12"/>
      <c r="GA12"/>
      <c r="GB12" s="725"/>
    </row>
    <row r="13" spans="1:184" s="769" customFormat="1" ht="12.75" hidden="1" customHeight="1" outlineLevel="1">
      <c r="A13" s="757" t="s">
        <v>278</v>
      </c>
      <c r="B13" s="758"/>
      <c r="C13" s="759"/>
      <c r="D13" s="759"/>
      <c r="E13" s="759"/>
      <c r="F13" s="760"/>
      <c r="G13" s="759"/>
      <c r="H13" s="759"/>
      <c r="I13" s="759"/>
      <c r="J13" s="759"/>
      <c r="K13" s="760"/>
      <c r="L13" s="759"/>
      <c r="M13" s="759"/>
      <c r="N13" s="759"/>
      <c r="O13" s="759"/>
      <c r="P13" s="760"/>
      <c r="Q13" s="759"/>
      <c r="R13" s="759"/>
      <c r="S13" s="759"/>
      <c r="T13" s="759"/>
      <c r="U13" s="760"/>
      <c r="V13" s="759"/>
      <c r="W13" s="759"/>
      <c r="X13" s="759"/>
      <c r="Y13" s="759">
        <f t="shared" ref="Y13:CJ13" si="9">Y11/Y55</f>
        <v>15.477181264514916</v>
      </c>
      <c r="Z13" s="760">
        <f t="shared" si="9"/>
        <v>15.716823917467051</v>
      </c>
      <c r="AA13" s="759">
        <f t="shared" si="9"/>
        <v>15.454237891854952</v>
      </c>
      <c r="AB13" s="759">
        <f t="shared" si="9"/>
        <v>15.810014173532585</v>
      </c>
      <c r="AC13" s="759">
        <f t="shared" si="9"/>
        <v>15.026503128782378</v>
      </c>
      <c r="AD13" s="759">
        <f t="shared" si="9"/>
        <v>14.577200612504292</v>
      </c>
      <c r="AE13" s="760">
        <f t="shared" si="9"/>
        <v>15.216371079629393</v>
      </c>
      <c r="AF13" s="759">
        <f t="shared" si="9"/>
        <v>14.344513252485021</v>
      </c>
      <c r="AG13" s="759">
        <f t="shared" si="9"/>
        <v>14.214097125337288</v>
      </c>
      <c r="AH13" s="759">
        <f t="shared" si="9"/>
        <v>14.208221893776743</v>
      </c>
      <c r="AI13" s="759">
        <f t="shared" si="9"/>
        <v>14.299721085890525</v>
      </c>
      <c r="AJ13" s="760">
        <f t="shared" si="9"/>
        <v>14.275015837455989</v>
      </c>
      <c r="AK13" s="759">
        <f t="shared" si="9"/>
        <v>15.313742908476266</v>
      </c>
      <c r="AL13" s="759">
        <f t="shared" si="9"/>
        <v>15.885575908200043</v>
      </c>
      <c r="AM13" s="759">
        <f t="shared" si="9"/>
        <v>15.82794679386695</v>
      </c>
      <c r="AN13" s="759">
        <f t="shared" si="9"/>
        <v>15.874143405498586</v>
      </c>
      <c r="AO13" s="760">
        <f t="shared" si="9"/>
        <v>15.725189464011171</v>
      </c>
      <c r="AP13" s="761">
        <f t="shared" si="9"/>
        <v>16.428936784733516</v>
      </c>
      <c r="AQ13" s="759">
        <f t="shared" si="9"/>
        <v>17.302837398635553</v>
      </c>
      <c r="AR13" s="761">
        <f t="shared" si="9"/>
        <v>18.501010585683485</v>
      </c>
      <c r="AS13" s="761">
        <f t="shared" si="9"/>
        <v>17.36003343425816</v>
      </c>
      <c r="AT13" s="760">
        <f t="shared" si="9"/>
        <v>17.402224640274394</v>
      </c>
      <c r="AU13" s="761">
        <f t="shared" si="9"/>
        <v>17.49754471029323</v>
      </c>
      <c r="AV13" s="759">
        <f t="shared" si="9"/>
        <v>17.617946798734589</v>
      </c>
      <c r="AW13" s="761">
        <f t="shared" si="9"/>
        <v>17.20211180377828</v>
      </c>
      <c r="AX13" s="761">
        <f t="shared" si="9"/>
        <v>17.705260426848959</v>
      </c>
      <c r="AY13" s="760">
        <f t="shared" si="9"/>
        <v>17.511048789927116</v>
      </c>
      <c r="AZ13" s="761">
        <f t="shared" si="9"/>
        <v>18.406004725297066</v>
      </c>
      <c r="BA13" s="759">
        <f t="shared" si="9"/>
        <v>19.013030240900875</v>
      </c>
      <c r="BB13" s="761">
        <f t="shared" si="9"/>
        <v>19.050376536031177</v>
      </c>
      <c r="BC13" s="761">
        <f t="shared" si="9"/>
        <v>18.605222145860786</v>
      </c>
      <c r="BD13" s="760">
        <f t="shared" si="9"/>
        <v>18.76937365894921</v>
      </c>
      <c r="BE13" s="761">
        <f t="shared" si="9"/>
        <v>18.62613201129566</v>
      </c>
      <c r="BF13" s="759">
        <f t="shared" si="9"/>
        <v>18.937308764567526</v>
      </c>
      <c r="BG13" s="761">
        <f t="shared" si="9"/>
        <v>18.906604120630035</v>
      </c>
      <c r="BH13" s="761">
        <f t="shared" si="9"/>
        <v>18.807197107363386</v>
      </c>
      <c r="BI13" s="760">
        <f t="shared" si="9"/>
        <v>18.817996871552698</v>
      </c>
      <c r="BJ13" s="761">
        <f t="shared" si="9"/>
        <v>17.660102398564046</v>
      </c>
      <c r="BK13" s="759">
        <f t="shared" si="9"/>
        <v>17.948439865354835</v>
      </c>
      <c r="BL13" s="761">
        <f t="shared" si="9"/>
        <v>18.031442976163572</v>
      </c>
      <c r="BM13" s="761">
        <f t="shared" si="9"/>
        <v>18.041264767941744</v>
      </c>
      <c r="BN13" s="760">
        <f t="shared" si="9"/>
        <v>17.917430342934374</v>
      </c>
      <c r="BO13" s="761">
        <f t="shared" si="9"/>
        <v>18.256820852873901</v>
      </c>
      <c r="BP13" s="759">
        <f t="shared" si="9"/>
        <v>18.461488992545867</v>
      </c>
      <c r="BQ13" s="761">
        <f t="shared" si="9"/>
        <v>18.220448099057979</v>
      </c>
      <c r="BR13" s="761">
        <f t="shared" si="9"/>
        <v>17.927628299260412</v>
      </c>
      <c r="BS13" s="760">
        <f t="shared" si="9"/>
        <v>18.215656198110246</v>
      </c>
      <c r="BT13" s="761">
        <f t="shared" si="9"/>
        <v>18.433528192492535</v>
      </c>
      <c r="BU13" s="759">
        <f t="shared" si="9"/>
        <v>18.447191913020184</v>
      </c>
      <c r="BV13" s="761">
        <f t="shared" si="9"/>
        <v>18.74700602894708</v>
      </c>
      <c r="BW13" s="761">
        <f t="shared" si="9"/>
        <v>18.440208480635295</v>
      </c>
      <c r="BX13" s="760">
        <f t="shared" si="9"/>
        <v>18.515303649318597</v>
      </c>
      <c r="BY13" s="761">
        <f t="shared" si="9"/>
        <v>18.51465987105227</v>
      </c>
      <c r="BZ13" s="759">
        <f t="shared" si="9"/>
        <v>18.433305014715135</v>
      </c>
      <c r="CA13" s="761">
        <f t="shared" si="9"/>
        <v>18.354648731256852</v>
      </c>
      <c r="CB13" s="761">
        <f t="shared" si="9"/>
        <v>17.95760136204953</v>
      </c>
      <c r="CC13" s="760">
        <f t="shared" si="9"/>
        <v>18.308873163949723</v>
      </c>
      <c r="CD13" s="761">
        <f t="shared" si="9"/>
        <v>18.128364194569702</v>
      </c>
      <c r="CE13" s="761">
        <f t="shared" si="9"/>
        <v>18.263355377540421</v>
      </c>
      <c r="CF13" s="761">
        <f t="shared" si="9"/>
        <v>17.807039280703993</v>
      </c>
      <c r="CG13" s="761">
        <f t="shared" si="9"/>
        <v>16.932694089233863</v>
      </c>
      <c r="CH13" s="760">
        <f t="shared" si="9"/>
        <v>17.771848886527462</v>
      </c>
      <c r="CI13" s="761">
        <f t="shared" si="9"/>
        <v>17.789935007385523</v>
      </c>
      <c r="CJ13" s="761">
        <f t="shared" si="9"/>
        <v>17.702659051169782</v>
      </c>
      <c r="CK13" s="761">
        <f t="shared" ref="CK13:EB13" si="10">CK11/CK55</f>
        <v>17.872339052311684</v>
      </c>
      <c r="CL13" s="761">
        <f t="shared" si="10"/>
        <v>17.855068823208107</v>
      </c>
      <c r="CM13" s="760">
        <f t="shared" si="10"/>
        <v>17.802940779882849</v>
      </c>
      <c r="CN13" s="761">
        <f t="shared" si="10"/>
        <v>18.135809334402083</v>
      </c>
      <c r="CO13" s="761">
        <f t="shared" si="10"/>
        <v>17.705911789534866</v>
      </c>
      <c r="CP13" s="761">
        <f t="shared" si="10"/>
        <v>18.061047556235355</v>
      </c>
      <c r="CQ13" s="761">
        <f t="shared" si="10"/>
        <v>18.30583523791816</v>
      </c>
      <c r="CR13" s="760">
        <f t="shared" si="10"/>
        <v>18.04936794734153</v>
      </c>
      <c r="CS13" s="761">
        <f t="shared" si="10"/>
        <v>18.062397845675207</v>
      </c>
      <c r="CT13" s="761">
        <f t="shared" si="10"/>
        <v>17.749475485535786</v>
      </c>
      <c r="CU13" s="761">
        <f t="shared" si="10"/>
        <v>17.506150107650743</v>
      </c>
      <c r="CV13" s="761">
        <f t="shared" si="10"/>
        <v>17.616434416067445</v>
      </c>
      <c r="CW13" s="760">
        <f t="shared" si="10"/>
        <v>17.722574759753289</v>
      </c>
      <c r="CX13" s="761">
        <f t="shared" si="10"/>
        <v>17.853470437017997</v>
      </c>
      <c r="CY13" s="761">
        <f t="shared" si="10"/>
        <v>18.016088060965284</v>
      </c>
      <c r="CZ13" s="761">
        <f t="shared" si="10"/>
        <v>17.433744855967078</v>
      </c>
      <c r="DA13" s="761">
        <f t="shared" si="10"/>
        <v>17.026829268292683</v>
      </c>
      <c r="DB13" s="760">
        <f t="shared" si="10"/>
        <v>17.547607676185041</v>
      </c>
      <c r="DC13" s="761">
        <f t="shared" si="10"/>
        <v>16.612549019607844</v>
      </c>
      <c r="DD13" s="761">
        <f t="shared" si="10"/>
        <v>16.881804043545877</v>
      </c>
      <c r="DE13" s="761">
        <f t="shared" si="10"/>
        <v>16.557854406130268</v>
      </c>
      <c r="DF13" s="761">
        <f t="shared" si="10"/>
        <v>16.702702702702702</v>
      </c>
      <c r="DG13" s="760">
        <f t="shared" si="10"/>
        <v>16.68972313758297</v>
      </c>
      <c r="DH13" s="761">
        <f t="shared" si="10"/>
        <v>16.608465608465607</v>
      </c>
      <c r="DI13" s="761">
        <f t="shared" si="10"/>
        <v>16.565879664889565</v>
      </c>
      <c r="DJ13" s="761">
        <f t="shared" si="10"/>
        <v>16.898832684824903</v>
      </c>
      <c r="DK13" s="761">
        <f t="shared" si="10"/>
        <v>16.578341013824886</v>
      </c>
      <c r="DL13" s="760">
        <f t="shared" si="10"/>
        <v>16.663802446177275</v>
      </c>
      <c r="DM13" s="761">
        <f t="shared" si="10"/>
        <v>16.591867469879517</v>
      </c>
      <c r="DN13" s="761">
        <f t="shared" si="10"/>
        <v>16.439642324888226</v>
      </c>
      <c r="DO13" s="761">
        <f t="shared" si="10"/>
        <v>16.66868840030326</v>
      </c>
      <c r="DP13" s="761">
        <f t="shared" si="10"/>
        <v>16.779467680608366</v>
      </c>
      <c r="DQ13" s="760">
        <f t="shared" si="10"/>
        <v>16.615158237309114</v>
      </c>
      <c r="DR13" s="762">
        <f t="shared" si="10"/>
        <v>16.857571214392802</v>
      </c>
      <c r="DS13" s="762">
        <f t="shared" si="10"/>
        <v>17.041822255414488</v>
      </c>
      <c r="DT13" s="761">
        <f t="shared" si="10"/>
        <v>17.102930127723518</v>
      </c>
      <c r="DU13" s="761">
        <f t="shared" si="10"/>
        <v>16.933132982719759</v>
      </c>
      <c r="DV13" s="760">
        <f t="shared" si="10"/>
        <v>16.98295343725222</v>
      </c>
      <c r="DW13" s="762">
        <f t="shared" si="10"/>
        <v>16.404055032585084</v>
      </c>
      <c r="DX13" s="762">
        <f t="shared" si="10"/>
        <v>16.608759124087591</v>
      </c>
      <c r="DY13" s="761">
        <f t="shared" si="10"/>
        <v>16.81981981981982</v>
      </c>
      <c r="DZ13" s="761">
        <f t="shared" si="10"/>
        <v>16.513128282070518</v>
      </c>
      <c r="EA13" s="760">
        <f t="shared" si="10"/>
        <v>16.586630399064855</v>
      </c>
      <c r="EB13" s="762">
        <f t="shared" si="10"/>
        <v>16.395848776871755</v>
      </c>
      <c r="EC13" s="762">
        <f>EC11/EC55</f>
        <v>16.326923076923077</v>
      </c>
      <c r="ED13" s="761"/>
      <c r="EE13" s="763"/>
      <c r="EF13" s="760"/>
      <c r="EG13" s="764"/>
      <c r="EH13" s="761"/>
      <c r="EI13" s="761"/>
      <c r="EJ13" s="763"/>
      <c r="EK13" s="760"/>
      <c r="EL13" s="764"/>
      <c r="EM13" s="761"/>
      <c r="EN13" s="761"/>
      <c r="EO13" s="763"/>
      <c r="EP13" s="760"/>
      <c r="EQ13" s="764"/>
      <c r="ER13" s="761"/>
      <c r="ES13" s="761"/>
      <c r="ET13" s="763"/>
      <c r="EU13" s="760"/>
      <c r="EV13" s="764"/>
      <c r="EW13" s="761"/>
      <c r="EX13" s="761"/>
      <c r="EY13" s="763"/>
      <c r="EZ13" s="760"/>
      <c r="FA13" s="764"/>
      <c r="FB13" s="761"/>
      <c r="FC13" s="761"/>
      <c r="FD13" s="763"/>
      <c r="FE13" s="760"/>
      <c r="FF13" s="761"/>
      <c r="FG13" s="690"/>
      <c r="FH13" s="765"/>
      <c r="FI13" s="765"/>
      <c r="FJ13" s="765"/>
      <c r="FK13" s="765"/>
      <c r="FL13" s="690"/>
      <c r="FM13" s="766"/>
      <c r="FN13" s="766"/>
      <c r="FO13" s="767"/>
      <c r="FP13" s="767"/>
      <c r="FQ13" s="767"/>
      <c r="FR13" s="767"/>
      <c r="FS13" s="767"/>
      <c r="FT13" s="767"/>
      <c r="FU13" s="690"/>
      <c r="FV13"/>
      <c r="FW13"/>
      <c r="FX13"/>
      <c r="FY13"/>
      <c r="FZ13"/>
      <c r="GA13"/>
      <c r="GB13" s="768"/>
    </row>
    <row r="14" spans="1:184" s="749" customFormat="1" ht="12.75" hidden="1" customHeight="1" outlineLevel="1">
      <c r="A14" s="58" t="s">
        <v>85</v>
      </c>
      <c r="B14" s="739"/>
      <c r="C14" s="740"/>
      <c r="D14" s="740"/>
      <c r="E14" s="740"/>
      <c r="F14" s="741"/>
      <c r="G14" s="742"/>
      <c r="H14" s="742"/>
      <c r="I14" s="742"/>
      <c r="J14" s="742"/>
      <c r="K14" s="741"/>
      <c r="L14" s="742"/>
      <c r="M14" s="742"/>
      <c r="N14" s="742"/>
      <c r="O14" s="742"/>
      <c r="P14" s="741"/>
      <c r="Q14" s="742"/>
      <c r="R14" s="742"/>
      <c r="S14" s="742"/>
      <c r="T14" s="742"/>
      <c r="U14" s="741"/>
      <c r="V14" s="721"/>
      <c r="W14" s="721"/>
      <c r="X14" s="721"/>
      <c r="Y14" s="721"/>
      <c r="Z14" s="741"/>
      <c r="AA14" s="721"/>
      <c r="AB14" s="721"/>
      <c r="AC14" s="721"/>
      <c r="AD14" s="721">
        <f t="shared" ref="AD14:CO14" si="11">AD13/Y13-1</f>
        <v>-5.8148873275396862E-2</v>
      </c>
      <c r="AE14" s="741">
        <f t="shared" si="11"/>
        <v>-3.1841855610628467E-2</v>
      </c>
      <c r="AF14" s="721">
        <f t="shared" si="11"/>
        <v>-7.1807141001420938E-2</v>
      </c>
      <c r="AG14" s="721">
        <f t="shared" si="11"/>
        <v>-0.10094342931501021</v>
      </c>
      <c r="AH14" s="721">
        <f t="shared" si="11"/>
        <v>-5.4455865612423549E-2</v>
      </c>
      <c r="AI14" s="721">
        <f t="shared" si="11"/>
        <v>-1.9035172389391786E-2</v>
      </c>
      <c r="AJ14" s="741">
        <f t="shared" si="11"/>
        <v>-6.186463495449479E-2</v>
      </c>
      <c r="AK14" s="721">
        <f t="shared" si="11"/>
        <v>6.7567971037521213E-2</v>
      </c>
      <c r="AL14" s="721">
        <f t="shared" si="11"/>
        <v>0.11759303233430618</v>
      </c>
      <c r="AM14" s="721">
        <f t="shared" si="11"/>
        <v>0.11399912756146158</v>
      </c>
      <c r="AN14" s="721">
        <f t="shared" si="11"/>
        <v>0.11010161038466237</v>
      </c>
      <c r="AO14" s="741">
        <f t="shared" si="11"/>
        <v>0.1015882324102293</v>
      </c>
      <c r="AP14" s="721">
        <f t="shared" si="11"/>
        <v>7.2823076822060351E-2</v>
      </c>
      <c r="AQ14" s="721">
        <f t="shared" si="11"/>
        <v>8.92168781683218E-2</v>
      </c>
      <c r="AR14" s="721">
        <f t="shared" si="11"/>
        <v>0.16888253584806723</v>
      </c>
      <c r="AS14" s="721">
        <f t="shared" si="11"/>
        <v>9.3604422664147036E-2</v>
      </c>
      <c r="AT14" s="741">
        <f t="shared" si="11"/>
        <v>0.10664642102413469</v>
      </c>
      <c r="AU14" s="721">
        <f t="shared" si="11"/>
        <v>6.5044253292928289E-2</v>
      </c>
      <c r="AV14" s="721">
        <f t="shared" si="11"/>
        <v>1.8211429307188887E-2</v>
      </c>
      <c r="AW14" s="721">
        <f t="shared" si="11"/>
        <v>-7.0206909827419062E-2</v>
      </c>
      <c r="AX14" s="721">
        <f t="shared" si="11"/>
        <v>1.988630919970058E-2</v>
      </c>
      <c r="AY14" s="741">
        <f t="shared" si="11"/>
        <v>6.2534619511156464E-3</v>
      </c>
      <c r="AZ14" s="721">
        <f t="shared" si="11"/>
        <v>5.1919285250885405E-2</v>
      </c>
      <c r="BA14" s="721">
        <f t="shared" si="11"/>
        <v>7.9185359003722589E-2</v>
      </c>
      <c r="BB14" s="721">
        <f t="shared" si="11"/>
        <v>0.10744405996983142</v>
      </c>
      <c r="BC14" s="721">
        <f t="shared" si="11"/>
        <v>5.0830188165269297E-2</v>
      </c>
      <c r="BD14" s="741">
        <f t="shared" si="11"/>
        <v>7.1858909430137619E-2</v>
      </c>
      <c r="BE14" s="721">
        <f t="shared" si="11"/>
        <v>1.1959536536250814E-2</v>
      </c>
      <c r="BF14" s="721">
        <f t="shared" si="11"/>
        <v>-3.9826095774284642E-3</v>
      </c>
      <c r="BG14" s="721">
        <f t="shared" si="11"/>
        <v>-7.5469592492943827E-3</v>
      </c>
      <c r="BH14" s="721">
        <f t="shared" si="11"/>
        <v>1.0855821011926725E-2</v>
      </c>
      <c r="BI14" s="741">
        <f t="shared" si="11"/>
        <v>2.5905612774832498E-3</v>
      </c>
      <c r="BJ14" s="721">
        <f t="shared" si="11"/>
        <v>-5.1864209495872449E-2</v>
      </c>
      <c r="BK14" s="721">
        <f t="shared" si="11"/>
        <v>-5.2218026938595674E-2</v>
      </c>
      <c r="BL14" s="721">
        <f t="shared" si="11"/>
        <v>-4.6288648076760031E-2</v>
      </c>
      <c r="BM14" s="721">
        <f t="shared" si="11"/>
        <v>-4.0725491153690507E-2</v>
      </c>
      <c r="BN14" s="741">
        <f t="shared" si="11"/>
        <v>-4.7856662681229234E-2</v>
      </c>
      <c r="BO14" s="721">
        <f t="shared" si="11"/>
        <v>3.3789071028170969E-2</v>
      </c>
      <c r="BP14" s="721">
        <f t="shared" si="11"/>
        <v>2.8584608525298538E-2</v>
      </c>
      <c r="BQ14" s="721">
        <f t="shared" si="11"/>
        <v>1.0481974356919777E-2</v>
      </c>
      <c r="BR14" s="721">
        <f t="shared" si="11"/>
        <v>-6.2986974662251338E-3</v>
      </c>
      <c r="BS14" s="741">
        <f t="shared" si="11"/>
        <v>1.6644454560052147E-2</v>
      </c>
      <c r="BT14" s="721">
        <f t="shared" si="11"/>
        <v>9.6789764791287425E-3</v>
      </c>
      <c r="BU14" s="721">
        <f t="shared" si="11"/>
        <v>-7.7442721610676557E-4</v>
      </c>
      <c r="BV14" s="721">
        <f t="shared" si="11"/>
        <v>2.8899285408701125E-2</v>
      </c>
      <c r="BW14" s="721">
        <f t="shared" si="11"/>
        <v>2.8591633696244623E-2</v>
      </c>
      <c r="BX14" s="741">
        <f t="shared" si="11"/>
        <v>1.6449994880746388E-2</v>
      </c>
      <c r="BY14" s="721">
        <f t="shared" si="11"/>
        <v>4.4013103575462065E-3</v>
      </c>
      <c r="BZ14" s="721">
        <f t="shared" si="11"/>
        <v>-7.5279198972544314E-4</v>
      </c>
      <c r="CA14" s="721">
        <f t="shared" si="11"/>
        <v>-2.0929064464181302E-2</v>
      </c>
      <c r="CB14" s="721">
        <f t="shared" si="11"/>
        <v>-2.6171456743158128E-2</v>
      </c>
      <c r="CC14" s="741">
        <f t="shared" si="11"/>
        <v>-1.1149181740612191E-2</v>
      </c>
      <c r="CD14" s="721">
        <f t="shared" si="11"/>
        <v>-2.0864313963798065E-2</v>
      </c>
      <c r="CE14" s="721">
        <f t="shared" si="11"/>
        <v>-9.2197051499470772E-3</v>
      </c>
      <c r="CF14" s="721">
        <f t="shared" si="11"/>
        <v>-2.9834918584974779E-2</v>
      </c>
      <c r="CG14" s="721">
        <f t="shared" si="11"/>
        <v>-5.7073728954783576E-2</v>
      </c>
      <c r="CH14" s="741">
        <f t="shared" si="11"/>
        <v>-2.9331366961439564E-2</v>
      </c>
      <c r="CI14" s="721">
        <f t="shared" si="11"/>
        <v>-1.8668490082825784E-2</v>
      </c>
      <c r="CJ14" s="721">
        <f t="shared" si="11"/>
        <v>-3.0700619616708669E-2</v>
      </c>
      <c r="CK14" s="721">
        <f t="shared" si="11"/>
        <v>3.667076293724536E-3</v>
      </c>
      <c r="CL14" s="721">
        <f t="shared" si="11"/>
        <v>5.4473005247328565E-2</v>
      </c>
      <c r="CM14" s="741">
        <f t="shared" si="11"/>
        <v>1.7495024605436171E-3</v>
      </c>
      <c r="CN14" s="721">
        <f t="shared" si="11"/>
        <v>1.9442135503753732E-2</v>
      </c>
      <c r="CO14" s="721">
        <f t="shared" si="11"/>
        <v>1.8374292560685568E-4</v>
      </c>
      <c r="CP14" s="721">
        <f t="shared" ref="CP14:EC14" si="12">CP13/CK13-1</f>
        <v>1.0558690911767421E-2</v>
      </c>
      <c r="CQ14" s="721">
        <f t="shared" si="12"/>
        <v>2.5245851425906851E-2</v>
      </c>
      <c r="CR14" s="741">
        <f t="shared" si="12"/>
        <v>1.3841936032115587E-2</v>
      </c>
      <c r="CS14" s="721">
        <f t="shared" si="12"/>
        <v>-4.0478749733887653E-3</v>
      </c>
      <c r="CT14" s="721">
        <f t="shared" si="12"/>
        <v>2.4604039892861529E-3</v>
      </c>
      <c r="CU14" s="721">
        <f t="shared" si="12"/>
        <v>-3.0723436548011351E-2</v>
      </c>
      <c r="CV14" s="721">
        <f t="shared" si="12"/>
        <v>-3.7660167530772393E-2</v>
      </c>
      <c r="CW14" s="741">
        <f t="shared" si="12"/>
        <v>-1.8105519735740816E-2</v>
      </c>
      <c r="CX14" s="721">
        <f t="shared" si="12"/>
        <v>-1.1566980776433033E-2</v>
      </c>
      <c r="CY14" s="721">
        <f t="shared" si="12"/>
        <v>1.5020870653150498E-2</v>
      </c>
      <c r="CZ14" s="721">
        <f t="shared" si="12"/>
        <v>-4.1359894230554861E-3</v>
      </c>
      <c r="DA14" s="721">
        <f t="shared" si="12"/>
        <v>-3.3469039979906468E-2</v>
      </c>
      <c r="DB14" s="741">
        <f>DB13/CW13-1</f>
        <v>-9.872554408154377E-3</v>
      </c>
      <c r="DC14" s="721">
        <f t="shared" si="12"/>
        <v>-6.9505893646155448E-2</v>
      </c>
      <c r="DD14" s="721">
        <f t="shared" si="12"/>
        <v>-6.2959506724271308E-2</v>
      </c>
      <c r="DE14" s="721">
        <f t="shared" si="12"/>
        <v>-5.0241096050973599E-2</v>
      </c>
      <c r="DF14" s="721">
        <f t="shared" si="12"/>
        <v>-1.9036225740136414E-2</v>
      </c>
      <c r="DG14" s="741">
        <f t="shared" si="12"/>
        <v>-4.8888974180016587E-2</v>
      </c>
      <c r="DH14" s="721">
        <f t="shared" si="12"/>
        <v>-2.458028046999905E-4</v>
      </c>
      <c r="DI14" s="721">
        <f t="shared" si="12"/>
        <v>-1.8713899168678827E-2</v>
      </c>
      <c r="DJ14" s="721">
        <f t="shared" si="12"/>
        <v>2.059314391412892E-2</v>
      </c>
      <c r="DK14" s="721">
        <f t="shared" si="12"/>
        <v>-7.4456027321669893E-3</v>
      </c>
      <c r="DL14" s="741">
        <f t="shared" si="12"/>
        <v>-1.5530929537904692E-3</v>
      </c>
      <c r="DM14" s="721">
        <f t="shared" si="12"/>
        <v>-9.9937820731799132E-4</v>
      </c>
      <c r="DN14" s="721">
        <f t="shared" si="12"/>
        <v>-7.620322165498461E-3</v>
      </c>
      <c r="DO14" s="721">
        <f t="shared" si="12"/>
        <v>-1.3618945687787765E-2</v>
      </c>
      <c r="DP14" s="721">
        <f t="shared" si="12"/>
        <v>1.2131893451567732E-2</v>
      </c>
      <c r="DQ14" s="741">
        <f t="shared" si="12"/>
        <v>-2.9191541981656854E-3</v>
      </c>
      <c r="DR14" s="743">
        <f t="shared" si="12"/>
        <v>1.6014095158103148E-2</v>
      </c>
      <c r="DS14" s="743">
        <f t="shared" si="12"/>
        <v>3.6629746476577019E-2</v>
      </c>
      <c r="DT14" s="721">
        <f t="shared" si="12"/>
        <v>2.6051343512567993E-2</v>
      </c>
      <c r="DU14" s="721">
        <f t="shared" si="12"/>
        <v>9.1579366542706708E-3</v>
      </c>
      <c r="DV14" s="741">
        <f t="shared" si="12"/>
        <v>2.2136123814772146E-2</v>
      </c>
      <c r="DW14" s="743">
        <f t="shared" si="12"/>
        <v>-2.6902818682474905E-2</v>
      </c>
      <c r="DX14" s="743">
        <f t="shared" si="12"/>
        <v>-2.5411785479061977E-2</v>
      </c>
      <c r="DY14" s="721">
        <f t="shared" si="12"/>
        <v>-1.6553321903875484E-2</v>
      </c>
      <c r="DZ14" s="721">
        <f t="shared" si="12"/>
        <v>-2.4803720674600238E-2</v>
      </c>
      <c r="EA14" s="741">
        <f t="shared" si="12"/>
        <v>-2.3336520332089439E-2</v>
      </c>
      <c r="EB14" s="743">
        <f t="shared" si="12"/>
        <v>-5.0025775316087095E-4</v>
      </c>
      <c r="EC14" s="743">
        <f t="shared" si="12"/>
        <v>-1.6969121236502738E-2</v>
      </c>
      <c r="ED14" s="712"/>
      <c r="EE14" s="744"/>
      <c r="EF14" s="741"/>
      <c r="EG14" s="745"/>
      <c r="EH14" s="712"/>
      <c r="EI14" s="712"/>
      <c r="EJ14" s="744"/>
      <c r="EK14" s="741"/>
      <c r="EL14" s="745"/>
      <c r="EM14" s="712"/>
      <c r="EN14" s="712"/>
      <c r="EO14" s="744"/>
      <c r="EP14" s="741"/>
      <c r="EQ14" s="745"/>
      <c r="ER14" s="712"/>
      <c r="ES14" s="712"/>
      <c r="ET14" s="744"/>
      <c r="EU14" s="741"/>
      <c r="EV14" s="745"/>
      <c r="EW14" s="712"/>
      <c r="EX14" s="712"/>
      <c r="EY14" s="744"/>
      <c r="EZ14" s="741"/>
      <c r="FA14" s="745"/>
      <c r="FB14" s="712"/>
      <c r="FC14" s="712"/>
      <c r="FD14" s="744"/>
      <c r="FE14" s="741"/>
      <c r="FF14" s="712"/>
      <c r="FG14" s="690"/>
      <c r="FH14" s="746"/>
      <c r="FI14" s="746"/>
      <c r="FJ14" s="746"/>
      <c r="FK14" s="746"/>
      <c r="FL14" s="690"/>
      <c r="FM14" s="747"/>
      <c r="FN14" s="747"/>
      <c r="FO14" s="748"/>
      <c r="FP14" s="748"/>
      <c r="FQ14" s="748"/>
      <c r="FR14" s="748"/>
      <c r="FS14" s="748"/>
      <c r="FT14" s="748"/>
      <c r="FU14" s="690"/>
      <c r="FV14"/>
      <c r="FW14"/>
      <c r="FX14"/>
      <c r="FY14"/>
      <c r="FZ14"/>
      <c r="GA14"/>
      <c r="GB14" s="725"/>
    </row>
    <row r="15" spans="1:184" s="769" customFormat="1" ht="12.75" hidden="1" customHeight="1" outlineLevel="1">
      <c r="A15" s="757" t="s">
        <v>279</v>
      </c>
      <c r="B15" s="758"/>
      <c r="C15" s="759"/>
      <c r="D15" s="759"/>
      <c r="E15" s="759"/>
      <c r="F15" s="770"/>
      <c r="G15" s="771"/>
      <c r="H15" s="759"/>
      <c r="I15" s="761"/>
      <c r="J15" s="761"/>
      <c r="K15" s="761"/>
      <c r="L15" s="771"/>
      <c r="M15" s="759"/>
      <c r="N15" s="761"/>
      <c r="O15" s="761"/>
      <c r="P15" s="761"/>
      <c r="Q15" s="771"/>
      <c r="R15" s="759"/>
      <c r="S15" s="761"/>
      <c r="T15" s="761"/>
      <c r="U15" s="761"/>
      <c r="V15" s="771"/>
      <c r="W15" s="759"/>
      <c r="X15" s="761"/>
      <c r="Y15" s="761"/>
      <c r="Z15" s="761"/>
      <c r="AA15" s="771"/>
      <c r="AB15" s="759"/>
      <c r="AC15" s="761"/>
      <c r="AD15" s="761"/>
      <c r="AE15" s="772"/>
      <c r="AF15" s="761"/>
      <c r="AG15" s="759"/>
      <c r="AH15" s="761"/>
      <c r="AI15" s="761"/>
      <c r="AJ15" s="772"/>
      <c r="AK15" s="773"/>
      <c r="AL15" s="774"/>
      <c r="AM15" s="774"/>
      <c r="AN15" s="774"/>
      <c r="AO15" s="775"/>
      <c r="AP15" s="774"/>
      <c r="AQ15" s="774"/>
      <c r="AR15" s="774"/>
      <c r="AS15" s="774"/>
      <c r="AT15" s="775"/>
      <c r="AU15" s="774"/>
      <c r="AV15" s="774"/>
      <c r="AW15" s="774"/>
      <c r="AX15" s="774"/>
      <c r="AY15" s="775"/>
      <c r="AZ15" s="774"/>
      <c r="BA15" s="774"/>
      <c r="BB15" s="774"/>
      <c r="BC15" s="774"/>
      <c r="BD15" s="775"/>
      <c r="BE15" s="776">
        <f t="shared" ref="BE15:DP15" si="13">BE42/BE9*1000</f>
        <v>2859.8975999999998</v>
      </c>
      <c r="BF15" s="776">
        <f t="shared" si="13"/>
        <v>2870.1854999999996</v>
      </c>
      <c r="BG15" s="776">
        <f t="shared" si="13"/>
        <v>2885.9308999999998</v>
      </c>
      <c r="BH15" s="776">
        <f t="shared" si="13"/>
        <v>2933.0171999999993</v>
      </c>
      <c r="BI15" s="777">
        <f t="shared" si="13"/>
        <v>2886.786882330151</v>
      </c>
      <c r="BJ15" s="776">
        <f t="shared" si="13"/>
        <v>2704.3480000000004</v>
      </c>
      <c r="BK15" s="776">
        <f t="shared" si="13"/>
        <v>2681.0063999999998</v>
      </c>
      <c r="BL15" s="776">
        <f t="shared" si="13"/>
        <v>2711.3458000000001</v>
      </c>
      <c r="BM15" s="776">
        <f t="shared" si="13"/>
        <v>2703.1478000000002</v>
      </c>
      <c r="BN15" s="777">
        <f t="shared" si="13"/>
        <v>2699.8602291299235</v>
      </c>
      <c r="BO15" s="776">
        <f t="shared" si="13"/>
        <v>2724.6800000000003</v>
      </c>
      <c r="BP15" s="776">
        <f t="shared" si="13"/>
        <v>2767.6206000000002</v>
      </c>
      <c r="BQ15" s="776">
        <f t="shared" si="13"/>
        <v>2818.6880000000006</v>
      </c>
      <c r="BR15" s="776">
        <f t="shared" si="13"/>
        <v>2839.6764000000003</v>
      </c>
      <c r="BS15" s="777">
        <f t="shared" si="13"/>
        <v>2788.3389672798826</v>
      </c>
      <c r="BT15" s="776">
        <f t="shared" si="13"/>
        <v>2899.6464000000001</v>
      </c>
      <c r="BU15" s="776">
        <f t="shared" si="13"/>
        <v>2889.7779999999998</v>
      </c>
      <c r="BV15" s="776">
        <f t="shared" si="13"/>
        <v>2989.1353000000004</v>
      </c>
      <c r="BW15" s="776">
        <f t="shared" si="13"/>
        <v>2979.1670999999997</v>
      </c>
      <c r="BX15" s="777">
        <f t="shared" si="13"/>
        <v>2940.3453339179741</v>
      </c>
      <c r="BY15" s="776">
        <f t="shared" si="13"/>
        <v>3008.6615999999999</v>
      </c>
      <c r="BZ15" s="776">
        <f t="shared" si="13"/>
        <v>3039.96</v>
      </c>
      <c r="CA15" s="776">
        <f t="shared" si="13"/>
        <v>3083.886</v>
      </c>
      <c r="CB15" s="776">
        <f t="shared" si="13"/>
        <v>3033.0868</v>
      </c>
      <c r="CC15" s="777">
        <f t="shared" si="13"/>
        <v>3042.2111706031478</v>
      </c>
      <c r="CD15" s="776">
        <f t="shared" si="13"/>
        <v>3085.857</v>
      </c>
      <c r="CE15" s="776">
        <f t="shared" si="13"/>
        <v>3131.2748999999994</v>
      </c>
      <c r="CF15" s="776">
        <f t="shared" si="13"/>
        <v>3059.8596000000002</v>
      </c>
      <c r="CG15" s="776">
        <f t="shared" si="13"/>
        <v>2966.9748000000004</v>
      </c>
      <c r="CH15" s="777">
        <f t="shared" si="13"/>
        <v>3059.4358408276762</v>
      </c>
      <c r="CI15" s="778">
        <f t="shared" si="13"/>
        <v>3085.9596999999999</v>
      </c>
      <c r="CJ15" s="778">
        <f t="shared" si="13"/>
        <v>3180.8217000000004</v>
      </c>
      <c r="CK15" s="778">
        <f t="shared" si="13"/>
        <v>3186.2249999999995</v>
      </c>
      <c r="CL15" s="778">
        <f t="shared" si="13"/>
        <v>3150.8617000000004</v>
      </c>
      <c r="CM15" s="777">
        <f t="shared" si="13"/>
        <v>3150.9151841124999</v>
      </c>
      <c r="CN15" s="778">
        <f t="shared" si="13"/>
        <v>3142.0538999999994</v>
      </c>
      <c r="CO15" s="778">
        <f t="shared" si="13"/>
        <v>3060.4864999999991</v>
      </c>
      <c r="CP15" s="778">
        <f t="shared" si="13"/>
        <v>3111.2728000000006</v>
      </c>
      <c r="CQ15" s="778">
        <f t="shared" si="13"/>
        <v>3167.3141999999998</v>
      </c>
      <c r="CR15" s="777">
        <f t="shared" si="13"/>
        <v>3118.8964870455547</v>
      </c>
      <c r="CS15" s="778">
        <f t="shared" si="13"/>
        <v>3210.8579999999997</v>
      </c>
      <c r="CT15" s="778">
        <f t="shared" si="13"/>
        <v>3191.3391999999999</v>
      </c>
      <c r="CU15" s="778">
        <f t="shared" si="13"/>
        <v>3140.0666000000001</v>
      </c>
      <c r="CV15" s="778">
        <f t="shared" si="13"/>
        <v>3099.4807999999998</v>
      </c>
      <c r="CW15" s="777">
        <f t="shared" si="13"/>
        <v>3161.8488030279909</v>
      </c>
      <c r="CX15" s="778">
        <f t="shared" si="13"/>
        <v>3050.2440000000001</v>
      </c>
      <c r="CY15" s="778">
        <f t="shared" si="13"/>
        <v>2974.5245999999997</v>
      </c>
      <c r="CZ15" s="776">
        <f t="shared" si="13"/>
        <v>2817.2059999999997</v>
      </c>
      <c r="DA15" s="776">
        <f t="shared" si="13"/>
        <v>2758.1931</v>
      </c>
      <c r="DB15" s="777">
        <f t="shared" si="13"/>
        <v>2888.8141805531732</v>
      </c>
      <c r="DC15" s="778">
        <f t="shared" si="13"/>
        <v>2753.5300000000007</v>
      </c>
      <c r="DD15" s="778">
        <f t="shared" si="13"/>
        <v>2841.8389999999999</v>
      </c>
      <c r="DE15" s="776">
        <f t="shared" si="13"/>
        <v>2899.7936</v>
      </c>
      <c r="DF15" s="776">
        <f t="shared" si="13"/>
        <v>2989.2659999999996</v>
      </c>
      <c r="DG15" s="777">
        <f t="shared" si="13"/>
        <v>2868.1548502213209</v>
      </c>
      <c r="DH15" s="778">
        <f t="shared" si="13"/>
        <v>3016.8929000000003</v>
      </c>
      <c r="DI15" s="778">
        <f t="shared" si="13"/>
        <v>3016.8636999999994</v>
      </c>
      <c r="DJ15" s="778">
        <f t="shared" si="13"/>
        <v>3109.5879999999997</v>
      </c>
      <c r="DK15" s="778">
        <f t="shared" si="13"/>
        <v>3110.3985000000002</v>
      </c>
      <c r="DL15" s="779">
        <f t="shared" si="13"/>
        <v>3062.9442341437557</v>
      </c>
      <c r="DM15" s="778">
        <f t="shared" si="13"/>
        <v>3148.6585999999993</v>
      </c>
      <c r="DN15" s="778">
        <f t="shared" si="13"/>
        <v>3159.2783999999992</v>
      </c>
      <c r="DO15" s="778">
        <f t="shared" si="13"/>
        <v>3256.1266000000001</v>
      </c>
      <c r="DP15" s="778">
        <f t="shared" si="13"/>
        <v>3314.163</v>
      </c>
      <c r="DQ15" s="779">
        <f t="shared" ref="DQ15:EB15" si="14">DQ42/DQ9*1000</f>
        <v>3217.1564653573814</v>
      </c>
      <c r="DR15" s="780">
        <f t="shared" si="14"/>
        <v>3323.7263999999996</v>
      </c>
      <c r="DS15" s="780">
        <f t="shared" si="14"/>
        <v>3374.9300999999996</v>
      </c>
      <c r="DT15" s="778">
        <f t="shared" si="14"/>
        <v>3453.2987999999996</v>
      </c>
      <c r="DU15" s="778">
        <f t="shared" si="14"/>
        <v>3437.0449999999987</v>
      </c>
      <c r="DV15" s="779">
        <f t="shared" si="14"/>
        <v>3397.1782181089552</v>
      </c>
      <c r="DW15" s="780">
        <f t="shared" si="14"/>
        <v>3382.2422000000006</v>
      </c>
      <c r="DX15" s="780">
        <f t="shared" si="14"/>
        <v>3504.1159999999995</v>
      </c>
      <c r="DY15" s="778">
        <f t="shared" si="14"/>
        <v>3580.1592000000001</v>
      </c>
      <c r="DZ15" s="778">
        <f t="shared" si="14"/>
        <v>3601.1632000000004</v>
      </c>
      <c r="EA15" s="779">
        <f t="shared" si="14"/>
        <v>3517.4867523912562</v>
      </c>
      <c r="EB15" s="780">
        <f t="shared" si="14"/>
        <v>3587.5396000000005</v>
      </c>
      <c r="EC15" s="780">
        <f>EC42/EC9*1000</f>
        <v>3587.0250000000001</v>
      </c>
      <c r="ED15" s="780"/>
      <c r="EE15" s="781"/>
      <c r="EF15" s="782"/>
      <c r="EG15" s="783"/>
      <c r="EH15" s="780"/>
      <c r="EI15" s="780"/>
      <c r="EJ15" s="781"/>
      <c r="EK15" s="782"/>
      <c r="EL15" s="783"/>
      <c r="EM15" s="780"/>
      <c r="EN15" s="780"/>
      <c r="EO15" s="781"/>
      <c r="EP15" s="782"/>
      <c r="EQ15" s="783"/>
      <c r="ER15" s="780"/>
      <c r="ES15" s="780"/>
      <c r="ET15" s="781"/>
      <c r="EU15" s="782"/>
      <c r="EV15" s="783"/>
      <c r="EW15" s="780"/>
      <c r="EX15" s="780"/>
      <c r="EY15" s="781"/>
      <c r="EZ15" s="782"/>
      <c r="FA15" s="783"/>
      <c r="FB15" s="780"/>
      <c r="FC15" s="780"/>
      <c r="FD15" s="781"/>
      <c r="FE15" s="782"/>
      <c r="FF15" s="784"/>
      <c r="FG15" s="690"/>
      <c r="FH15" s="785"/>
      <c r="FI15" s="785"/>
      <c r="FJ15" s="785"/>
      <c r="FK15" s="785"/>
      <c r="FL15" s="690"/>
      <c r="FM15" s="786"/>
      <c r="FN15" s="786"/>
      <c r="FO15" s="787"/>
      <c r="FP15" s="787"/>
      <c r="FQ15" s="787"/>
      <c r="FR15" s="787"/>
      <c r="FS15" s="787"/>
      <c r="FT15" s="787"/>
      <c r="FU15" s="690"/>
      <c r="FV15"/>
      <c r="FW15"/>
      <c r="FX15"/>
      <c r="FY15"/>
      <c r="FZ15"/>
      <c r="GA15"/>
    </row>
    <row r="16" spans="1:184" s="799" customFormat="1" ht="12.75" hidden="1" customHeight="1" outlineLevel="1">
      <c r="A16" s="58" t="s">
        <v>85</v>
      </c>
      <c r="B16" s="788"/>
      <c r="C16" s="742"/>
      <c r="D16" s="742"/>
      <c r="E16" s="742"/>
      <c r="F16" s="789"/>
      <c r="G16" s="788"/>
      <c r="H16" s="742"/>
      <c r="I16" s="742"/>
      <c r="J16" s="742"/>
      <c r="K16" s="789"/>
      <c r="L16" s="788"/>
      <c r="M16" s="742"/>
      <c r="N16" s="742"/>
      <c r="O16" s="742"/>
      <c r="P16" s="789"/>
      <c r="Q16" s="788"/>
      <c r="R16" s="742"/>
      <c r="S16" s="742"/>
      <c r="T16" s="742"/>
      <c r="U16" s="789"/>
      <c r="V16" s="790"/>
      <c r="W16" s="721"/>
      <c r="X16" s="721"/>
      <c r="Y16" s="721"/>
      <c r="Z16" s="721"/>
      <c r="AA16" s="790"/>
      <c r="AB16" s="742"/>
      <c r="AC16" s="721"/>
      <c r="AD16" s="721">
        <v>0.16255333456665388</v>
      </c>
      <c r="AE16" s="791">
        <v>0.20461641844573397</v>
      </c>
      <c r="AF16" s="721">
        <v>0.19158648664124467</v>
      </c>
      <c r="AG16" s="742">
        <v>0.15489043197792163</v>
      </c>
      <c r="AH16" s="721">
        <v>0.17411711361141258</v>
      </c>
      <c r="AI16" s="721">
        <v>0.17115084907059885</v>
      </c>
      <c r="AJ16" s="791">
        <v>0.17245091449000949</v>
      </c>
      <c r="AK16" s="792"/>
      <c r="AL16" s="756"/>
      <c r="AM16" s="756"/>
      <c r="AN16" s="756"/>
      <c r="AO16" s="793"/>
      <c r="AP16" s="756"/>
      <c r="AQ16" s="756"/>
      <c r="AR16" s="756"/>
      <c r="AS16" s="756"/>
      <c r="AT16" s="793"/>
      <c r="AU16" s="756"/>
      <c r="AV16" s="756"/>
      <c r="AW16" s="756"/>
      <c r="AX16" s="756"/>
      <c r="AY16" s="793"/>
      <c r="AZ16" s="756"/>
      <c r="BA16" s="756"/>
      <c r="BB16" s="756"/>
      <c r="BC16" s="756"/>
      <c r="BD16" s="793"/>
      <c r="BE16" s="721"/>
      <c r="BF16" s="721"/>
      <c r="BG16" s="721"/>
      <c r="BH16" s="721"/>
      <c r="BI16" s="741"/>
      <c r="BJ16" s="721">
        <f t="shared" ref="BJ16:DU16" si="15">BJ15/BE15-1</f>
        <v>-5.4389919415296362E-2</v>
      </c>
      <c r="BK16" s="721">
        <f t="shared" si="15"/>
        <v>-6.5911802564677435E-2</v>
      </c>
      <c r="BL16" s="721">
        <f t="shared" si="15"/>
        <v>-6.0495246091997523E-2</v>
      </c>
      <c r="BM16" s="721">
        <f t="shared" si="15"/>
        <v>-7.8373014655351847E-2</v>
      </c>
      <c r="BN16" s="741">
        <f t="shared" si="15"/>
        <v>-6.4752495012497913E-2</v>
      </c>
      <c r="BO16" s="721">
        <f t="shared" si="15"/>
        <v>7.5182631821051338E-3</v>
      </c>
      <c r="BP16" s="721">
        <f t="shared" si="15"/>
        <v>3.2306599491892518E-2</v>
      </c>
      <c r="BQ16" s="721">
        <f t="shared" si="15"/>
        <v>3.959000729453277E-2</v>
      </c>
      <c r="BR16" s="721">
        <f t="shared" si="15"/>
        <v>5.0507264160694509E-2</v>
      </c>
      <c r="BS16" s="741">
        <f t="shared" si="15"/>
        <v>3.2771599505531768E-2</v>
      </c>
      <c r="BT16" s="721">
        <f t="shared" si="15"/>
        <v>6.4215394101325485E-2</v>
      </c>
      <c r="BU16" s="721">
        <f t="shared" si="15"/>
        <v>4.413805851857E-2</v>
      </c>
      <c r="BV16" s="721">
        <f t="shared" si="15"/>
        <v>6.0470438728940534E-2</v>
      </c>
      <c r="BW16" s="721">
        <f t="shared" si="15"/>
        <v>4.912204080718463E-2</v>
      </c>
      <c r="BX16" s="741">
        <f t="shared" si="15"/>
        <v>5.4515024328759765E-2</v>
      </c>
      <c r="BY16" s="721">
        <f t="shared" si="15"/>
        <v>3.7596032398984791E-2</v>
      </c>
      <c r="BZ16" s="721">
        <f t="shared" si="15"/>
        <v>5.1970082130876616E-2</v>
      </c>
      <c r="CA16" s="721">
        <f t="shared" si="15"/>
        <v>3.1698364406589352E-2</v>
      </c>
      <c r="CB16" s="721">
        <f t="shared" si="15"/>
        <v>1.8098917647150659E-2</v>
      </c>
      <c r="CC16" s="741">
        <f t="shared" si="15"/>
        <v>3.4644174447849174E-2</v>
      </c>
      <c r="CD16" s="721">
        <f t="shared" si="15"/>
        <v>2.5657721027848357E-2</v>
      </c>
      <c r="CE16" s="721">
        <f t="shared" si="15"/>
        <v>3.0038191291990479E-2</v>
      </c>
      <c r="CF16" s="721">
        <f t="shared" si="15"/>
        <v>-7.7909494708947591E-3</v>
      </c>
      <c r="CG16" s="721">
        <f t="shared" si="15"/>
        <v>-2.1796936375180431E-2</v>
      </c>
      <c r="CH16" s="741">
        <f t="shared" si="15"/>
        <v>5.6618917157922333E-3</v>
      </c>
      <c r="CI16" s="721">
        <f t="shared" si="15"/>
        <v>3.3280868167118172E-5</v>
      </c>
      <c r="CJ16" s="721">
        <f t="shared" si="15"/>
        <v>1.5823203513687378E-2</v>
      </c>
      <c r="CK16" s="721">
        <f t="shared" si="15"/>
        <v>4.1297777192129681E-2</v>
      </c>
      <c r="CL16" s="721">
        <f t="shared" si="15"/>
        <v>6.1977910968438188E-2</v>
      </c>
      <c r="CM16" s="741">
        <f t="shared" si="15"/>
        <v>2.9900722892778786E-2</v>
      </c>
      <c r="CN16" s="721">
        <f t="shared" si="15"/>
        <v>1.8177230247044207E-2</v>
      </c>
      <c r="CO16" s="721">
        <f t="shared" si="15"/>
        <v>-3.7831482349356849E-2</v>
      </c>
      <c r="CP16" s="721">
        <f t="shared" si="15"/>
        <v>-2.352382521636065E-2</v>
      </c>
      <c r="CQ16" s="721">
        <f t="shared" si="15"/>
        <v>5.22158747875201E-3</v>
      </c>
      <c r="CR16" s="741">
        <f t="shared" si="15"/>
        <v>-1.0161713405803297E-2</v>
      </c>
      <c r="CS16" s="721">
        <f t="shared" si="15"/>
        <v>2.1897810218978186E-2</v>
      </c>
      <c r="CT16" s="721">
        <f t="shared" si="15"/>
        <v>4.2755522692225822E-2</v>
      </c>
      <c r="CU16" s="721">
        <f t="shared" si="15"/>
        <v>9.2546690216297467E-3</v>
      </c>
      <c r="CV16" s="721">
        <f t="shared" si="15"/>
        <v>-2.1416694308382778E-2</v>
      </c>
      <c r="CW16" s="741">
        <f t="shared" si="15"/>
        <v>1.3771638834709776E-2</v>
      </c>
      <c r="CX16" s="721">
        <f t="shared" si="15"/>
        <v>-5.0022143613949743E-2</v>
      </c>
      <c r="CY16" s="721">
        <f t="shared" si="15"/>
        <v>-6.7938437882128055E-2</v>
      </c>
      <c r="CZ16" s="721">
        <f t="shared" si="15"/>
        <v>-0.10281966630898864</v>
      </c>
      <c r="DA16" s="721">
        <f t="shared" si="15"/>
        <v>-0.11011124830971686</v>
      </c>
      <c r="DB16" s="741">
        <f t="shared" si="15"/>
        <v>-8.6352839583392571E-2</v>
      </c>
      <c r="DC16" s="721">
        <f t="shared" si="15"/>
        <v>-9.7275496648792537E-2</v>
      </c>
      <c r="DD16" s="721">
        <f t="shared" si="15"/>
        <v>-4.46073298570131E-2</v>
      </c>
      <c r="DE16" s="721">
        <f t="shared" si="15"/>
        <v>2.9315428122757226E-2</v>
      </c>
      <c r="DF16" s="721">
        <f t="shared" si="15"/>
        <v>8.3776911776046292E-2</v>
      </c>
      <c r="DG16" s="741">
        <f t="shared" si="15"/>
        <v>-7.1514915950379176E-3</v>
      </c>
      <c r="DH16" s="721">
        <f t="shared" si="15"/>
        <v>9.5645553162667429E-2</v>
      </c>
      <c r="DI16" s="721">
        <f t="shared" si="15"/>
        <v>6.1588534748097779E-2</v>
      </c>
      <c r="DJ16" s="721">
        <f t="shared" si="15"/>
        <v>7.2348045736772448E-2</v>
      </c>
      <c r="DK16" s="721">
        <f t="shared" si="15"/>
        <v>4.0522489467314182E-2</v>
      </c>
      <c r="DL16" s="793">
        <f t="shared" si="15"/>
        <v>6.7914528362164273E-2</v>
      </c>
      <c r="DM16" s="721">
        <f t="shared" si="15"/>
        <v>4.367596211320568E-2</v>
      </c>
      <c r="DN16" s="721">
        <f t="shared" si="15"/>
        <v>4.7206209548015021E-2</v>
      </c>
      <c r="DO16" s="721">
        <f t="shared" si="15"/>
        <v>4.7124763795075131E-2</v>
      </c>
      <c r="DP16" s="721">
        <f t="shared" si="15"/>
        <v>6.5510737611273795E-2</v>
      </c>
      <c r="DQ16" s="793">
        <f t="shared" si="15"/>
        <v>5.0347711033901899E-2</v>
      </c>
      <c r="DR16" s="721">
        <f t="shared" si="15"/>
        <v>5.5600756461815282E-2</v>
      </c>
      <c r="DS16" s="721">
        <f t="shared" si="15"/>
        <v>6.8259796287658769E-2</v>
      </c>
      <c r="DT16" s="721">
        <f t="shared" si="15"/>
        <v>6.0554218008599392E-2</v>
      </c>
      <c r="DU16" s="721">
        <f t="shared" si="15"/>
        <v>3.7077838356169845E-2</v>
      </c>
      <c r="DV16" s="793">
        <f t="shared" ref="DV16:EC16" si="16">DV15/DQ15-1</f>
        <v>5.5956791250305615E-2</v>
      </c>
      <c r="DW16" s="721">
        <f t="shared" si="16"/>
        <v>1.7605480402960172E-2</v>
      </c>
      <c r="DX16" s="721">
        <f t="shared" si="16"/>
        <v>3.8278096485613089E-2</v>
      </c>
      <c r="DY16" s="721">
        <f t="shared" si="16"/>
        <v>3.6736004425681479E-2</v>
      </c>
      <c r="DZ16" s="721">
        <f t="shared" si="16"/>
        <v>4.7749796700363722E-2</v>
      </c>
      <c r="EA16" s="793">
        <f t="shared" si="16"/>
        <v>3.5414254583697069E-2</v>
      </c>
      <c r="EB16" s="721">
        <f t="shared" si="16"/>
        <v>6.0698609933966363E-2</v>
      </c>
      <c r="EC16" s="721">
        <f t="shared" si="16"/>
        <v>2.3660461012135592E-2</v>
      </c>
      <c r="ED16" s="756"/>
      <c r="EE16" s="756"/>
      <c r="EF16" s="793"/>
      <c r="EG16" s="756"/>
      <c r="EH16" s="756"/>
      <c r="EI16" s="756"/>
      <c r="EJ16" s="756"/>
      <c r="EK16" s="793"/>
      <c r="EL16" s="756"/>
      <c r="EM16" s="756"/>
      <c r="EN16" s="756"/>
      <c r="EO16" s="756"/>
      <c r="EP16" s="793"/>
      <c r="EQ16" s="756"/>
      <c r="ER16" s="756"/>
      <c r="ES16" s="756"/>
      <c r="ET16" s="756"/>
      <c r="EU16" s="793"/>
      <c r="EV16" s="756"/>
      <c r="EW16" s="756"/>
      <c r="EX16" s="756"/>
      <c r="EY16" s="756"/>
      <c r="EZ16" s="793"/>
      <c r="FA16" s="756"/>
      <c r="FB16" s="756"/>
      <c r="FC16" s="756"/>
      <c r="FD16" s="756"/>
      <c r="FE16" s="793"/>
      <c r="FF16" s="794"/>
      <c r="FG16" s="690"/>
      <c r="FH16" s="795"/>
      <c r="FI16" s="795"/>
      <c r="FJ16" s="795"/>
      <c r="FK16" s="795"/>
      <c r="FL16" s="690"/>
      <c r="FM16" s="796"/>
      <c r="FN16" s="796"/>
      <c r="FO16" s="797"/>
      <c r="FP16" s="797"/>
      <c r="FQ16" s="797"/>
      <c r="FR16" s="797"/>
      <c r="FS16" s="797"/>
      <c r="FT16" s="797"/>
      <c r="FU16" s="690"/>
      <c r="FV16"/>
      <c r="FW16"/>
      <c r="FX16"/>
      <c r="FY16"/>
      <c r="FZ16"/>
      <c r="GA16"/>
    </row>
    <row r="17" spans="1:272" s="814" customFormat="1" ht="12.75" hidden="1" customHeight="1" outlineLevel="1">
      <c r="A17" s="757" t="s">
        <v>280</v>
      </c>
      <c r="B17" s="800"/>
      <c r="C17" s="800"/>
      <c r="D17" s="800"/>
      <c r="E17" s="800"/>
      <c r="F17" s="801"/>
      <c r="G17" s="802"/>
      <c r="H17" s="802">
        <v>92.052521085046607</v>
      </c>
      <c r="I17" s="802">
        <v>92.52943103344542</v>
      </c>
      <c r="J17" s="802">
        <v>93.018863903742727</v>
      </c>
      <c r="K17" s="801">
        <f>(K47*((K49*2000*1000)/100))/(K58*1000)</f>
        <v>0</v>
      </c>
      <c r="L17" s="802">
        <v>90.642790647713838</v>
      </c>
      <c r="M17" s="802">
        <v>91.43656843500176</v>
      </c>
      <c r="N17" s="802">
        <v>91.252658778452044</v>
      </c>
      <c r="O17" s="802">
        <v>90.092558822659669</v>
      </c>
      <c r="P17" s="801">
        <f>(P47*((P49*2000*1000)/100))/(P58*1000)</f>
        <v>0</v>
      </c>
      <c r="Q17" s="802">
        <v>96.517212434035869</v>
      </c>
      <c r="R17" s="802">
        <v>95.874044722923969</v>
      </c>
      <c r="S17" s="802">
        <v>95.491119413962522</v>
      </c>
      <c r="T17" s="802">
        <v>95.576465916383697</v>
      </c>
      <c r="U17" s="801">
        <f>(U47*((U49*2000*1000)/100))/(U58*1000)</f>
        <v>0</v>
      </c>
      <c r="V17" s="802">
        <v>99.684477986843319</v>
      </c>
      <c r="W17" s="802">
        <v>99.778001740985133</v>
      </c>
      <c r="X17" s="802">
        <v>99.908946492311287</v>
      </c>
      <c r="Y17" s="802">
        <v>101.67633636384647</v>
      </c>
      <c r="Z17" s="801">
        <f>(Z47*((Z49*2000*1000)/100))/(Z58*1000)</f>
        <v>0</v>
      </c>
      <c r="AA17" s="802">
        <v>105.97247873570866</v>
      </c>
      <c r="AB17" s="802">
        <v>115.11772738915326</v>
      </c>
      <c r="AC17" s="802">
        <v>111.58173065286965</v>
      </c>
      <c r="AD17" s="802">
        <v>112.70958444490391</v>
      </c>
      <c r="AE17" s="801">
        <f>(AE47*((AE49*2000*1000)/100))/(AE58*1000)</f>
        <v>0</v>
      </c>
      <c r="AF17" s="802">
        <v>119.34406113425985</v>
      </c>
      <c r="AG17" s="802">
        <v>117.18426635529389</v>
      </c>
      <c r="AH17" s="802">
        <v>116.25454311435966</v>
      </c>
      <c r="AI17" s="802">
        <v>115.73593885775442</v>
      </c>
      <c r="AJ17" s="801">
        <f>(AJ47*((AJ49*2000*1000)/100))/(AJ58*1000)</f>
        <v>0</v>
      </c>
      <c r="AK17" s="802">
        <v>120.30432685391261</v>
      </c>
      <c r="AL17" s="802">
        <v>120.02005557423078</v>
      </c>
      <c r="AM17" s="802">
        <v>120.42826089379869</v>
      </c>
      <c r="AN17" s="802">
        <v>121.92682554334878</v>
      </c>
      <c r="AO17" s="801">
        <f>(AO47*((AO49*2000*1000)/100))/(AO58*1000)</f>
        <v>0</v>
      </c>
      <c r="AP17" s="802">
        <v>125.98929984590276</v>
      </c>
      <c r="AQ17" s="802">
        <v>126.24650519462199</v>
      </c>
      <c r="AR17" s="802">
        <v>122.94820566494978</v>
      </c>
      <c r="AS17" s="802">
        <v>129.83315620103474</v>
      </c>
      <c r="AT17" s="801">
        <f>(AT47*((AT49*2000*1000)/100))/(AT58*1000)</f>
        <v>0</v>
      </c>
      <c r="AU17" s="802">
        <v>137.33517216736109</v>
      </c>
      <c r="AV17" s="802">
        <v>140.12065048574922</v>
      </c>
      <c r="AW17" s="802">
        <v>141.34639475098948</v>
      </c>
      <c r="AX17" s="802">
        <v>142.32051044353187</v>
      </c>
      <c r="AY17" s="801">
        <f>(AY47*((AY49*2000*1000)/100))/(AY58*1000)</f>
        <v>0</v>
      </c>
      <c r="AZ17" s="802">
        <v>146.15036554547567</v>
      </c>
      <c r="BA17" s="802">
        <v>145.28815638923749</v>
      </c>
      <c r="BB17" s="802">
        <v>145.33429937078498</v>
      </c>
      <c r="BC17" s="802">
        <v>153.1530693078837</v>
      </c>
      <c r="BD17" s="801">
        <f t="shared" ref="BD17:DO17" si="17">BD40*1000/BD$58</f>
        <v>147.47806942267235</v>
      </c>
      <c r="BE17" s="802">
        <f t="shared" si="17"/>
        <v>157.53389572389452</v>
      </c>
      <c r="BF17" s="802">
        <f t="shared" si="17"/>
        <v>155.63213661999916</v>
      </c>
      <c r="BG17" s="802">
        <f t="shared" si="17"/>
        <v>157.62488926710697</v>
      </c>
      <c r="BH17" s="802">
        <f t="shared" si="17"/>
        <v>162.81067993800448</v>
      </c>
      <c r="BI17" s="801">
        <f t="shared" si="17"/>
        <v>158.33848886903723</v>
      </c>
      <c r="BJ17" s="802">
        <f t="shared" si="17"/>
        <v>158.04546456044537</v>
      </c>
      <c r="BK17" s="802">
        <f t="shared" si="17"/>
        <v>153.84757464172466</v>
      </c>
      <c r="BL17" s="802">
        <f t="shared" si="17"/>
        <v>154.19514045162398</v>
      </c>
      <c r="BM17" s="802">
        <f t="shared" si="17"/>
        <v>152.13644492353868</v>
      </c>
      <c r="BN17" s="803">
        <f t="shared" si="17"/>
        <v>154.53816007720474</v>
      </c>
      <c r="BO17" s="802">
        <f t="shared" si="17"/>
        <v>150.07548462544031</v>
      </c>
      <c r="BP17" s="802">
        <f t="shared" si="17"/>
        <v>153.18572192265842</v>
      </c>
      <c r="BQ17" s="802">
        <f t="shared" si="17"/>
        <v>158.66311045879476</v>
      </c>
      <c r="BR17" s="802">
        <f t="shared" si="17"/>
        <v>164.09051134459517</v>
      </c>
      <c r="BS17" s="803">
        <f t="shared" si="17"/>
        <v>156.50878283973944</v>
      </c>
      <c r="BT17" s="802">
        <f t="shared" si="17"/>
        <v>165.38842135374193</v>
      </c>
      <c r="BU17" s="802">
        <f t="shared" si="17"/>
        <v>163.30638187959462</v>
      </c>
      <c r="BV17" s="802">
        <f t="shared" si="17"/>
        <v>165.63752292195306</v>
      </c>
      <c r="BW17" s="802">
        <f t="shared" si="17"/>
        <v>168.11435660028909</v>
      </c>
      <c r="BX17" s="803">
        <f t="shared" si="17"/>
        <v>165.62516890574491</v>
      </c>
      <c r="BY17" s="802">
        <f t="shared" si="17"/>
        <v>170.89260091334404</v>
      </c>
      <c r="BZ17" s="802">
        <f t="shared" si="17"/>
        <v>175.55963718145145</v>
      </c>
      <c r="CA17" s="802">
        <f t="shared" si="17"/>
        <v>180.43727238103494</v>
      </c>
      <c r="CB17" s="802">
        <f t="shared" si="17"/>
        <v>185.44211161072624</v>
      </c>
      <c r="CC17" s="803">
        <f t="shared" si="17"/>
        <v>178.13508181112664</v>
      </c>
      <c r="CD17" s="802">
        <f t="shared" si="17"/>
        <v>186.05989287275904</v>
      </c>
      <c r="CE17" s="802">
        <f t="shared" si="17"/>
        <v>190.11960990859356</v>
      </c>
      <c r="CF17" s="802">
        <f t="shared" si="17"/>
        <v>193.48724095495942</v>
      </c>
      <c r="CG17" s="802">
        <f t="shared" si="17"/>
        <v>199.45190542049224</v>
      </c>
      <c r="CH17" s="803">
        <f t="shared" si="17"/>
        <v>192.35737459828229</v>
      </c>
      <c r="CI17" s="802">
        <f t="shared" si="17"/>
        <v>195.72093425605541</v>
      </c>
      <c r="CJ17" s="802">
        <f t="shared" si="17"/>
        <v>206.28674988567266</v>
      </c>
      <c r="CK17" s="802">
        <f t="shared" si="17"/>
        <v>207.17405758487325</v>
      </c>
      <c r="CL17" s="802">
        <f t="shared" si="17"/>
        <v>199.70360995558065</v>
      </c>
      <c r="CM17" s="803">
        <f t="shared" si="17"/>
        <v>202.25503743478899</v>
      </c>
      <c r="CN17" s="802">
        <f t="shared" si="17"/>
        <v>195.55792270446958</v>
      </c>
      <c r="CO17" s="802">
        <f t="shared" si="17"/>
        <v>198.29441949864324</v>
      </c>
      <c r="CP17" s="802">
        <f t="shared" si="17"/>
        <v>198.43097078622731</v>
      </c>
      <c r="CQ17" s="802">
        <f t="shared" si="17"/>
        <v>203.32670711960878</v>
      </c>
      <c r="CR17" s="803">
        <f t="shared" si="17"/>
        <v>198.91264236476383</v>
      </c>
      <c r="CS17" s="802">
        <f t="shared" si="17"/>
        <v>211.92349059660006</v>
      </c>
      <c r="CT17" s="802">
        <f t="shared" si="17"/>
        <v>223.36853859320235</v>
      </c>
      <c r="CU17" s="802">
        <f t="shared" si="17"/>
        <v>223.30637952724629</v>
      </c>
      <c r="CV17" s="802">
        <f t="shared" si="17"/>
        <v>205.06979532163743</v>
      </c>
      <c r="CW17" s="803">
        <f t="shared" si="17"/>
        <v>216.37111060599187</v>
      </c>
      <c r="CX17" s="802">
        <f t="shared" si="17"/>
        <v>187.18679999999995</v>
      </c>
      <c r="CY17" s="802">
        <f t="shared" si="17"/>
        <v>181.6378</v>
      </c>
      <c r="CZ17" s="802">
        <f t="shared" si="17"/>
        <v>181.15649999999997</v>
      </c>
      <c r="DA17" s="802">
        <f t="shared" si="17"/>
        <v>183.14699999999999</v>
      </c>
      <c r="DB17" s="803">
        <f t="shared" si="17"/>
        <v>183.10034363321176</v>
      </c>
      <c r="DC17" s="802">
        <f t="shared" si="17"/>
        <v>188.57249999999999</v>
      </c>
      <c r="DD17" s="802">
        <f t="shared" si="17"/>
        <v>193.67159999999996</v>
      </c>
      <c r="DE17" s="802">
        <f t="shared" si="17"/>
        <v>200.57849999999999</v>
      </c>
      <c r="DF17" s="802">
        <f t="shared" si="17"/>
        <v>206.55250000000001</v>
      </c>
      <c r="DG17" s="803">
        <f t="shared" si="17"/>
        <v>197.08731300735636</v>
      </c>
      <c r="DH17" s="802">
        <f t="shared" si="17"/>
        <v>214.72290000000001</v>
      </c>
      <c r="DI17" s="802">
        <f t="shared" si="17"/>
        <v>219.92749999999998</v>
      </c>
      <c r="DJ17" s="802">
        <f t="shared" si="17"/>
        <v>221.14850000000001</v>
      </c>
      <c r="DK17" s="802">
        <f t="shared" si="17"/>
        <v>224.98560000000001</v>
      </c>
      <c r="DL17" s="803">
        <f t="shared" si="17"/>
        <v>220.17945577638739</v>
      </c>
      <c r="DM17" s="804">
        <f t="shared" si="17"/>
        <v>228.6816</v>
      </c>
      <c r="DN17" s="805">
        <f t="shared" si="17"/>
        <v>232.03179999999995</v>
      </c>
      <c r="DO17" s="805">
        <f t="shared" si="17"/>
        <v>234.91389999999996</v>
      </c>
      <c r="DP17" s="802">
        <f t="shared" ref="DP17:DY17" si="18">DP40*1000/DP$58</f>
        <v>238.804</v>
      </c>
      <c r="DQ17" s="803">
        <f t="shared" si="18"/>
        <v>233.51488905380046</v>
      </c>
      <c r="DR17" s="804">
        <f t="shared" si="18"/>
        <v>238.119</v>
      </c>
      <c r="DS17" s="805">
        <f t="shared" si="18"/>
        <v>237.80640000000005</v>
      </c>
      <c r="DT17" s="805">
        <f t="shared" si="18"/>
        <v>243.04060000000001</v>
      </c>
      <c r="DU17" s="802">
        <f t="shared" si="18"/>
        <v>243.83919999999995</v>
      </c>
      <c r="DV17" s="803">
        <f t="shared" si="18"/>
        <v>240.66302540861449</v>
      </c>
      <c r="DW17" s="804">
        <f t="shared" si="18"/>
        <v>248.8562</v>
      </c>
      <c r="DX17" s="805">
        <f t="shared" si="18"/>
        <v>254.68299999999996</v>
      </c>
      <c r="DY17" s="805">
        <f t="shared" si="18"/>
        <v>256.0104</v>
      </c>
      <c r="DZ17" s="802">
        <f>DZ40*1000/DZ$58</f>
        <v>259.13520000000005</v>
      </c>
      <c r="EA17" s="803">
        <f>EA40*1000/EA$58</f>
        <v>254.70224956660823</v>
      </c>
      <c r="EB17" s="804">
        <f>EB40*1000/EB$58</f>
        <v>251.7234</v>
      </c>
      <c r="EC17" s="805">
        <f>EC40*1000/EC$58</f>
        <v>252.28319999999999</v>
      </c>
      <c r="ED17" s="805"/>
      <c r="EE17" s="806"/>
      <c r="EF17" s="803"/>
      <c r="EG17" s="804"/>
      <c r="EH17" s="805"/>
      <c r="EI17" s="805"/>
      <c r="EJ17" s="806"/>
      <c r="EK17" s="803"/>
      <c r="EL17" s="804"/>
      <c r="EM17" s="805"/>
      <c r="EN17" s="805"/>
      <c r="EO17" s="806"/>
      <c r="EP17" s="803"/>
      <c r="EQ17" s="804"/>
      <c r="ER17" s="805"/>
      <c r="ES17" s="805"/>
      <c r="ET17" s="806"/>
      <c r="EU17" s="803"/>
      <c r="EV17" s="804"/>
      <c r="EW17" s="805"/>
      <c r="EX17" s="805"/>
      <c r="EY17" s="806"/>
      <c r="EZ17" s="803"/>
      <c r="FA17" s="804"/>
      <c r="FB17" s="805"/>
      <c r="FC17" s="805"/>
      <c r="FD17" s="806"/>
      <c r="FE17" s="803"/>
      <c r="FF17" s="807"/>
      <c r="FG17" s="690"/>
      <c r="FH17" s="808"/>
      <c r="FI17" s="808"/>
      <c r="FJ17" s="808"/>
      <c r="FK17" s="808"/>
      <c r="FL17" s="690"/>
      <c r="FM17" s="809"/>
      <c r="FN17" s="809"/>
      <c r="FO17" s="810"/>
      <c r="FP17" s="810"/>
      <c r="FQ17" s="810"/>
      <c r="FR17" s="810"/>
      <c r="FS17" s="810"/>
      <c r="FT17" s="810"/>
      <c r="FU17" s="690"/>
      <c r="FV17"/>
      <c r="FW17"/>
      <c r="FX17"/>
      <c r="FY17"/>
      <c r="FZ17"/>
      <c r="GA17"/>
      <c r="GB17" s="813"/>
    </row>
    <row r="18" spans="1:272" s="749" customFormat="1" ht="12.75" hidden="1" customHeight="1" outlineLevel="1">
      <c r="A18" s="58" t="s">
        <v>85</v>
      </c>
      <c r="B18" s="815"/>
      <c r="C18" s="815"/>
      <c r="D18" s="815"/>
      <c r="E18" s="815"/>
      <c r="F18" s="816"/>
      <c r="G18" s="817"/>
      <c r="H18" s="817"/>
      <c r="I18" s="817"/>
      <c r="J18" s="817"/>
      <c r="K18" s="816"/>
      <c r="L18" s="817"/>
      <c r="M18" s="817">
        <f t="shared" ref="M18:BX18" si="19">M17/H17-1</f>
        <v>-6.6913175520284529E-3</v>
      </c>
      <c r="N18" s="817">
        <f t="shared" si="19"/>
        <v>-1.3798552965616717E-2</v>
      </c>
      <c r="O18" s="817">
        <f t="shared" si="19"/>
        <v>-3.1459264909010742E-2</v>
      </c>
      <c r="P18" s="816"/>
      <c r="Q18" s="817">
        <f t="shared" si="19"/>
        <v>6.4808483326083355E-2</v>
      </c>
      <c r="R18" s="817">
        <f t="shared" si="19"/>
        <v>4.8530652056093082E-2</v>
      </c>
      <c r="S18" s="817">
        <f t="shared" si="19"/>
        <v>4.6447530321289898E-2</v>
      </c>
      <c r="T18" s="817">
        <f t="shared" si="19"/>
        <v>6.0869700732095744E-2</v>
      </c>
      <c r="U18" s="816"/>
      <c r="V18" s="817">
        <f t="shared" si="19"/>
        <v>3.2815551474532079E-2</v>
      </c>
      <c r="W18" s="817">
        <f t="shared" si="19"/>
        <v>4.0719644501737706E-2</v>
      </c>
      <c r="X18" s="817">
        <f t="shared" si="19"/>
        <v>4.6264271541284208E-2</v>
      </c>
      <c r="Y18" s="817">
        <f t="shared" si="19"/>
        <v>6.3821887417341072E-2</v>
      </c>
      <c r="Z18" s="816"/>
      <c r="AA18" s="817">
        <f t="shared" si="19"/>
        <v>6.3079035732075184E-2</v>
      </c>
      <c r="AB18" s="817">
        <f t="shared" si="19"/>
        <v>0.15373855339364972</v>
      </c>
      <c r="AC18" s="817">
        <f t="shared" si="19"/>
        <v>0.11683422326404647</v>
      </c>
      <c r="AD18" s="817">
        <f t="shared" si="19"/>
        <v>0.10851343071189357</v>
      </c>
      <c r="AE18" s="816"/>
      <c r="AF18" s="817">
        <f t="shared" si="19"/>
        <v>0.12617976438863332</v>
      </c>
      <c r="AG18" s="817">
        <f t="shared" si="19"/>
        <v>1.7951526780534355E-2</v>
      </c>
      <c r="AH18" s="817">
        <f t="shared" si="19"/>
        <v>4.1877934982269771E-2</v>
      </c>
      <c r="AI18" s="817">
        <f t="shared" si="19"/>
        <v>2.685090560625647E-2</v>
      </c>
      <c r="AJ18" s="816"/>
      <c r="AK18" s="817">
        <f t="shared" si="19"/>
        <v>8.0461961033191365E-3</v>
      </c>
      <c r="AL18" s="817">
        <f t="shared" si="19"/>
        <v>2.4199402420961524E-2</v>
      </c>
      <c r="AM18" s="817">
        <f t="shared" si="19"/>
        <v>3.5901545588058026E-2</v>
      </c>
      <c r="AN18" s="817">
        <f t="shared" si="19"/>
        <v>5.3491480232456423E-2</v>
      </c>
      <c r="AO18" s="816"/>
      <c r="AP18" s="817">
        <f t="shared" si="19"/>
        <v>4.725493372232159E-2</v>
      </c>
      <c r="AQ18" s="817">
        <f t="shared" si="19"/>
        <v>5.1878409742446951E-2</v>
      </c>
      <c r="AR18" s="817">
        <f t="shared" si="19"/>
        <v>2.0924862257816201E-2</v>
      </c>
      <c r="AS18" s="817">
        <f t="shared" si="19"/>
        <v>6.4844882350151956E-2</v>
      </c>
      <c r="AT18" s="816"/>
      <c r="AU18" s="817">
        <f t="shared" si="19"/>
        <v>9.0054253300363207E-2</v>
      </c>
      <c r="AV18" s="817">
        <f t="shared" si="19"/>
        <v>0.10989726226273588</v>
      </c>
      <c r="AW18" s="817">
        <f t="shared" si="19"/>
        <v>0.14964178603937661</v>
      </c>
      <c r="AX18" s="817">
        <f t="shared" si="19"/>
        <v>9.6180009851733139E-2</v>
      </c>
      <c r="AY18" s="816"/>
      <c r="AZ18" s="817">
        <f t="shared" si="19"/>
        <v>6.4187441854822724E-2</v>
      </c>
      <c r="BA18" s="817">
        <f t="shared" si="19"/>
        <v>3.6878974552104316E-2</v>
      </c>
      <c r="BB18" s="817">
        <f t="shared" si="19"/>
        <v>2.8213698883660987E-2</v>
      </c>
      <c r="BC18" s="817">
        <f t="shared" si="19"/>
        <v>7.6113828081370016E-2</v>
      </c>
      <c r="BD18" s="816"/>
      <c r="BE18" s="817">
        <f t="shared" si="19"/>
        <v>7.7889166653344999E-2</v>
      </c>
      <c r="BF18" s="817">
        <f t="shared" si="19"/>
        <v>7.119630730979476E-2</v>
      </c>
      <c r="BG18" s="817">
        <f t="shared" si="19"/>
        <v>8.456771697757004E-2</v>
      </c>
      <c r="BH18" s="817">
        <f t="shared" si="19"/>
        <v>6.305855098931179E-2</v>
      </c>
      <c r="BI18" s="816">
        <f t="shared" si="19"/>
        <v>7.3640911417404809E-2</v>
      </c>
      <c r="BJ18" s="817">
        <f t="shared" si="19"/>
        <v>3.2473572382636373E-3</v>
      </c>
      <c r="BK18" s="817">
        <f t="shared" si="19"/>
        <v>-1.1466539090392303E-2</v>
      </c>
      <c r="BL18" s="817">
        <f t="shared" si="19"/>
        <v>-2.1758929261932902E-2</v>
      </c>
      <c r="BM18" s="817">
        <f t="shared" si="19"/>
        <v>-6.55622531552007E-2</v>
      </c>
      <c r="BN18" s="816">
        <f t="shared" si="19"/>
        <v>-2.4001295067150541E-2</v>
      </c>
      <c r="BO18" s="817">
        <f t="shared" si="19"/>
        <v>-5.0428400189597933E-2</v>
      </c>
      <c r="BP18" s="817">
        <f t="shared" si="19"/>
        <v>-4.3020029441969143E-3</v>
      </c>
      <c r="BQ18" s="817">
        <f t="shared" si="19"/>
        <v>2.8976075342481478E-2</v>
      </c>
      <c r="BR18" s="817">
        <f t="shared" si="19"/>
        <v>7.8574640199226442E-2</v>
      </c>
      <c r="BS18" s="816">
        <f t="shared" si="19"/>
        <v>1.27516903368734E-2</v>
      </c>
      <c r="BT18" s="817">
        <f t="shared" si="19"/>
        <v>0.10203489774842156</v>
      </c>
      <c r="BU18" s="817">
        <f t="shared" si="19"/>
        <v>6.6067906524904574E-2</v>
      </c>
      <c r="BV18" s="817">
        <f t="shared" si="19"/>
        <v>4.3957366290065192E-2</v>
      </c>
      <c r="BW18" s="817">
        <f t="shared" si="19"/>
        <v>2.4522108089746419E-2</v>
      </c>
      <c r="BX18" s="816">
        <f t="shared" si="19"/>
        <v>5.8248399230990122E-2</v>
      </c>
      <c r="BY18" s="817">
        <f t="shared" ref="BY18:EC18" si="20">BY17/BT17-1</f>
        <v>3.3280319834660288E-2</v>
      </c>
      <c r="BZ18" s="817">
        <f t="shared" si="20"/>
        <v>7.5032311418736342E-2</v>
      </c>
      <c r="CA18" s="817">
        <f t="shared" si="20"/>
        <v>8.9350222087391407E-2</v>
      </c>
      <c r="CB18" s="817">
        <f t="shared" si="20"/>
        <v>0.10307123889267733</v>
      </c>
      <c r="CC18" s="816">
        <f t="shared" si="20"/>
        <v>7.5531472589778659E-2</v>
      </c>
      <c r="CD18" s="817">
        <f t="shared" si="20"/>
        <v>8.8753356659987848E-2</v>
      </c>
      <c r="CE18" s="817">
        <f t="shared" si="20"/>
        <v>8.2934625298259679E-2</v>
      </c>
      <c r="CF18" s="817">
        <f t="shared" si="20"/>
        <v>7.2324129054480712E-2</v>
      </c>
      <c r="CG18" s="817">
        <f t="shared" si="20"/>
        <v>7.5548070975242521E-2</v>
      </c>
      <c r="CH18" s="816">
        <f t="shared" si="20"/>
        <v>7.9839931823397325E-2</v>
      </c>
      <c r="CI18" s="817">
        <f t="shared" si="20"/>
        <v>5.1924362817425074E-2</v>
      </c>
      <c r="CJ18" s="817">
        <f t="shared" si="20"/>
        <v>8.5036677620220269E-2</v>
      </c>
      <c r="CK18" s="817">
        <f t="shared" si="20"/>
        <v>7.0737566789222495E-2</v>
      </c>
      <c r="CL18" s="817">
        <f t="shared" si="20"/>
        <v>1.2619811004450643E-3</v>
      </c>
      <c r="CM18" s="816">
        <f t="shared" si="20"/>
        <v>5.1454553573404116E-2</v>
      </c>
      <c r="CN18" s="817">
        <f t="shared" si="20"/>
        <v>-8.3287744464055624E-4</v>
      </c>
      <c r="CO18" s="817">
        <f t="shared" si="20"/>
        <v>-3.8743789368240522E-2</v>
      </c>
      <c r="CP18" s="817">
        <f t="shared" si="20"/>
        <v>-4.2201648703357297E-2</v>
      </c>
      <c r="CQ18" s="817">
        <f t="shared" si="20"/>
        <v>1.8142371912225341E-2</v>
      </c>
      <c r="CR18" s="816">
        <f t="shared" si="20"/>
        <v>-1.6525645602784134E-2</v>
      </c>
      <c r="CS18" s="817">
        <f t="shared" si="20"/>
        <v>8.3686550080931399E-2</v>
      </c>
      <c r="CT18" s="817">
        <f t="shared" si="20"/>
        <v>0.12644893970266602</v>
      </c>
      <c r="CU18" s="817">
        <f t="shared" si="20"/>
        <v>0.1253605152585664</v>
      </c>
      <c r="CV18" s="817">
        <f t="shared" si="20"/>
        <v>8.5728442993140419E-3</v>
      </c>
      <c r="CW18" s="816">
        <f t="shared" si="20"/>
        <v>8.7769525524742154E-2</v>
      </c>
      <c r="CX18" s="817">
        <f t="shared" si="20"/>
        <v>-0.11672462796343241</v>
      </c>
      <c r="CY18" s="817">
        <f t="shared" si="20"/>
        <v>-0.18682460321416239</v>
      </c>
      <c r="CZ18" s="817">
        <f t="shared" si="20"/>
        <v>-0.18875358427502287</v>
      </c>
      <c r="DA18" s="817">
        <f t="shared" si="20"/>
        <v>-0.10690406789187601</v>
      </c>
      <c r="DB18" s="816">
        <f t="shared" si="20"/>
        <v>-0.15376714053737794</v>
      </c>
      <c r="DC18" s="817">
        <f t="shared" si="20"/>
        <v>7.4027655796244929E-3</v>
      </c>
      <c r="DD18" s="817">
        <f t="shared" si="20"/>
        <v>6.6251628240377114E-2</v>
      </c>
      <c r="DE18" s="817">
        <f t="shared" si="20"/>
        <v>0.10721116824403221</v>
      </c>
      <c r="DF18" s="817">
        <f t="shared" si="20"/>
        <v>0.12779625109884418</v>
      </c>
      <c r="DG18" s="816">
        <f t="shared" si="20"/>
        <v>7.6389640219154398E-2</v>
      </c>
      <c r="DH18" s="817">
        <f t="shared" si="20"/>
        <v>0.13867557570695621</v>
      </c>
      <c r="DI18" s="817">
        <f t="shared" si="20"/>
        <v>0.13556917999334983</v>
      </c>
      <c r="DJ18" s="817">
        <f t="shared" si="20"/>
        <v>0.10255336439349194</v>
      </c>
      <c r="DK18" s="817">
        <f t="shared" si="20"/>
        <v>8.9241718207235365E-2</v>
      </c>
      <c r="DL18" s="818">
        <f t="shared" si="20"/>
        <v>0.11716706883191974</v>
      </c>
      <c r="DM18" s="817">
        <f t="shared" si="20"/>
        <v>6.5007970738100163E-2</v>
      </c>
      <c r="DN18" s="817">
        <f t="shared" si="20"/>
        <v>5.5037682872764782E-2</v>
      </c>
      <c r="DO18" s="817">
        <f t="shared" si="20"/>
        <v>6.2245052532573952E-2</v>
      </c>
      <c r="DP18" s="817">
        <f t="shared" si="20"/>
        <v>6.1419041929794638E-2</v>
      </c>
      <c r="DQ18" s="818">
        <f t="shared" si="20"/>
        <v>6.0566201466845548E-2</v>
      </c>
      <c r="DR18" s="817">
        <f t="shared" si="20"/>
        <v>4.1268733470467112E-2</v>
      </c>
      <c r="DS18" s="817">
        <f t="shared" si="20"/>
        <v>2.4887105991506786E-2</v>
      </c>
      <c r="DT18" s="817">
        <f t="shared" si="20"/>
        <v>3.4594376918522407E-2</v>
      </c>
      <c r="DU18" s="817">
        <f t="shared" si="20"/>
        <v>2.1085073951859767E-2</v>
      </c>
      <c r="DV18" s="818">
        <f t="shared" si="20"/>
        <v>3.0611051756820329E-2</v>
      </c>
      <c r="DW18" s="817">
        <f t="shared" si="20"/>
        <v>4.5091739844363543E-2</v>
      </c>
      <c r="DX18" s="817">
        <f t="shared" si="20"/>
        <v>7.0967812472666481E-2</v>
      </c>
      <c r="DY18" s="817">
        <f t="shared" si="20"/>
        <v>5.3364746466228352E-2</v>
      </c>
      <c r="DZ18" s="817">
        <f t="shared" si="20"/>
        <v>6.272986459929375E-2</v>
      </c>
      <c r="EA18" s="818">
        <f t="shared" si="20"/>
        <v>5.8335609029085189E-2</v>
      </c>
      <c r="EB18" s="817">
        <f t="shared" si="20"/>
        <v>1.1521513227317648E-2</v>
      </c>
      <c r="EC18" s="817">
        <f t="shared" si="20"/>
        <v>-9.4226940942268023E-3</v>
      </c>
      <c r="ED18" s="761"/>
      <c r="EE18" s="763"/>
      <c r="EF18" s="818"/>
      <c r="EG18" s="764"/>
      <c r="EH18" s="761"/>
      <c r="EI18" s="761"/>
      <c r="EJ18" s="763"/>
      <c r="EK18" s="818"/>
      <c r="EL18" s="764"/>
      <c r="EM18" s="761"/>
      <c r="EN18" s="761"/>
      <c r="EO18" s="763"/>
      <c r="EP18" s="818"/>
      <c r="EQ18" s="764"/>
      <c r="ER18" s="761"/>
      <c r="ES18" s="761"/>
      <c r="ET18" s="763"/>
      <c r="EU18" s="818"/>
      <c r="EV18" s="764"/>
      <c r="EW18" s="761"/>
      <c r="EX18" s="761"/>
      <c r="EY18" s="763"/>
      <c r="EZ18" s="818"/>
      <c r="FA18" s="764"/>
      <c r="FB18" s="761"/>
      <c r="FC18" s="761"/>
      <c r="FD18" s="763"/>
      <c r="FE18" s="818"/>
      <c r="FF18" s="721"/>
      <c r="FG18" s="690"/>
      <c r="FH18" s="754"/>
      <c r="FI18" s="754"/>
      <c r="FJ18" s="754"/>
      <c r="FK18" s="754"/>
      <c r="FL18" s="690"/>
      <c r="FM18" s="708"/>
      <c r="FN18" s="708"/>
      <c r="FO18" s="723"/>
      <c r="FP18" s="723"/>
      <c r="FQ18" s="723"/>
      <c r="FR18" s="723"/>
      <c r="FS18" s="723"/>
      <c r="FT18" s="723"/>
      <c r="FU18" s="690"/>
      <c r="FV18"/>
      <c r="FW18"/>
      <c r="FX18"/>
      <c r="FY18"/>
      <c r="FZ18"/>
      <c r="GA18"/>
      <c r="GB18" s="725"/>
    </row>
    <row r="19" spans="1:272" s="814" customFormat="1" ht="12.75" hidden="1" customHeight="1" outlineLevel="1">
      <c r="A19" s="757" t="s">
        <v>281</v>
      </c>
      <c r="B19" s="800"/>
      <c r="C19" s="800"/>
      <c r="D19" s="800"/>
      <c r="E19" s="800"/>
      <c r="F19" s="801"/>
      <c r="G19" s="802"/>
      <c r="H19" s="802">
        <v>92.052521085046607</v>
      </c>
      <c r="I19" s="802">
        <v>92.52943103344542</v>
      </c>
      <c r="J19" s="802">
        <v>93.018863903742727</v>
      </c>
      <c r="K19" s="801" t="e">
        <f>(K17*((K51*2000*1000)/100))/(K60*1000)</f>
        <v>#DIV/0!</v>
      </c>
      <c r="L19" s="802">
        <v>90.642790647713838</v>
      </c>
      <c r="M19" s="802">
        <v>91.43656843500176</v>
      </c>
      <c r="N19" s="802">
        <v>91.252658778452044</v>
      </c>
      <c r="O19" s="802">
        <v>90.092558822659669</v>
      </c>
      <c r="P19" s="801">
        <f>(P17*((P51*2000*1000)/100))/(P60*1000)</f>
        <v>0</v>
      </c>
      <c r="Q19" s="802">
        <v>96.517212434035869</v>
      </c>
      <c r="R19" s="802">
        <v>95.874044722923969</v>
      </c>
      <c r="S19" s="802">
        <v>95.491119413962522</v>
      </c>
      <c r="T19" s="802">
        <v>95.576465916383697</v>
      </c>
      <c r="U19" s="801">
        <f>(U17*((U51*2000*1000)/100))/(U60*1000)</f>
        <v>0</v>
      </c>
      <c r="V19" s="802">
        <v>99.684477986843319</v>
      </c>
      <c r="W19" s="802">
        <v>99.778001740985133</v>
      </c>
      <c r="X19" s="802">
        <v>99.908946492311287</v>
      </c>
      <c r="Y19" s="802">
        <v>101.67633636384647</v>
      </c>
      <c r="Z19" s="801">
        <f>(Z17*((Z51*2000*1000)/100))/(Z60*1000)</f>
        <v>0</v>
      </c>
      <c r="AA19" s="802">
        <v>105.97247873570866</v>
      </c>
      <c r="AB19" s="802">
        <v>115.11772738915326</v>
      </c>
      <c r="AC19" s="802">
        <v>111.58173065286965</v>
      </c>
      <c r="AD19" s="802">
        <v>112.70958444490391</v>
      </c>
      <c r="AE19" s="801">
        <f>(AE17*((AE51*2000*1000)/100))/(AE60*1000)</f>
        <v>0</v>
      </c>
      <c r="AF19" s="802">
        <v>119.34406113425985</v>
      </c>
      <c r="AG19" s="802">
        <v>117.18426635529389</v>
      </c>
      <c r="AH19" s="802">
        <v>116.25454311435966</v>
      </c>
      <c r="AI19" s="802">
        <v>115.73593885775442</v>
      </c>
      <c r="AJ19" s="801">
        <f>(AJ17*((AJ51*2000*1000)/100))/(AJ60*1000)</f>
        <v>0</v>
      </c>
      <c r="AK19" s="802">
        <v>120.30432685391261</v>
      </c>
      <c r="AL19" s="802">
        <v>120.02005557423078</v>
      </c>
      <c r="AM19" s="802">
        <v>120.42826089379869</v>
      </c>
      <c r="AN19" s="802">
        <v>121.92682554334878</v>
      </c>
      <c r="AO19" s="801">
        <f>(AO17*((AO51*2000*1000)/100))/(AO60*1000)</f>
        <v>0</v>
      </c>
      <c r="AP19" s="802">
        <v>125.98929984590276</v>
      </c>
      <c r="AQ19" s="802">
        <v>126.24650519462199</v>
      </c>
      <c r="AR19" s="802">
        <v>122.94820566494978</v>
      </c>
      <c r="AS19" s="802">
        <v>129.83315620103474</v>
      </c>
      <c r="AT19" s="801">
        <f>(AT17*((AT51*2000*1000)/100))/(AT60*1000)</f>
        <v>0</v>
      </c>
      <c r="AU19" s="802">
        <v>137.33517216736109</v>
      </c>
      <c r="AV19" s="802">
        <v>140.12065048574922</v>
      </c>
      <c r="AW19" s="802">
        <v>141.34639475098948</v>
      </c>
      <c r="AX19" s="802">
        <v>142.32051044353187</v>
      </c>
      <c r="AY19" s="801">
        <f>(AY17*((AY51*2000*1000)/100))/(AY60*1000)</f>
        <v>0</v>
      </c>
      <c r="AZ19" s="802">
        <v>146.15036554547567</v>
      </c>
      <c r="BA19" s="802">
        <v>145.28815638923749</v>
      </c>
      <c r="BB19" s="802">
        <v>145.33429937078498</v>
      </c>
      <c r="BC19" s="802">
        <v>153.1530693078837</v>
      </c>
      <c r="BD19" s="801"/>
      <c r="BE19" s="802">
        <f t="shared" ref="BE19:DP19" si="21">BE42*1000/BE$58</f>
        <v>153.54221683093618</v>
      </c>
      <c r="BF19" s="802">
        <f t="shared" si="21"/>
        <v>151.56248100945754</v>
      </c>
      <c r="BG19" s="802">
        <f t="shared" si="21"/>
        <v>152.64141998144459</v>
      </c>
      <c r="BH19" s="802">
        <f t="shared" si="21"/>
        <v>155.95185094602246</v>
      </c>
      <c r="BI19" s="801">
        <f t="shared" si="21"/>
        <v>153.38232491070605</v>
      </c>
      <c r="BJ19" s="802">
        <f t="shared" si="21"/>
        <v>153.13320041790317</v>
      </c>
      <c r="BK19" s="802">
        <f t="shared" si="21"/>
        <v>149.37267083447406</v>
      </c>
      <c r="BL19" s="802">
        <f t="shared" si="21"/>
        <v>150.36765518900665</v>
      </c>
      <c r="BM19" s="802">
        <f t="shared" si="21"/>
        <v>149.83139124499371</v>
      </c>
      <c r="BN19" s="803">
        <f t="shared" si="21"/>
        <v>150.65282003150176</v>
      </c>
      <c r="BO19" s="802">
        <f t="shared" si="21"/>
        <v>149.24175583237397</v>
      </c>
      <c r="BP19" s="802">
        <f t="shared" si="21"/>
        <v>149.91318420293581</v>
      </c>
      <c r="BQ19" s="802">
        <f t="shared" si="21"/>
        <v>154.69915913570372</v>
      </c>
      <c r="BR19" s="802">
        <f t="shared" si="21"/>
        <v>158.39665752759655</v>
      </c>
      <c r="BS19" s="803">
        <f t="shared" si="21"/>
        <v>153.05375166785669</v>
      </c>
      <c r="BT19" s="802">
        <f t="shared" si="21"/>
        <v>157.30284347740579</v>
      </c>
      <c r="BU19" s="802">
        <f t="shared" si="21"/>
        <v>156.65137618915159</v>
      </c>
      <c r="BV19" s="802">
        <f t="shared" si="21"/>
        <v>159.44600942595869</v>
      </c>
      <c r="BW19" s="802">
        <f t="shared" si="21"/>
        <v>161.55821140138016</v>
      </c>
      <c r="BX19" s="803">
        <f t="shared" si="21"/>
        <v>158.77453016827229</v>
      </c>
      <c r="BY19" s="802">
        <f t="shared" si="21"/>
        <v>162.5015863620618</v>
      </c>
      <c r="BZ19" s="802">
        <f t="shared" si="21"/>
        <v>164.91670905316374</v>
      </c>
      <c r="CA19" s="802">
        <f t="shared" si="21"/>
        <v>168.01661776007347</v>
      </c>
      <c r="CB19" s="802">
        <f t="shared" si="21"/>
        <v>168.90266906191243</v>
      </c>
      <c r="CC19" s="803">
        <f t="shared" si="21"/>
        <v>166.12213129334395</v>
      </c>
      <c r="CD19" s="802">
        <f t="shared" si="21"/>
        <v>170.22258417140358</v>
      </c>
      <c r="CE19" s="802">
        <f t="shared" si="21"/>
        <v>171.45123857419554</v>
      </c>
      <c r="CF19" s="802">
        <f t="shared" si="21"/>
        <v>171.83427024366233</v>
      </c>
      <c r="CG19" s="802">
        <f t="shared" si="21"/>
        <v>175.22166197323912</v>
      </c>
      <c r="CH19" s="803">
        <f t="shared" si="21"/>
        <v>172.19477354990593</v>
      </c>
      <c r="CI19" s="802">
        <f t="shared" si="21"/>
        <v>173.4666089965398</v>
      </c>
      <c r="CJ19" s="802">
        <f t="shared" si="21"/>
        <v>179.68044748564557</v>
      </c>
      <c r="CK19" s="802">
        <f t="shared" si="21"/>
        <v>178.27688869789429</v>
      </c>
      <c r="CL19" s="802">
        <f t="shared" si="21"/>
        <v>176.46875132200523</v>
      </c>
      <c r="CM19" s="803">
        <f t="shared" si="21"/>
        <v>176.9850652562381</v>
      </c>
      <c r="CN19" s="802">
        <f t="shared" si="21"/>
        <v>173.25137478368785</v>
      </c>
      <c r="CO19" s="802">
        <f t="shared" si="21"/>
        <v>172.8511096394883</v>
      </c>
      <c r="CP19" s="802">
        <f t="shared" si="21"/>
        <v>172.26424936386769</v>
      </c>
      <c r="CQ19" s="802">
        <f t="shared" si="21"/>
        <v>173.02210791449275</v>
      </c>
      <c r="CR19" s="803">
        <f t="shared" si="21"/>
        <v>172.83884307912902</v>
      </c>
      <c r="CS19" s="802">
        <f t="shared" si="21"/>
        <v>177.76477007280602</v>
      </c>
      <c r="CT19" s="802">
        <f t="shared" si="21"/>
        <v>179.79907082891842</v>
      </c>
      <c r="CU19" s="802">
        <f t="shared" si="21"/>
        <v>179.36934052837185</v>
      </c>
      <c r="CV19" s="802">
        <f t="shared" si="21"/>
        <v>175.94257309941517</v>
      </c>
      <c r="CW19" s="803">
        <f t="shared" si="21"/>
        <v>178.31061788049939</v>
      </c>
      <c r="CX19" s="802">
        <f t="shared" si="21"/>
        <v>170.84880000000001</v>
      </c>
      <c r="CY19" s="802">
        <f t="shared" si="21"/>
        <v>165.10379999999998</v>
      </c>
      <c r="CZ19" s="802">
        <f t="shared" si="21"/>
        <v>161.595</v>
      </c>
      <c r="DA19" s="802">
        <f t="shared" si="21"/>
        <v>161.99099999999999</v>
      </c>
      <c r="DB19" s="803">
        <f t="shared" si="21"/>
        <v>164.56903761337944</v>
      </c>
      <c r="DC19" s="802">
        <f t="shared" si="21"/>
        <v>165.75000000000003</v>
      </c>
      <c r="DD19" s="802">
        <f t="shared" si="21"/>
        <v>168.3374</v>
      </c>
      <c r="DE19" s="802">
        <f t="shared" si="21"/>
        <v>175.13099999999997</v>
      </c>
      <c r="DF19" s="802">
        <f t="shared" si="21"/>
        <v>178.96899999999999</v>
      </c>
      <c r="DG19" s="803">
        <f t="shared" si="21"/>
        <v>171.83546963120261</v>
      </c>
      <c r="DH19" s="802">
        <f t="shared" si="21"/>
        <v>181.64790000000002</v>
      </c>
      <c r="DI19" s="802">
        <f t="shared" si="21"/>
        <v>182.11309999999997</v>
      </c>
      <c r="DJ19" s="802">
        <f t="shared" si="21"/>
        <v>184.01199999999997</v>
      </c>
      <c r="DK19" s="802">
        <f t="shared" si="21"/>
        <v>187.61819999999997</v>
      </c>
      <c r="DL19" s="803">
        <f t="shared" si="21"/>
        <v>183.80489448929467</v>
      </c>
      <c r="DM19" s="804">
        <f t="shared" si="21"/>
        <v>189.77119999999996</v>
      </c>
      <c r="DN19" s="805">
        <f t="shared" si="21"/>
        <v>192.17439999999999</v>
      </c>
      <c r="DO19" s="805">
        <f t="shared" si="21"/>
        <v>195.34389999999999</v>
      </c>
      <c r="DP19" s="802">
        <f t="shared" si="21"/>
        <v>197.51300000000001</v>
      </c>
      <c r="DQ19" s="803">
        <f t="shared" ref="DQ19:DY19" si="22">DQ42*1000/DQ$58</f>
        <v>193.62937540302642</v>
      </c>
      <c r="DR19" s="804">
        <f t="shared" si="22"/>
        <v>197.1652</v>
      </c>
      <c r="DS19" s="805">
        <f t="shared" si="22"/>
        <v>198.03809999999999</v>
      </c>
      <c r="DT19" s="805">
        <f t="shared" si="22"/>
        <v>201.91269999999997</v>
      </c>
      <c r="DU19" s="802">
        <f t="shared" si="22"/>
        <v>202.97749999999996</v>
      </c>
      <c r="DV19" s="803">
        <f t="shared" si="22"/>
        <v>199.99645500520944</v>
      </c>
      <c r="DW19" s="804">
        <f t="shared" si="22"/>
        <v>206.1833</v>
      </c>
      <c r="DX19" s="805">
        <f t="shared" si="22"/>
        <v>210.97999999999996</v>
      </c>
      <c r="DY19" s="805">
        <f t="shared" si="22"/>
        <v>212.8536</v>
      </c>
      <c r="DZ19" s="802">
        <f>DZ42*1000/DZ$58</f>
        <v>218.07880000000003</v>
      </c>
      <c r="EA19" s="803">
        <f>EA42*1000/EA$58</f>
        <v>212.02712713687626</v>
      </c>
      <c r="EB19" s="804">
        <f>EB42*1000/EB$58</f>
        <v>218.80780000000001</v>
      </c>
      <c r="EC19" s="805">
        <f>EC42*1000/EC$58</f>
        <v>219.70000000000002</v>
      </c>
      <c r="ED19" s="805"/>
      <c r="EE19" s="806"/>
      <c r="EF19" s="803"/>
      <c r="EG19" s="804"/>
      <c r="EH19" s="805"/>
      <c r="EI19" s="805"/>
      <c r="EJ19" s="806"/>
      <c r="EK19" s="803"/>
      <c r="EL19" s="804"/>
      <c r="EM19" s="805"/>
      <c r="EN19" s="805"/>
      <c r="EO19" s="806"/>
      <c r="EP19" s="803"/>
      <c r="EQ19" s="804"/>
      <c r="ER19" s="805"/>
      <c r="ES19" s="805"/>
      <c r="ET19" s="806"/>
      <c r="EU19" s="803"/>
      <c r="EV19" s="804"/>
      <c r="EW19" s="805"/>
      <c r="EX19" s="805"/>
      <c r="EY19" s="806"/>
      <c r="EZ19" s="803"/>
      <c r="FA19" s="804"/>
      <c r="FB19" s="805"/>
      <c r="FC19" s="805"/>
      <c r="FD19" s="806"/>
      <c r="FE19" s="803"/>
      <c r="FF19" s="807"/>
      <c r="FG19" s="690"/>
      <c r="FH19" s="808"/>
      <c r="FI19" s="808"/>
      <c r="FJ19" s="808"/>
      <c r="FK19" s="808"/>
      <c r="FL19" s="690"/>
      <c r="FM19" s="809"/>
      <c r="FN19" s="809"/>
      <c r="FO19" s="810"/>
      <c r="FP19" s="810"/>
      <c r="FQ19" s="810"/>
      <c r="FR19" s="810"/>
      <c r="FS19" s="810"/>
      <c r="FT19" s="810"/>
      <c r="FU19" s="690"/>
      <c r="FV19"/>
      <c r="FW19"/>
      <c r="FX19"/>
      <c r="FY19"/>
      <c r="FZ19"/>
      <c r="GA19"/>
      <c r="GB19" s="813"/>
    </row>
    <row r="20" spans="1:272" s="749" customFormat="1" ht="12.75" hidden="1" customHeight="1" outlineLevel="1">
      <c r="A20" s="58" t="s">
        <v>85</v>
      </c>
      <c r="B20" s="815"/>
      <c r="C20" s="815"/>
      <c r="D20" s="815"/>
      <c r="E20" s="815"/>
      <c r="F20" s="816"/>
      <c r="G20" s="817"/>
      <c r="H20" s="817"/>
      <c r="I20" s="817"/>
      <c r="J20" s="817"/>
      <c r="K20" s="816"/>
      <c r="L20" s="817"/>
      <c r="M20" s="817">
        <f>M19/H19-1</f>
        <v>-6.6913175520284529E-3</v>
      </c>
      <c r="N20" s="817">
        <f>N19/I19-1</f>
        <v>-1.3798552965616717E-2</v>
      </c>
      <c r="O20" s="817">
        <f>O19/J19-1</f>
        <v>-3.1459264909010742E-2</v>
      </c>
      <c r="P20" s="816"/>
      <c r="Q20" s="817">
        <f>Q19/L19-1</f>
        <v>6.4808483326083355E-2</v>
      </c>
      <c r="R20" s="817">
        <f>R19/M19-1</f>
        <v>4.8530652056093082E-2</v>
      </c>
      <c r="S20" s="817">
        <f>S19/N19-1</f>
        <v>4.6447530321289898E-2</v>
      </c>
      <c r="T20" s="817">
        <f>T19/O19-1</f>
        <v>6.0869700732095744E-2</v>
      </c>
      <c r="U20" s="816"/>
      <c r="V20" s="817">
        <f>V19/Q19-1</f>
        <v>3.2815551474532079E-2</v>
      </c>
      <c r="W20" s="817">
        <f>W19/R19-1</f>
        <v>4.0719644501737706E-2</v>
      </c>
      <c r="X20" s="817">
        <f>X19/S19-1</f>
        <v>4.6264271541284208E-2</v>
      </c>
      <c r="Y20" s="817">
        <f>Y19/T19-1</f>
        <v>6.3821887417341072E-2</v>
      </c>
      <c r="Z20" s="816"/>
      <c r="AA20" s="817">
        <f>AA19/V19-1</f>
        <v>6.3079035732075184E-2</v>
      </c>
      <c r="AB20" s="817">
        <f>AB19/W19-1</f>
        <v>0.15373855339364972</v>
      </c>
      <c r="AC20" s="817">
        <f>AC19/X19-1</f>
        <v>0.11683422326404647</v>
      </c>
      <c r="AD20" s="817">
        <f>AD19/Y19-1</f>
        <v>0.10851343071189357</v>
      </c>
      <c r="AE20" s="816"/>
      <c r="AF20" s="817">
        <f>AF19/AA19-1</f>
        <v>0.12617976438863332</v>
      </c>
      <c r="AG20" s="817">
        <f>AG19/AB19-1</f>
        <v>1.7951526780534355E-2</v>
      </c>
      <c r="AH20" s="817">
        <f>AH19/AC19-1</f>
        <v>4.1877934982269771E-2</v>
      </c>
      <c r="AI20" s="817">
        <f>AI19/AD19-1</f>
        <v>2.685090560625647E-2</v>
      </c>
      <c r="AJ20" s="816"/>
      <c r="AK20" s="817">
        <f>AK19/AF19-1</f>
        <v>8.0461961033191365E-3</v>
      </c>
      <c r="AL20" s="817">
        <f>AL19/AG19-1</f>
        <v>2.4199402420961524E-2</v>
      </c>
      <c r="AM20" s="817">
        <f>AM19/AH19-1</f>
        <v>3.5901545588058026E-2</v>
      </c>
      <c r="AN20" s="817">
        <f>AN19/AI19-1</f>
        <v>5.3491480232456423E-2</v>
      </c>
      <c r="AO20" s="816"/>
      <c r="AP20" s="817">
        <f>AP19/AK19-1</f>
        <v>4.725493372232159E-2</v>
      </c>
      <c r="AQ20" s="817">
        <f>AQ19/AL19-1</f>
        <v>5.1878409742446951E-2</v>
      </c>
      <c r="AR20" s="817">
        <f>AR19/AM19-1</f>
        <v>2.0924862257816201E-2</v>
      </c>
      <c r="AS20" s="817">
        <f>AS19/AN19-1</f>
        <v>6.4844882350151956E-2</v>
      </c>
      <c r="AT20" s="816"/>
      <c r="AU20" s="817">
        <f>AU19/AP19-1</f>
        <v>9.0054253300363207E-2</v>
      </c>
      <c r="AV20" s="817">
        <f>AV19/AQ19-1</f>
        <v>0.10989726226273588</v>
      </c>
      <c r="AW20" s="817">
        <f>AW19/AR19-1</f>
        <v>0.14964178603937661</v>
      </c>
      <c r="AX20" s="817">
        <f>AX19/AS19-1</f>
        <v>9.6180009851733139E-2</v>
      </c>
      <c r="AY20" s="816"/>
      <c r="AZ20" s="817">
        <f>AZ19/AU19-1</f>
        <v>6.4187441854822724E-2</v>
      </c>
      <c r="BA20" s="817">
        <f>BA19/AV19-1</f>
        <v>3.6878974552104316E-2</v>
      </c>
      <c r="BB20" s="817">
        <f>BB19/AW19-1</f>
        <v>2.8213698883660987E-2</v>
      </c>
      <c r="BC20" s="817">
        <f>BC19/AX19-1</f>
        <v>7.6113828081370016E-2</v>
      </c>
      <c r="BD20" s="816"/>
      <c r="BE20" s="817">
        <f>BE19/AZ19-1</f>
        <v>5.0577029060939971E-2</v>
      </c>
      <c r="BF20" s="817">
        <f>BF19/BA19-1</f>
        <v>4.3185382595197108E-2</v>
      </c>
      <c r="BG20" s="817">
        <f>BG19/BB19-1</f>
        <v>5.0278018625302456E-2</v>
      </c>
      <c r="BH20" s="817">
        <f>BH19/BC19-1</f>
        <v>1.8274407759418576E-2</v>
      </c>
      <c r="BI20" s="816"/>
      <c r="BJ20" s="817">
        <f>BJ19/BE19-1</f>
        <v>-2.6638694000581387E-3</v>
      </c>
      <c r="BK20" s="817">
        <f>BK19/BF19-1</f>
        <v>-1.4448233892706108E-2</v>
      </c>
      <c r="BL20" s="817">
        <f>BL19/BG19-1</f>
        <v>-1.4896119236274985E-2</v>
      </c>
      <c r="BM20" s="817">
        <f>BM19/BH19-1</f>
        <v>-3.9245829170358126E-2</v>
      </c>
      <c r="BN20" s="816">
        <f t="shared" ref="BN20:DY20" si="23">BN19/BI19-1</f>
        <v>-1.7795432953525148E-2</v>
      </c>
      <c r="BO20" s="817">
        <f t="shared" si="23"/>
        <v>-2.5412154744427595E-2</v>
      </c>
      <c r="BP20" s="817">
        <f t="shared" si="23"/>
        <v>3.6185559610211193E-3</v>
      </c>
      <c r="BQ20" s="817">
        <f t="shared" si="23"/>
        <v>2.8806088259157425E-2</v>
      </c>
      <c r="BR20" s="817">
        <f t="shared" si="23"/>
        <v>5.7166033175234388E-2</v>
      </c>
      <c r="BS20" s="816">
        <f t="shared" si="23"/>
        <v>1.5936851602597946E-2</v>
      </c>
      <c r="BT20" s="817">
        <f t="shared" si="23"/>
        <v>5.4013621054458172E-2</v>
      </c>
      <c r="BU20" s="817">
        <f t="shared" si="23"/>
        <v>4.4947294142551053E-2</v>
      </c>
      <c r="BV20" s="817">
        <f t="shared" si="23"/>
        <v>3.068439619695007E-2</v>
      </c>
      <c r="BW20" s="817">
        <f t="shared" si="23"/>
        <v>1.9959725938237138E-2</v>
      </c>
      <c r="BX20" s="816">
        <f t="shared" si="23"/>
        <v>3.737757773380368E-2</v>
      </c>
      <c r="BY20" s="817">
        <f t="shared" si="23"/>
        <v>3.3049261982366795E-2</v>
      </c>
      <c r="BZ20" s="817">
        <f t="shared" si="23"/>
        <v>5.2762593378254286E-2</v>
      </c>
      <c r="CA20" s="817">
        <f t="shared" si="23"/>
        <v>5.375241666424202E-2</v>
      </c>
      <c r="CB20" s="817">
        <f t="shared" si="23"/>
        <v>4.5460132275700227E-2</v>
      </c>
      <c r="CC20" s="816">
        <f t="shared" si="23"/>
        <v>4.6276950826335428E-2</v>
      </c>
      <c r="CD20" s="817">
        <f t="shared" si="23"/>
        <v>4.7513368836529457E-2</v>
      </c>
      <c r="CE20" s="817">
        <f t="shared" si="23"/>
        <v>3.9623210762259831E-2</v>
      </c>
      <c r="CF20" s="817">
        <f t="shared" si="23"/>
        <v>2.2721874386499419E-2</v>
      </c>
      <c r="CG20" s="817">
        <f t="shared" si="23"/>
        <v>3.7412037041347324E-2</v>
      </c>
      <c r="CH20" s="816">
        <f t="shared" si="23"/>
        <v>3.6555287421871085E-2</v>
      </c>
      <c r="CI20" s="817">
        <f t="shared" si="23"/>
        <v>1.9057546570140804E-2</v>
      </c>
      <c r="CJ20" s="817">
        <f t="shared" si="23"/>
        <v>4.7997372196811661E-2</v>
      </c>
      <c r="CK20" s="817">
        <f t="shared" si="23"/>
        <v>3.7493210435242563E-2</v>
      </c>
      <c r="CL20" s="817">
        <f t="shared" si="23"/>
        <v>7.1172099084220175E-3</v>
      </c>
      <c r="CM20" s="816">
        <f t="shared" si="23"/>
        <v>2.7819030784600685E-2</v>
      </c>
      <c r="CN20" s="817">
        <f t="shared" si="23"/>
        <v>-1.2407818086548339E-3</v>
      </c>
      <c r="CO20" s="817">
        <f t="shared" si="23"/>
        <v>-3.8008241529467801E-2</v>
      </c>
      <c r="CP20" s="817">
        <f t="shared" si="23"/>
        <v>-3.3726409395754886E-2</v>
      </c>
      <c r="CQ20" s="817">
        <f t="shared" si="23"/>
        <v>-1.9531182612741116E-2</v>
      </c>
      <c r="CR20" s="816">
        <f t="shared" si="23"/>
        <v>-2.3426960750084769E-2</v>
      </c>
      <c r="CS20" s="817">
        <f t="shared" si="23"/>
        <v>2.6051136937604857E-2</v>
      </c>
      <c r="CT20" s="817">
        <f t="shared" si="23"/>
        <v>4.0196219763479313E-2</v>
      </c>
      <c r="CU20" s="817">
        <f t="shared" si="23"/>
        <v>4.1245303019875834E-2</v>
      </c>
      <c r="CV20" s="817">
        <f t="shared" si="23"/>
        <v>1.6879144637202748E-2</v>
      </c>
      <c r="CW20" s="816">
        <f t="shared" si="23"/>
        <v>3.165824709243914E-2</v>
      </c>
      <c r="CX20" s="817">
        <f t="shared" si="23"/>
        <v>-3.8905178286864572E-2</v>
      </c>
      <c r="CY20" s="817">
        <f t="shared" si="23"/>
        <v>-8.1731628318041816E-2</v>
      </c>
      <c r="CZ20" s="817">
        <f t="shared" si="23"/>
        <v>-9.9093526664108977E-2</v>
      </c>
      <c r="DA20" s="817">
        <f t="shared" si="23"/>
        <v>-7.92961751874115E-2</v>
      </c>
      <c r="DB20" s="816">
        <f t="shared" si="23"/>
        <v>-7.7065406594739705E-2</v>
      </c>
      <c r="DC20" s="817">
        <f t="shared" si="23"/>
        <v>-2.9843932178628019E-2</v>
      </c>
      <c r="DD20" s="817">
        <f t="shared" si="23"/>
        <v>1.9585254851796519E-2</v>
      </c>
      <c r="DE20" s="817">
        <f t="shared" si="23"/>
        <v>8.3764967975494153E-2</v>
      </c>
      <c r="DF20" s="817">
        <f t="shared" si="23"/>
        <v>0.10480829181868145</v>
      </c>
      <c r="DG20" s="816">
        <f t="shared" si="23"/>
        <v>4.4154308266018738E-2</v>
      </c>
      <c r="DH20" s="817">
        <f t="shared" si="23"/>
        <v>9.5914932126696772E-2</v>
      </c>
      <c r="DI20" s="817">
        <f t="shared" si="23"/>
        <v>8.1833864607627094E-2</v>
      </c>
      <c r="DJ20" s="817">
        <f t="shared" si="23"/>
        <v>5.0710610914115772E-2</v>
      </c>
      <c r="DK20" s="817">
        <f t="shared" si="23"/>
        <v>4.8327922712871896E-2</v>
      </c>
      <c r="DL20" s="818">
        <f t="shared" si="23"/>
        <v>6.9656310677772781E-2</v>
      </c>
      <c r="DM20" s="817">
        <f t="shared" si="23"/>
        <v>4.4720032546481159E-2</v>
      </c>
      <c r="DN20" s="817">
        <f t="shared" si="23"/>
        <v>5.524753573466179E-2</v>
      </c>
      <c r="DO20" s="817">
        <f t="shared" si="23"/>
        <v>6.1582396800208716E-2</v>
      </c>
      <c r="DP20" s="817">
        <f t="shared" si="23"/>
        <v>5.2739019988466085E-2</v>
      </c>
      <c r="DQ20" s="818">
        <f t="shared" si="23"/>
        <v>5.3450594670121587E-2</v>
      </c>
      <c r="DR20" s="817">
        <f t="shared" si="23"/>
        <v>3.8962708777728228E-2</v>
      </c>
      <c r="DS20" s="817">
        <f t="shared" si="23"/>
        <v>3.0512388746888108E-2</v>
      </c>
      <c r="DT20" s="817">
        <f t="shared" si="23"/>
        <v>3.3626849878598541E-2</v>
      </c>
      <c r="DU20" s="817">
        <f t="shared" si="23"/>
        <v>2.766653334210889E-2</v>
      </c>
      <c r="DV20" s="818">
        <f t="shared" si="23"/>
        <v>3.2882818471785979E-2</v>
      </c>
      <c r="DW20" s="817">
        <f t="shared" si="23"/>
        <v>4.5738801776378457E-2</v>
      </c>
      <c r="DX20" s="817">
        <f t="shared" si="23"/>
        <v>6.5350556281846606E-2</v>
      </c>
      <c r="DY20" s="817">
        <f t="shared" si="23"/>
        <v>5.4186289421121359E-2</v>
      </c>
      <c r="DZ20" s="817">
        <f t="shared" ref="DZ20:EC20" si="24">DZ19/DU19-1</f>
        <v>7.4398886576098722E-2</v>
      </c>
      <c r="EA20" s="818">
        <f t="shared" si="24"/>
        <v>6.0154426893983981E-2</v>
      </c>
      <c r="EB20" s="817">
        <f t="shared" si="24"/>
        <v>6.1229498218333012E-2</v>
      </c>
      <c r="EC20" s="817">
        <f t="shared" si="24"/>
        <v>4.133093184188108E-2</v>
      </c>
      <c r="ED20" s="761"/>
      <c r="EE20" s="763"/>
      <c r="EF20" s="818"/>
      <c r="EG20" s="764"/>
      <c r="EH20" s="761"/>
      <c r="EI20" s="761"/>
      <c r="EJ20" s="763"/>
      <c r="EK20" s="818"/>
      <c r="EL20" s="764"/>
      <c r="EM20" s="761"/>
      <c r="EN20" s="761"/>
      <c r="EO20" s="763"/>
      <c r="EP20" s="818"/>
      <c r="EQ20" s="764"/>
      <c r="ER20" s="761"/>
      <c r="ES20" s="761"/>
      <c r="ET20" s="763"/>
      <c r="EU20" s="818"/>
      <c r="EV20" s="764"/>
      <c r="EW20" s="761"/>
      <c r="EX20" s="761"/>
      <c r="EY20" s="763"/>
      <c r="EZ20" s="818"/>
      <c r="FA20" s="764"/>
      <c r="FB20" s="761"/>
      <c r="FC20" s="761"/>
      <c r="FD20" s="763"/>
      <c r="FE20" s="818"/>
      <c r="FF20" s="721"/>
      <c r="FG20" s="690"/>
      <c r="FH20" s="754"/>
      <c r="FI20" s="754"/>
      <c r="FJ20" s="754"/>
      <c r="FK20" s="754"/>
      <c r="FL20" s="690"/>
      <c r="FM20" s="708"/>
      <c r="FN20" s="708"/>
      <c r="FO20" s="723"/>
      <c r="FP20" s="723"/>
      <c r="FQ20" s="723"/>
      <c r="FR20" s="723"/>
      <c r="FS20" s="723"/>
      <c r="FT20" s="723"/>
      <c r="FU20" s="690"/>
      <c r="FV20"/>
      <c r="FW20"/>
      <c r="FX20"/>
      <c r="FY20"/>
      <c r="FZ20"/>
      <c r="GA20"/>
      <c r="GB20" s="725"/>
    </row>
    <row r="21" spans="1:272" s="840" customFormat="1" ht="12.75" hidden="1" customHeight="1" outlineLevel="1">
      <c r="A21" s="819" t="s">
        <v>282</v>
      </c>
      <c r="B21" s="820"/>
      <c r="C21" s="821"/>
      <c r="D21" s="821"/>
      <c r="E21" s="821"/>
      <c r="F21" s="822"/>
      <c r="G21" s="823"/>
      <c r="H21" s="821"/>
      <c r="I21" s="824"/>
      <c r="J21" s="824"/>
      <c r="K21" s="824"/>
      <c r="L21" s="823"/>
      <c r="M21" s="821"/>
      <c r="N21" s="824"/>
      <c r="O21" s="824"/>
      <c r="P21" s="824"/>
      <c r="Q21" s="823"/>
      <c r="R21" s="821"/>
      <c r="S21" s="824"/>
      <c r="T21" s="824"/>
      <c r="U21" s="824"/>
      <c r="V21" s="823"/>
      <c r="W21" s="821"/>
      <c r="X21" s="824"/>
      <c r="Y21" s="824"/>
      <c r="Z21" s="824"/>
      <c r="AA21" s="823"/>
      <c r="AB21" s="821"/>
      <c r="AC21" s="824"/>
      <c r="AD21" s="824"/>
      <c r="AE21" s="825"/>
      <c r="AF21" s="824"/>
      <c r="AG21" s="821"/>
      <c r="AH21" s="824"/>
      <c r="AI21" s="824"/>
      <c r="AJ21" s="825"/>
      <c r="AK21" s="826"/>
      <c r="AL21" s="827"/>
      <c r="AM21" s="827"/>
      <c r="AN21" s="827"/>
      <c r="AO21" s="828"/>
      <c r="AP21" s="827"/>
      <c r="AQ21" s="827"/>
      <c r="AR21" s="827"/>
      <c r="AS21" s="827"/>
      <c r="AT21" s="828"/>
      <c r="AU21" s="827"/>
      <c r="AV21" s="827"/>
      <c r="AW21" s="827"/>
      <c r="AX21" s="827"/>
      <c r="AY21" s="828"/>
      <c r="AZ21" s="827"/>
      <c r="BA21" s="827"/>
      <c r="BB21" s="827"/>
      <c r="BC21" s="827"/>
      <c r="BD21" s="828"/>
      <c r="BE21" s="829"/>
      <c r="BF21" s="829"/>
      <c r="BG21" s="829"/>
      <c r="BH21" s="829"/>
      <c r="BI21" s="830">
        <v>333</v>
      </c>
      <c r="BJ21" s="829"/>
      <c r="BK21" s="829"/>
      <c r="BL21" s="829"/>
      <c r="BM21" s="829"/>
      <c r="BN21" s="830">
        <v>332</v>
      </c>
      <c r="BO21" s="829"/>
      <c r="BP21" s="829"/>
      <c r="BQ21" s="829"/>
      <c r="BR21" s="829"/>
      <c r="BS21" s="830">
        <v>339</v>
      </c>
      <c r="BT21" s="829"/>
      <c r="BU21" s="829"/>
      <c r="BV21" s="829"/>
      <c r="BW21" s="829"/>
      <c r="BX21" s="830">
        <v>336</v>
      </c>
      <c r="BY21" s="829"/>
      <c r="BZ21" s="829"/>
      <c r="CA21" s="829"/>
      <c r="CB21" s="829"/>
      <c r="CC21" s="830">
        <v>337</v>
      </c>
      <c r="CD21" s="829"/>
      <c r="CE21" s="829"/>
      <c r="CF21" s="829"/>
      <c r="CG21" s="829"/>
      <c r="CH21" s="830">
        <v>343</v>
      </c>
      <c r="CI21" s="824"/>
      <c r="CJ21" s="824"/>
      <c r="CK21" s="824"/>
      <c r="CL21" s="824"/>
      <c r="CM21" s="830">
        <v>346</v>
      </c>
      <c r="CN21" s="824"/>
      <c r="CO21" s="824"/>
      <c r="CP21" s="824"/>
      <c r="CQ21" s="824"/>
      <c r="CR21" s="830">
        <v>340</v>
      </c>
      <c r="CS21" s="824"/>
      <c r="CT21" s="824"/>
      <c r="CU21" s="824"/>
      <c r="CV21" s="824"/>
      <c r="CW21" s="830">
        <v>290</v>
      </c>
      <c r="CX21" s="824"/>
      <c r="CY21" s="824"/>
      <c r="CZ21" s="829"/>
      <c r="DA21" s="829"/>
      <c r="DB21" s="830">
        <v>290</v>
      </c>
      <c r="DC21" s="824"/>
      <c r="DD21" s="824"/>
      <c r="DE21" s="829"/>
      <c r="DF21" s="829"/>
      <c r="DG21" s="830">
        <v>287</v>
      </c>
      <c r="DH21" s="824"/>
      <c r="DI21" s="824"/>
      <c r="DJ21" s="829"/>
      <c r="DK21" s="829"/>
      <c r="DL21" s="831">
        <v>300</v>
      </c>
      <c r="DM21" s="832"/>
      <c r="DN21" s="833"/>
      <c r="DO21" s="833"/>
      <c r="DP21" s="829"/>
      <c r="DQ21" s="831">
        <v>303</v>
      </c>
      <c r="DR21" s="832"/>
      <c r="DS21" s="833"/>
      <c r="DT21" s="833"/>
      <c r="DU21" s="829"/>
      <c r="DV21" s="831">
        <v>300</v>
      </c>
      <c r="DW21" s="832"/>
      <c r="DX21" s="833"/>
      <c r="DY21" s="833"/>
      <c r="DZ21" s="829"/>
      <c r="EA21" s="831">
        <v>297</v>
      </c>
      <c r="EB21" s="832"/>
      <c r="EC21" s="833"/>
      <c r="ED21" s="833"/>
      <c r="EE21" s="834"/>
      <c r="EF21" s="835"/>
      <c r="EG21" s="832"/>
      <c r="EH21" s="833"/>
      <c r="EI21" s="833"/>
      <c r="EJ21" s="834"/>
      <c r="EK21" s="835"/>
      <c r="EL21" s="832"/>
      <c r="EM21" s="833"/>
      <c r="EN21" s="833"/>
      <c r="EO21" s="834"/>
      <c r="EP21" s="835"/>
      <c r="EQ21" s="832"/>
      <c r="ER21" s="833"/>
      <c r="ES21" s="833"/>
      <c r="ET21" s="834"/>
      <c r="EU21" s="835"/>
      <c r="EV21" s="832"/>
      <c r="EW21" s="833"/>
      <c r="EX21" s="833"/>
      <c r="EY21" s="834"/>
      <c r="EZ21" s="835"/>
      <c r="FA21" s="832"/>
      <c r="FB21" s="833"/>
      <c r="FC21" s="833"/>
      <c r="FD21" s="834"/>
      <c r="FE21" s="835"/>
      <c r="FF21" s="836"/>
      <c r="FG21" s="690"/>
      <c r="FH21" s="837"/>
      <c r="FI21" s="837"/>
      <c r="FJ21" s="837"/>
      <c r="FK21" s="837"/>
      <c r="FL21" s="690"/>
      <c r="FM21" s="838"/>
      <c r="FN21" s="838"/>
      <c r="FO21" s="839"/>
      <c r="FP21" s="839"/>
      <c r="FQ21" s="839"/>
      <c r="FR21" s="839"/>
      <c r="FS21" s="839"/>
      <c r="FT21" s="839"/>
      <c r="FU21" s="690"/>
      <c r="FV21"/>
      <c r="FW21"/>
      <c r="FX21"/>
      <c r="FY21"/>
      <c r="FZ21"/>
      <c r="GA21"/>
    </row>
    <row r="22" spans="1:272" s="799" customFormat="1" ht="12.75" hidden="1" customHeight="1" outlineLevel="1">
      <c r="A22" s="58" t="s">
        <v>85</v>
      </c>
      <c r="B22" s="788"/>
      <c r="C22" s="742"/>
      <c r="D22" s="742"/>
      <c r="E22" s="742"/>
      <c r="F22" s="789"/>
      <c r="G22" s="788"/>
      <c r="H22" s="742"/>
      <c r="I22" s="742"/>
      <c r="J22" s="742"/>
      <c r="K22" s="789"/>
      <c r="L22" s="788"/>
      <c r="M22" s="742"/>
      <c r="N22" s="742"/>
      <c r="O22" s="742"/>
      <c r="P22" s="789"/>
      <c r="Q22" s="788"/>
      <c r="R22" s="742"/>
      <c r="S22" s="742"/>
      <c r="T22" s="742"/>
      <c r="U22" s="789"/>
      <c r="V22" s="790"/>
      <c r="W22" s="721"/>
      <c r="X22" s="721"/>
      <c r="Y22" s="721"/>
      <c r="Z22" s="721"/>
      <c r="AA22" s="790"/>
      <c r="AB22" s="742"/>
      <c r="AC22" s="721"/>
      <c r="AD22" s="721">
        <v>0.16255333456665388</v>
      </c>
      <c r="AE22" s="791">
        <v>0.20461641844573397</v>
      </c>
      <c r="AF22" s="721">
        <v>0.19158648664124467</v>
      </c>
      <c r="AG22" s="742">
        <v>0.15489043197792163</v>
      </c>
      <c r="AH22" s="721">
        <v>0.17411711361141258</v>
      </c>
      <c r="AI22" s="721">
        <v>0.17115084907059885</v>
      </c>
      <c r="AJ22" s="791">
        <v>0.17245091449000949</v>
      </c>
      <c r="AK22" s="792"/>
      <c r="AL22" s="756"/>
      <c r="AM22" s="756"/>
      <c r="AN22" s="756"/>
      <c r="AO22" s="793"/>
      <c r="AP22" s="756"/>
      <c r="AQ22" s="756"/>
      <c r="AR22" s="756"/>
      <c r="AS22" s="756"/>
      <c r="AT22" s="793"/>
      <c r="AU22" s="756"/>
      <c r="AV22" s="756"/>
      <c r="AW22" s="756"/>
      <c r="AX22" s="756"/>
      <c r="AY22" s="793"/>
      <c r="AZ22" s="756"/>
      <c r="BA22" s="756"/>
      <c r="BB22" s="756"/>
      <c r="BC22" s="756"/>
      <c r="BD22" s="793"/>
      <c r="BE22" s="721"/>
      <c r="BF22" s="721"/>
      <c r="BG22" s="721"/>
      <c r="BH22" s="721"/>
      <c r="BI22" s="741"/>
      <c r="BJ22" s="721"/>
      <c r="BK22" s="721"/>
      <c r="BL22" s="721"/>
      <c r="BM22" s="721"/>
      <c r="BN22" s="741">
        <f>BN21/BI21-1</f>
        <v>-3.0030030030030463E-3</v>
      </c>
      <c r="BO22" s="721"/>
      <c r="BP22" s="721"/>
      <c r="BQ22" s="721"/>
      <c r="BR22" s="721"/>
      <c r="BS22" s="741">
        <f>BS21/BN21-1</f>
        <v>2.108433734939763E-2</v>
      </c>
      <c r="BT22" s="721"/>
      <c r="BU22" s="721"/>
      <c r="BV22" s="721"/>
      <c r="BW22" s="721"/>
      <c r="BX22" s="741">
        <f>BX21/BS21-1</f>
        <v>-8.8495575221239076E-3</v>
      </c>
      <c r="BY22" s="721"/>
      <c r="BZ22" s="721"/>
      <c r="CA22" s="721"/>
      <c r="CB22" s="721"/>
      <c r="CC22" s="741">
        <f>CC21/BX21-1</f>
        <v>2.9761904761904656E-3</v>
      </c>
      <c r="CD22" s="721"/>
      <c r="CE22" s="721"/>
      <c r="CF22" s="721"/>
      <c r="CG22" s="721"/>
      <c r="CH22" s="741">
        <f>CH21/CC21-1</f>
        <v>1.7804154302670572E-2</v>
      </c>
      <c r="CI22" s="721"/>
      <c r="CJ22" s="721"/>
      <c r="CK22" s="721"/>
      <c r="CL22" s="721"/>
      <c r="CM22" s="741">
        <f>CM21/CH21-1</f>
        <v>8.7463556851312685E-3</v>
      </c>
      <c r="CN22" s="721"/>
      <c r="CO22" s="721"/>
      <c r="CP22" s="721"/>
      <c r="CQ22" s="721"/>
      <c r="CR22" s="741">
        <f>CR21/CM21-1</f>
        <v>-1.7341040462427793E-2</v>
      </c>
      <c r="CS22" s="721"/>
      <c r="CT22" s="721"/>
      <c r="CU22" s="721"/>
      <c r="CV22" s="721"/>
      <c r="CW22" s="741">
        <f>CW21/CR21-1</f>
        <v>-0.1470588235294118</v>
      </c>
      <c r="CX22" s="721"/>
      <c r="CY22" s="721"/>
      <c r="CZ22" s="721"/>
      <c r="DA22" s="721"/>
      <c r="DB22" s="741">
        <f>DB21/CW21-1</f>
        <v>0</v>
      </c>
      <c r="DC22" s="721"/>
      <c r="DD22" s="721"/>
      <c r="DE22" s="721"/>
      <c r="DF22" s="721"/>
      <c r="DG22" s="741">
        <f>DG21/DB21-1</f>
        <v>-1.0344827586206917E-2</v>
      </c>
      <c r="DH22" s="721"/>
      <c r="DI22" s="721"/>
      <c r="DJ22" s="721"/>
      <c r="DK22" s="721"/>
      <c r="DL22" s="741">
        <f>DL21/DG21-1</f>
        <v>4.5296167247386832E-2</v>
      </c>
      <c r="DM22" s="756"/>
      <c r="DN22" s="756"/>
      <c r="DO22" s="756"/>
      <c r="DP22" s="721"/>
      <c r="DQ22" s="741">
        <f>DQ21/DL21-1</f>
        <v>1.0000000000000009E-2</v>
      </c>
      <c r="DR22" s="756"/>
      <c r="DS22" s="756"/>
      <c r="DT22" s="756"/>
      <c r="DU22" s="721"/>
      <c r="DV22" s="741">
        <f>DV21/DQ21-1</f>
        <v>-9.9009900990099098E-3</v>
      </c>
      <c r="DW22" s="756"/>
      <c r="DX22" s="756"/>
      <c r="DY22" s="756"/>
      <c r="DZ22" s="721"/>
      <c r="EA22" s="741">
        <f>EA21/DV21-1</f>
        <v>-1.0000000000000009E-2</v>
      </c>
      <c r="EB22" s="756"/>
      <c r="EC22" s="756"/>
      <c r="ED22" s="756"/>
      <c r="EE22" s="756"/>
      <c r="EF22" s="793"/>
      <c r="EG22" s="756"/>
      <c r="EH22" s="756"/>
      <c r="EI22" s="756"/>
      <c r="EJ22" s="756"/>
      <c r="EK22" s="793"/>
      <c r="EL22" s="756"/>
      <c r="EM22" s="756"/>
      <c r="EN22" s="756"/>
      <c r="EO22" s="756"/>
      <c r="EP22" s="793"/>
      <c r="EQ22" s="756"/>
      <c r="ER22" s="756"/>
      <c r="ES22" s="756"/>
      <c r="ET22" s="756"/>
      <c r="EU22" s="793"/>
      <c r="EV22" s="756"/>
      <c r="EW22" s="756"/>
      <c r="EX22" s="756"/>
      <c r="EY22" s="756"/>
      <c r="EZ22" s="793"/>
      <c r="FA22" s="756"/>
      <c r="FB22" s="756"/>
      <c r="FC22" s="756"/>
      <c r="FD22" s="756"/>
      <c r="FE22" s="793"/>
      <c r="FF22" s="794"/>
      <c r="FG22" s="690"/>
      <c r="FH22" s="795"/>
      <c r="FI22" s="795"/>
      <c r="FJ22" s="795"/>
      <c r="FK22" s="795"/>
      <c r="FL22" s="690"/>
      <c r="FM22" s="796"/>
      <c r="FN22" s="796"/>
      <c r="FO22" s="797"/>
      <c r="FP22" s="797"/>
      <c r="FQ22" s="797"/>
      <c r="FR22" s="797"/>
      <c r="FS22" s="797"/>
      <c r="FT22" s="797"/>
      <c r="FU22" s="690"/>
      <c r="FV22"/>
      <c r="FW22"/>
      <c r="FX22"/>
      <c r="FY22"/>
      <c r="FZ22"/>
      <c r="GA22"/>
    </row>
    <row r="23" spans="1:272" s="861" customFormat="1" ht="12.75" hidden="1" customHeight="1" outlineLevel="1">
      <c r="A23" s="841" t="s">
        <v>283</v>
      </c>
      <c r="B23" s="842"/>
      <c r="C23" s="843"/>
      <c r="D23" s="843"/>
      <c r="E23" s="843"/>
      <c r="F23" s="844"/>
      <c r="G23" s="845"/>
      <c r="H23" s="843"/>
      <c r="I23" s="846"/>
      <c r="J23" s="846"/>
      <c r="K23" s="846"/>
      <c r="L23" s="845"/>
      <c r="M23" s="843"/>
      <c r="N23" s="846"/>
      <c r="O23" s="846"/>
      <c r="P23" s="846"/>
      <c r="Q23" s="845"/>
      <c r="R23" s="843"/>
      <c r="S23" s="846"/>
      <c r="T23" s="846"/>
      <c r="U23" s="846"/>
      <c r="V23" s="845"/>
      <c r="W23" s="843"/>
      <c r="X23" s="846"/>
      <c r="Y23" s="846"/>
      <c r="Z23" s="846"/>
      <c r="AA23" s="845"/>
      <c r="AB23" s="843"/>
      <c r="AC23" s="846"/>
      <c r="AD23" s="846"/>
      <c r="AE23" s="847"/>
      <c r="AF23" s="846"/>
      <c r="AG23" s="843"/>
      <c r="AH23" s="846"/>
      <c r="AI23" s="846"/>
      <c r="AJ23" s="847"/>
      <c r="AK23" s="848"/>
      <c r="AL23" s="849"/>
      <c r="AM23" s="849"/>
      <c r="AN23" s="849"/>
      <c r="AO23" s="850"/>
      <c r="AP23" s="849"/>
      <c r="AQ23" s="849"/>
      <c r="AR23" s="849"/>
      <c r="AS23" s="849"/>
      <c r="AT23" s="850"/>
      <c r="AU23" s="849"/>
      <c r="AV23" s="849"/>
      <c r="AW23" s="849"/>
      <c r="AX23" s="849"/>
      <c r="AY23" s="850"/>
      <c r="AZ23" s="849"/>
      <c r="BA23" s="849"/>
      <c r="BB23" s="849"/>
      <c r="BC23" s="849"/>
      <c r="BD23" s="850"/>
      <c r="BE23" s="851"/>
      <c r="BF23" s="851"/>
      <c r="BG23" s="851"/>
      <c r="BH23" s="851"/>
      <c r="BI23" s="852">
        <f>BI36/BI21</f>
        <v>6.1408288288288277</v>
      </c>
      <c r="BJ23" s="851"/>
      <c r="BK23" s="851"/>
      <c r="BL23" s="851"/>
      <c r="BM23" s="851"/>
      <c r="BN23" s="852">
        <f>BN36/BN21</f>
        <v>5.7599789156626509</v>
      </c>
      <c r="BO23" s="851"/>
      <c r="BP23" s="851"/>
      <c r="BQ23" s="851"/>
      <c r="BR23" s="851"/>
      <c r="BS23" s="852">
        <f>BS36/BS21</f>
        <v>5.933560471976401</v>
      </c>
      <c r="BT23" s="851"/>
      <c r="BU23" s="851"/>
      <c r="BV23" s="851"/>
      <c r="BW23" s="851"/>
      <c r="BX23" s="852">
        <f>BX36/BX21</f>
        <v>6.4180535714285725</v>
      </c>
      <c r="BY23" s="851"/>
      <c r="BZ23" s="851"/>
      <c r="CA23" s="851"/>
      <c r="CB23" s="851"/>
      <c r="CC23" s="852">
        <f>CC36/CC21</f>
        <v>7.5236617210682484</v>
      </c>
      <c r="CD23" s="851"/>
      <c r="CE23" s="851"/>
      <c r="CF23" s="851"/>
      <c r="CG23" s="851"/>
      <c r="CH23" s="852">
        <f>CH36/CH21</f>
        <v>8.292364431486881</v>
      </c>
      <c r="CI23" s="851"/>
      <c r="CJ23" s="851"/>
      <c r="CK23" s="851"/>
      <c r="CL23" s="851"/>
      <c r="CM23" s="852">
        <f>CM36/CM21</f>
        <v>8.4256618497109823</v>
      </c>
      <c r="CN23" s="851"/>
      <c r="CO23" s="851"/>
      <c r="CP23" s="851"/>
      <c r="CQ23" s="851"/>
      <c r="CR23" s="852">
        <f>CR36/CR21</f>
        <v>8.6904617647058817</v>
      </c>
      <c r="CS23" s="851"/>
      <c r="CT23" s="851"/>
      <c r="CU23" s="851"/>
      <c r="CV23" s="851"/>
      <c r="CW23" s="852">
        <f>CW36/CW21</f>
        <v>10.589706896551725</v>
      </c>
      <c r="CX23" s="851"/>
      <c r="CY23" s="851"/>
      <c r="CZ23" s="851"/>
      <c r="DA23" s="851"/>
      <c r="DB23" s="852">
        <f>DB36/DB21</f>
        <v>9.0482379310344836</v>
      </c>
      <c r="DC23" s="851"/>
      <c r="DD23" s="851"/>
      <c r="DE23" s="851"/>
      <c r="DF23" s="851"/>
      <c r="DG23" s="852">
        <f>DG36/DG21</f>
        <v>10.714508710801395</v>
      </c>
      <c r="DH23" s="851"/>
      <c r="DI23" s="851"/>
      <c r="DJ23" s="851"/>
      <c r="DK23" s="851"/>
      <c r="DL23" s="852">
        <f>DL36/DL21</f>
        <v>10.823689999999999</v>
      </c>
      <c r="DM23" s="853"/>
      <c r="DN23" s="854"/>
      <c r="DO23" s="854"/>
      <c r="DP23" s="851"/>
      <c r="DQ23" s="852">
        <f>DQ36/DQ21</f>
        <v>11.196686468646863</v>
      </c>
      <c r="DR23" s="853"/>
      <c r="DS23" s="854"/>
      <c r="DT23" s="854"/>
      <c r="DU23" s="851"/>
      <c r="DV23" s="852">
        <f>DV36/DV21</f>
        <v>11.553666666666667</v>
      </c>
      <c r="DW23" s="853"/>
      <c r="DX23" s="854"/>
      <c r="DY23" s="854"/>
      <c r="DZ23" s="851"/>
      <c r="EA23" s="852">
        <f>EA36/EA21</f>
        <v>12.229175084175086</v>
      </c>
      <c r="EB23" s="853"/>
      <c r="EC23" s="854"/>
      <c r="ED23" s="854"/>
      <c r="EE23" s="855"/>
      <c r="EF23" s="856"/>
      <c r="EG23" s="853"/>
      <c r="EH23" s="854"/>
      <c r="EI23" s="854"/>
      <c r="EJ23" s="855"/>
      <c r="EK23" s="856"/>
      <c r="EL23" s="853"/>
      <c r="EM23" s="854"/>
      <c r="EN23" s="854"/>
      <c r="EO23" s="855"/>
      <c r="EP23" s="856"/>
      <c r="EQ23" s="853"/>
      <c r="ER23" s="854"/>
      <c r="ES23" s="854"/>
      <c r="ET23" s="855"/>
      <c r="EU23" s="856"/>
      <c r="EV23" s="853"/>
      <c r="EW23" s="854"/>
      <c r="EX23" s="854"/>
      <c r="EY23" s="855"/>
      <c r="EZ23" s="856"/>
      <c r="FA23" s="853"/>
      <c r="FB23" s="854"/>
      <c r="FC23" s="854"/>
      <c r="FD23" s="855"/>
      <c r="FE23" s="856"/>
      <c r="FF23" s="857"/>
      <c r="FG23" s="690"/>
      <c r="FH23" s="858"/>
      <c r="FI23" s="858"/>
      <c r="FJ23" s="858"/>
      <c r="FK23" s="858"/>
      <c r="FL23" s="690"/>
      <c r="FM23" s="859"/>
      <c r="FN23" s="859"/>
      <c r="FO23" s="860"/>
      <c r="FP23" s="860"/>
      <c r="FQ23" s="860"/>
      <c r="FR23" s="860"/>
      <c r="FS23" s="860"/>
      <c r="FT23" s="860"/>
      <c r="FU23" s="690"/>
      <c r="FV23"/>
      <c r="FW23"/>
      <c r="FX23"/>
      <c r="FY23"/>
      <c r="FZ23"/>
      <c r="GA23"/>
    </row>
    <row r="24" spans="1:272" s="799" customFormat="1" ht="12.75" hidden="1" customHeight="1" outlineLevel="1">
      <c r="A24" s="58" t="s">
        <v>85</v>
      </c>
      <c r="B24" s="788"/>
      <c r="C24" s="742"/>
      <c r="D24" s="742"/>
      <c r="E24" s="742"/>
      <c r="F24" s="789"/>
      <c r="G24" s="788"/>
      <c r="H24" s="742"/>
      <c r="I24" s="742"/>
      <c r="J24" s="742"/>
      <c r="K24" s="789"/>
      <c r="L24" s="788"/>
      <c r="M24" s="742"/>
      <c r="N24" s="742"/>
      <c r="O24" s="742"/>
      <c r="P24" s="789"/>
      <c r="Q24" s="788"/>
      <c r="R24" s="742"/>
      <c r="S24" s="742"/>
      <c r="T24" s="742"/>
      <c r="U24" s="789"/>
      <c r="V24" s="790"/>
      <c r="W24" s="721"/>
      <c r="X24" s="721"/>
      <c r="Y24" s="721"/>
      <c r="Z24" s="721"/>
      <c r="AA24" s="790"/>
      <c r="AB24" s="742"/>
      <c r="AC24" s="721"/>
      <c r="AD24" s="721">
        <v>0.16255333456665388</v>
      </c>
      <c r="AE24" s="791">
        <v>0.20461641844573397</v>
      </c>
      <c r="AF24" s="721">
        <v>0.19158648664124467</v>
      </c>
      <c r="AG24" s="742">
        <v>0.15489043197792163</v>
      </c>
      <c r="AH24" s="721">
        <v>0.17411711361141258</v>
      </c>
      <c r="AI24" s="721">
        <v>0.17115084907059885</v>
      </c>
      <c r="AJ24" s="791">
        <v>0.17245091449000949</v>
      </c>
      <c r="AK24" s="792"/>
      <c r="AL24" s="756"/>
      <c r="AM24" s="756"/>
      <c r="AN24" s="756"/>
      <c r="AO24" s="793"/>
      <c r="AP24" s="756"/>
      <c r="AQ24" s="756"/>
      <c r="AR24" s="756"/>
      <c r="AS24" s="756"/>
      <c r="AT24" s="793"/>
      <c r="AU24" s="756"/>
      <c r="AV24" s="756"/>
      <c r="AW24" s="756"/>
      <c r="AX24" s="756"/>
      <c r="AY24" s="793"/>
      <c r="AZ24" s="756"/>
      <c r="BA24" s="756"/>
      <c r="BB24" s="756"/>
      <c r="BC24" s="756"/>
      <c r="BD24" s="793"/>
      <c r="BE24" s="721"/>
      <c r="BF24" s="721"/>
      <c r="BG24" s="721"/>
      <c r="BH24" s="721"/>
      <c r="BI24" s="741"/>
      <c r="BJ24" s="721"/>
      <c r="BK24" s="721"/>
      <c r="BL24" s="721"/>
      <c r="BM24" s="721"/>
      <c r="BN24" s="741">
        <f>BN23/BI23-1</f>
        <v>-6.2019301267319693E-2</v>
      </c>
      <c r="BO24" s="721"/>
      <c r="BP24" s="721"/>
      <c r="BQ24" s="721"/>
      <c r="BR24" s="721"/>
      <c r="BS24" s="741">
        <f>BS23/BN23-1</f>
        <v>3.0135797171365386E-2</v>
      </c>
      <c r="BT24" s="721"/>
      <c r="BU24" s="721"/>
      <c r="BV24" s="721"/>
      <c r="BW24" s="721"/>
      <c r="BX24" s="741">
        <f>BX23/BS23-1</f>
        <v>8.1653014533244139E-2</v>
      </c>
      <c r="BY24" s="721"/>
      <c r="BZ24" s="721"/>
      <c r="CA24" s="721"/>
      <c r="CB24" s="721"/>
      <c r="CC24" s="741">
        <f>CC23/BX23-1</f>
        <v>0.17226533517288511</v>
      </c>
      <c r="CD24" s="721"/>
      <c r="CE24" s="721"/>
      <c r="CF24" s="721"/>
      <c r="CG24" s="721"/>
      <c r="CH24" s="741">
        <f>CH23/CC23-1</f>
        <v>0.10217135470964367</v>
      </c>
      <c r="CI24" s="721"/>
      <c r="CJ24" s="721"/>
      <c r="CK24" s="721"/>
      <c r="CL24" s="721"/>
      <c r="CM24" s="741">
        <f>CM23/CH23-1</f>
        <v>1.607471781123837E-2</v>
      </c>
      <c r="CN24" s="721"/>
      <c r="CO24" s="721"/>
      <c r="CP24" s="721"/>
      <c r="CQ24" s="721"/>
      <c r="CR24" s="741">
        <f>CR23/CM23-1</f>
        <v>3.1427788073880913E-2</v>
      </c>
      <c r="CS24" s="721"/>
      <c r="CT24" s="721"/>
      <c r="CU24" s="721"/>
      <c r="CV24" s="721"/>
      <c r="CW24" s="741">
        <f>CW23/CR23-1</f>
        <v>0.21854363821714839</v>
      </c>
      <c r="CX24" s="721"/>
      <c r="CY24" s="721"/>
      <c r="CZ24" s="721"/>
      <c r="DA24" s="721"/>
      <c r="DB24" s="741">
        <f>DB23/CW23-1</f>
        <v>-0.14556294905755918</v>
      </c>
      <c r="DC24" s="721"/>
      <c r="DD24" s="721"/>
      <c r="DE24" s="721"/>
      <c r="DF24" s="721"/>
      <c r="DG24" s="741">
        <f>DG23/DB23-1</f>
        <v>0.18415417371505916</v>
      </c>
      <c r="DH24" s="721"/>
      <c r="DI24" s="721"/>
      <c r="DJ24" s="721"/>
      <c r="DK24" s="721"/>
      <c r="DL24" s="741">
        <f>DL23/DG23-1</f>
        <v>1.0190041573118203E-2</v>
      </c>
      <c r="DM24" s="756"/>
      <c r="DN24" s="756"/>
      <c r="DO24" s="756"/>
      <c r="DP24" s="721"/>
      <c r="DQ24" s="741">
        <f>DQ23/DL23-1</f>
        <v>3.4461118957293202E-2</v>
      </c>
      <c r="DR24" s="756"/>
      <c r="DS24" s="756"/>
      <c r="DT24" s="756"/>
      <c r="DU24" s="721"/>
      <c r="DV24" s="741">
        <f>DV23/DQ23-1</f>
        <v>3.188266448466015E-2</v>
      </c>
      <c r="DW24" s="756"/>
      <c r="DX24" s="756"/>
      <c r="DY24" s="756"/>
      <c r="DZ24" s="721"/>
      <c r="EA24" s="741">
        <f>EA23/DV23-1</f>
        <v>5.846701631589557E-2</v>
      </c>
      <c r="EB24" s="756"/>
      <c r="EC24" s="756"/>
      <c r="ED24" s="756"/>
      <c r="EE24" s="756"/>
      <c r="EF24" s="793"/>
      <c r="EG24" s="756"/>
      <c r="EH24" s="756"/>
      <c r="EI24" s="756"/>
      <c r="EJ24" s="756"/>
      <c r="EK24" s="793"/>
      <c r="EL24" s="756"/>
      <c r="EM24" s="756"/>
      <c r="EN24" s="756"/>
      <c r="EO24" s="756"/>
      <c r="EP24" s="793"/>
      <c r="EQ24" s="756"/>
      <c r="ER24" s="756"/>
      <c r="ES24" s="756"/>
      <c r="ET24" s="756"/>
      <c r="EU24" s="793"/>
      <c r="EV24" s="756"/>
      <c r="EW24" s="756"/>
      <c r="EX24" s="756"/>
      <c r="EY24" s="756"/>
      <c r="EZ24" s="793"/>
      <c r="FA24" s="756"/>
      <c r="FB24" s="756"/>
      <c r="FC24" s="756"/>
      <c r="FD24" s="756"/>
      <c r="FE24" s="793"/>
      <c r="FF24" s="794"/>
      <c r="FG24" s="690"/>
      <c r="FH24" s="795"/>
      <c r="FI24" s="795"/>
      <c r="FJ24" s="795"/>
      <c r="FK24" s="795"/>
      <c r="FL24" s="690"/>
      <c r="FM24" s="796"/>
      <c r="FN24" s="796"/>
      <c r="FO24" s="797"/>
      <c r="FP24" s="797"/>
      <c r="FQ24" s="797"/>
      <c r="FR24" s="797"/>
      <c r="FS24" s="797"/>
      <c r="FT24" s="797"/>
      <c r="FU24" s="690"/>
      <c r="FV24"/>
      <c r="FW24"/>
      <c r="FX24"/>
      <c r="FY24"/>
      <c r="FZ24"/>
      <c r="GA24"/>
    </row>
    <row r="25" spans="1:272" s="726" customFormat="1" ht="12.75" hidden="1" customHeight="1" outlineLevel="1">
      <c r="A25" s="715" t="s">
        <v>284</v>
      </c>
      <c r="B25" s="716"/>
      <c r="C25" s="717"/>
      <c r="D25" s="717"/>
      <c r="E25" s="717"/>
      <c r="F25" s="718"/>
      <c r="G25" s="719"/>
      <c r="H25" s="719"/>
      <c r="I25" s="719"/>
      <c r="J25" s="719"/>
      <c r="K25" s="718"/>
      <c r="L25" s="719"/>
      <c r="M25" s="719"/>
      <c r="N25" s="719"/>
      <c r="O25" s="719"/>
      <c r="P25" s="718"/>
      <c r="Q25" s="719"/>
      <c r="R25" s="719"/>
      <c r="S25" s="719"/>
      <c r="T25" s="719"/>
      <c r="U25" s="718"/>
      <c r="V25" s="719"/>
      <c r="W25" s="719"/>
      <c r="X25" s="719"/>
      <c r="Y25" s="719"/>
      <c r="Z25" s="718"/>
      <c r="AA25" s="719"/>
      <c r="AB25" s="719"/>
      <c r="AC25" s="719"/>
      <c r="AD25" s="719"/>
      <c r="AE25" s="718"/>
      <c r="AF25" s="719"/>
      <c r="AG25" s="719"/>
      <c r="AH25" s="719"/>
      <c r="AI25" s="719"/>
      <c r="AJ25" s="718"/>
      <c r="AK25" s="719"/>
      <c r="AL25" s="719"/>
      <c r="AM25" s="719"/>
      <c r="AN25" s="719"/>
      <c r="AO25" s="718"/>
      <c r="AP25" s="719"/>
      <c r="AQ25" s="719"/>
      <c r="AR25" s="719"/>
      <c r="AS25" s="719"/>
      <c r="AT25" s="718"/>
      <c r="AU25" s="719"/>
      <c r="AV25" s="719"/>
      <c r="AW25" s="719"/>
      <c r="AX25" s="719"/>
      <c r="AY25" s="718"/>
      <c r="AZ25" s="719"/>
      <c r="BA25" s="719"/>
      <c r="BB25" s="719"/>
      <c r="BC25" s="719"/>
      <c r="BD25" s="718"/>
      <c r="BE25" s="719"/>
      <c r="BF25" s="719"/>
      <c r="BG25" s="719"/>
      <c r="BH25" s="719"/>
      <c r="BI25" s="718"/>
      <c r="BJ25" s="719"/>
      <c r="BK25" s="719"/>
      <c r="BL25" s="719"/>
      <c r="BM25" s="719"/>
      <c r="BN25" s="718"/>
      <c r="BO25" s="719"/>
      <c r="BP25" s="719"/>
      <c r="BQ25" s="719"/>
      <c r="BR25" s="719"/>
      <c r="BS25" s="718"/>
      <c r="BT25" s="719"/>
      <c r="BU25" s="719"/>
      <c r="BV25" s="719"/>
      <c r="BW25" s="719"/>
      <c r="BX25" s="718"/>
      <c r="BY25" s="719"/>
      <c r="BZ25" s="719"/>
      <c r="CA25" s="719"/>
      <c r="CB25" s="719"/>
      <c r="CC25" s="718"/>
      <c r="CD25" s="719"/>
      <c r="CE25" s="719"/>
      <c r="CF25" s="719"/>
      <c r="CG25" s="719"/>
      <c r="CH25" s="718"/>
      <c r="CI25" s="719"/>
      <c r="CJ25" s="719"/>
      <c r="CK25" s="719"/>
      <c r="CL25" s="719"/>
      <c r="CM25" s="718"/>
      <c r="CN25" s="719"/>
      <c r="CO25" s="719"/>
      <c r="CP25" s="719"/>
      <c r="CQ25" s="719"/>
      <c r="CR25" s="718"/>
      <c r="CS25" s="719"/>
      <c r="CT25" s="719"/>
      <c r="CU25" s="719"/>
      <c r="CV25" s="719"/>
      <c r="CW25" s="718"/>
      <c r="CX25" s="719"/>
      <c r="CY25" s="719"/>
      <c r="CZ25" s="719"/>
      <c r="DA25" s="719"/>
      <c r="DB25" s="718"/>
      <c r="DC25" s="719"/>
      <c r="DD25" s="719"/>
      <c r="DE25" s="719"/>
      <c r="DF25" s="719"/>
      <c r="DG25" s="718"/>
      <c r="DH25" s="719"/>
      <c r="DI25" s="719"/>
      <c r="DJ25" s="719"/>
      <c r="DK25" s="719"/>
      <c r="DL25" s="718"/>
      <c r="DM25" s="862"/>
      <c r="DN25" s="720"/>
      <c r="DO25" s="720"/>
      <c r="DP25" s="719"/>
      <c r="DQ25" s="718"/>
      <c r="DR25" s="862"/>
      <c r="DS25" s="720"/>
      <c r="DT25" s="720"/>
      <c r="DU25" s="719"/>
      <c r="DV25" s="718"/>
      <c r="DW25" s="862"/>
      <c r="DX25" s="720"/>
      <c r="DY25" s="720"/>
      <c r="DZ25" s="719"/>
      <c r="EA25" s="718"/>
      <c r="EB25" s="862"/>
      <c r="EC25" s="720"/>
      <c r="ED25" s="720"/>
      <c r="EE25" s="863"/>
      <c r="EF25" s="718"/>
      <c r="EG25" s="862"/>
      <c r="EH25" s="720"/>
      <c r="EI25" s="720"/>
      <c r="EJ25" s="863"/>
      <c r="EK25" s="718"/>
      <c r="EL25" s="862"/>
      <c r="EM25" s="720"/>
      <c r="EN25" s="720"/>
      <c r="EO25" s="863"/>
      <c r="EP25" s="718"/>
      <c r="EQ25" s="862"/>
      <c r="ER25" s="720"/>
      <c r="ES25" s="720"/>
      <c r="ET25" s="863"/>
      <c r="EU25" s="718"/>
      <c r="EV25" s="862"/>
      <c r="EW25" s="720"/>
      <c r="EX25" s="720"/>
      <c r="EY25" s="863"/>
      <c r="EZ25" s="718"/>
      <c r="FA25" s="862"/>
      <c r="FB25" s="720"/>
      <c r="FC25" s="720"/>
      <c r="FD25" s="863"/>
      <c r="FE25" s="718"/>
      <c r="FF25" s="721"/>
      <c r="FG25" s="690"/>
      <c r="FH25" s="754"/>
      <c r="FI25" s="754"/>
      <c r="FJ25" s="754"/>
      <c r="FK25" s="754"/>
      <c r="FL25" s="690"/>
      <c r="FM25" s="708"/>
      <c r="FN25" s="708"/>
      <c r="FO25" s="723"/>
      <c r="FP25" s="723"/>
      <c r="FQ25" s="723"/>
      <c r="FR25" s="723"/>
      <c r="FS25" s="723"/>
      <c r="FT25" s="723"/>
      <c r="FU25" s="690"/>
      <c r="FV25"/>
      <c r="FW25"/>
      <c r="FX25"/>
      <c r="FY25"/>
      <c r="FZ25"/>
      <c r="GA25"/>
      <c r="GB25" s="725"/>
    </row>
    <row r="26" spans="1:272" s="878" customFormat="1" ht="12.75" hidden="1" customHeight="1" outlineLevel="1">
      <c r="A26" s="727" t="s">
        <v>275</v>
      </c>
      <c r="B26" s="823"/>
      <c r="C26" s="821"/>
      <c r="D26" s="821"/>
      <c r="E26" s="821"/>
      <c r="F26" s="864"/>
      <c r="G26" s="821"/>
      <c r="H26" s="821"/>
      <c r="I26" s="821"/>
      <c r="J26" s="821"/>
      <c r="K26" s="864"/>
      <c r="L26" s="824"/>
      <c r="M26" s="824"/>
      <c r="N26" s="824"/>
      <c r="O26" s="824"/>
      <c r="P26" s="864"/>
      <c r="Q26" s="824"/>
      <c r="R26" s="824"/>
      <c r="S26" s="824"/>
      <c r="T26" s="824"/>
      <c r="U26" s="864"/>
      <c r="V26" s="824"/>
      <c r="W26" s="824"/>
      <c r="X26" s="824"/>
      <c r="Y26" s="824"/>
      <c r="Z26" s="864"/>
      <c r="AA26" s="824"/>
      <c r="AB26" s="824"/>
      <c r="AC26" s="824"/>
      <c r="AD26" s="824"/>
      <c r="AE26" s="864"/>
      <c r="AF26" s="824"/>
      <c r="AG26" s="824"/>
      <c r="AH26" s="824"/>
      <c r="AI26" s="824"/>
      <c r="AJ26" s="864"/>
      <c r="AK26" s="824"/>
      <c r="AL26" s="824"/>
      <c r="AM26" s="824"/>
      <c r="AN26" s="824"/>
      <c r="AO26" s="864"/>
      <c r="AP26" s="824"/>
      <c r="AQ26" s="824"/>
      <c r="AR26" s="824"/>
      <c r="AS26" s="824"/>
      <c r="AT26" s="864"/>
      <c r="AU26" s="824"/>
      <c r="AV26" s="824"/>
      <c r="AW26" s="824"/>
      <c r="AX26" s="824"/>
      <c r="AY26" s="864"/>
      <c r="AZ26" s="824"/>
      <c r="BA26" s="824"/>
      <c r="BB26" s="824"/>
      <c r="BC26" s="824"/>
      <c r="BD26" s="864"/>
      <c r="BE26" s="824"/>
      <c r="BF26" s="824"/>
      <c r="BG26" s="824"/>
      <c r="BH26" s="824"/>
      <c r="BI26" s="864"/>
      <c r="BJ26" s="824"/>
      <c r="BK26" s="824"/>
      <c r="BL26" s="824"/>
      <c r="BM26" s="824"/>
      <c r="BN26" s="864"/>
      <c r="BO26" s="824"/>
      <c r="BP26" s="824"/>
      <c r="BQ26" s="824"/>
      <c r="BR26" s="824"/>
      <c r="BS26" s="864"/>
      <c r="BT26" s="824"/>
      <c r="BU26" s="824"/>
      <c r="BV26" s="824"/>
      <c r="BW26" s="824"/>
      <c r="BX26" s="864"/>
      <c r="BY26" s="824"/>
      <c r="BZ26" s="824"/>
      <c r="CA26" s="824"/>
      <c r="CB26" s="821"/>
      <c r="CC26" s="864"/>
      <c r="CD26" s="821"/>
      <c r="CE26" s="821"/>
      <c r="CF26" s="821"/>
      <c r="CG26" s="821"/>
      <c r="CH26" s="864"/>
      <c r="CI26" s="821"/>
      <c r="CJ26" s="821"/>
      <c r="CK26" s="821"/>
      <c r="CL26" s="821"/>
      <c r="CM26" s="864"/>
      <c r="CN26" s="865"/>
      <c r="CO26" s="865"/>
      <c r="CP26" s="865"/>
      <c r="CQ26" s="865">
        <v>995</v>
      </c>
      <c r="CR26" s="864">
        <f>CR90*1000/CR28</f>
        <v>995</v>
      </c>
      <c r="CS26" s="865">
        <v>988</v>
      </c>
      <c r="CT26" s="865">
        <v>988</v>
      </c>
      <c r="CU26" s="865">
        <v>983</v>
      </c>
      <c r="CV26" s="865">
        <v>925</v>
      </c>
      <c r="CW26" s="864">
        <f>CW90*1000/CW28</f>
        <v>970.75320519081106</v>
      </c>
      <c r="CX26" s="865">
        <v>900</v>
      </c>
      <c r="CY26" s="865">
        <v>885</v>
      </c>
      <c r="CZ26" s="865">
        <v>872</v>
      </c>
      <c r="DA26" s="865">
        <v>848</v>
      </c>
      <c r="DB26" s="864">
        <f>DB90*1000/DB28</f>
        <v>876.15798672633048</v>
      </c>
      <c r="DC26" s="865">
        <v>841</v>
      </c>
      <c r="DD26" s="865">
        <v>803</v>
      </c>
      <c r="DE26" s="865">
        <v>807</v>
      </c>
      <c r="DF26" s="865">
        <v>812</v>
      </c>
      <c r="DG26" s="864">
        <f>DG90*1000/DG28</f>
        <v>815.68762430929519</v>
      </c>
      <c r="DH26" s="865">
        <v>833</v>
      </c>
      <c r="DI26" s="865">
        <v>854</v>
      </c>
      <c r="DJ26" s="866">
        <v>851</v>
      </c>
      <c r="DK26" s="866">
        <v>843</v>
      </c>
      <c r="DL26" s="867">
        <f>DL90*1000/DL28</f>
        <v>845.23534845209747</v>
      </c>
      <c r="DM26" s="865">
        <v>841</v>
      </c>
      <c r="DN26" s="865">
        <v>838</v>
      </c>
      <c r="DO26" s="865">
        <v>829</v>
      </c>
      <c r="DP26" s="866">
        <v>802</v>
      </c>
      <c r="DQ26" s="867">
        <f>DQ90*1000/DQ28</f>
        <v>827.57980635884599</v>
      </c>
      <c r="DR26" s="868">
        <v>800</v>
      </c>
      <c r="DS26" s="868">
        <v>806</v>
      </c>
      <c r="DT26" s="865">
        <v>817</v>
      </c>
      <c r="DU26" s="866">
        <v>806</v>
      </c>
      <c r="DV26" s="867">
        <f>DV90*1000/DV28</f>
        <v>807.29735955879266</v>
      </c>
      <c r="DW26" s="868">
        <v>825</v>
      </c>
      <c r="DX26" s="868">
        <v>847</v>
      </c>
      <c r="DY26" s="865">
        <v>881</v>
      </c>
      <c r="DZ26" s="866">
        <v>871</v>
      </c>
      <c r="EA26" s="867">
        <f>EA90*1000/EA28</f>
        <v>855.33975905086356</v>
      </c>
      <c r="EB26" s="868">
        <v>863</v>
      </c>
      <c r="EC26" s="868">
        <v>865</v>
      </c>
      <c r="ED26" s="869"/>
      <c r="EE26" s="870"/>
      <c r="EF26" s="867"/>
      <c r="EG26" s="871"/>
      <c r="EH26" s="869"/>
      <c r="EI26" s="869"/>
      <c r="EJ26" s="870"/>
      <c r="EK26" s="867"/>
      <c r="EL26" s="871"/>
      <c r="EM26" s="869"/>
      <c r="EN26" s="869"/>
      <c r="EO26" s="870"/>
      <c r="EP26" s="867"/>
      <c r="EQ26" s="871"/>
      <c r="ER26" s="869"/>
      <c r="ES26" s="869"/>
      <c r="ET26" s="870"/>
      <c r="EU26" s="867"/>
      <c r="EV26" s="871"/>
      <c r="EW26" s="869"/>
      <c r="EX26" s="869"/>
      <c r="EY26" s="870"/>
      <c r="EZ26" s="867"/>
      <c r="FA26" s="871"/>
      <c r="FB26" s="869"/>
      <c r="FC26" s="869"/>
      <c r="FD26" s="870"/>
      <c r="FE26" s="867"/>
      <c r="FF26" s="872"/>
      <c r="FG26" s="690"/>
      <c r="FH26" s="808"/>
      <c r="FI26" s="808"/>
      <c r="FJ26" s="808"/>
      <c r="FK26" s="808"/>
      <c r="FL26" s="690"/>
      <c r="FM26" s="708"/>
      <c r="FN26" s="708"/>
      <c r="FO26" s="873"/>
      <c r="FP26" s="873"/>
      <c r="FQ26" s="873"/>
      <c r="FR26" s="873"/>
      <c r="FS26" s="873"/>
      <c r="FT26" s="873"/>
      <c r="FU26" s="690"/>
      <c r="FV26"/>
      <c r="FW26"/>
      <c r="FX26"/>
      <c r="FY26"/>
      <c r="FZ26"/>
      <c r="GA26"/>
      <c r="GB26" s="877"/>
    </row>
    <row r="27" spans="1:272" s="885" customFormat="1" ht="12.75" hidden="1" customHeight="1" outlineLevel="1">
      <c r="A27" s="58" t="s">
        <v>85</v>
      </c>
      <c r="B27" s="790"/>
      <c r="C27" s="742"/>
      <c r="D27" s="742"/>
      <c r="E27" s="742"/>
      <c r="F27" s="741"/>
      <c r="G27" s="742"/>
      <c r="H27" s="742"/>
      <c r="I27" s="742"/>
      <c r="J27" s="742"/>
      <c r="K27" s="741"/>
      <c r="L27" s="721"/>
      <c r="M27" s="721"/>
      <c r="N27" s="721"/>
      <c r="O27" s="721"/>
      <c r="P27" s="741"/>
      <c r="Q27" s="721"/>
      <c r="R27" s="721"/>
      <c r="S27" s="721"/>
      <c r="T27" s="721"/>
      <c r="U27" s="741"/>
      <c r="V27" s="721"/>
      <c r="W27" s="721"/>
      <c r="X27" s="721"/>
      <c r="Y27" s="721"/>
      <c r="Z27" s="741"/>
      <c r="AA27" s="721"/>
      <c r="AB27" s="721"/>
      <c r="AC27" s="721"/>
      <c r="AD27" s="721"/>
      <c r="AE27" s="741"/>
      <c r="AF27" s="721"/>
      <c r="AG27" s="721"/>
      <c r="AH27" s="721"/>
      <c r="AI27" s="721"/>
      <c r="AJ27" s="741"/>
      <c r="AK27" s="721"/>
      <c r="AL27" s="721"/>
      <c r="AM27" s="721"/>
      <c r="AN27" s="721"/>
      <c r="AO27" s="741"/>
      <c r="AP27" s="721"/>
      <c r="AQ27" s="721"/>
      <c r="AR27" s="721"/>
      <c r="AS27" s="721"/>
      <c r="AT27" s="741"/>
      <c r="AU27" s="721"/>
      <c r="AV27" s="721"/>
      <c r="AW27" s="721"/>
      <c r="AX27" s="721"/>
      <c r="AY27" s="741"/>
      <c r="AZ27" s="721"/>
      <c r="BA27" s="721"/>
      <c r="BB27" s="721"/>
      <c r="BC27" s="721"/>
      <c r="BD27" s="741"/>
      <c r="BE27" s="721"/>
      <c r="BF27" s="721"/>
      <c r="BG27" s="721"/>
      <c r="BH27" s="721"/>
      <c r="BI27" s="741"/>
      <c r="BJ27" s="721"/>
      <c r="BK27" s="721"/>
      <c r="BL27" s="721"/>
      <c r="BM27" s="721"/>
      <c r="BN27" s="741"/>
      <c r="BO27" s="721"/>
      <c r="BP27" s="721"/>
      <c r="BQ27" s="721"/>
      <c r="BR27" s="721"/>
      <c r="BS27" s="741"/>
      <c r="BT27" s="721"/>
      <c r="BU27" s="721"/>
      <c r="BV27" s="721"/>
      <c r="BW27" s="721"/>
      <c r="BX27" s="741"/>
      <c r="BY27" s="721"/>
      <c r="BZ27" s="721"/>
      <c r="CA27" s="721"/>
      <c r="CB27" s="742"/>
      <c r="CC27" s="741"/>
      <c r="CD27" s="742"/>
      <c r="CE27" s="742"/>
      <c r="CF27" s="742"/>
      <c r="CG27" s="742"/>
      <c r="CH27" s="741"/>
      <c r="CI27" s="742"/>
      <c r="CJ27" s="742"/>
      <c r="CK27" s="742"/>
      <c r="CL27" s="742"/>
      <c r="CM27" s="741"/>
      <c r="CN27" s="742"/>
      <c r="CO27" s="742"/>
      <c r="CP27" s="742"/>
      <c r="CQ27" s="879"/>
      <c r="CR27" s="741"/>
      <c r="CS27" s="879"/>
      <c r="CT27" s="879"/>
      <c r="CU27" s="879"/>
      <c r="CV27" s="721">
        <f>CV26/CQ26-1</f>
        <v>-7.0351758793969821E-2</v>
      </c>
      <c r="CW27" s="741"/>
      <c r="CX27" s="721">
        <f>CX26/CS26-1</f>
        <v>-8.9068825910931126E-2</v>
      </c>
      <c r="CY27" s="721">
        <f>CY26/CT26-1</f>
        <v>-0.10425101214574894</v>
      </c>
      <c r="CZ27" s="721">
        <f>CZ26/CU26-1</f>
        <v>-0.1129196337741607</v>
      </c>
      <c r="DA27" s="721">
        <f>DA26/CV26-1</f>
        <v>-8.3243243243243281E-2</v>
      </c>
      <c r="DB27" s="880"/>
      <c r="DC27" s="721">
        <f t="shared" ref="DC27:EC27" si="25">DC26/CX26-1</f>
        <v>-6.5555555555555589E-2</v>
      </c>
      <c r="DD27" s="721">
        <f t="shared" si="25"/>
        <v>-9.2655367231638364E-2</v>
      </c>
      <c r="DE27" s="721">
        <f t="shared" si="25"/>
        <v>-7.4541284403669694E-2</v>
      </c>
      <c r="DF27" s="721">
        <f t="shared" si="25"/>
        <v>-4.2452830188679291E-2</v>
      </c>
      <c r="DG27" s="881">
        <f t="shared" si="25"/>
        <v>-6.9017646740830663E-2</v>
      </c>
      <c r="DH27" s="721">
        <f t="shared" si="25"/>
        <v>-9.5124851367419661E-3</v>
      </c>
      <c r="DI27" s="721">
        <f t="shared" si="25"/>
        <v>6.3511830635118338E-2</v>
      </c>
      <c r="DJ27" s="721">
        <f t="shared" si="25"/>
        <v>5.4522924411400275E-2</v>
      </c>
      <c r="DK27" s="721">
        <f t="shared" si="25"/>
        <v>3.8177339901477758E-2</v>
      </c>
      <c r="DL27" s="741">
        <f t="shared" si="25"/>
        <v>3.6224313404071395E-2</v>
      </c>
      <c r="DM27" s="721">
        <f t="shared" si="25"/>
        <v>9.6038415366146435E-3</v>
      </c>
      <c r="DN27" s="721">
        <f t="shared" si="25"/>
        <v>-1.87353629976581E-2</v>
      </c>
      <c r="DO27" s="721">
        <f t="shared" si="25"/>
        <v>-2.5851938895417148E-2</v>
      </c>
      <c r="DP27" s="721">
        <f t="shared" si="25"/>
        <v>-4.8635824436536135E-2</v>
      </c>
      <c r="DQ27" s="741">
        <f t="shared" si="25"/>
        <v>-2.0888314864711433E-2</v>
      </c>
      <c r="DR27" s="743">
        <f t="shared" si="25"/>
        <v>-4.8751486325802618E-2</v>
      </c>
      <c r="DS27" s="743">
        <f t="shared" si="25"/>
        <v>-3.8186157517899777E-2</v>
      </c>
      <c r="DT27" s="721">
        <f t="shared" si="25"/>
        <v>-1.4475271411338975E-2</v>
      </c>
      <c r="DU27" s="721">
        <f t="shared" si="25"/>
        <v>4.9875311720697368E-3</v>
      </c>
      <c r="DV27" s="741">
        <f t="shared" si="25"/>
        <v>-2.4508146095651218E-2</v>
      </c>
      <c r="DW27" s="743">
        <f t="shared" si="25"/>
        <v>3.125E-2</v>
      </c>
      <c r="DX27" s="743">
        <f t="shared" si="25"/>
        <v>5.0868486352357412E-2</v>
      </c>
      <c r="DY27" s="721">
        <f t="shared" si="25"/>
        <v>7.8335373317013568E-2</v>
      </c>
      <c r="DZ27" s="721">
        <f t="shared" si="25"/>
        <v>8.0645161290322509E-2</v>
      </c>
      <c r="EA27" s="741">
        <f t="shared" si="25"/>
        <v>5.9510165521075464E-2</v>
      </c>
      <c r="EB27" s="743">
        <f t="shared" si="25"/>
        <v>4.6060606060606135E-2</v>
      </c>
      <c r="EC27" s="743">
        <f t="shared" si="25"/>
        <v>2.125147579693043E-2</v>
      </c>
      <c r="ED27" s="882"/>
      <c r="EE27" s="883"/>
      <c r="EF27" s="753"/>
      <c r="EG27" s="884"/>
      <c r="EH27" s="882"/>
      <c r="EI27" s="882"/>
      <c r="EJ27" s="883"/>
      <c r="EK27" s="753"/>
      <c r="EL27" s="884"/>
      <c r="EM27" s="882"/>
      <c r="EN27" s="882"/>
      <c r="EO27" s="883"/>
      <c r="EP27" s="753"/>
      <c r="EQ27" s="884"/>
      <c r="ER27" s="882"/>
      <c r="ES27" s="882"/>
      <c r="ET27" s="883"/>
      <c r="EU27" s="753"/>
      <c r="EV27" s="884"/>
      <c r="EW27" s="882"/>
      <c r="EX27" s="882"/>
      <c r="EY27" s="883"/>
      <c r="EZ27" s="753"/>
      <c r="FA27" s="884"/>
      <c r="FB27" s="882"/>
      <c r="FC27" s="882"/>
      <c r="FD27" s="883"/>
      <c r="FE27" s="753"/>
      <c r="FF27" s="721"/>
      <c r="FG27" s="690"/>
      <c r="FH27" s="754"/>
      <c r="FI27" s="754"/>
      <c r="FJ27" s="754"/>
      <c r="FK27" s="754"/>
      <c r="FL27" s="690"/>
      <c r="FM27" s="708"/>
      <c r="FN27" s="708"/>
      <c r="FO27" s="723"/>
      <c r="FP27" s="723"/>
      <c r="FQ27" s="723"/>
      <c r="FR27" s="723"/>
      <c r="FS27" s="723"/>
      <c r="FT27" s="723"/>
      <c r="FU27" s="690"/>
      <c r="FV27"/>
      <c r="FW27"/>
      <c r="FX27"/>
      <c r="FY27"/>
      <c r="FZ27"/>
      <c r="GA27"/>
      <c r="GB27" s="725"/>
    </row>
    <row r="28" spans="1:272" s="878" customFormat="1" ht="12.75" hidden="1" customHeight="1" outlineLevel="1">
      <c r="A28" s="727" t="s">
        <v>276</v>
      </c>
      <c r="B28" s="886"/>
      <c r="C28" s="887"/>
      <c r="D28" s="887"/>
      <c r="E28" s="887"/>
      <c r="F28" s="888"/>
      <c r="G28" s="887"/>
      <c r="H28" s="887"/>
      <c r="I28" s="887"/>
      <c r="J28" s="887"/>
      <c r="K28" s="888"/>
      <c r="L28" s="875"/>
      <c r="M28" s="875"/>
      <c r="N28" s="875"/>
      <c r="O28" s="875"/>
      <c r="P28" s="888"/>
      <c r="Q28" s="875"/>
      <c r="R28" s="875"/>
      <c r="S28" s="875"/>
      <c r="T28" s="875"/>
      <c r="U28" s="888"/>
      <c r="V28" s="875"/>
      <c r="W28" s="875"/>
      <c r="X28" s="875"/>
      <c r="Y28" s="875"/>
      <c r="Z28" s="888"/>
      <c r="AA28" s="875"/>
      <c r="AB28" s="875"/>
      <c r="AC28" s="875"/>
      <c r="AD28" s="875"/>
      <c r="AE28" s="888"/>
      <c r="AF28" s="875"/>
      <c r="AG28" s="875"/>
      <c r="AH28" s="875"/>
      <c r="AI28" s="875"/>
      <c r="AJ28" s="888"/>
      <c r="AK28" s="875"/>
      <c r="AL28" s="875"/>
      <c r="AM28" s="875"/>
      <c r="AN28" s="875"/>
      <c r="AO28" s="888"/>
      <c r="AP28" s="875"/>
      <c r="AQ28" s="875"/>
      <c r="AR28" s="875"/>
      <c r="AS28" s="875"/>
      <c r="AT28" s="888"/>
      <c r="AU28" s="875"/>
      <c r="AV28" s="875"/>
      <c r="AW28" s="875"/>
      <c r="AX28" s="875"/>
      <c r="AY28" s="888"/>
      <c r="AZ28" s="875"/>
      <c r="BA28" s="875"/>
      <c r="BB28" s="875"/>
      <c r="BC28" s="875"/>
      <c r="BD28" s="888"/>
      <c r="BE28" s="875"/>
      <c r="BF28" s="875"/>
      <c r="BG28" s="875"/>
      <c r="BH28" s="875"/>
      <c r="BI28" s="888"/>
      <c r="BJ28" s="875"/>
      <c r="BK28" s="875"/>
      <c r="BL28" s="875"/>
      <c r="BM28" s="875"/>
      <c r="BN28" s="888"/>
      <c r="BO28" s="875"/>
      <c r="BP28" s="875"/>
      <c r="BQ28" s="875"/>
      <c r="BR28" s="875"/>
      <c r="BS28" s="888"/>
      <c r="BT28" s="732"/>
      <c r="BU28" s="732"/>
      <c r="BV28" s="732"/>
      <c r="BW28" s="732"/>
      <c r="BX28" s="888"/>
      <c r="BY28" s="732"/>
      <c r="BZ28" s="732"/>
      <c r="CA28" s="732"/>
      <c r="CB28" s="731"/>
      <c r="CC28" s="888"/>
      <c r="CD28" s="731"/>
      <c r="CE28" s="731"/>
      <c r="CF28" s="731"/>
      <c r="CG28" s="731"/>
      <c r="CH28" s="888"/>
      <c r="CI28" s="731"/>
      <c r="CJ28" s="731"/>
      <c r="CK28" s="731"/>
      <c r="CL28" s="731"/>
      <c r="CM28" s="888"/>
      <c r="CN28" s="889"/>
      <c r="CO28" s="889"/>
      <c r="CP28" s="889"/>
      <c r="CQ28" s="890">
        <f>CQ90*1000/CQ26</f>
        <v>77.244698693467342</v>
      </c>
      <c r="CR28" s="888">
        <f>SUM(CN28:CQ28)</f>
        <v>77.244698693467342</v>
      </c>
      <c r="CS28" s="889">
        <f>CS90*1000/CS26</f>
        <v>78.403627530364375</v>
      </c>
      <c r="CT28" s="889">
        <f>CT90*1000/CT26</f>
        <v>88.530865384615396</v>
      </c>
      <c r="CU28" s="889">
        <f>CU90*1000/CU26</f>
        <v>88.573058392675478</v>
      </c>
      <c r="CV28" s="890">
        <f>CV90*1000/CV26</f>
        <v>86.634827027027029</v>
      </c>
      <c r="CW28" s="888">
        <f>SUM(CS28:CV28)</f>
        <v>342.14237833468229</v>
      </c>
      <c r="CX28" s="889">
        <f>CX90*1000/CX26</f>
        <v>91.223796000000007</v>
      </c>
      <c r="CY28" s="889">
        <f>CY90*1000/CY26</f>
        <v>98.556909152542389</v>
      </c>
      <c r="CZ28" s="889">
        <f>CZ90*1000/CZ26</f>
        <v>96.037402064220188</v>
      </c>
      <c r="DA28" s="889">
        <f>DA90*1000/DA26</f>
        <v>94.008077948113197</v>
      </c>
      <c r="DB28" s="888">
        <f>SUM(CX28:DA28)</f>
        <v>379.82618516487582</v>
      </c>
      <c r="DC28" s="889">
        <f>DC90*1000/DC26</f>
        <v>94.809758620689649</v>
      </c>
      <c r="DD28" s="889">
        <f>DD90*1000/DD26</f>
        <v>98.293599003735963</v>
      </c>
      <c r="DE28" s="889">
        <f>DE90*1000/DE26</f>
        <v>93.647271995043369</v>
      </c>
      <c r="DF28" s="889">
        <f>DF90*1000/DF26</f>
        <v>91.97673842364533</v>
      </c>
      <c r="DG28" s="888">
        <f>SUM(DC28:DF28)</f>
        <v>378.72736804311427</v>
      </c>
      <c r="DH28" s="889">
        <f>DH90*1000/DH26</f>
        <v>87.836819327731092</v>
      </c>
      <c r="DI28" s="889">
        <f>DI90*1000/DI26</f>
        <v>86.670519906323179</v>
      </c>
      <c r="DJ28" s="889">
        <f>DJ90*1000/DJ26</f>
        <v>88.475985898942426</v>
      </c>
      <c r="DK28" s="889">
        <f>DK90*1000/DK26</f>
        <v>87.215057651245559</v>
      </c>
      <c r="DL28" s="891">
        <f>SUM(DH28:DK28)</f>
        <v>350.19838278424226</v>
      </c>
      <c r="DM28" s="889">
        <f>DM90*1000/DM26</f>
        <v>88.472893697978591</v>
      </c>
      <c r="DN28" s="889">
        <f>DN90*1000/DN26</f>
        <v>90.381140453460631</v>
      </c>
      <c r="DO28" s="889">
        <f>DO90*1000/DO26</f>
        <v>89.728000965018097</v>
      </c>
      <c r="DP28" s="889">
        <f>DP90*1000/DP26</f>
        <v>88.215815835411476</v>
      </c>
      <c r="DQ28" s="891">
        <f>SUM(DM28:DP28)</f>
        <v>356.79785095186884</v>
      </c>
      <c r="DR28" s="892">
        <f>DR90*1000/DR26</f>
        <v>90.077223499999988</v>
      </c>
      <c r="DS28" s="892">
        <f>DS90*1000/DS26</f>
        <v>92.962351488833747</v>
      </c>
      <c r="DT28" s="889">
        <f>DT90*1000/DT26</f>
        <v>92.052636842105287</v>
      </c>
      <c r="DU28" s="889">
        <f>DU90*1000/DU26</f>
        <v>88.812814392059551</v>
      </c>
      <c r="DV28" s="891">
        <f>SUM(DR28:DU28)</f>
        <v>363.90502622299857</v>
      </c>
      <c r="DW28" s="892">
        <f>DW90*1000/DW26</f>
        <v>86.328447999999995</v>
      </c>
      <c r="DX28" s="892">
        <f>DX90*1000/DX26</f>
        <v>87.153530106257392</v>
      </c>
      <c r="DY28" s="889">
        <f>DY90*1000/DY26</f>
        <v>81.92128036322363</v>
      </c>
      <c r="DZ28" s="889">
        <f>DZ90*1000/DZ26</f>
        <v>79.430703788748559</v>
      </c>
      <c r="EA28" s="891">
        <f>SUM(DW28:DZ28)</f>
        <v>334.83396225822958</v>
      </c>
      <c r="EB28" s="892">
        <f>EB90*1000/EB26</f>
        <v>78.163677636152968</v>
      </c>
      <c r="EC28" s="892">
        <f>EC90*1000/EC26</f>
        <v>80.204054566473985</v>
      </c>
      <c r="ED28" s="869"/>
      <c r="EE28" s="870"/>
      <c r="EF28" s="891"/>
      <c r="EG28" s="871"/>
      <c r="EH28" s="869"/>
      <c r="EI28" s="869"/>
      <c r="EJ28" s="870"/>
      <c r="EK28" s="891"/>
      <c r="EL28" s="871"/>
      <c r="EM28" s="869"/>
      <c r="EN28" s="869"/>
      <c r="EO28" s="870"/>
      <c r="EP28" s="891"/>
      <c r="EQ28" s="871"/>
      <c r="ER28" s="869"/>
      <c r="ES28" s="869"/>
      <c r="ET28" s="870"/>
      <c r="EU28" s="891"/>
      <c r="EV28" s="871"/>
      <c r="EW28" s="869"/>
      <c r="EX28" s="869"/>
      <c r="EY28" s="870"/>
      <c r="EZ28" s="891"/>
      <c r="FA28" s="871"/>
      <c r="FB28" s="869"/>
      <c r="FC28" s="869"/>
      <c r="FD28" s="870"/>
      <c r="FE28" s="891"/>
      <c r="FF28" s="872"/>
      <c r="FG28" s="690"/>
      <c r="FH28" s="808"/>
      <c r="FI28" s="808"/>
      <c r="FJ28" s="808"/>
      <c r="FK28" s="808"/>
      <c r="FL28" s="690"/>
      <c r="FM28" s="708"/>
      <c r="FN28" s="708"/>
      <c r="FO28" s="873"/>
      <c r="FP28" s="873"/>
      <c r="FQ28" s="873"/>
      <c r="FR28" s="873"/>
      <c r="FS28" s="873"/>
      <c r="FT28" s="873"/>
      <c r="FU28" s="690"/>
      <c r="FV28"/>
      <c r="FW28"/>
      <c r="FX28"/>
      <c r="FY28"/>
      <c r="FZ28"/>
      <c r="GA28"/>
      <c r="GB28" s="877"/>
    </row>
    <row r="29" spans="1:272" s="749" customFormat="1" ht="12.75" hidden="1" customHeight="1" outlineLevel="1">
      <c r="A29" s="58" t="s">
        <v>85</v>
      </c>
      <c r="B29" s="739"/>
      <c r="C29" s="740"/>
      <c r="D29" s="740"/>
      <c r="E29" s="740"/>
      <c r="F29" s="741"/>
      <c r="G29" s="742"/>
      <c r="H29" s="742"/>
      <c r="I29" s="742"/>
      <c r="J29" s="742"/>
      <c r="K29" s="741"/>
      <c r="L29" s="742"/>
      <c r="M29" s="742"/>
      <c r="N29" s="742"/>
      <c r="O29" s="742"/>
      <c r="P29" s="741"/>
      <c r="Q29" s="742"/>
      <c r="R29" s="742"/>
      <c r="S29" s="742"/>
      <c r="T29" s="742"/>
      <c r="U29" s="741"/>
      <c r="V29" s="721"/>
      <c r="W29" s="721"/>
      <c r="X29" s="721"/>
      <c r="Y29" s="721"/>
      <c r="Z29" s="741"/>
      <c r="AA29" s="721"/>
      <c r="AB29" s="742"/>
      <c r="AC29" s="721"/>
      <c r="AD29" s="721"/>
      <c r="AE29" s="741"/>
      <c r="AF29" s="721"/>
      <c r="AG29" s="742"/>
      <c r="AH29" s="721"/>
      <c r="AI29" s="721"/>
      <c r="AJ29" s="741"/>
      <c r="AK29" s="721"/>
      <c r="AL29" s="721"/>
      <c r="AM29" s="721"/>
      <c r="AN29" s="721"/>
      <c r="AO29" s="741"/>
      <c r="AP29" s="721"/>
      <c r="AQ29" s="721"/>
      <c r="AR29" s="721"/>
      <c r="AS29" s="721"/>
      <c r="AT29" s="741"/>
      <c r="AU29" s="721"/>
      <c r="AV29" s="721"/>
      <c r="AW29" s="721"/>
      <c r="AX29" s="721"/>
      <c r="AY29" s="741"/>
      <c r="AZ29" s="721"/>
      <c r="BA29" s="721"/>
      <c r="BB29" s="721"/>
      <c r="BC29" s="721"/>
      <c r="BD29" s="741"/>
      <c r="BE29" s="721"/>
      <c r="BF29" s="721"/>
      <c r="BG29" s="721"/>
      <c r="BH29" s="721"/>
      <c r="BI29" s="741"/>
      <c r="BJ29" s="721"/>
      <c r="BK29" s="721"/>
      <c r="BL29" s="721"/>
      <c r="BM29" s="721"/>
      <c r="BN29" s="741"/>
      <c r="BO29" s="721"/>
      <c r="BP29" s="721"/>
      <c r="BQ29" s="721"/>
      <c r="BR29" s="721"/>
      <c r="BS29" s="741"/>
      <c r="BT29" s="721"/>
      <c r="BU29" s="721"/>
      <c r="BV29" s="721"/>
      <c r="BW29" s="721"/>
      <c r="BX29" s="741"/>
      <c r="BY29" s="721"/>
      <c r="BZ29" s="721"/>
      <c r="CA29" s="721"/>
      <c r="CB29" s="721"/>
      <c r="CC29" s="741"/>
      <c r="CD29" s="721"/>
      <c r="CE29" s="721"/>
      <c r="CF29" s="721"/>
      <c r="CG29" s="721"/>
      <c r="CH29" s="741"/>
      <c r="CI29" s="721"/>
      <c r="CJ29" s="721"/>
      <c r="CK29" s="721"/>
      <c r="CL29" s="721"/>
      <c r="CM29" s="741"/>
      <c r="CN29" s="721"/>
      <c r="CO29" s="721"/>
      <c r="CP29" s="721"/>
      <c r="CQ29" s="721"/>
      <c r="CR29" s="741"/>
      <c r="CS29" s="721"/>
      <c r="CT29" s="721"/>
      <c r="CU29" s="721"/>
      <c r="CV29" s="721">
        <f t="shared" ref="CV29:EC29" si="26">CV28/CQ28-1</f>
        <v>0.12156340166233082</v>
      </c>
      <c r="CW29" s="741"/>
      <c r="CX29" s="721">
        <f t="shared" si="26"/>
        <v>0.16351499125050828</v>
      </c>
      <c r="CY29" s="721">
        <f t="shared" si="26"/>
        <v>0.11324913321890206</v>
      </c>
      <c r="CZ29" s="721">
        <f t="shared" si="26"/>
        <v>8.4273297174098483E-2</v>
      </c>
      <c r="DA29" s="721">
        <f t="shared" si="26"/>
        <v>8.5107238902733418E-2</v>
      </c>
      <c r="DB29" s="741">
        <f t="shared" si="26"/>
        <v>0.11014071689573446</v>
      </c>
      <c r="DC29" s="721">
        <f t="shared" si="26"/>
        <v>3.9309508899296963E-2</v>
      </c>
      <c r="DD29" s="721">
        <f t="shared" si="26"/>
        <v>-2.6716559099766446E-3</v>
      </c>
      <c r="DE29" s="721">
        <f t="shared" si="26"/>
        <v>-2.4887491933388017E-2</v>
      </c>
      <c r="DF29" s="721">
        <f t="shared" si="26"/>
        <v>-2.1608138032446988E-2</v>
      </c>
      <c r="DG29" s="741">
        <f t="shared" si="26"/>
        <v>-2.8929472602964301E-3</v>
      </c>
      <c r="DH29" s="721">
        <f t="shared" si="26"/>
        <v>-7.3546641130641022E-2</v>
      </c>
      <c r="DI29" s="721">
        <f t="shared" si="26"/>
        <v>-0.11824858602411137</v>
      </c>
      <c r="DJ29" s="721">
        <f t="shared" si="26"/>
        <v>-5.5220894169502932E-2</v>
      </c>
      <c r="DK29" s="721">
        <f t="shared" si="26"/>
        <v>-5.1770489517332541E-2</v>
      </c>
      <c r="DL29" s="741">
        <f t="shared" si="26"/>
        <v>-7.5328554696961536E-2</v>
      </c>
      <c r="DM29" s="721">
        <f t="shared" si="26"/>
        <v>7.2415460295098821E-3</v>
      </c>
      <c r="DN29" s="721">
        <f t="shared" si="26"/>
        <v>4.2812948983668608E-2</v>
      </c>
      <c r="DO29" s="721">
        <f t="shared" si="26"/>
        <v>1.4150902681160593E-2</v>
      </c>
      <c r="DP29" s="721">
        <f t="shared" si="26"/>
        <v>1.147460325220151E-2</v>
      </c>
      <c r="DQ29" s="741">
        <f t="shared" si="26"/>
        <v>1.8844941873111143E-2</v>
      </c>
      <c r="DR29" s="743">
        <f t="shared" si="26"/>
        <v>1.8133574419958887E-2</v>
      </c>
      <c r="DS29" s="743">
        <f t="shared" si="26"/>
        <v>2.8559177527774704E-2</v>
      </c>
      <c r="DT29" s="721">
        <f t="shared" si="26"/>
        <v>2.5907585726706372E-2</v>
      </c>
      <c r="DU29" s="721">
        <f t="shared" si="26"/>
        <v>6.7674775888477701E-3</v>
      </c>
      <c r="DV29" s="741">
        <f t="shared" si="26"/>
        <v>1.9919333180312471E-2</v>
      </c>
      <c r="DW29" s="743">
        <f t="shared" si="26"/>
        <v>-4.1617351804809966E-2</v>
      </c>
      <c r="DX29" s="743">
        <f t="shared" si="26"/>
        <v>-6.248574062021317E-2</v>
      </c>
      <c r="DY29" s="721">
        <f t="shared" si="26"/>
        <v>-0.11006047003585162</v>
      </c>
      <c r="DZ29" s="721">
        <f t="shared" si="26"/>
        <v>-0.10563915429922255</v>
      </c>
      <c r="EA29" s="741">
        <f t="shared" si="26"/>
        <v>-7.9886404061246585E-2</v>
      </c>
      <c r="EB29" s="743">
        <f t="shared" si="26"/>
        <v>-9.4577981569262337E-2</v>
      </c>
      <c r="EC29" s="743">
        <f t="shared" si="26"/>
        <v>-7.9738313884826217E-2</v>
      </c>
      <c r="ED29" s="712"/>
      <c r="EE29" s="744"/>
      <c r="EF29" s="741"/>
      <c r="EG29" s="745"/>
      <c r="EH29" s="712"/>
      <c r="EI29" s="712"/>
      <c r="EJ29" s="744"/>
      <c r="EK29" s="741"/>
      <c r="EL29" s="745"/>
      <c r="EM29" s="712"/>
      <c r="EN29" s="712"/>
      <c r="EO29" s="744"/>
      <c r="EP29" s="741"/>
      <c r="EQ29" s="745"/>
      <c r="ER29" s="712"/>
      <c r="ES29" s="712"/>
      <c r="ET29" s="744"/>
      <c r="EU29" s="741"/>
      <c r="EV29" s="745"/>
      <c r="EW29" s="712"/>
      <c r="EX29" s="712"/>
      <c r="EY29" s="744"/>
      <c r="EZ29" s="741"/>
      <c r="FA29" s="745"/>
      <c r="FB29" s="712"/>
      <c r="FC29" s="712"/>
      <c r="FD29" s="744"/>
      <c r="FE29" s="741"/>
      <c r="FF29" s="721"/>
      <c r="FG29" s="690"/>
      <c r="FH29" s="754"/>
      <c r="FI29" s="754"/>
      <c r="FJ29" s="754"/>
      <c r="FK29" s="754"/>
      <c r="FL29" s="690"/>
      <c r="FM29" s="708"/>
      <c r="FN29" s="708"/>
      <c r="FO29" s="723"/>
      <c r="FP29" s="723"/>
      <c r="FQ29" s="723"/>
      <c r="FR29" s="723"/>
      <c r="FS29" s="723"/>
      <c r="FT29" s="723"/>
      <c r="FU29" s="690"/>
      <c r="FV29"/>
      <c r="FW29"/>
      <c r="FX29"/>
      <c r="FY29"/>
      <c r="FZ29"/>
      <c r="GA29"/>
      <c r="GB29" s="725"/>
    </row>
    <row r="30" spans="1:272" s="909" customFormat="1" ht="12.75" hidden="1" customHeight="1" outlineLevel="1">
      <c r="A30" s="893" t="s">
        <v>285</v>
      </c>
      <c r="B30" s="894"/>
      <c r="C30" s="895"/>
      <c r="D30" s="895"/>
      <c r="E30" s="895"/>
      <c r="F30" s="896"/>
      <c r="G30" s="895"/>
      <c r="H30" s="895"/>
      <c r="I30" s="895"/>
      <c r="J30" s="895"/>
      <c r="K30" s="896"/>
      <c r="L30" s="893"/>
      <c r="M30" s="893"/>
      <c r="N30" s="893"/>
      <c r="O30" s="893"/>
      <c r="P30" s="896"/>
      <c r="Q30" s="893"/>
      <c r="R30" s="893"/>
      <c r="S30" s="893"/>
      <c r="T30" s="893"/>
      <c r="U30" s="896"/>
      <c r="V30" s="893"/>
      <c r="W30" s="893"/>
      <c r="X30" s="893"/>
      <c r="Y30" s="893"/>
      <c r="Z30" s="896"/>
      <c r="AA30" s="893"/>
      <c r="AB30" s="893"/>
      <c r="AC30" s="893"/>
      <c r="AD30" s="893"/>
      <c r="AE30" s="896"/>
      <c r="AF30" s="893"/>
      <c r="AG30" s="893"/>
      <c r="AH30" s="893"/>
      <c r="AI30" s="893"/>
      <c r="AJ30" s="896"/>
      <c r="AK30" s="893"/>
      <c r="AL30" s="893"/>
      <c r="AM30" s="893"/>
      <c r="AN30" s="893"/>
      <c r="AO30" s="896"/>
      <c r="AP30" s="893"/>
      <c r="AQ30" s="893"/>
      <c r="AR30" s="893"/>
      <c r="AS30" s="893"/>
      <c r="AT30" s="896"/>
      <c r="AU30" s="893"/>
      <c r="AV30" s="893"/>
      <c r="AW30" s="893"/>
      <c r="AX30" s="893"/>
      <c r="AY30" s="896"/>
      <c r="AZ30" s="893"/>
      <c r="BA30" s="893"/>
      <c r="BB30" s="893"/>
      <c r="BC30" s="893"/>
      <c r="BD30" s="896"/>
      <c r="BE30" s="893"/>
      <c r="BF30" s="893"/>
      <c r="BG30" s="893"/>
      <c r="BH30" s="893"/>
      <c r="BI30" s="896"/>
      <c r="BJ30" s="893"/>
      <c r="BK30" s="893"/>
      <c r="BL30" s="893"/>
      <c r="BM30" s="893"/>
      <c r="BN30" s="896"/>
      <c r="BO30" s="893"/>
      <c r="BP30" s="893"/>
      <c r="BQ30" s="893"/>
      <c r="BR30" s="893"/>
      <c r="BS30" s="896"/>
      <c r="BT30" s="893"/>
      <c r="BU30" s="893"/>
      <c r="BV30" s="893"/>
      <c r="BW30" s="893"/>
      <c r="BX30" s="896"/>
      <c r="BY30" s="893"/>
      <c r="BZ30" s="893"/>
      <c r="CA30" s="893"/>
      <c r="CB30" s="895"/>
      <c r="CC30" s="896"/>
      <c r="CD30" s="895"/>
      <c r="CE30" s="895"/>
      <c r="CF30" s="895"/>
      <c r="CG30" s="895"/>
      <c r="CH30" s="896"/>
      <c r="CI30" s="895"/>
      <c r="CJ30" s="895"/>
      <c r="CK30" s="895"/>
      <c r="CL30" s="895"/>
      <c r="CM30" s="896"/>
      <c r="CN30" s="897"/>
      <c r="CO30" s="897"/>
      <c r="CP30" s="897"/>
      <c r="CQ30" s="897">
        <v>1.82</v>
      </c>
      <c r="CR30" s="896"/>
      <c r="CS30" s="897">
        <v>1.88</v>
      </c>
      <c r="CT30" s="897">
        <v>2.0499999999999998</v>
      </c>
      <c r="CU30" s="897">
        <v>2.25</v>
      </c>
      <c r="CV30" s="897">
        <v>2.4300000000000002</v>
      </c>
      <c r="CW30" s="896">
        <f>SUMPRODUCT(CS30:CV30,CS96:CV96)/(CW96*4)</f>
        <v>2.1580679499689523</v>
      </c>
      <c r="CX30" s="897">
        <v>2.56</v>
      </c>
      <c r="CY30" s="897">
        <v>2.72</v>
      </c>
      <c r="CZ30" s="897">
        <v>2.98</v>
      </c>
      <c r="DA30" s="897">
        <v>3</v>
      </c>
      <c r="DB30" s="896">
        <f>SUMPRODUCT(CX30:DA30,CX96:DA96)/(DB96*4)</f>
        <v>2.8101012658227846</v>
      </c>
      <c r="DC30" s="897">
        <v>3.24</v>
      </c>
      <c r="DD30" s="897">
        <v>3.51</v>
      </c>
      <c r="DE30" s="897">
        <v>3.64</v>
      </c>
      <c r="DF30" s="897">
        <v>3.46</v>
      </c>
      <c r="DG30" s="896">
        <f>SUMPRODUCT(DC30:DF30,DC96:DF96)/(DG96*4)</f>
        <v>3.4616065949164181</v>
      </c>
      <c r="DH30" s="897">
        <v>3.15</v>
      </c>
      <c r="DI30" s="897">
        <v>2.81</v>
      </c>
      <c r="DJ30" s="897">
        <v>2.34</v>
      </c>
      <c r="DK30" s="897">
        <v>2.06</v>
      </c>
      <c r="DL30" s="898">
        <f>DK30</f>
        <v>2.06</v>
      </c>
      <c r="DM30" s="897">
        <v>1.93</v>
      </c>
      <c r="DN30" s="897">
        <v>1.76</v>
      </c>
      <c r="DO30" s="897">
        <v>1.58</v>
      </c>
      <c r="DP30" s="897">
        <v>1.41</v>
      </c>
      <c r="DQ30" s="898">
        <f>DP30</f>
        <v>1.41</v>
      </c>
      <c r="DR30" s="899">
        <v>1.47</v>
      </c>
      <c r="DS30" s="899">
        <v>1.51</v>
      </c>
      <c r="DT30" s="897">
        <v>1.62</v>
      </c>
      <c r="DU30" s="897">
        <v>1.78</v>
      </c>
      <c r="DV30" s="898">
        <f>DU30</f>
        <v>1.78</v>
      </c>
      <c r="DW30" s="899">
        <v>1.99</v>
      </c>
      <c r="DX30" s="899">
        <v>2.1</v>
      </c>
      <c r="DY30" s="897">
        <v>2.0699999999999998</v>
      </c>
      <c r="DZ30" s="897">
        <v>2.0099999999999998</v>
      </c>
      <c r="EA30" s="898">
        <f>DZ30</f>
        <v>2.0099999999999998</v>
      </c>
      <c r="EB30" s="899">
        <v>2.25</v>
      </c>
      <c r="EC30" s="899">
        <v>2.19</v>
      </c>
      <c r="ED30" s="900"/>
      <c r="EE30" s="901"/>
      <c r="EF30" s="902"/>
      <c r="EG30" s="903"/>
      <c r="EH30" s="900"/>
      <c r="EI30" s="900"/>
      <c r="EJ30" s="901"/>
      <c r="EK30" s="902"/>
      <c r="EL30" s="903"/>
      <c r="EM30" s="900"/>
      <c r="EN30" s="900"/>
      <c r="EO30" s="901"/>
      <c r="EP30" s="902"/>
      <c r="EQ30" s="903"/>
      <c r="ER30" s="900"/>
      <c r="ES30" s="900"/>
      <c r="ET30" s="901"/>
      <c r="EU30" s="902"/>
      <c r="EV30" s="903"/>
      <c r="EW30" s="900"/>
      <c r="EX30" s="900"/>
      <c r="EY30" s="901"/>
      <c r="EZ30" s="902"/>
      <c r="FA30" s="903"/>
      <c r="FB30" s="900"/>
      <c r="FC30" s="900"/>
      <c r="FD30" s="901"/>
      <c r="FE30" s="902"/>
      <c r="FF30" s="904"/>
      <c r="FG30" s="690"/>
      <c r="FH30" s="905"/>
      <c r="FI30" s="905"/>
      <c r="FJ30" s="905"/>
      <c r="FK30" s="905"/>
      <c r="FL30" s="690"/>
      <c r="FM30" s="752"/>
      <c r="FN30" s="906"/>
      <c r="FO30" s="907"/>
      <c r="FP30" s="907"/>
      <c r="FQ30" s="907"/>
      <c r="FR30" s="907"/>
      <c r="FS30" s="907"/>
      <c r="FT30" s="907"/>
      <c r="FU30" s="690"/>
      <c r="FV30"/>
      <c r="FW30"/>
      <c r="FX30"/>
      <c r="FY30"/>
      <c r="FZ30"/>
      <c r="GA30"/>
      <c r="GB30" s="908"/>
    </row>
    <row r="31" spans="1:272" s="920" customFormat="1" ht="12.75" customHeight="1" collapsed="1">
      <c r="A31" s="910" t="s">
        <v>84</v>
      </c>
      <c r="B31" s="911"/>
      <c r="C31" s="912"/>
      <c r="D31" s="912"/>
      <c r="E31" s="912"/>
      <c r="F31" s="913"/>
      <c r="G31" s="912"/>
      <c r="H31" s="912"/>
      <c r="I31" s="912"/>
      <c r="J31" s="912"/>
      <c r="K31" s="913"/>
      <c r="L31" s="912"/>
      <c r="M31" s="912"/>
      <c r="N31" s="912"/>
      <c r="O31" s="912"/>
      <c r="P31" s="913"/>
      <c r="Q31" s="912"/>
      <c r="R31" s="912"/>
      <c r="S31" s="912"/>
      <c r="T31" s="912"/>
      <c r="U31" s="913"/>
      <c r="V31" s="912"/>
      <c r="W31" s="912"/>
      <c r="X31" s="912"/>
      <c r="Y31" s="912"/>
      <c r="Z31" s="913"/>
      <c r="AA31" s="912"/>
      <c r="AB31" s="912"/>
      <c r="AC31" s="912"/>
      <c r="AD31" s="912"/>
      <c r="AE31" s="913"/>
      <c r="AF31" s="912"/>
      <c r="AG31" s="912"/>
      <c r="AH31" s="912"/>
      <c r="AI31" s="912"/>
      <c r="AJ31" s="913"/>
      <c r="AK31" s="912"/>
      <c r="AL31" s="912"/>
      <c r="AM31" s="912"/>
      <c r="AN31" s="912"/>
      <c r="AO31" s="913"/>
      <c r="AP31" s="912"/>
      <c r="AQ31" s="912"/>
      <c r="AR31" s="912"/>
      <c r="AS31" s="912"/>
      <c r="AT31" s="913"/>
      <c r="AU31" s="912"/>
      <c r="AV31" s="912"/>
      <c r="AW31" s="912"/>
      <c r="AX31" s="912"/>
      <c r="AY31" s="913"/>
      <c r="AZ31" s="912"/>
      <c r="BA31" s="912"/>
      <c r="BB31" s="912"/>
      <c r="BC31" s="912"/>
      <c r="BD31" s="913"/>
      <c r="BE31" s="912"/>
      <c r="BF31" s="912"/>
      <c r="BG31" s="912"/>
      <c r="BH31" s="912"/>
      <c r="BI31" s="913"/>
      <c r="BJ31" s="912"/>
      <c r="BK31" s="912"/>
      <c r="BL31" s="912"/>
      <c r="BM31" s="912"/>
      <c r="BN31" s="913"/>
      <c r="BO31" s="912"/>
      <c r="BP31" s="912"/>
      <c r="BQ31" s="912"/>
      <c r="BR31" s="912"/>
      <c r="BS31" s="913"/>
      <c r="BT31" s="912"/>
      <c r="BU31" s="912"/>
      <c r="BV31" s="912"/>
      <c r="BW31" s="912"/>
      <c r="BX31" s="913"/>
      <c r="BY31" s="912"/>
      <c r="BZ31" s="912"/>
      <c r="CA31" s="912"/>
      <c r="CB31" s="912"/>
      <c r="CC31" s="913"/>
      <c r="CD31" s="912"/>
      <c r="CE31" s="912"/>
      <c r="CF31" s="912"/>
      <c r="CG31" s="912"/>
      <c r="CH31" s="913"/>
      <c r="CI31" s="912"/>
      <c r="CJ31" s="912"/>
      <c r="CK31" s="912"/>
      <c r="CL31" s="912"/>
      <c r="CM31" s="913"/>
      <c r="CN31" s="912"/>
      <c r="CO31" s="912"/>
      <c r="CP31" s="912"/>
      <c r="CQ31" s="912"/>
      <c r="CR31" s="913"/>
      <c r="CS31" s="912"/>
      <c r="CT31" s="912"/>
      <c r="CU31" s="912"/>
      <c r="CV31" s="912"/>
      <c r="CW31" s="913"/>
      <c r="CX31" s="912"/>
      <c r="CY31" s="912"/>
      <c r="CZ31" s="912"/>
      <c r="DA31" s="912"/>
      <c r="DB31" s="913"/>
      <c r="DC31" s="912"/>
      <c r="DD31" s="912"/>
      <c r="DE31" s="912"/>
      <c r="DF31" s="912"/>
      <c r="DG31" s="913"/>
      <c r="DH31" s="912"/>
      <c r="DI31" s="912"/>
      <c r="DJ31" s="912"/>
      <c r="DK31" s="912"/>
      <c r="DL31" s="913"/>
      <c r="DM31" s="914"/>
      <c r="DN31" s="912"/>
      <c r="DO31" s="912" t="s">
        <v>286</v>
      </c>
      <c r="DP31" s="912"/>
      <c r="DQ31" s="913"/>
      <c r="DR31" s="914"/>
      <c r="DS31" s="912"/>
      <c r="DT31" s="912" t="s">
        <v>286</v>
      </c>
      <c r="DU31" s="912"/>
      <c r="DV31" s="913"/>
      <c r="DW31" s="914"/>
      <c r="DX31" s="912"/>
      <c r="DY31" s="912" t="s">
        <v>286</v>
      </c>
      <c r="DZ31" s="912"/>
      <c r="EA31" s="913"/>
      <c r="EB31" s="914"/>
      <c r="EC31" s="912"/>
      <c r="ED31" s="912"/>
      <c r="EE31" s="915"/>
      <c r="EF31" s="913"/>
      <c r="EG31" s="914"/>
      <c r="EH31" s="912"/>
      <c r="EI31" s="912"/>
      <c r="EJ31" s="915"/>
      <c r="EK31" s="913"/>
      <c r="EL31" s="914"/>
      <c r="EM31" s="912"/>
      <c r="EN31" s="912"/>
      <c r="EO31" s="915"/>
      <c r="EP31" s="913"/>
      <c r="EQ31" s="914"/>
      <c r="ER31" s="912"/>
      <c r="ES31" s="912"/>
      <c r="ET31" s="915"/>
      <c r="EU31" s="913"/>
      <c r="EV31" s="914"/>
      <c r="EW31" s="912"/>
      <c r="EX31" s="912"/>
      <c r="EY31" s="915"/>
      <c r="EZ31" s="913"/>
      <c r="FA31" s="914"/>
      <c r="FB31" s="912"/>
      <c r="FC31" s="912"/>
      <c r="FD31" s="915"/>
      <c r="FE31" s="913"/>
      <c r="FF31" s="916"/>
      <c r="FG31" s="690"/>
      <c r="FH31" s="917"/>
      <c r="FI31" s="917"/>
      <c r="FJ31" s="917"/>
      <c r="FK31" s="917"/>
      <c r="FL31" s="690"/>
      <c r="FM31" s="918"/>
      <c r="FN31" s="918"/>
      <c r="FO31" s="916"/>
      <c r="FP31" s="916"/>
      <c r="FQ31" s="916"/>
      <c r="FR31" s="916"/>
      <c r="FS31" s="916"/>
      <c r="FT31" s="916"/>
      <c r="FU31" s="690"/>
      <c r="FV31"/>
      <c r="FW31"/>
      <c r="FX31"/>
      <c r="FY31"/>
      <c r="FZ31"/>
      <c r="GA31"/>
      <c r="GB31" s="919"/>
    </row>
    <row r="32" spans="1:272" s="714" customFormat="1" ht="12.75" customHeight="1">
      <c r="A32" s="54" t="s">
        <v>287</v>
      </c>
      <c r="B32" s="921"/>
      <c r="C32" s="922"/>
      <c r="D32" s="922"/>
      <c r="E32" s="922"/>
      <c r="F32" s="923"/>
      <c r="G32" s="922"/>
      <c r="H32" s="922"/>
      <c r="I32" s="922"/>
      <c r="J32" s="922"/>
      <c r="K32" s="923"/>
      <c r="L32" s="922"/>
      <c r="M32" s="922"/>
      <c r="N32" s="922"/>
      <c r="O32" s="922"/>
      <c r="P32" s="923"/>
      <c r="Q32" s="922"/>
      <c r="R32" s="922"/>
      <c r="S32" s="922"/>
      <c r="T32" s="922"/>
      <c r="U32" s="923"/>
      <c r="V32" s="922"/>
      <c r="W32" s="922"/>
      <c r="X32" s="922"/>
      <c r="Y32" s="922"/>
      <c r="Z32" s="923"/>
      <c r="AA32" s="922"/>
      <c r="AB32" s="922"/>
      <c r="AC32" s="922"/>
      <c r="AD32" s="922"/>
      <c r="AE32" s="923"/>
      <c r="AF32" s="922"/>
      <c r="AG32" s="922"/>
      <c r="AH32" s="922"/>
      <c r="AI32" s="922"/>
      <c r="AJ32" s="923"/>
      <c r="AK32" s="922"/>
      <c r="AL32" s="922"/>
      <c r="AM32" s="922"/>
      <c r="AN32" s="922"/>
      <c r="AO32" s="923"/>
      <c r="AP32" s="922"/>
      <c r="AQ32" s="922"/>
      <c r="AR32" s="922"/>
      <c r="AS32" s="922"/>
      <c r="AT32" s="923"/>
      <c r="AU32" s="922"/>
      <c r="AV32" s="922"/>
      <c r="AW32" s="922"/>
      <c r="AX32" s="922"/>
      <c r="AY32" s="923"/>
      <c r="AZ32" s="922"/>
      <c r="BA32" s="922"/>
      <c r="BB32" s="922"/>
      <c r="BC32" s="922"/>
      <c r="BD32" s="923"/>
      <c r="BE32" s="922"/>
      <c r="BF32" s="922"/>
      <c r="BG32" s="922"/>
      <c r="BH32" s="922"/>
      <c r="BI32" s="923"/>
      <c r="BJ32" s="922"/>
      <c r="BK32" s="922"/>
      <c r="BL32" s="922"/>
      <c r="BM32" s="922"/>
      <c r="BN32" s="923"/>
      <c r="BO32" s="922"/>
      <c r="BP32" s="922"/>
      <c r="BQ32" s="922"/>
      <c r="BR32" s="922"/>
      <c r="BS32" s="923"/>
      <c r="BT32" s="922"/>
      <c r="BU32" s="922"/>
      <c r="BV32" s="922"/>
      <c r="BW32" s="922"/>
      <c r="BX32" s="923"/>
      <c r="BY32" s="922"/>
      <c r="BZ32" s="922"/>
      <c r="CA32" s="922"/>
      <c r="CB32" s="922"/>
      <c r="CC32" s="923"/>
      <c r="CD32" s="922"/>
      <c r="CE32" s="922"/>
      <c r="CF32" s="922"/>
      <c r="CG32" s="922"/>
      <c r="CH32" s="923"/>
      <c r="CI32" s="922"/>
      <c r="CJ32" s="922"/>
      <c r="CK32" s="922"/>
      <c r="CL32" s="922"/>
      <c r="CM32" s="923"/>
      <c r="CN32" s="922"/>
      <c r="CO32" s="922"/>
      <c r="CP32" s="922"/>
      <c r="CQ32" s="922"/>
      <c r="CR32" s="923"/>
      <c r="CS32" s="922"/>
      <c r="CT32" s="922"/>
      <c r="CU32" s="922"/>
      <c r="CV32" s="922"/>
      <c r="CW32" s="923"/>
      <c r="CX32" s="922"/>
      <c r="CY32" s="924"/>
      <c r="CZ32" s="922"/>
      <c r="DA32" s="922"/>
      <c r="DB32" s="923"/>
      <c r="DC32" s="922"/>
      <c r="DD32" s="924"/>
      <c r="DE32" s="922"/>
      <c r="DF32" s="922"/>
      <c r="DG32" s="923"/>
      <c r="DH32" s="922"/>
      <c r="DI32" s="924"/>
      <c r="DJ32" s="922"/>
      <c r="DK32" s="922"/>
      <c r="DL32" s="923"/>
      <c r="DM32" s="925"/>
      <c r="DN32" s="922"/>
      <c r="DO32" s="922"/>
      <c r="DP32" s="922"/>
      <c r="DQ32" s="923"/>
      <c r="DR32" s="925"/>
      <c r="DS32" s="922"/>
      <c r="DT32" s="922"/>
      <c r="DU32" s="922"/>
      <c r="DV32" s="926"/>
      <c r="DW32" s="925"/>
      <c r="DX32" s="922"/>
      <c r="DY32" s="922"/>
      <c r="DZ32" s="922"/>
      <c r="EA32" s="926"/>
      <c r="EB32" s="925"/>
      <c r="EC32" s="922"/>
      <c r="ED32" s="927"/>
      <c r="EE32" s="928">
        <f>+EE40/3*2</f>
        <v>579.22444014038149</v>
      </c>
      <c r="EF32" s="926"/>
      <c r="EG32" s="925"/>
      <c r="EH32" s="922"/>
      <c r="EI32" s="922"/>
      <c r="EJ32" s="928"/>
      <c r="EK32" s="923"/>
      <c r="EL32" s="925"/>
      <c r="EM32" s="922"/>
      <c r="EN32" s="922"/>
      <c r="EO32" s="928"/>
      <c r="EP32" s="923"/>
      <c r="EQ32" s="925"/>
      <c r="ER32" s="922"/>
      <c r="ES32" s="922"/>
      <c r="ET32" s="928"/>
      <c r="EU32" s="923"/>
      <c r="EV32" s="925"/>
      <c r="EW32" s="922"/>
      <c r="EX32" s="922"/>
      <c r="EY32" s="928"/>
      <c r="EZ32" s="923"/>
      <c r="FA32" s="925"/>
      <c r="FB32" s="922"/>
      <c r="FC32" s="922"/>
      <c r="FD32" s="928"/>
      <c r="FE32" s="923"/>
      <c r="FF32" s="713"/>
      <c r="FG32" s="690"/>
      <c r="FH32" s="923"/>
      <c r="FI32" s="923"/>
      <c r="FJ32" s="923"/>
      <c r="FK32" s="923"/>
      <c r="FL32" s="690"/>
      <c r="FM32" s="747"/>
      <c r="FN32" s="747"/>
      <c r="FO32" s="929"/>
      <c r="FP32" s="929"/>
      <c r="FQ32" s="929"/>
      <c r="FR32" s="929"/>
      <c r="FS32" s="929"/>
      <c r="FT32" s="929"/>
      <c r="FU32" s="690"/>
      <c r="FV32"/>
      <c r="FW32"/>
      <c r="FX32"/>
      <c r="FY32"/>
      <c r="FZ32"/>
      <c r="GA32"/>
      <c r="GB32" s="713"/>
      <c r="GC32" s="536"/>
      <c r="GD32" s="536"/>
      <c r="GE32" s="536"/>
      <c r="GF32" s="536"/>
      <c r="GG32" s="536"/>
      <c r="GH32" s="536"/>
      <c r="GI32" s="536"/>
      <c r="GJ32" s="536"/>
      <c r="GK32" s="536"/>
      <c r="GL32" s="536"/>
      <c r="GM32" s="536"/>
      <c r="GN32" s="536"/>
      <c r="GO32" s="536"/>
      <c r="GP32" s="536"/>
      <c r="GQ32" s="536"/>
      <c r="GR32" s="536"/>
      <c r="GS32" s="536"/>
      <c r="GT32" s="536"/>
      <c r="GU32" s="536"/>
      <c r="GV32" s="536"/>
      <c r="GW32" s="536"/>
      <c r="GX32" s="536"/>
      <c r="GY32" s="536"/>
      <c r="GZ32" s="536"/>
      <c r="HA32" s="536"/>
      <c r="HB32" s="536"/>
      <c r="HC32" s="536"/>
      <c r="HD32" s="536"/>
      <c r="HE32" s="536"/>
      <c r="HF32" s="536"/>
      <c r="HG32" s="536"/>
      <c r="HH32" s="536"/>
      <c r="HI32" s="536"/>
      <c r="HJ32" s="536"/>
      <c r="HK32" s="536"/>
      <c r="HL32" s="536"/>
      <c r="HM32" s="536"/>
      <c r="HN32" s="536"/>
      <c r="HO32" s="536"/>
      <c r="HP32" s="536"/>
      <c r="HQ32" s="536"/>
      <c r="HR32" s="536"/>
      <c r="HS32" s="536"/>
      <c r="HT32" s="536"/>
      <c r="HU32" s="536"/>
      <c r="HV32" s="536"/>
      <c r="HW32" s="536"/>
      <c r="HX32" s="536"/>
      <c r="HY32" s="536"/>
      <c r="HZ32" s="536"/>
      <c r="IA32" s="536"/>
      <c r="IB32" s="536"/>
      <c r="IC32" s="536"/>
      <c r="ID32" s="536"/>
      <c r="IE32" s="536"/>
      <c r="IF32" s="536"/>
      <c r="IG32" s="536"/>
      <c r="IH32" s="536"/>
      <c r="II32" s="536"/>
      <c r="IJ32" s="536"/>
      <c r="IK32" s="536"/>
      <c r="IL32" s="536"/>
      <c r="IM32" s="536"/>
      <c r="IN32" s="536"/>
      <c r="IO32" s="536"/>
      <c r="IP32" s="536"/>
      <c r="IQ32" s="536"/>
      <c r="IR32" s="536"/>
      <c r="IS32" s="536"/>
      <c r="IT32" s="536"/>
      <c r="IU32" s="536"/>
      <c r="IV32" s="536"/>
      <c r="IW32" s="536"/>
      <c r="IX32" s="536"/>
      <c r="IY32" s="536"/>
      <c r="IZ32" s="536"/>
      <c r="JA32" s="536"/>
      <c r="JB32" s="536"/>
      <c r="JC32" s="536"/>
      <c r="JD32" s="536"/>
      <c r="JE32" s="536"/>
      <c r="JF32" s="536"/>
      <c r="JG32" s="536"/>
      <c r="JH32" s="536"/>
      <c r="JI32" s="536"/>
      <c r="JJ32" s="536"/>
      <c r="JK32" s="536"/>
      <c r="JL32" s="536"/>
    </row>
    <row r="33" spans="1:272" s="532" customFormat="1" ht="12.75" customHeight="1">
      <c r="A33" s="932" t="s">
        <v>606</v>
      </c>
      <c r="B33" s="933"/>
      <c r="C33" s="934"/>
      <c r="D33" s="934"/>
      <c r="E33" s="934"/>
      <c r="F33" s="718"/>
      <c r="G33" s="934"/>
      <c r="H33" s="934"/>
      <c r="I33" s="934"/>
      <c r="J33" s="934"/>
      <c r="K33" s="718"/>
      <c r="L33" s="719"/>
      <c r="M33" s="719"/>
      <c r="N33" s="719"/>
      <c r="O33" s="719"/>
      <c r="P33" s="718"/>
      <c r="Q33" s="719"/>
      <c r="R33" s="719"/>
      <c r="S33" s="719"/>
      <c r="T33" s="719"/>
      <c r="U33" s="718"/>
      <c r="V33" s="719"/>
      <c r="W33" s="719"/>
      <c r="X33" s="719"/>
      <c r="Y33" s="719"/>
      <c r="Z33" s="718"/>
      <c r="AA33" s="719"/>
      <c r="AB33" s="719"/>
      <c r="AC33" s="719"/>
      <c r="AD33" s="719"/>
      <c r="AE33" s="718"/>
      <c r="AF33" s="719"/>
      <c r="AG33" s="719"/>
      <c r="AH33" s="719"/>
      <c r="AI33" s="719"/>
      <c r="AJ33" s="718"/>
      <c r="AK33" s="719"/>
      <c r="AL33" s="719"/>
      <c r="AM33" s="719"/>
      <c r="AN33" s="719"/>
      <c r="AO33" s="718"/>
      <c r="AP33" s="719"/>
      <c r="AQ33" s="719"/>
      <c r="AR33" s="719"/>
      <c r="AS33" s="719"/>
      <c r="AT33" s="718"/>
      <c r="AU33" s="719"/>
      <c r="AV33" s="719"/>
      <c r="AW33" s="719"/>
      <c r="AX33" s="719"/>
      <c r="AY33" s="718"/>
      <c r="AZ33" s="719"/>
      <c r="BA33" s="719"/>
      <c r="BB33" s="719"/>
      <c r="BC33" s="719"/>
      <c r="BD33" s="718"/>
      <c r="BE33" s="719"/>
      <c r="BF33" s="719"/>
      <c r="BG33" s="719"/>
      <c r="BH33" s="719"/>
      <c r="BI33" s="718"/>
      <c r="BJ33" s="719"/>
      <c r="BK33" s="719"/>
      <c r="BL33" s="719"/>
      <c r="BM33" s="719"/>
      <c r="BN33" s="718"/>
      <c r="BO33" s="935"/>
      <c r="BP33" s="935"/>
      <c r="BQ33" s="935"/>
      <c r="BR33" s="935"/>
      <c r="BS33" s="718"/>
      <c r="BT33" s="935"/>
      <c r="BU33" s="935"/>
      <c r="BV33" s="935"/>
      <c r="BW33" s="935"/>
      <c r="BX33" s="718"/>
      <c r="BY33" s="935"/>
      <c r="BZ33" s="935"/>
      <c r="CA33" s="935"/>
      <c r="CB33" s="935"/>
      <c r="CC33" s="718"/>
      <c r="CD33" s="935"/>
      <c r="CE33" s="935"/>
      <c r="CF33" s="935"/>
      <c r="CG33" s="935"/>
      <c r="CH33" s="718"/>
      <c r="CI33" s="935"/>
      <c r="CJ33" s="935"/>
      <c r="CK33" s="935"/>
      <c r="CL33" s="935"/>
      <c r="CM33" s="718"/>
      <c r="CN33" s="935"/>
      <c r="CO33" s="935"/>
      <c r="CP33" s="935"/>
      <c r="CQ33" s="935"/>
      <c r="CR33" s="718"/>
      <c r="CS33" s="935"/>
      <c r="CT33" s="935"/>
      <c r="CU33" s="935"/>
      <c r="CV33" s="935"/>
      <c r="CW33" s="718"/>
      <c r="CX33" s="935"/>
      <c r="CY33" s="935"/>
      <c r="CZ33" s="935"/>
      <c r="DA33" s="935"/>
      <c r="DB33" s="718"/>
      <c r="DC33" s="935"/>
      <c r="DD33" s="935"/>
      <c r="DE33" s="935"/>
      <c r="DF33" s="935"/>
      <c r="DG33" s="718"/>
      <c r="DH33" s="935"/>
      <c r="DI33" s="935"/>
      <c r="DJ33" s="935"/>
      <c r="DK33" s="935"/>
      <c r="DL33" s="718"/>
      <c r="DM33" s="935"/>
      <c r="DN33" s="935"/>
      <c r="DO33" s="935"/>
      <c r="DP33" s="935"/>
      <c r="DQ33" s="718"/>
      <c r="DR33" s="935"/>
      <c r="DS33" s="935"/>
      <c r="DT33" s="935"/>
      <c r="DU33" s="935"/>
      <c r="DV33" s="718"/>
      <c r="DW33" s="935"/>
      <c r="DX33" s="935"/>
      <c r="DY33" s="935"/>
      <c r="DZ33" s="935"/>
      <c r="EA33" s="718"/>
      <c r="EB33" s="935"/>
      <c r="EC33" s="935"/>
      <c r="ED33" s="1729"/>
      <c r="EE33" s="935"/>
      <c r="EF33" s="718"/>
      <c r="EG33" s="935">
        <v>830.5</v>
      </c>
      <c r="EH33" s="935">
        <v>877.5</v>
      </c>
      <c r="EI33" s="935">
        <v>883.5</v>
      </c>
      <c r="EJ33" s="935">
        <v>853.8</v>
      </c>
      <c r="EK33" s="718">
        <f>SUM(EG33:EJ33)</f>
        <v>3445.3</v>
      </c>
      <c r="EL33" s="935">
        <v>879.2</v>
      </c>
      <c r="EM33" s="935">
        <v>946.1</v>
      </c>
      <c r="EN33" s="935">
        <v>928.5</v>
      </c>
      <c r="EO33" s="935">
        <v>887.4</v>
      </c>
      <c r="EP33" s="718">
        <f>SUM(EL33:EO33)</f>
        <v>3641.2000000000003</v>
      </c>
      <c r="EQ33" s="935">
        <f>+EQ34+EQ36</f>
        <v>916.90142085298601</v>
      </c>
      <c r="ER33" s="935">
        <f>+ER34+ER36</f>
        <v>992.2119816952785</v>
      </c>
      <c r="ES33" s="935">
        <f t="shared" ref="ES33:ET33" si="27">+ES34+ES36</f>
        <v>969.82290600805663</v>
      </c>
      <c r="ET33" s="935">
        <f t="shared" si="27"/>
        <v>959.03196345218169</v>
      </c>
      <c r="EU33" s="718">
        <f>SUM(EQ33:ET33)</f>
        <v>3837.9682720085025</v>
      </c>
      <c r="EV33" s="935">
        <v>879.2</v>
      </c>
      <c r="EW33" s="935">
        <f>+EW34+EW36</f>
        <v>1063.8466893918421</v>
      </c>
      <c r="EX33" s="935">
        <f t="shared" ref="EX33:FE33" si="28">+EX34+EX36</f>
        <v>1050.6265453842775</v>
      </c>
      <c r="EY33" s="935">
        <f t="shared" si="28"/>
        <v>1007.4229010161635</v>
      </c>
      <c r="EZ33" s="718">
        <f t="shared" si="28"/>
        <v>4066.467570205873</v>
      </c>
      <c r="FA33" s="935">
        <f t="shared" si="28"/>
        <v>-20</v>
      </c>
      <c r="FB33" s="935">
        <f t="shared" si="28"/>
        <v>-20</v>
      </c>
      <c r="FC33" s="935">
        <f t="shared" si="28"/>
        <v>-20</v>
      </c>
      <c r="FD33" s="935">
        <f t="shared" si="28"/>
        <v>-20</v>
      </c>
      <c r="FE33" s="718">
        <f t="shared" si="28"/>
        <v>4302.8544805762704</v>
      </c>
      <c r="FF33" s="981"/>
      <c r="FG33" s="690"/>
      <c r="FH33" s="2276"/>
      <c r="FI33" s="2276"/>
      <c r="FJ33" s="2276"/>
      <c r="FK33" s="2276"/>
      <c r="FL33" s="690"/>
      <c r="FM33" s="747"/>
      <c r="FN33" s="747"/>
      <c r="FO33" s="929"/>
      <c r="FP33" s="929"/>
      <c r="FQ33" s="929"/>
      <c r="FR33" s="929"/>
      <c r="FS33" s="929"/>
      <c r="FT33" s="929"/>
      <c r="FU33" s="690"/>
      <c r="FV33"/>
      <c r="FW33"/>
      <c r="FX33"/>
      <c r="FY33"/>
      <c r="FZ33"/>
      <c r="GA33"/>
      <c r="GB33" s="981"/>
    </row>
    <row r="34" spans="1:272" s="532" customFormat="1" ht="12.75" customHeight="1">
      <c r="A34" s="2275"/>
      <c r="B34" s="980"/>
      <c r="C34" s="981"/>
      <c r="D34" s="981"/>
      <c r="E34" s="981"/>
      <c r="F34" s="2276"/>
      <c r="G34" s="981"/>
      <c r="H34" s="981"/>
      <c r="I34" s="981"/>
      <c r="J34" s="981"/>
      <c r="K34" s="2276"/>
      <c r="L34" s="981"/>
      <c r="M34" s="981"/>
      <c r="N34" s="981"/>
      <c r="O34" s="981"/>
      <c r="P34" s="2276"/>
      <c r="Q34" s="981"/>
      <c r="R34" s="981"/>
      <c r="S34" s="981"/>
      <c r="T34" s="981"/>
      <c r="U34" s="2276"/>
      <c r="V34" s="981"/>
      <c r="W34" s="981"/>
      <c r="X34" s="981"/>
      <c r="Y34" s="981"/>
      <c r="Z34" s="2276"/>
      <c r="AA34" s="981"/>
      <c r="AB34" s="981"/>
      <c r="AC34" s="981"/>
      <c r="AD34" s="981"/>
      <c r="AE34" s="2276"/>
      <c r="AF34" s="981"/>
      <c r="AG34" s="981"/>
      <c r="AH34" s="981"/>
      <c r="AI34" s="981"/>
      <c r="AJ34" s="2276"/>
      <c r="AK34" s="981"/>
      <c r="AL34" s="981"/>
      <c r="AM34" s="981"/>
      <c r="AN34" s="981"/>
      <c r="AO34" s="2276"/>
      <c r="AP34" s="981"/>
      <c r="AQ34" s="981"/>
      <c r="AR34" s="981"/>
      <c r="AS34" s="981"/>
      <c r="AT34" s="2276"/>
      <c r="AU34" s="981"/>
      <c r="AV34" s="981"/>
      <c r="AW34" s="981"/>
      <c r="AX34" s="981"/>
      <c r="AY34" s="2276"/>
      <c r="AZ34" s="981"/>
      <c r="BA34" s="981"/>
      <c r="BB34" s="981"/>
      <c r="BC34" s="981"/>
      <c r="BD34" s="2276"/>
      <c r="BE34" s="981"/>
      <c r="BF34" s="981"/>
      <c r="BG34" s="981"/>
      <c r="BH34" s="981"/>
      <c r="BI34" s="2276"/>
      <c r="BJ34" s="981"/>
      <c r="BK34" s="981"/>
      <c r="BL34" s="981"/>
      <c r="BM34" s="981"/>
      <c r="BN34" s="2276"/>
      <c r="BO34" s="981"/>
      <c r="BP34" s="981"/>
      <c r="BQ34" s="981"/>
      <c r="BR34" s="981"/>
      <c r="BS34" s="2276"/>
      <c r="BT34" s="981"/>
      <c r="BU34" s="981"/>
      <c r="BV34" s="981"/>
      <c r="BW34" s="981"/>
      <c r="BX34" s="2276"/>
      <c r="BY34" s="981"/>
      <c r="BZ34" s="981"/>
      <c r="CA34" s="981"/>
      <c r="CB34" s="981"/>
      <c r="CC34" s="2276"/>
      <c r="CD34" s="981"/>
      <c r="CE34" s="981"/>
      <c r="CF34" s="981"/>
      <c r="CG34" s="981"/>
      <c r="CH34" s="2276"/>
      <c r="CI34" s="981"/>
      <c r="CJ34" s="981"/>
      <c r="CK34" s="981"/>
      <c r="CL34" s="981"/>
      <c r="CM34" s="2276"/>
      <c r="CN34" s="981"/>
      <c r="CO34" s="981"/>
      <c r="CP34" s="981"/>
      <c r="CQ34" s="981"/>
      <c r="CR34" s="2276"/>
      <c r="CS34" s="981"/>
      <c r="CT34" s="981"/>
      <c r="CU34" s="981"/>
      <c r="CV34" s="981"/>
      <c r="CW34" s="2276"/>
      <c r="CX34" s="981"/>
      <c r="CY34" s="2277"/>
      <c r="CZ34" s="981"/>
      <c r="DA34" s="981"/>
      <c r="DB34" s="2276"/>
      <c r="DC34" s="981"/>
      <c r="DD34" s="2277"/>
      <c r="DE34" s="981"/>
      <c r="DF34" s="981"/>
      <c r="DG34" s="2276"/>
      <c r="DH34" s="981"/>
      <c r="DI34" s="2277"/>
      <c r="DJ34" s="981"/>
      <c r="DK34" s="981"/>
      <c r="DL34" s="2276"/>
      <c r="DM34" s="981"/>
      <c r="DN34" s="981"/>
      <c r="DO34" s="981"/>
      <c r="DP34" s="981"/>
      <c r="DQ34" s="2276"/>
      <c r="DR34" s="981"/>
      <c r="DS34" s="981"/>
      <c r="DT34" s="981"/>
      <c r="DU34" s="981"/>
      <c r="DV34" s="2278"/>
      <c r="DW34" s="981"/>
      <c r="DX34" s="981"/>
      <c r="DY34" s="981"/>
      <c r="DZ34" s="981"/>
      <c r="EA34" s="2278"/>
      <c r="EB34" s="981"/>
      <c r="EC34" s="981"/>
      <c r="ED34" s="2279"/>
      <c r="EE34" s="981"/>
      <c r="EF34" s="2278"/>
      <c r="EG34" s="1461">
        <f>+EG33-EG36</f>
        <v>10.5</v>
      </c>
      <c r="EH34" s="1461">
        <f t="shared" ref="EH34:EJ34" si="29">+EH33-EH36</f>
        <v>11</v>
      </c>
      <c r="EI34" s="1461">
        <f t="shared" si="29"/>
        <v>10</v>
      </c>
      <c r="EJ34" s="1461">
        <f t="shared" si="29"/>
        <v>9</v>
      </c>
      <c r="EK34" s="1459">
        <f>SUM(EG34:EJ34)</f>
        <v>40.5</v>
      </c>
      <c r="EL34" s="1461">
        <f>+EL33-EL36</f>
        <v>10</v>
      </c>
      <c r="EM34" s="1461">
        <f t="shared" ref="EM34:EO34" si="30">+EM33-EM36</f>
        <v>12</v>
      </c>
      <c r="EN34" s="1461">
        <f t="shared" si="30"/>
        <v>12.399999999999977</v>
      </c>
      <c r="EO34" s="1461">
        <f t="shared" si="30"/>
        <v>11.799999999999955</v>
      </c>
      <c r="EP34" s="1459">
        <f>SUM(EL34:EO34)</f>
        <v>46.199999999999932</v>
      </c>
      <c r="EQ34" s="2280">
        <v>10</v>
      </c>
      <c r="ER34" s="2280">
        <v>11.5</v>
      </c>
      <c r="ES34" s="2280">
        <f t="shared" ref="ES34" si="31">+ER34</f>
        <v>11.5</v>
      </c>
      <c r="ET34" s="2280">
        <f t="shared" ref="ET34" si="32">+ES34</f>
        <v>11.5</v>
      </c>
      <c r="EU34" s="1459">
        <f>SUM(EQ34:ET34)</f>
        <v>44.5</v>
      </c>
      <c r="EV34" s="2280"/>
      <c r="EW34" s="2280"/>
      <c r="EX34" s="2280"/>
      <c r="EY34" s="2280"/>
      <c r="EZ34" s="2398">
        <f>+EU34</f>
        <v>44.5</v>
      </c>
      <c r="FA34" s="2398"/>
      <c r="FB34" s="2398"/>
      <c r="FC34" s="2398"/>
      <c r="FD34" s="2398"/>
      <c r="FE34" s="2398">
        <f>+EZ34</f>
        <v>44.5</v>
      </c>
      <c r="FF34" s="981"/>
      <c r="FG34" s="690"/>
      <c r="FH34" s="2276"/>
      <c r="FI34" s="2276"/>
      <c r="FJ34" s="2276"/>
      <c r="FK34" s="2276"/>
      <c r="FL34" s="690"/>
      <c r="FM34" s="747"/>
      <c r="FN34" s="747"/>
      <c r="FO34" s="929"/>
      <c r="FP34" s="929"/>
      <c r="FQ34" s="929"/>
      <c r="FR34" s="929"/>
      <c r="FS34" s="929"/>
      <c r="FT34" s="929"/>
      <c r="FU34" s="690"/>
      <c r="FV34"/>
      <c r="FW34"/>
      <c r="FX34"/>
      <c r="FY34"/>
      <c r="FZ34"/>
      <c r="GA34"/>
      <c r="GB34" s="981"/>
    </row>
    <row r="35" spans="1:272" s="532" customFormat="1" ht="12.75" customHeight="1">
      <c r="A35" s="58" t="s">
        <v>85</v>
      </c>
      <c r="B35" s="980"/>
      <c r="C35" s="981"/>
      <c r="D35" s="981"/>
      <c r="E35" s="981"/>
      <c r="F35" s="2276"/>
      <c r="G35" s="981"/>
      <c r="H35" s="981"/>
      <c r="I35" s="981"/>
      <c r="J35" s="981"/>
      <c r="K35" s="2276"/>
      <c r="L35" s="981"/>
      <c r="M35" s="981"/>
      <c r="N35" s="981"/>
      <c r="O35" s="981"/>
      <c r="P35" s="2276"/>
      <c r="Q35" s="981"/>
      <c r="R35" s="981"/>
      <c r="S35" s="981"/>
      <c r="T35" s="981"/>
      <c r="U35" s="2276"/>
      <c r="V35" s="981"/>
      <c r="W35" s="981"/>
      <c r="X35" s="981"/>
      <c r="Y35" s="981"/>
      <c r="Z35" s="2276"/>
      <c r="AA35" s="981"/>
      <c r="AB35" s="981"/>
      <c r="AC35" s="981"/>
      <c r="AD35" s="981"/>
      <c r="AE35" s="2276"/>
      <c r="AF35" s="981"/>
      <c r="AG35" s="981"/>
      <c r="AH35" s="981"/>
      <c r="AI35" s="981"/>
      <c r="AJ35" s="2276"/>
      <c r="AK35" s="981"/>
      <c r="AL35" s="981"/>
      <c r="AM35" s="981"/>
      <c r="AN35" s="981"/>
      <c r="AO35" s="2276"/>
      <c r="AP35" s="981"/>
      <c r="AQ35" s="981"/>
      <c r="AR35" s="981"/>
      <c r="AS35" s="981"/>
      <c r="AT35" s="2276"/>
      <c r="AU35" s="981"/>
      <c r="AV35" s="981"/>
      <c r="AW35" s="981"/>
      <c r="AX35" s="981"/>
      <c r="AY35" s="2276"/>
      <c r="AZ35" s="981"/>
      <c r="BA35" s="981"/>
      <c r="BB35" s="981"/>
      <c r="BC35" s="981"/>
      <c r="BD35" s="2276"/>
      <c r="BE35" s="981"/>
      <c r="BF35" s="981"/>
      <c r="BG35" s="981"/>
      <c r="BH35" s="981"/>
      <c r="BI35" s="2276"/>
      <c r="BJ35" s="981"/>
      <c r="BK35" s="981"/>
      <c r="BL35" s="981"/>
      <c r="BM35" s="981"/>
      <c r="BN35" s="2276"/>
      <c r="BO35" s="981"/>
      <c r="BP35" s="981"/>
      <c r="BQ35" s="981"/>
      <c r="BR35" s="981"/>
      <c r="BS35" s="2276"/>
      <c r="BT35" s="981"/>
      <c r="BU35" s="981"/>
      <c r="BV35" s="981"/>
      <c r="BW35" s="981"/>
      <c r="BX35" s="2276"/>
      <c r="BY35" s="981"/>
      <c r="BZ35" s="981"/>
      <c r="CA35" s="981"/>
      <c r="CB35" s="981"/>
      <c r="CC35" s="2276"/>
      <c r="CD35" s="981"/>
      <c r="CE35" s="981"/>
      <c r="CF35" s="981"/>
      <c r="CG35" s="981"/>
      <c r="CH35" s="2276"/>
      <c r="CI35" s="981"/>
      <c r="CJ35" s="981"/>
      <c r="CK35" s="981"/>
      <c r="CL35" s="981"/>
      <c r="CM35" s="2276"/>
      <c r="CN35" s="981"/>
      <c r="CO35" s="981"/>
      <c r="CP35" s="981"/>
      <c r="CQ35" s="981"/>
      <c r="CR35" s="2276"/>
      <c r="CS35" s="981"/>
      <c r="CT35" s="981"/>
      <c r="CU35" s="981"/>
      <c r="CV35" s="981"/>
      <c r="CW35" s="2276"/>
      <c r="CX35" s="981"/>
      <c r="CY35" s="2277"/>
      <c r="CZ35" s="981"/>
      <c r="DA35" s="981"/>
      <c r="DB35" s="2276"/>
      <c r="DC35" s="981"/>
      <c r="DD35" s="2277"/>
      <c r="DE35" s="981"/>
      <c r="DF35" s="981"/>
      <c r="DG35" s="2276"/>
      <c r="DH35" s="981"/>
      <c r="DI35" s="2277"/>
      <c r="DJ35" s="981"/>
      <c r="DK35" s="981"/>
      <c r="DL35" s="2276"/>
      <c r="DM35" s="981"/>
      <c r="DN35" s="981"/>
      <c r="DO35" s="981"/>
      <c r="DP35" s="981"/>
      <c r="DQ35" s="2276"/>
      <c r="DR35" s="981"/>
      <c r="DS35" s="981"/>
      <c r="DT35" s="981"/>
      <c r="DU35" s="981"/>
      <c r="DV35" s="2278"/>
      <c r="DW35" s="981"/>
      <c r="DX35" s="981"/>
      <c r="DY35" s="981"/>
      <c r="DZ35" s="981"/>
      <c r="EA35" s="2278"/>
      <c r="EB35" s="981"/>
      <c r="EC35" s="981"/>
      <c r="ED35" s="2279"/>
      <c r="EE35" s="981"/>
      <c r="EF35" s="2278"/>
      <c r="EG35" s="1461"/>
      <c r="EH35" s="1461"/>
      <c r="EI35" s="1461"/>
      <c r="EJ35" s="1461"/>
      <c r="EK35" s="2397"/>
      <c r="EL35" s="1461"/>
      <c r="EM35" s="1461"/>
      <c r="EN35" s="1461"/>
      <c r="EO35" s="2280"/>
      <c r="EP35" s="741">
        <f>IF(ISERROR(EP33/EK33-1)," ",(EP33/EK33-1))</f>
        <v>5.6860070240617677E-2</v>
      </c>
      <c r="EQ35" s="2280"/>
      <c r="ER35" s="2280"/>
      <c r="ES35" s="2280"/>
      <c r="ET35" s="2280"/>
      <c r="EU35" s="741">
        <f>IF(ISERROR(EU33/EP33-1)," ",(EU33/EP33-1))</f>
        <v>5.4039402397149994E-2</v>
      </c>
      <c r="EV35" s="2280"/>
      <c r="EW35" s="2280"/>
      <c r="EX35" s="2280"/>
      <c r="EY35" s="2280"/>
      <c r="EZ35" s="741">
        <f>IF(ISERROR(EZ33/EU33-1)," ",(EZ33/EU33-1))</f>
        <v>5.9536526099990716E-2</v>
      </c>
      <c r="FA35" s="2280"/>
      <c r="FB35" s="2280"/>
      <c r="FC35" s="2280"/>
      <c r="FD35" s="2280"/>
      <c r="FE35" s="741">
        <f>IF(ISERROR(FE33/EZ33-1)," ",(FE33/EZ33-1))</f>
        <v>5.8130774754568959E-2</v>
      </c>
      <c r="FF35" s="981"/>
      <c r="FG35" s="690"/>
      <c r="FH35" s="2276"/>
      <c r="FI35" s="2276"/>
      <c r="FJ35" s="2276"/>
      <c r="FK35" s="2276"/>
      <c r="FL35" s="690"/>
      <c r="FM35" s="747"/>
      <c r="FN35" s="747"/>
      <c r="FO35" s="929"/>
      <c r="FP35" s="929"/>
      <c r="FQ35" s="929"/>
      <c r="FR35" s="929"/>
      <c r="FS35" s="929"/>
      <c r="FT35" s="929"/>
      <c r="FU35" s="690"/>
      <c r="FV35"/>
      <c r="FW35"/>
      <c r="FX35"/>
      <c r="FY35"/>
      <c r="FZ35"/>
      <c r="GA35"/>
      <c r="GB35" s="981"/>
    </row>
    <row r="36" spans="1:272" s="945" customFormat="1" ht="12.75" customHeight="1">
      <c r="A36" s="932" t="s">
        <v>288</v>
      </c>
      <c r="B36" s="933"/>
      <c r="C36" s="934"/>
      <c r="D36" s="934"/>
      <c r="E36" s="934"/>
      <c r="F36" s="718"/>
      <c r="G36" s="934">
        <v>156.73400000000001</v>
      </c>
      <c r="H36" s="934">
        <v>163.65799999999999</v>
      </c>
      <c r="I36" s="934">
        <v>164.19200000000001</v>
      </c>
      <c r="J36" s="934">
        <v>153.51400000000001</v>
      </c>
      <c r="K36" s="718">
        <v>638.09800000000007</v>
      </c>
      <c r="L36" s="719">
        <v>144.739</v>
      </c>
      <c r="M36" s="719">
        <v>158.17099999999999</v>
      </c>
      <c r="N36" s="719">
        <v>170.828</v>
      </c>
      <c r="O36" s="719">
        <v>165.70500000000001</v>
      </c>
      <c r="P36" s="718">
        <v>639.44299999999998</v>
      </c>
      <c r="Q36" s="719">
        <v>173.89400000000001</v>
      </c>
      <c r="R36" s="719">
        <v>181.60400000000001</v>
      </c>
      <c r="S36" s="719">
        <v>186.97399999999999</v>
      </c>
      <c r="T36" s="719">
        <v>181.72300000000001</v>
      </c>
      <c r="U36" s="718">
        <v>724.19500000000005</v>
      </c>
      <c r="V36" s="719">
        <v>187.96700000000001</v>
      </c>
      <c r="W36" s="719">
        <v>198.93299999999999</v>
      </c>
      <c r="X36" s="719">
        <v>213.989</v>
      </c>
      <c r="Y36" s="719">
        <v>217.41200000000001</v>
      </c>
      <c r="Z36" s="718">
        <v>818.30100000000004</v>
      </c>
      <c r="AA36" s="719">
        <v>230.40799999999999</v>
      </c>
      <c r="AB36" s="719">
        <v>273.91300000000001</v>
      </c>
      <c r="AC36" s="719">
        <v>259.44400000000002</v>
      </c>
      <c r="AD36" s="719">
        <v>254.779</v>
      </c>
      <c r="AE36" s="718">
        <v>1018.544</v>
      </c>
      <c r="AF36" s="719">
        <v>274.89</v>
      </c>
      <c r="AG36" s="719">
        <v>288.12200000000001</v>
      </c>
      <c r="AH36" s="719">
        <v>294.75099999999998</v>
      </c>
      <c r="AI36" s="719">
        <v>294.40100000000001</v>
      </c>
      <c r="AJ36" s="718">
        <v>1152.164</v>
      </c>
      <c r="AK36" s="719">
        <v>301.84100000000001</v>
      </c>
      <c r="AL36" s="719">
        <v>316.65299999999996</v>
      </c>
      <c r="AM36" s="719">
        <v>331.09</v>
      </c>
      <c r="AN36" s="719">
        <v>342.49799999999999</v>
      </c>
      <c r="AO36" s="718">
        <v>1292.0820000000001</v>
      </c>
      <c r="AP36" s="719">
        <v>334.45800000000003</v>
      </c>
      <c r="AQ36" s="719">
        <v>365.40499999999997</v>
      </c>
      <c r="AR36" s="719">
        <v>387.97500000000002</v>
      </c>
      <c r="AS36" s="719">
        <v>385.35</v>
      </c>
      <c r="AT36" s="718">
        <v>1473.1879999999999</v>
      </c>
      <c r="AU36" s="719">
        <v>393.60500000000002</v>
      </c>
      <c r="AV36" s="719">
        <v>424.61799999999999</v>
      </c>
      <c r="AW36" s="719">
        <v>438.59500000000003</v>
      </c>
      <c r="AX36" s="719">
        <v>427.173</v>
      </c>
      <c r="AY36" s="718">
        <v>1683.991</v>
      </c>
      <c r="AZ36" s="719">
        <v>433.37900000000002</v>
      </c>
      <c r="BA36" s="719">
        <v>463.54700000000003</v>
      </c>
      <c r="BB36" s="719">
        <v>490.65800000000002</v>
      </c>
      <c r="BC36" s="719">
        <v>490.63200000000001</v>
      </c>
      <c r="BD36" s="718">
        <v>1878.2160000000001</v>
      </c>
      <c r="BE36" s="719">
        <v>508.404</v>
      </c>
      <c r="BF36" s="719">
        <v>528.42200000000003</v>
      </c>
      <c r="BG36" s="719">
        <v>517.63199999999995</v>
      </c>
      <c r="BH36" s="719">
        <v>490.43799999999999</v>
      </c>
      <c r="BI36" s="718">
        <v>2044.8959999999997</v>
      </c>
      <c r="BJ36" s="719">
        <v>468.97</v>
      </c>
      <c r="BK36" s="719">
        <v>489.19299999999998</v>
      </c>
      <c r="BL36" s="719">
        <v>491.15100000000001</v>
      </c>
      <c r="BM36" s="719">
        <v>462.99900000000002</v>
      </c>
      <c r="BN36" s="718">
        <v>1912.3130000000001</v>
      </c>
      <c r="BO36" s="935">
        <v>454.73099999999999</v>
      </c>
      <c r="BP36" s="935">
        <v>503.96800000000002</v>
      </c>
      <c r="BQ36" s="935">
        <v>527.68899999999996</v>
      </c>
      <c r="BR36" s="935">
        <v>525.08900000000006</v>
      </c>
      <c r="BS36" s="718">
        <f>SUM(BO36:BR36)</f>
        <v>2011.4769999999999</v>
      </c>
      <c r="BT36" s="935">
        <v>506.91700000000003</v>
      </c>
      <c r="BU36" s="935">
        <v>528.75100000000009</v>
      </c>
      <c r="BV36" s="935">
        <v>559.41300000000001</v>
      </c>
      <c r="BW36" s="935">
        <v>561.38499999999999</v>
      </c>
      <c r="BX36" s="718">
        <f>SUM(BT36:BW36)</f>
        <v>2156.4660000000003</v>
      </c>
      <c r="BY36" s="935">
        <v>578.97400000000005</v>
      </c>
      <c r="BZ36" s="935">
        <v>640.59699999999998</v>
      </c>
      <c r="CA36" s="935">
        <v>666.64499999999998</v>
      </c>
      <c r="CB36" s="935">
        <v>649.25799999999992</v>
      </c>
      <c r="CC36" s="718">
        <f>SUM(BY36:CB36)</f>
        <v>2535.4739999999997</v>
      </c>
      <c r="CD36" s="935">
        <v>643.63199999999995</v>
      </c>
      <c r="CE36" s="935">
        <v>717.83</v>
      </c>
      <c r="CF36" s="935">
        <v>752.09</v>
      </c>
      <c r="CG36" s="935">
        <v>730.72900000000004</v>
      </c>
      <c r="CH36" s="718">
        <f>SUM(CD36:CG36)</f>
        <v>2844.2809999999999</v>
      </c>
      <c r="CI36" s="935">
        <v>718.27300000000002</v>
      </c>
      <c r="CJ36" s="935">
        <v>771.79700000000003</v>
      </c>
      <c r="CK36" s="935">
        <v>742.26300000000003</v>
      </c>
      <c r="CL36" s="935">
        <v>682.94600000000003</v>
      </c>
      <c r="CM36" s="718">
        <f>SUM(CI36:CL36)</f>
        <v>2915.279</v>
      </c>
      <c r="CN36" s="935">
        <v>692.97799999999995</v>
      </c>
      <c r="CO36" s="935">
        <v>756.96900000000005</v>
      </c>
      <c r="CP36" s="935">
        <v>753.80100000000004</v>
      </c>
      <c r="CQ36" s="935">
        <v>751.00900000000001</v>
      </c>
      <c r="CR36" s="718">
        <f>SUM(CN36:CQ36)</f>
        <v>2954.7570000000001</v>
      </c>
      <c r="CS36" s="935">
        <v>754.54700000000003</v>
      </c>
      <c r="CT36" s="935">
        <v>837.32</v>
      </c>
      <c r="CU36" s="935">
        <v>824.94799999999998</v>
      </c>
      <c r="CV36" s="935">
        <v>654.20000000000005</v>
      </c>
      <c r="CW36" s="718">
        <f>SUM(CS36:CV36)</f>
        <v>3071.0150000000003</v>
      </c>
      <c r="CX36" s="935">
        <v>573.81500000000005</v>
      </c>
      <c r="CY36" s="935">
        <v>649.34900000000005</v>
      </c>
      <c r="CZ36" s="935">
        <v>704.45899999999995</v>
      </c>
      <c r="DA36" s="935">
        <v>696.36599999999999</v>
      </c>
      <c r="DB36" s="718">
        <f>SUM(CX36:DA36)</f>
        <v>2623.989</v>
      </c>
      <c r="DC36" s="935">
        <v>725.00300000000004</v>
      </c>
      <c r="DD36" s="935">
        <v>816.96500000000003</v>
      </c>
      <c r="DE36" s="935">
        <v>797.07799999999997</v>
      </c>
      <c r="DF36" s="935">
        <v>736.01800000000003</v>
      </c>
      <c r="DG36" s="718">
        <f>SUM(DC36:DF36)</f>
        <v>3075.0640000000003</v>
      </c>
      <c r="DH36" s="935">
        <v>767.74099999999999</v>
      </c>
      <c r="DI36" s="935">
        <v>839.82899999999995</v>
      </c>
      <c r="DJ36" s="935">
        <v>843.3</v>
      </c>
      <c r="DK36" s="935">
        <v>796.23699999999997</v>
      </c>
      <c r="DL36" s="718">
        <f>SUM(DH36:DK36)</f>
        <v>3247.107</v>
      </c>
      <c r="DM36" s="935">
        <v>831.04700000000003</v>
      </c>
      <c r="DN36" s="935">
        <v>878.524</v>
      </c>
      <c r="DO36" s="935">
        <v>858.27599999999995</v>
      </c>
      <c r="DP36" s="935">
        <v>824.74900000000002</v>
      </c>
      <c r="DQ36" s="718">
        <f>SUM(DM36:DP36)</f>
        <v>3392.5959999999995</v>
      </c>
      <c r="DR36" s="935">
        <v>827.53599999999994</v>
      </c>
      <c r="DS36" s="935">
        <v>892.27499999999998</v>
      </c>
      <c r="DT36" s="935">
        <v>899.25400000000002</v>
      </c>
      <c r="DU36" s="935">
        <v>847.03499999999997</v>
      </c>
      <c r="DV36" s="718">
        <f>SUM(DR36:DU36)</f>
        <v>3466.1</v>
      </c>
      <c r="DW36" s="935">
        <v>848.02700000000004</v>
      </c>
      <c r="DX36" s="935">
        <v>940.50300000000004</v>
      </c>
      <c r="DY36" s="935">
        <v>946.30600000000004</v>
      </c>
      <c r="DZ36" s="935">
        <v>897.22900000000004</v>
      </c>
      <c r="EA36" s="718">
        <f>SUM(DW36:DZ36)</f>
        <v>3632.0650000000005</v>
      </c>
      <c r="EB36" s="935">
        <v>855.61199999999997</v>
      </c>
      <c r="EC36" s="935">
        <v>916.90599999999995</v>
      </c>
      <c r="ED36" s="1729">
        <v>905.6</v>
      </c>
      <c r="EE36" s="935">
        <f>+EE40-EE65</f>
        <v>850.83666021057218</v>
      </c>
      <c r="EF36" s="718">
        <f>SUM(EB36:EE36)</f>
        <v>3528.954660210572</v>
      </c>
      <c r="EG36" s="935">
        <v>820</v>
      </c>
      <c r="EH36" s="935">
        <v>866.5</v>
      </c>
      <c r="EI36" s="935">
        <v>873.5</v>
      </c>
      <c r="EJ36" s="935">
        <v>844.8</v>
      </c>
      <c r="EK36" s="718">
        <f>SUM(EG36:EJ36)</f>
        <v>3404.8</v>
      </c>
      <c r="EL36" s="935">
        <v>869.2</v>
      </c>
      <c r="EM36" s="935">
        <v>934.1</v>
      </c>
      <c r="EN36" s="935">
        <v>916.1</v>
      </c>
      <c r="EO36" s="935">
        <v>875.6</v>
      </c>
      <c r="EP36" s="718">
        <f>SUM(EL36:EO36)</f>
        <v>3595</v>
      </c>
      <c r="EQ36" s="935">
        <f>+EQ40-EQ65</f>
        <v>906.90142085298601</v>
      </c>
      <c r="ER36" s="935">
        <f>+ER40-ER65</f>
        <v>980.7119816952785</v>
      </c>
      <c r="ES36" s="935">
        <f t="shared" ref="ES36" si="33">+ES40-ES65</f>
        <v>958.32290600805663</v>
      </c>
      <c r="ET36" s="935">
        <f>+ET40-ET65</f>
        <v>947.53196345218169</v>
      </c>
      <c r="EU36" s="718">
        <f>SUM(EQ36:ET36)</f>
        <v>3793.4682720085025</v>
      </c>
      <c r="EV36" s="935">
        <f>+EV40-EV65</f>
        <v>989.0644846713285</v>
      </c>
      <c r="EW36" s="935">
        <f>+EW40-EW65</f>
        <v>1063.8466893918421</v>
      </c>
      <c r="EX36" s="935">
        <f t="shared" ref="EX36" si="34">+EX40-EX65</f>
        <v>1050.6265453842775</v>
      </c>
      <c r="EY36" s="935">
        <f>+EY40-EY65</f>
        <v>1007.4229010161635</v>
      </c>
      <c r="EZ36" s="718">
        <f t="shared" ref="EZ36:FE36" si="35">+EZ40-EZ65</f>
        <v>4021.967570205873</v>
      </c>
      <c r="FA36" s="935">
        <f t="shared" si="35"/>
        <v>-20</v>
      </c>
      <c r="FB36" s="935">
        <f t="shared" si="35"/>
        <v>-20</v>
      </c>
      <c r="FC36" s="935">
        <f t="shared" si="35"/>
        <v>-20</v>
      </c>
      <c r="FD36" s="935">
        <f t="shared" si="35"/>
        <v>-20</v>
      </c>
      <c r="FE36" s="718">
        <f t="shared" si="35"/>
        <v>4258.3544805762704</v>
      </c>
      <c r="FF36" s="938"/>
      <c r="FG36" s="690"/>
      <c r="FH36" s="939"/>
      <c r="FI36" s="939"/>
      <c r="FJ36" s="939"/>
      <c r="FK36" s="939"/>
      <c r="FL36" s="690"/>
      <c r="FM36" s="752" t="s">
        <v>289</v>
      </c>
      <c r="FN36" s="940"/>
      <c r="FO36" s="941"/>
      <c r="FP36" s="941"/>
      <c r="FQ36" s="719" t="s">
        <v>652</v>
      </c>
      <c r="FR36" s="941"/>
      <c r="FS36" s="941"/>
      <c r="FT36" s="941"/>
      <c r="FU36" s="690"/>
      <c r="FV36"/>
      <c r="FW36"/>
      <c r="FX36"/>
      <c r="FY36"/>
      <c r="FZ36"/>
      <c r="GA36"/>
      <c r="GB36" s="943"/>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c r="HD36" s="944"/>
      <c r="HE36" s="944"/>
      <c r="HF36" s="944"/>
      <c r="HG36" s="944"/>
      <c r="HH36" s="944"/>
      <c r="HI36" s="944"/>
      <c r="HJ36" s="944"/>
      <c r="HK36" s="944"/>
      <c r="HL36" s="944"/>
      <c r="HM36" s="944"/>
      <c r="HN36" s="944"/>
      <c r="HO36" s="944"/>
      <c r="HP36" s="944"/>
      <c r="HQ36" s="944"/>
      <c r="HR36" s="944"/>
      <c r="HS36" s="944"/>
      <c r="HT36" s="944"/>
      <c r="HU36" s="944"/>
      <c r="HV36" s="944"/>
      <c r="HW36" s="944"/>
      <c r="HX36" s="944"/>
      <c r="HY36" s="944"/>
      <c r="HZ36" s="944"/>
      <c r="IA36" s="944"/>
      <c r="IB36" s="944"/>
      <c r="IC36" s="944"/>
      <c r="ID36" s="944"/>
      <c r="IE36" s="944"/>
      <c r="IF36" s="944"/>
      <c r="IG36" s="944"/>
      <c r="IH36" s="944"/>
      <c r="II36" s="944"/>
      <c r="IJ36" s="944"/>
      <c r="IK36" s="944"/>
      <c r="IL36" s="944"/>
      <c r="IM36" s="944"/>
      <c r="IN36" s="944"/>
      <c r="IO36" s="944"/>
      <c r="IP36" s="944"/>
      <c r="IQ36" s="944"/>
      <c r="IR36" s="944"/>
      <c r="IS36" s="944"/>
      <c r="IT36" s="944"/>
      <c r="IU36" s="944"/>
      <c r="IV36" s="944"/>
      <c r="IW36" s="944"/>
      <c r="IX36" s="944"/>
      <c r="IY36" s="944"/>
      <c r="IZ36" s="944"/>
      <c r="JA36" s="944"/>
      <c r="JB36" s="944"/>
      <c r="JC36" s="944"/>
      <c r="JD36" s="944"/>
      <c r="JE36" s="944"/>
      <c r="JF36" s="944"/>
      <c r="JG36" s="944"/>
      <c r="JH36" s="944"/>
      <c r="JI36" s="944"/>
      <c r="JJ36" s="944"/>
      <c r="JK36" s="944"/>
      <c r="JL36" s="944"/>
    </row>
    <row r="37" spans="1:272" s="799" customFormat="1" ht="12.75" customHeight="1">
      <c r="A37" s="58" t="s">
        <v>85</v>
      </c>
      <c r="B37" s="790"/>
      <c r="C37" s="721"/>
      <c r="D37" s="721"/>
      <c r="E37" s="721"/>
      <c r="F37" s="741"/>
      <c r="G37" s="721"/>
      <c r="H37" s="721"/>
      <c r="I37" s="721"/>
      <c r="J37" s="721"/>
      <c r="K37" s="741"/>
      <c r="L37" s="721"/>
      <c r="M37" s="721"/>
      <c r="N37" s="721"/>
      <c r="O37" s="721"/>
      <c r="P37" s="741"/>
      <c r="Q37" s="721"/>
      <c r="R37" s="721"/>
      <c r="S37" s="721"/>
      <c r="T37" s="721"/>
      <c r="U37" s="741"/>
      <c r="V37" s="721"/>
      <c r="W37" s="721"/>
      <c r="X37" s="721"/>
      <c r="Y37" s="721"/>
      <c r="Z37" s="741"/>
      <c r="AA37" s="721">
        <f t="shared" ref="AA37:CL37" si="36">IF(ISERROR(AA36/V36-1)," ",(AA36/V36-1))</f>
        <v>0.22578963328669377</v>
      </c>
      <c r="AB37" s="721">
        <f t="shared" si="36"/>
        <v>0.3769108192205417</v>
      </c>
      <c r="AC37" s="721">
        <f t="shared" si="36"/>
        <v>0.21241746071059731</v>
      </c>
      <c r="AD37" s="721">
        <f t="shared" si="36"/>
        <v>0.17187183780104132</v>
      </c>
      <c r="AE37" s="741">
        <f t="shared" si="36"/>
        <v>0.24470579896639499</v>
      </c>
      <c r="AF37" s="721">
        <f t="shared" si="36"/>
        <v>0.19305753272455828</v>
      </c>
      <c r="AG37" s="721">
        <f t="shared" si="36"/>
        <v>5.1874135218116679E-2</v>
      </c>
      <c r="AH37" s="721">
        <f t="shared" si="36"/>
        <v>0.13608717102727352</v>
      </c>
      <c r="AI37" s="721">
        <f t="shared" si="36"/>
        <v>0.15551517197257247</v>
      </c>
      <c r="AJ37" s="741">
        <f t="shared" si="36"/>
        <v>0.13118726338773778</v>
      </c>
      <c r="AK37" s="721">
        <f t="shared" si="36"/>
        <v>9.8042853505038385E-2</v>
      </c>
      <c r="AL37" s="721">
        <f t="shared" si="36"/>
        <v>9.9024024545157685E-2</v>
      </c>
      <c r="AM37" s="721">
        <f t="shared" si="36"/>
        <v>0.1232871135297251</v>
      </c>
      <c r="AN37" s="721">
        <f t="shared" si="36"/>
        <v>0.16337240702307398</v>
      </c>
      <c r="AO37" s="741">
        <f t="shared" si="36"/>
        <v>0.1214393089872623</v>
      </c>
      <c r="AP37" s="721">
        <f t="shared" si="36"/>
        <v>0.10806020388217652</v>
      </c>
      <c r="AQ37" s="721">
        <f t="shared" si="36"/>
        <v>0.15396032881419108</v>
      </c>
      <c r="AR37" s="721">
        <f t="shared" si="36"/>
        <v>0.17181128998157624</v>
      </c>
      <c r="AS37" s="721">
        <f t="shared" si="36"/>
        <v>0.12511605907187784</v>
      </c>
      <c r="AT37" s="741">
        <f t="shared" si="36"/>
        <v>0.1401660266144098</v>
      </c>
      <c r="AU37" s="721">
        <f t="shared" si="36"/>
        <v>0.17684432723989252</v>
      </c>
      <c r="AV37" s="721">
        <f t="shared" si="36"/>
        <v>0.16204759102913213</v>
      </c>
      <c r="AW37" s="721">
        <f t="shared" si="36"/>
        <v>0.13047232424769639</v>
      </c>
      <c r="AX37" s="721">
        <f t="shared" si="36"/>
        <v>0.10853250291942373</v>
      </c>
      <c r="AY37" s="741">
        <f t="shared" si="36"/>
        <v>0.14309307433945984</v>
      </c>
      <c r="AZ37" s="721">
        <f t="shared" si="36"/>
        <v>0.10105054559774396</v>
      </c>
      <c r="BA37" s="721">
        <f t="shared" si="36"/>
        <v>9.1680051246061156E-2</v>
      </c>
      <c r="BB37" s="721">
        <f t="shared" si="36"/>
        <v>0.11870404359374809</v>
      </c>
      <c r="BC37" s="721">
        <f t="shared" si="36"/>
        <v>0.14855573737104177</v>
      </c>
      <c r="BD37" s="741">
        <f t="shared" si="36"/>
        <v>0.11533612709331598</v>
      </c>
      <c r="BE37" s="721">
        <f t="shared" si="36"/>
        <v>0.17311637158237936</v>
      </c>
      <c r="BF37" s="721">
        <f t="shared" si="36"/>
        <v>0.13995344592889181</v>
      </c>
      <c r="BG37" s="721">
        <f t="shared" si="36"/>
        <v>5.4975155811175958E-2</v>
      </c>
      <c r="BH37" s="721">
        <f t="shared" si="36"/>
        <v>-3.9540837124363293E-4</v>
      </c>
      <c r="BI37" s="741">
        <f t="shared" si="36"/>
        <v>8.8743786657125456E-2</v>
      </c>
      <c r="BJ37" s="721">
        <f t="shared" si="36"/>
        <v>-7.7564299258070291E-2</v>
      </c>
      <c r="BK37" s="721">
        <f t="shared" si="36"/>
        <v>-7.4238014314317091E-2</v>
      </c>
      <c r="BL37" s="721">
        <f t="shared" si="36"/>
        <v>-5.1157965504450953E-2</v>
      </c>
      <c r="BM37" s="721">
        <f t="shared" si="36"/>
        <v>-5.5947948568422445E-2</v>
      </c>
      <c r="BN37" s="741">
        <f t="shared" si="36"/>
        <v>-6.4836060122372752E-2</v>
      </c>
      <c r="BO37" s="721">
        <f t="shared" si="36"/>
        <v>-3.0362283301703763E-2</v>
      </c>
      <c r="BP37" s="721">
        <f t="shared" si="36"/>
        <v>3.0202803392526123E-2</v>
      </c>
      <c r="BQ37" s="721">
        <f t="shared" si="36"/>
        <v>7.4392600239030271E-2</v>
      </c>
      <c r="BR37" s="721">
        <f t="shared" si="36"/>
        <v>0.13410396134764868</v>
      </c>
      <c r="BS37" s="741">
        <f t="shared" si="36"/>
        <v>5.1855527834616888E-2</v>
      </c>
      <c r="BT37" s="721">
        <f t="shared" si="36"/>
        <v>0.11476235400709434</v>
      </c>
      <c r="BU37" s="721">
        <f t="shared" si="36"/>
        <v>4.9175741316909161E-2</v>
      </c>
      <c r="BV37" s="721">
        <f t="shared" si="36"/>
        <v>6.0118744184548101E-2</v>
      </c>
      <c r="BW37" s="721">
        <f t="shared" si="36"/>
        <v>6.9123520012797757E-2</v>
      </c>
      <c r="BX37" s="741">
        <f t="shared" si="36"/>
        <v>7.2080863962153519E-2</v>
      </c>
      <c r="BY37" s="721">
        <f t="shared" si="36"/>
        <v>0.14214753105537992</v>
      </c>
      <c r="BZ37" s="721">
        <f t="shared" si="36"/>
        <v>0.21152867795994679</v>
      </c>
      <c r="CA37" s="721">
        <f t="shared" si="36"/>
        <v>0.19168664296324889</v>
      </c>
      <c r="CB37" s="721">
        <f t="shared" si="36"/>
        <v>0.15652894181355026</v>
      </c>
      <c r="CC37" s="741">
        <f t="shared" si="36"/>
        <v>0.175754220098995</v>
      </c>
      <c r="CD37" s="721">
        <f t="shared" si="36"/>
        <v>0.11167686286430811</v>
      </c>
      <c r="CE37" s="721">
        <f t="shared" si="36"/>
        <v>0.12056409880158681</v>
      </c>
      <c r="CF37" s="721">
        <f t="shared" si="36"/>
        <v>0.1281716655791314</v>
      </c>
      <c r="CG37" s="721">
        <f t="shared" si="36"/>
        <v>0.12548324394924681</v>
      </c>
      <c r="CH37" s="741">
        <f t="shared" si="36"/>
        <v>0.12179458357687767</v>
      </c>
      <c r="CI37" s="721">
        <f t="shared" si="36"/>
        <v>0.11596844159395436</v>
      </c>
      <c r="CJ37" s="721">
        <f t="shared" si="36"/>
        <v>7.5180753103102349E-2</v>
      </c>
      <c r="CK37" s="721">
        <f t="shared" si="36"/>
        <v>-1.3066255368373469E-2</v>
      </c>
      <c r="CL37" s="721">
        <f t="shared" si="36"/>
        <v>-6.5390863096989493E-2</v>
      </c>
      <c r="CM37" s="741">
        <f t="shared" ref="CM37:EF37" si="37">IF(ISERROR(CM36/CH36-1)," ",(CM36/CH36-1))</f>
        <v>2.4961668695884898E-2</v>
      </c>
      <c r="CN37" s="721">
        <f t="shared" si="37"/>
        <v>-3.5216414928585738E-2</v>
      </c>
      <c r="CO37" s="721">
        <f t="shared" si="37"/>
        <v>-1.9212305826532106E-2</v>
      </c>
      <c r="CP37" s="721">
        <f t="shared" si="37"/>
        <v>1.5544355572081558E-2</v>
      </c>
      <c r="CQ37" s="721">
        <f t="shared" si="37"/>
        <v>9.9660880948127639E-2</v>
      </c>
      <c r="CR37" s="741">
        <f t="shared" si="37"/>
        <v>1.354175706681926E-2</v>
      </c>
      <c r="CS37" s="721">
        <f t="shared" si="37"/>
        <v>8.8846976383088805E-2</v>
      </c>
      <c r="CT37" s="721">
        <f t="shared" si="37"/>
        <v>0.10614833632552978</v>
      </c>
      <c r="CU37" s="721">
        <f t="shared" si="37"/>
        <v>9.4384326897947846E-2</v>
      </c>
      <c r="CV37" s="721">
        <f t="shared" si="37"/>
        <v>-0.12890524614219001</v>
      </c>
      <c r="CW37" s="741">
        <f t="shared" si="37"/>
        <v>3.9346044361685317E-2</v>
      </c>
      <c r="CX37" s="721">
        <f t="shared" si="37"/>
        <v>-0.23952384675838612</v>
      </c>
      <c r="CY37" s="721">
        <f t="shared" si="37"/>
        <v>-0.22449123393684611</v>
      </c>
      <c r="CZ37" s="721">
        <f t="shared" si="37"/>
        <v>-0.1460564787113855</v>
      </c>
      <c r="DA37" s="721">
        <f t="shared" si="37"/>
        <v>6.445429532253133E-2</v>
      </c>
      <c r="DB37" s="741">
        <f t="shared" si="37"/>
        <v>-0.14556294905755918</v>
      </c>
      <c r="DC37" s="721">
        <f t="shared" si="37"/>
        <v>0.26347864729921655</v>
      </c>
      <c r="DD37" s="721">
        <f t="shared" si="37"/>
        <v>0.25812929564841092</v>
      </c>
      <c r="DE37" s="721">
        <f t="shared" si="37"/>
        <v>0.13147535910535613</v>
      </c>
      <c r="DF37" s="721">
        <f t="shared" si="37"/>
        <v>5.6941321086899865E-2</v>
      </c>
      <c r="DG37" s="741">
        <f t="shared" si="37"/>
        <v>0.1719043029524896</v>
      </c>
      <c r="DH37" s="721">
        <f t="shared" si="37"/>
        <v>5.8948721591496778E-2</v>
      </c>
      <c r="DI37" s="721">
        <f t="shared" si="37"/>
        <v>2.7986511050044793E-2</v>
      </c>
      <c r="DJ37" s="721">
        <f t="shared" si="37"/>
        <v>5.7989305939945668E-2</v>
      </c>
      <c r="DK37" s="721">
        <f t="shared" si="37"/>
        <v>8.1817292511867867E-2</v>
      </c>
      <c r="DL37" s="741">
        <f t="shared" si="37"/>
        <v>5.5947778647858826E-2</v>
      </c>
      <c r="DM37" s="721">
        <f t="shared" si="37"/>
        <v>8.2457495431402128E-2</v>
      </c>
      <c r="DN37" s="721">
        <f t="shared" si="37"/>
        <v>4.6074855714675289E-2</v>
      </c>
      <c r="DO37" s="721">
        <f t="shared" si="37"/>
        <v>1.7758804695837682E-2</v>
      </c>
      <c r="DP37" s="721">
        <f t="shared" si="37"/>
        <v>3.580843392105626E-2</v>
      </c>
      <c r="DQ37" s="741">
        <f t="shared" si="37"/>
        <v>4.4805730146866063E-2</v>
      </c>
      <c r="DR37" s="743">
        <f>IF(ISERROR(DR36/DM36-1)," ",(DR36/DM36-1))</f>
        <v>-4.2247911369635016E-3</v>
      </c>
      <c r="DS37" s="743">
        <f t="shared" si="37"/>
        <v>1.5652389689980062E-2</v>
      </c>
      <c r="DT37" s="721">
        <f t="shared" si="37"/>
        <v>4.7744548373716666E-2</v>
      </c>
      <c r="DU37" s="721">
        <f t="shared" si="37"/>
        <v>2.7021554436561734E-2</v>
      </c>
      <c r="DV37" s="741">
        <f t="shared" si="37"/>
        <v>2.166600444025768E-2</v>
      </c>
      <c r="DW37" s="743">
        <f t="shared" si="37"/>
        <v>2.4761460528605506E-2</v>
      </c>
      <c r="DX37" s="743">
        <f t="shared" si="37"/>
        <v>5.4050600991846665E-2</v>
      </c>
      <c r="DY37" s="721">
        <f t="shared" si="37"/>
        <v>5.2323370260237922E-2</v>
      </c>
      <c r="DZ37" s="721">
        <f t="shared" si="37"/>
        <v>5.9258472200086176E-2</v>
      </c>
      <c r="EA37" s="741">
        <f t="shared" si="37"/>
        <v>4.7882346152736677E-2</v>
      </c>
      <c r="EB37" s="743">
        <f t="shared" si="37"/>
        <v>8.9442906888577145E-3</v>
      </c>
      <c r="EC37" s="743">
        <f>IF(ISERROR(EC36/DX36-1)," ",(EC36/DX36-1))</f>
        <v>-2.5089765795537122E-2</v>
      </c>
      <c r="ED37" s="721">
        <f t="shared" si="37"/>
        <v>-4.3015684144452226E-2</v>
      </c>
      <c r="EE37" s="721">
        <f t="shared" si="37"/>
        <v>-5.1706241984407431E-2</v>
      </c>
      <c r="EF37" s="741">
        <f t="shared" si="37"/>
        <v>-2.8388902673665894E-2</v>
      </c>
      <c r="EG37" s="721">
        <f t="shared" ref="EG37:EJ37" si="38">IF(ISERROR(EG36/EB36-1)," ",(EG36/EB36-1))</f>
        <v>-4.1621669635301894E-2</v>
      </c>
      <c r="EH37" s="721">
        <f t="shared" si="38"/>
        <v>-5.4974010422006114E-2</v>
      </c>
      <c r="EI37" s="721">
        <f t="shared" si="38"/>
        <v>-3.5446113074204977E-2</v>
      </c>
      <c r="EJ37" s="721">
        <f t="shared" si="38"/>
        <v>-7.0949695668710566E-3</v>
      </c>
      <c r="EK37" s="741">
        <f t="shared" ref="EK37" si="39">IF(ISERROR(EK36/EF36-1)," ",(EK36/EF36-1))</f>
        <v>-3.5181710213064488E-2</v>
      </c>
      <c r="EL37" s="721">
        <f t="shared" ref="EL37" si="40">IF(ISERROR(EL36/EG36-1)," ",(EL36/EG36-1))</f>
        <v>6.0000000000000053E-2</v>
      </c>
      <c r="EM37" s="721">
        <f t="shared" ref="EM37" si="41">IF(ISERROR(EM36/EH36-1)," ",(EM36/EH36-1))</f>
        <v>7.801500288517027E-2</v>
      </c>
      <c r="EN37" s="721">
        <f t="shared" ref="EN37" si="42">IF(ISERROR(EN36/EI36-1)," ",(EN36/EI36-1))</f>
        <v>4.876931883228397E-2</v>
      </c>
      <c r="EO37" s="721">
        <f t="shared" ref="EO37:EP37" si="43">IF(ISERROR(EO36/EJ36-1)," ",(EO36/EJ36-1))</f>
        <v>3.6458333333333481E-2</v>
      </c>
      <c r="EP37" s="741">
        <f t="shared" si="43"/>
        <v>5.586231203007519E-2</v>
      </c>
      <c r="EQ37" s="721">
        <f t="shared" ref="EQ37" si="44">IF(ISERROR(EQ36/EL36-1)," ",(EQ36/EL36-1))</f>
        <v>4.3374851418529703E-2</v>
      </c>
      <c r="ER37" s="721">
        <f t="shared" ref="ER37" si="45">IF(ISERROR(ER36/EM36-1)," ",(ER36/EM36-1))</f>
        <v>4.990041932906375E-2</v>
      </c>
      <c r="ES37" s="721">
        <f t="shared" ref="ES37" si="46">IF(ISERROR(ES36/EN36-1)," ",(ES36/EN36-1))</f>
        <v>4.6089843912298534E-2</v>
      </c>
      <c r="ET37" s="721">
        <f t="shared" ref="ET37" si="47">IF(ISERROR(ET36/EO36-1)," ",(ET36/EO36-1))</f>
        <v>8.215162568773593E-2</v>
      </c>
      <c r="EU37" s="2419">
        <f t="shared" ref="EU37" si="48">IF(ISERROR(EU36/EP36-1)," ",(EU36/EP36-1))</f>
        <v>5.5206751601808657E-2</v>
      </c>
      <c r="EV37" s="721">
        <f t="shared" ref="EV37" si="49">IF(ISERROR(EV36/EQ36-1)," ",(EV36/EQ36-1))</f>
        <v>9.0597568742437407E-2</v>
      </c>
      <c r="EW37" s="721">
        <f t="shared" ref="EW37" si="50">IF(ISERROR(EW36/ER36-1)," ",(EW36/ER36-1))</f>
        <v>8.4769748150578694E-2</v>
      </c>
      <c r="EX37" s="721">
        <f t="shared" ref="EX37" si="51">IF(ISERROR(EX36/ES36-1)," ",(EX36/ES36-1))</f>
        <v>9.6317889093057829E-2</v>
      </c>
      <c r="EY37" s="721">
        <f t="shared" ref="EY37" si="52">IF(ISERROR(EY36/ET36-1)," ",(EY36/ET36-1))</f>
        <v>6.3207300517629683E-2</v>
      </c>
      <c r="EZ37" s="741">
        <f t="shared" ref="EZ37" si="53">IF(ISERROR(EZ36/EU36-1)," ",(EZ36/EU36-1))</f>
        <v>6.0234930626265282E-2</v>
      </c>
      <c r="FA37" s="721">
        <f t="shared" ref="FA37" si="54">IF(ISERROR(FA36/EV36-1)," ",(FA36/EV36-1))</f>
        <v>-1.02022112846024</v>
      </c>
      <c r="FB37" s="721">
        <f t="shared" ref="FB37" si="55">IF(ISERROR(FB36/EW36-1)," ",(FB36/EW36-1))</f>
        <v>-1.0187997013098129</v>
      </c>
      <c r="FC37" s="721">
        <f t="shared" ref="FC37" si="56">IF(ISERROR(FC36/EX36-1)," ",(FC36/EX36-1))</f>
        <v>-1.0190362599230585</v>
      </c>
      <c r="FD37" s="721">
        <f t="shared" ref="FD37" si="57">IF(ISERROR(FD36/EY36-1)," ",(FD36/EY36-1))</f>
        <v>-1.0198526358491815</v>
      </c>
      <c r="FE37" s="741">
        <f t="shared" ref="FE37" si="58">IF(ISERROR(FE36/EZ36-1)," ",(FE36/EZ36-1))</f>
        <v>5.8773947388714776E-2</v>
      </c>
      <c r="FF37" s="721"/>
      <c r="FG37" s="690"/>
      <c r="FH37" s="754"/>
      <c r="FI37" s="754"/>
      <c r="FJ37" s="754"/>
      <c r="FK37" s="754"/>
      <c r="FL37" s="690"/>
      <c r="FM37" s="708"/>
      <c r="FN37" s="708"/>
      <c r="FO37" s="2148"/>
      <c r="FP37" s="723"/>
      <c r="FQ37" s="723"/>
      <c r="FR37" s="941" t="s">
        <v>640</v>
      </c>
      <c r="FS37" s="723"/>
      <c r="FT37" s="723"/>
      <c r="FU37" s="690"/>
      <c r="FV37"/>
      <c r="FW37"/>
      <c r="FX37"/>
      <c r="FY37"/>
      <c r="FZ37"/>
      <c r="GA37"/>
      <c r="GB37" s="949"/>
      <c r="GC37" s="950"/>
      <c r="GD37" s="950"/>
      <c r="GE37" s="950"/>
      <c r="GF37" s="950"/>
      <c r="GG37" s="950"/>
      <c r="GH37" s="950"/>
      <c r="GI37" s="950"/>
      <c r="GJ37" s="950"/>
      <c r="GK37" s="950"/>
      <c r="GL37" s="950"/>
      <c r="GM37" s="950"/>
      <c r="GN37" s="950"/>
      <c r="GO37" s="950"/>
      <c r="GP37" s="950"/>
      <c r="GQ37" s="950"/>
      <c r="GR37" s="950"/>
      <c r="GS37" s="950"/>
      <c r="GT37" s="950"/>
      <c r="GU37" s="950"/>
      <c r="GV37" s="950"/>
      <c r="GW37" s="950"/>
      <c r="GX37" s="950"/>
      <c r="GY37" s="950"/>
      <c r="GZ37" s="950"/>
      <c r="HA37" s="950"/>
      <c r="HB37" s="950"/>
      <c r="HC37" s="950"/>
      <c r="HD37" s="950"/>
      <c r="HE37" s="950"/>
      <c r="HF37" s="950"/>
      <c r="HG37" s="950"/>
      <c r="HH37" s="950"/>
      <c r="HI37" s="950"/>
      <c r="HJ37" s="950"/>
      <c r="HK37" s="950"/>
      <c r="HL37" s="950"/>
      <c r="HM37" s="950"/>
      <c r="HN37" s="950"/>
      <c r="HO37" s="950"/>
      <c r="HP37" s="950"/>
      <c r="HQ37" s="950"/>
      <c r="HR37" s="950"/>
      <c r="HS37" s="950"/>
      <c r="HT37" s="950"/>
      <c r="HU37" s="950"/>
      <c r="HV37" s="950"/>
      <c r="HW37" s="950"/>
      <c r="HX37" s="950"/>
      <c r="HY37" s="950"/>
      <c r="HZ37" s="950"/>
      <c r="IA37" s="950"/>
      <c r="IB37" s="950"/>
      <c r="IC37" s="950"/>
      <c r="ID37" s="950"/>
      <c r="IE37" s="950"/>
      <c r="IF37" s="950"/>
      <c r="IG37" s="950"/>
      <c r="IH37" s="950"/>
      <c r="II37" s="950"/>
      <c r="IJ37" s="950"/>
      <c r="IK37" s="950"/>
      <c r="IL37" s="950"/>
      <c r="IM37" s="950"/>
      <c r="IN37" s="950"/>
      <c r="IO37" s="950"/>
      <c r="IP37" s="950"/>
      <c r="IQ37" s="950"/>
      <c r="IR37" s="950"/>
      <c r="IS37" s="950"/>
      <c r="IT37" s="950"/>
      <c r="IU37" s="950"/>
      <c r="IV37" s="950"/>
      <c r="IW37" s="950"/>
      <c r="IX37" s="950"/>
      <c r="IY37" s="950"/>
      <c r="IZ37" s="950"/>
      <c r="JA37" s="950"/>
      <c r="JB37" s="950"/>
      <c r="JC37" s="950"/>
      <c r="JD37" s="950"/>
      <c r="JE37" s="950"/>
      <c r="JF37" s="950"/>
      <c r="JG37" s="950"/>
      <c r="JH37" s="950"/>
      <c r="JI37" s="950"/>
      <c r="JJ37" s="950"/>
      <c r="JK37" s="950"/>
      <c r="JL37" s="950"/>
    </row>
    <row r="38" spans="1:272" s="532" customFormat="1" ht="12.75" customHeight="1">
      <c r="A38" s="951" t="s">
        <v>290</v>
      </c>
      <c r="B38" s="952"/>
      <c r="C38" s="953"/>
      <c r="D38" s="953"/>
      <c r="E38" s="953"/>
      <c r="F38" s="754"/>
      <c r="G38" s="954"/>
      <c r="H38" s="954"/>
      <c r="I38" s="954"/>
      <c r="J38" s="954"/>
      <c r="K38" s="754"/>
      <c r="L38" s="743"/>
      <c r="M38" s="743"/>
      <c r="N38" s="743"/>
      <c r="O38" s="743"/>
      <c r="P38" s="754"/>
      <c r="Q38" s="743"/>
      <c r="R38" s="743"/>
      <c r="S38" s="743"/>
      <c r="T38" s="743"/>
      <c r="U38" s="754"/>
      <c r="V38" s="743"/>
      <c r="W38" s="743"/>
      <c r="X38" s="743"/>
      <c r="Y38" s="743"/>
      <c r="Z38" s="754"/>
      <c r="AA38" s="743"/>
      <c r="AB38" s="743"/>
      <c r="AC38" s="743"/>
      <c r="AD38" s="743"/>
      <c r="AE38" s="754"/>
      <c r="AF38" s="743"/>
      <c r="AG38" s="954"/>
      <c r="AH38" s="743"/>
      <c r="AI38" s="743"/>
      <c r="AJ38" s="754"/>
      <c r="AK38" s="743"/>
      <c r="AL38" s="954"/>
      <c r="AM38" s="743"/>
      <c r="AN38" s="743"/>
      <c r="AO38" s="754"/>
      <c r="AP38" s="743"/>
      <c r="AQ38" s="954"/>
      <c r="AR38" s="743"/>
      <c r="AS38" s="743"/>
      <c r="AT38" s="754"/>
      <c r="AU38" s="743"/>
      <c r="AV38" s="954"/>
      <c r="AW38" s="743"/>
      <c r="AX38" s="743"/>
      <c r="AY38" s="754"/>
      <c r="AZ38" s="743"/>
      <c r="BA38" s="954"/>
      <c r="BB38" s="743"/>
      <c r="BC38" s="743"/>
      <c r="BD38" s="754"/>
      <c r="BE38" s="743">
        <f>IF(ISERROR(BE36/BC36-1)," ",(BE36/BC36-1))</f>
        <v>3.6222667905884576E-2</v>
      </c>
      <c r="BF38" s="954">
        <f>IF(ISERROR(BF36/BE36-1)," ",(BF36/BE36-1))</f>
        <v>3.9374198472081234E-2</v>
      </c>
      <c r="BG38" s="743">
        <f>IF(ISERROR(BG36/BF36-1)," ",(BG36/BF36-1))</f>
        <v>-2.0419286100881617E-2</v>
      </c>
      <c r="BH38" s="743">
        <f>IF(ISERROR(BH36/BG36-1)," ",(BH36/BG36-1))</f>
        <v>-5.2535391938674514E-2</v>
      </c>
      <c r="BI38" s="754">
        <f>BI37</f>
        <v>8.8743786657125456E-2</v>
      </c>
      <c r="BJ38" s="743">
        <f>IF(ISERROR(BJ36/BH36-1)," ",(BJ36/BH36-1))</f>
        <v>-4.3773117091253089E-2</v>
      </c>
      <c r="BK38" s="954">
        <f>IF(ISERROR(BK36/BJ36-1)," ",(BK36/BJ36-1))</f>
        <v>4.3122161332281195E-2</v>
      </c>
      <c r="BL38" s="743">
        <f>IF(ISERROR(BL36/BK36-1)," ",(BL36/BK36-1))</f>
        <v>4.0025102566880744E-3</v>
      </c>
      <c r="BM38" s="743">
        <f>IF(ISERROR(BM36/BL36-1)," ",(BM36/BL36-1))</f>
        <v>-5.7318421422332455E-2</v>
      </c>
      <c r="BN38" s="754">
        <f>BN37</f>
        <v>-6.4836060122372752E-2</v>
      </c>
      <c r="BO38" s="743">
        <f>IF(ISERROR(BO36/BM36-1)," ",(BO36/BM36-1))</f>
        <v>-1.7857489972980534E-2</v>
      </c>
      <c r="BP38" s="954">
        <f>IF(ISERROR(BP36/BO36-1)," ",(BP36/BO36-1))</f>
        <v>0.10827720124645124</v>
      </c>
      <c r="BQ38" s="743">
        <f>IF(ISERROR(BQ36/BP36-1)," ",(BQ36/BP36-1))</f>
        <v>4.7068464664423049E-2</v>
      </c>
      <c r="BR38" s="743">
        <f>IF(ISERROR(BR36/BQ36-1)," ",(BR36/BQ36-1))</f>
        <v>-4.9271445870577857E-3</v>
      </c>
      <c r="BS38" s="754">
        <f>BS37</f>
        <v>5.1855527834616888E-2</v>
      </c>
      <c r="BT38" s="743">
        <f>IF(ISERROR(BT36/BR36-1)," ",(BT36/BR36-1))</f>
        <v>-3.4607466543766896E-2</v>
      </c>
      <c r="BU38" s="954">
        <f>IF(ISERROR(BU36/BT36-1)," ",(BU36/BT36-1))</f>
        <v>4.3072140015032234E-2</v>
      </c>
      <c r="BV38" s="743">
        <f>IF(ISERROR(BV36/BU36-1)," ",(BV36/BU36-1))</f>
        <v>5.7989488435955527E-2</v>
      </c>
      <c r="BW38" s="743">
        <f>IF(ISERROR(BW36/BV36-1)," ",(BW36/BV36-1))</f>
        <v>3.5251236564040056E-3</v>
      </c>
      <c r="BX38" s="754">
        <f>BX37</f>
        <v>7.2080863962153519E-2</v>
      </c>
      <c r="BY38" s="743">
        <f>IF(ISERROR(BY36/BW36-1)," ",(BY36/BW36-1))</f>
        <v>3.1331439208386547E-2</v>
      </c>
      <c r="BZ38" s="954">
        <f>IF(ISERROR(BZ36/BY36-1)," ",(BZ36/BY36-1))</f>
        <v>0.10643483127048881</v>
      </c>
      <c r="CA38" s="743">
        <f>IF(ISERROR(CA36/BZ36-1)," ",(CA36/BZ36-1))</f>
        <v>4.0662069912909438E-2</v>
      </c>
      <c r="CB38" s="743">
        <f>IF(ISERROR(CB36/CA36-1)," ",(CB36/CA36-1))</f>
        <v>-2.6081347643798547E-2</v>
      </c>
      <c r="CC38" s="754">
        <f>CC37</f>
        <v>0.175754220098995</v>
      </c>
      <c r="CD38" s="743">
        <f>IF(ISERROR(CD36/CB36-1)," ",(CD36/CB36-1))</f>
        <v>-8.66527636163128E-3</v>
      </c>
      <c r="CE38" s="743">
        <f>IF(ISERROR(CE36/CD36-1)," ",(CE36/CD36-1))</f>
        <v>0.11528016009148101</v>
      </c>
      <c r="CF38" s="743">
        <f>IF(ISERROR(CF36/CE36-1)," ",(CF36/CE36-1))</f>
        <v>4.7727177744034011E-2</v>
      </c>
      <c r="CG38" s="743">
        <f>IF(ISERROR(CG36/CF36-1)," ",(CG36/CF36-1))</f>
        <v>-2.840218590860133E-2</v>
      </c>
      <c r="CH38" s="754">
        <f>CH37</f>
        <v>0.12179458357687767</v>
      </c>
      <c r="CI38" s="743">
        <f>IF(ISERROR(CI36/CG36-1)," ",(CI36/CG36-1))</f>
        <v>-1.7045991058244558E-2</v>
      </c>
      <c r="CJ38" s="743">
        <f>IF(ISERROR(CJ36/CI36-1)," ",(CJ36/CI36-1))</f>
        <v>7.4517627698660549E-2</v>
      </c>
      <c r="CK38" s="743">
        <f>IF(ISERROR(CK36/CJ36-1)," ",(CK36/CJ36-1))</f>
        <v>-3.8266538999244593E-2</v>
      </c>
      <c r="CL38" s="743">
        <f>IF(ISERROR(CL36/CK36-1)," ",(CL36/CK36-1))</f>
        <v>-7.9913723302926343E-2</v>
      </c>
      <c r="CM38" s="754">
        <f>CM37</f>
        <v>2.4961668695884898E-2</v>
      </c>
      <c r="CN38" s="743">
        <f>IF(ISERROR(CN36/CL36-1)," ",(CN36/CL36-1))</f>
        <v>1.4689301936024135E-2</v>
      </c>
      <c r="CO38" s="743">
        <f>IF(ISERROR(CO36/CN36-1)," ",(CO36/CN36-1))</f>
        <v>9.2342036832338215E-2</v>
      </c>
      <c r="CP38" s="743">
        <f>IF(ISERROR(CP36/CO36-1)," ",(CP36/CO36-1))</f>
        <v>-4.1851119398548242E-3</v>
      </c>
      <c r="CQ38" s="743">
        <f>IF(ISERROR(CQ36/CP36-1)," ",(CQ36/CP36-1))</f>
        <v>-3.7038953251588014E-3</v>
      </c>
      <c r="CR38" s="754">
        <f>CR37</f>
        <v>1.354175706681926E-2</v>
      </c>
      <c r="CS38" s="743">
        <f>IF(ISERROR(CS36/CQ36-1)," ",(CS36/CQ36-1))</f>
        <v>4.7109954740889304E-3</v>
      </c>
      <c r="CT38" s="743">
        <f>IF(ISERROR(CT36/CS36-1)," ",(CT36/CS36-1))</f>
        <v>0.10969893194194658</v>
      </c>
      <c r="CU38" s="743">
        <f>IF(ISERROR(CU36/CT36-1)," ",(CU36/CT36-1))</f>
        <v>-1.4775712989060441E-2</v>
      </c>
      <c r="CV38" s="743">
        <f>IF(ISERROR(CV36/CU36-1)," ",(CV36/CU36-1))</f>
        <v>-0.20698031875948542</v>
      </c>
      <c r="CW38" s="754">
        <f>CW37</f>
        <v>3.9346044361685317E-2</v>
      </c>
      <c r="CX38" s="743">
        <f>IF(ISERROR(CX36/CV36-1)," ",(CX36/CV36-1))</f>
        <v>-0.12287526750229283</v>
      </c>
      <c r="CY38" s="743">
        <f>IF(ISERROR(CY36/CX36-1)," ",(CY36/CX36-1))</f>
        <v>0.13163476033216281</v>
      </c>
      <c r="CZ38" s="743">
        <f>IF(ISERROR(CZ36/CY36-1)," ",(CZ36/CY36-1))</f>
        <v>8.4869615568823331E-2</v>
      </c>
      <c r="DA38" s="743">
        <f>IF(ISERROR(DA36/CZ36-1)," ",(DA36/CZ36-1))</f>
        <v>-1.1488248428936143E-2</v>
      </c>
      <c r="DB38" s="754">
        <f>DB37</f>
        <v>-0.14556294905755918</v>
      </c>
      <c r="DC38" s="743">
        <f>IF(ISERROR(DC36/DA36-1)," ",(DC36/DA36-1))</f>
        <v>4.1123489659173673E-2</v>
      </c>
      <c r="DD38" s="743">
        <f>IF(ISERROR(DD36/DC36-1)," ",(DD36/DC36-1))</f>
        <v>0.12684361306091141</v>
      </c>
      <c r="DE38" s="743">
        <f>IF(ISERROR(DE36/DD36-1)," ",(DE36/DD36-1))</f>
        <v>-2.4342536093957534E-2</v>
      </c>
      <c r="DF38" s="743">
        <f>IF(ISERROR(DF36/DE36-1)," ",(DF36/DE36-1))</f>
        <v>-7.6604799028451298E-2</v>
      </c>
      <c r="DG38" s="754">
        <f>DG37</f>
        <v>0.1719043029524896</v>
      </c>
      <c r="DH38" s="743">
        <f>IF(ISERROR(DH36/DF36-1)," ",(DH36/DF36-1))</f>
        <v>4.3100848077084919E-2</v>
      </c>
      <c r="DI38" s="743">
        <f>IF(ISERROR(DI36/DH36-1)," ",(DI36/DH36-1))</f>
        <v>9.3896248865177112E-2</v>
      </c>
      <c r="DJ38" s="743">
        <f>IF(ISERROR(DJ36/DI36-1)," ",(DJ36/DI36-1))</f>
        <v>4.1329842146438089E-3</v>
      </c>
      <c r="DK38" s="743">
        <f>IF(ISERROR(DK36/DJ36-1)," ",(DK36/DJ36-1))</f>
        <v>-5.5808134708881796E-2</v>
      </c>
      <c r="DL38" s="754"/>
      <c r="DM38" s="743">
        <f>IF(ISERROR(DM36/DK36-1)," ",(DM36/DK36-1))</f>
        <v>4.3718139197249206E-2</v>
      </c>
      <c r="DN38" s="743">
        <f>IF(ISERROR(DN36/DM36-1)," ",(DN36/DM36-1))</f>
        <v>5.7129139507151816E-2</v>
      </c>
      <c r="DO38" s="743">
        <f>IF(ISERROR(DO36/DN36-1)," ",(DO36/DN36-1))</f>
        <v>-2.3047748268687052E-2</v>
      </c>
      <c r="DP38" s="743">
        <f>IF(ISERROR(DP36/DO36-1)," ",(DP36/DO36-1))</f>
        <v>-3.9063191793781926E-2</v>
      </c>
      <c r="DQ38" s="754"/>
      <c r="DR38" s="743">
        <f>IF(ISERROR(DR36/DP36-1)," ",(DR36/DP36-1))</f>
        <v>3.3792099171989776E-3</v>
      </c>
      <c r="DS38" s="743">
        <f>IF(ISERROR(DS36/DR36-1)," ",(DS36/DR36-1))</f>
        <v>7.823103768295292E-2</v>
      </c>
      <c r="DT38" s="743">
        <f>IF(ISERROR(DT36/DS36-1)," ",(DT36/DS36-1))</f>
        <v>7.8215796699447893E-3</v>
      </c>
      <c r="DU38" s="743">
        <f>IF(ISERROR(DU36/DT36-1)," ",(DU36/DT36-1))</f>
        <v>-5.8069244062300629E-2</v>
      </c>
      <c r="DV38" s="754"/>
      <c r="DW38" s="743">
        <f>IF(ISERROR(DW36/DU36-1)," ",(DW36/DU36-1))</f>
        <v>1.1711440495376646E-3</v>
      </c>
      <c r="DX38" s="743">
        <f>IF(ISERROR(DX36/DW36-1)," ",(DX36/DW36-1))</f>
        <v>0.10904841473207805</v>
      </c>
      <c r="DY38" s="743">
        <f>IF(ISERROR(DY36/DX36-1)," ",(DY36/DX36-1))</f>
        <v>6.1701025940374965E-3</v>
      </c>
      <c r="DZ38" s="743">
        <f>IF(ISERROR(DZ36/DY36-1)," ",(DZ36/DY36-1))</f>
        <v>-5.1861659970453555E-2</v>
      </c>
      <c r="EA38" s="754"/>
      <c r="EB38" s="743">
        <f>IF(ISERROR(EB36/DZ36-1)," ",(EB36/DZ36-1))</f>
        <v>-4.6383922053344295E-2</v>
      </c>
      <c r="EC38" s="743">
        <f>IF(ISERROR(EC36/EB36-1)," ",(EC36/EB36-1))</f>
        <v>7.16376114406998E-2</v>
      </c>
      <c r="ED38" s="743">
        <f>IF(ISERROR(ED36/EC36-1)," ",(ED36/EC36-1))</f>
        <v>-1.2330598774574431E-2</v>
      </c>
      <c r="EE38" s="743">
        <f>IF(ISERROR(EE36/ED36-1)," ",(EE36/ED36-1))</f>
        <v>-6.047188580988061E-2</v>
      </c>
      <c r="EF38" s="754"/>
      <c r="EG38" s="743">
        <f>IF(ISERROR(EG36/EE36-1)," ",(EG36/EE36-1))</f>
        <v>-3.6242749816328357E-2</v>
      </c>
      <c r="EH38" s="743">
        <f>IF(ISERROR(EH36/EG36-1)," ",(EH36/EG36-1))</f>
        <v>5.6707317073170671E-2</v>
      </c>
      <c r="EI38" s="743">
        <f>IF(ISERROR(EI36/EH36-1)," ",(EI36/EH36-1))</f>
        <v>8.0784766301211786E-3</v>
      </c>
      <c r="EJ38" s="743">
        <f>IF(ISERROR(EJ36/EI36-1)," ",(EJ36/EI36-1))</f>
        <v>-3.2856325128792219E-2</v>
      </c>
      <c r="EK38" s="754"/>
      <c r="EL38" s="743">
        <f>IF(ISERROR(EL36/EJ36-1)," ",(EL36/EJ36-1))</f>
        <v>2.8882575757575912E-2</v>
      </c>
      <c r="EM38" s="743">
        <f>IF(ISERROR(EM36/EL36-1)," ",(EM36/EL36-1))</f>
        <v>7.4666359871145893E-2</v>
      </c>
      <c r="EN38" s="743">
        <f>IF(ISERROR(EN36/EM36-1)," ",(EN36/EM36-1))</f>
        <v>-1.9269885451236535E-2</v>
      </c>
      <c r="EO38" s="743">
        <f>IF(ISERROR(EO36/EN36-1)," ",(EO36/EN36-1))</f>
        <v>-4.4209147472983323E-2</v>
      </c>
      <c r="EP38" s="754"/>
      <c r="EQ38" s="743">
        <f>IF(ISERROR(EQ36/EO36-1)," ",(EQ36/EO36-1))</f>
        <v>3.5748539119444978E-2</v>
      </c>
      <c r="ER38" s="743">
        <f>IF(ISERROR(ER36/EQ36-1)," ",(ER36/EQ36-1))</f>
        <v>8.1387633920420921E-2</v>
      </c>
      <c r="ES38" s="743">
        <f>IF(ISERROR(ES36/ER36-1)," ",(ES36/ER36-1))</f>
        <v>-2.2829409760569686E-2</v>
      </c>
      <c r="ET38" s="743">
        <f>IF(ISERROR(ET36/ES36-1)," ",(ET36/ES36-1))</f>
        <v>-1.1260236490459374E-2</v>
      </c>
      <c r="EU38" s="754"/>
      <c r="EV38" s="743">
        <f>IF(ISERROR(EV36/ET36-1)," ",(EV36/ET36-1))</f>
        <v>4.3832316820036077E-2</v>
      </c>
      <c r="EW38" s="743">
        <f>IF(ISERROR(EW36/EV36-1)," ",(EW36/EV36-1))</f>
        <v>7.560902840967354E-2</v>
      </c>
      <c r="EX38" s="743">
        <f>IF(ISERROR(EX36/EW36-1)," ",(EX36/EW36-1))</f>
        <v>-1.2426737930746445E-2</v>
      </c>
      <c r="EY38" s="743">
        <f>IF(ISERROR(EY36/EX36-1)," ",(EY36/EX36-1))</f>
        <v>-4.1121790190739804E-2</v>
      </c>
      <c r="EZ38" s="754"/>
      <c r="FA38" s="743">
        <f>IF(ISERROR(FA36/EY36-1)," ",(FA36/EY36-1))</f>
        <v>-1.0198526358491815</v>
      </c>
      <c r="FB38" s="743">
        <f>IF(ISERROR(FB36/FA36-1)," ",(FB36/FA36-1))</f>
        <v>0</v>
      </c>
      <c r="FC38" s="743">
        <f>IF(ISERROR(FC36/FB36-1)," ",(FC36/FB36-1))</f>
        <v>0</v>
      </c>
      <c r="FD38" s="743">
        <f>IF(ISERROR(FD36/FC36-1)," ",(FD36/FC36-1))</f>
        <v>0</v>
      </c>
      <c r="FE38" s="754"/>
      <c r="FF38" s="721"/>
      <c r="FG38" s="690"/>
      <c r="FH38" s="955">
        <f>AVERAGE(DH38,DM38,DC38,DR38,DW38,EB38,EG38,EL38)</f>
        <v>9.8435918485184626E-3</v>
      </c>
      <c r="FI38" s="955">
        <f t="shared" ref="FI38:FK38" si="59">AVERAGE(DI38,DN38,DD38,DS38,DX38,EC38,EH38,EM38)</f>
        <v>8.3519967779160958E-2</v>
      </c>
      <c r="FJ38" s="955">
        <f t="shared" si="59"/>
        <v>-6.5984531849635347E-3</v>
      </c>
      <c r="FK38" s="955">
        <f t="shared" si="59"/>
        <v>-5.236804849694067E-2</v>
      </c>
      <c r="FL38" s="690"/>
      <c r="FM38" s="708"/>
      <c r="FN38" s="708"/>
      <c r="FO38" s="723"/>
      <c r="FP38" s="723"/>
      <c r="FQ38" s="723"/>
      <c r="FR38" s="723"/>
      <c r="FS38" s="723"/>
      <c r="FT38" s="723"/>
      <c r="FU38" s="690"/>
      <c r="FV38"/>
      <c r="FW38"/>
      <c r="FX38"/>
      <c r="FY38"/>
      <c r="FZ38"/>
      <c r="GA38"/>
      <c r="GB38" s="725"/>
    </row>
    <row r="39" spans="1:272" s="799" customFormat="1" ht="12.75" customHeight="1">
      <c r="A39" s="58" t="s">
        <v>291</v>
      </c>
      <c r="B39" s="790"/>
      <c r="C39" s="721"/>
      <c r="D39" s="721"/>
      <c r="E39" s="721"/>
      <c r="F39" s="741"/>
      <c r="G39" s="721"/>
      <c r="H39" s="721"/>
      <c r="I39" s="721"/>
      <c r="J39" s="721"/>
      <c r="K39" s="741"/>
      <c r="L39" s="721"/>
      <c r="M39" s="721"/>
      <c r="N39" s="721"/>
      <c r="O39" s="721"/>
      <c r="P39" s="741"/>
      <c r="Q39" s="721"/>
      <c r="R39" s="721"/>
      <c r="S39" s="721"/>
      <c r="T39" s="721"/>
      <c r="U39" s="741"/>
      <c r="V39" s="721"/>
      <c r="W39" s="721"/>
      <c r="X39" s="721"/>
      <c r="Y39" s="721"/>
      <c r="Z39" s="741"/>
      <c r="AA39" s="721">
        <f>AA36/AE36</f>
        <v>0.22621310419579321</v>
      </c>
      <c r="AB39" s="721">
        <f>AB36/AE36</f>
        <v>0.2689260355959095</v>
      </c>
      <c r="AC39" s="721">
        <f>AC36/AE36</f>
        <v>0.25472046372076218</v>
      </c>
      <c r="AD39" s="721">
        <f>AD36/AE36</f>
        <v>0.25014039648753517</v>
      </c>
      <c r="AE39" s="741"/>
      <c r="AF39" s="721">
        <f>AF36/AJ36</f>
        <v>0.23858582632333591</v>
      </c>
      <c r="AG39" s="721">
        <f>AG36/AJ36</f>
        <v>0.25007030249165918</v>
      </c>
      <c r="AH39" s="721">
        <f>AH36/AJ36</f>
        <v>0.25582382369176609</v>
      </c>
      <c r="AI39" s="721">
        <f>AI36/AJ36</f>
        <v>0.25552004749323881</v>
      </c>
      <c r="AJ39" s="741"/>
      <c r="AK39" s="721">
        <f>AK36/AO36</f>
        <v>0.23360823848641185</v>
      </c>
      <c r="AL39" s="721">
        <f>AL36/AO36</f>
        <v>0.24507190720093611</v>
      </c>
      <c r="AM39" s="721">
        <f>AM36/AO36</f>
        <v>0.25624534665756504</v>
      </c>
      <c r="AN39" s="721">
        <f>AN36/AO36</f>
        <v>0.26507450765508689</v>
      </c>
      <c r="AO39" s="741"/>
      <c r="AP39" s="721">
        <f>AP36/AT36</f>
        <v>0.22703008713076678</v>
      </c>
      <c r="AQ39" s="721">
        <f>AQ36/AT36</f>
        <v>0.2480369104282685</v>
      </c>
      <c r="AR39" s="721">
        <f>AR36/AT36</f>
        <v>0.26335742620765312</v>
      </c>
      <c r="AS39" s="721">
        <f>AS36/AT36</f>
        <v>0.26157557623331174</v>
      </c>
      <c r="AT39" s="741"/>
      <c r="AU39" s="721">
        <f>AU36/AY36</f>
        <v>0.23373343444234559</v>
      </c>
      <c r="AV39" s="721">
        <f>AV36/AY36</f>
        <v>0.25214980365096962</v>
      </c>
      <c r="AW39" s="721">
        <f>AW36/AY36</f>
        <v>0.26044972924439624</v>
      </c>
      <c r="AX39" s="721">
        <f>AX36/AY36</f>
        <v>0.25366703266228857</v>
      </c>
      <c r="AY39" s="741"/>
      <c r="AZ39" s="721">
        <f>AZ36/BD36</f>
        <v>0.23073970192991647</v>
      </c>
      <c r="BA39" s="721">
        <f>BA36/BD36</f>
        <v>0.24680175230111978</v>
      </c>
      <c r="BB39" s="721">
        <f>BB36/BD36</f>
        <v>0.26123619434612416</v>
      </c>
      <c r="BC39" s="721">
        <f>BC36/BD36</f>
        <v>0.2612223514228395</v>
      </c>
      <c r="BD39" s="741"/>
      <c r="BE39" s="721">
        <f>BE36/BI36</f>
        <v>0.24862095676259333</v>
      </c>
      <c r="BF39" s="721">
        <f>BF36/BI36</f>
        <v>0.25841020765848244</v>
      </c>
      <c r="BG39" s="721">
        <f>BG36/BI36</f>
        <v>0.25313365569691565</v>
      </c>
      <c r="BH39" s="721">
        <f>BH36/BI36</f>
        <v>0.2398351798820087</v>
      </c>
      <c r="BI39" s="741"/>
      <c r="BJ39" s="721">
        <f>BJ36/BN36</f>
        <v>0.24523705062926415</v>
      </c>
      <c r="BK39" s="721">
        <f>BK36/BN36</f>
        <v>0.25581220229115209</v>
      </c>
      <c r="BL39" s="721">
        <f>BL36/BN36</f>
        <v>0.25683609325460843</v>
      </c>
      <c r="BM39" s="721">
        <f>BM36/BN36</f>
        <v>0.2421146538249753</v>
      </c>
      <c r="BN39" s="741"/>
      <c r="BO39" s="721">
        <f>BO36/BS36</f>
        <v>0.22606820759074056</v>
      </c>
      <c r="BP39" s="721">
        <f>BP36/BS36</f>
        <v>0.25054624039946766</v>
      </c>
      <c r="BQ39" s="721">
        <f>BQ36/BS36</f>
        <v>0.26233906726251405</v>
      </c>
      <c r="BR39" s="721">
        <f>BR36/BS36</f>
        <v>0.26104648474727782</v>
      </c>
      <c r="BS39" s="741"/>
      <c r="BT39" s="721">
        <f>BT36/BX36</f>
        <v>0.23506839430809479</v>
      </c>
      <c r="BU39" s="721">
        <f>BU36/BX36</f>
        <v>0.24519329310084184</v>
      </c>
      <c r="BV39" s="721">
        <f>BV36/BX36</f>
        <v>0.25941192673568697</v>
      </c>
      <c r="BW39" s="721">
        <f>BW36/BX36</f>
        <v>0.26032638585537632</v>
      </c>
      <c r="BX39" s="741"/>
      <c r="BY39" s="721">
        <f>BY36/CC36</f>
        <v>0.22834941316692661</v>
      </c>
      <c r="BZ39" s="721">
        <f>BZ36/CC36</f>
        <v>0.2526537444280636</v>
      </c>
      <c r="CA39" s="721">
        <f>CA36/CC36</f>
        <v>0.26292716864775584</v>
      </c>
      <c r="CB39" s="721">
        <f>CB36/CC36</f>
        <v>0.25606967375725409</v>
      </c>
      <c r="CC39" s="741"/>
      <c r="CD39" s="721">
        <f>CD36/CH36</f>
        <v>0.22628987782852678</v>
      </c>
      <c r="CE39" s="721">
        <f>CE36/CH36</f>
        <v>0.25237661117168103</v>
      </c>
      <c r="CF39" s="721">
        <f>CF36/CH36</f>
        <v>0.26442183455150881</v>
      </c>
      <c r="CG39" s="721">
        <f>CG36/CH36</f>
        <v>0.25691167644828344</v>
      </c>
      <c r="CH39" s="741"/>
      <c r="CI39" s="721">
        <f>CI36/CM36</f>
        <v>0.246382250206584</v>
      </c>
      <c r="CJ39" s="721">
        <f>CJ36/CM36</f>
        <v>0.26474207099903646</v>
      </c>
      <c r="CK39" s="721">
        <f>CK36/CM36</f>
        <v>0.25461130821441103</v>
      </c>
      <c r="CL39" s="721">
        <f>CL36/CM36</f>
        <v>0.23426437057996852</v>
      </c>
      <c r="CM39" s="741"/>
      <c r="CN39" s="721">
        <f>CN36/CR36</f>
        <v>0.2345296076800901</v>
      </c>
      <c r="CO39" s="721">
        <f>CO36/CR36</f>
        <v>0.2561865493507588</v>
      </c>
      <c r="CP39" s="721">
        <f>CP36/CR36</f>
        <v>0.25511437996424075</v>
      </c>
      <c r="CQ39" s="721">
        <f>CQ36/CR36</f>
        <v>0.25416946300491039</v>
      </c>
      <c r="CR39" s="741"/>
      <c r="CS39" s="721">
        <f>CS36/CW36</f>
        <v>0.24569954884622836</v>
      </c>
      <c r="CT39" s="721">
        <f>CT36/CW36</f>
        <v>0.27265252693327774</v>
      </c>
      <c r="CU39" s="721">
        <f>CU36/CW36</f>
        <v>0.26862389144956955</v>
      </c>
      <c r="CV39" s="721">
        <f>CV36/CW36</f>
        <v>0.21302403277092427</v>
      </c>
      <c r="CW39" s="741"/>
      <c r="CX39" s="721">
        <f>CX36/DB36</f>
        <v>0.21868041367551466</v>
      </c>
      <c r="CY39" s="721">
        <f>CY36/DB36</f>
        <v>0.24746635751902926</v>
      </c>
      <c r="CZ39" s="721">
        <f>CZ36/DB36</f>
        <v>0.26846873214788625</v>
      </c>
      <c r="DA39" s="721">
        <f>DA36/DB36</f>
        <v>0.2653844966575698</v>
      </c>
      <c r="DB39" s="741"/>
      <c r="DC39" s="721">
        <f>DC36/DG36</f>
        <v>0.23576842628316028</v>
      </c>
      <c r="DD39" s="721">
        <f>DD36/DG36</f>
        <v>0.26567414531860151</v>
      </c>
      <c r="DE39" s="721">
        <f>DE36/DG36</f>
        <v>0.2592069628469521</v>
      </c>
      <c r="DF39" s="721">
        <f>DF36/DG36</f>
        <v>0.23935046555128608</v>
      </c>
      <c r="DG39" s="741"/>
      <c r="DH39" s="721">
        <f>DH36/DL36</f>
        <v>0.236438466610432</v>
      </c>
      <c r="DI39" s="721">
        <f>DI36/DL36</f>
        <v>0.258639151712586</v>
      </c>
      <c r="DJ39" s="721">
        <f>DJ36/DL36</f>
        <v>0.25970810324390292</v>
      </c>
      <c r="DK39" s="721">
        <f>DK36/DL36</f>
        <v>0.24521427843307902</v>
      </c>
      <c r="DL39" s="741"/>
      <c r="DM39" s="721">
        <f>DM36/DQ36</f>
        <v>0.24495902253023941</v>
      </c>
      <c r="DN39" s="721">
        <f>DN36/DQ36</f>
        <v>0.25895332070190502</v>
      </c>
      <c r="DO39" s="721">
        <f>DO36/DQ36</f>
        <v>0.25298502975302689</v>
      </c>
      <c r="DP39" s="721">
        <f>DP36/DQ36</f>
        <v>0.24310262701482879</v>
      </c>
      <c r="DQ39" s="741"/>
      <c r="DR39" s="743">
        <f>DR36/DV36</f>
        <v>0.23875133435273072</v>
      </c>
      <c r="DS39" s="743">
        <f>DS36/DV36</f>
        <v>0.25742909898733446</v>
      </c>
      <c r="DT39" s="721">
        <f>DT36/DV36</f>
        <v>0.25944260119442603</v>
      </c>
      <c r="DU39" s="721">
        <f>DU36/DV36</f>
        <v>0.24437696546550877</v>
      </c>
      <c r="DV39" s="741"/>
      <c r="DW39" s="743">
        <f>DW36/EA36</f>
        <v>0.233483431601582</v>
      </c>
      <c r="DX39" s="743">
        <f>DX36/EA36</f>
        <v>0.2589444296839401</v>
      </c>
      <c r="DY39" s="721">
        <f>DY36/EA36</f>
        <v>0.26054214338124454</v>
      </c>
      <c r="DZ39" s="721">
        <f>DZ36/EA36</f>
        <v>0.24702999533323328</v>
      </c>
      <c r="EA39" s="741"/>
      <c r="EB39" s="743">
        <f>EB36/EF36</f>
        <v>0.24245480103418099</v>
      </c>
      <c r="EC39" s="743">
        <f>EC36/EF36</f>
        <v>0.2598236838625998</v>
      </c>
      <c r="ED39" s="721">
        <f>ED36/EF36</f>
        <v>0.25661990226475823</v>
      </c>
      <c r="EE39" s="721">
        <f>EE36/EF36</f>
        <v>0.24110161283846104</v>
      </c>
      <c r="EF39" s="741"/>
      <c r="EG39" s="743">
        <f>EG36/EK36</f>
        <v>0.24083646616541352</v>
      </c>
      <c r="EH39" s="743">
        <f>EH36/EK36</f>
        <v>0.25449365601503759</v>
      </c>
      <c r="EI39" s="721">
        <f>EI36/EK36</f>
        <v>0.25654957706766918</v>
      </c>
      <c r="EJ39" s="721">
        <f>EJ36/EK36</f>
        <v>0.24812030075187969</v>
      </c>
      <c r="EK39" s="741"/>
      <c r="EL39" s="743">
        <f>EL36/EP36</f>
        <v>0.24178025034770517</v>
      </c>
      <c r="EM39" s="743">
        <f>EM36/EP36</f>
        <v>0.25983310152990263</v>
      </c>
      <c r="EN39" s="721">
        <f>EN36/EP36</f>
        <v>0.25482614742698195</v>
      </c>
      <c r="EO39" s="721">
        <f>EO36/EP36</f>
        <v>0.2435605006954103</v>
      </c>
      <c r="EP39" s="741"/>
      <c r="EQ39" s="743">
        <f>EQ36/EU36</f>
        <v>0.23906919890299094</v>
      </c>
      <c r="ER39" s="743">
        <f>ER36/EU36</f>
        <v>0.25852647534495588</v>
      </c>
      <c r="ES39" s="721">
        <f>ES36/EU36</f>
        <v>0.25262446850535003</v>
      </c>
      <c r="ET39" s="721">
        <f>ET36/EU36</f>
        <v>0.24977985724670321</v>
      </c>
      <c r="EU39" s="741"/>
      <c r="EV39" s="743">
        <f>EV36/EZ36</f>
        <v>0.24591557922996907</v>
      </c>
      <c r="EW39" s="743">
        <f>EW36/EZ36</f>
        <v>0.26450901724634912</v>
      </c>
      <c r="EX39" s="721">
        <f>EX36/EZ36</f>
        <v>0.26122203300870944</v>
      </c>
      <c r="EY39" s="721">
        <f>EY36/EZ36</f>
        <v>0.25048011537412679</v>
      </c>
      <c r="EZ39" s="741"/>
      <c r="FA39" s="743">
        <f>FA36/FE36</f>
        <v>-4.6966498658640226E-3</v>
      </c>
      <c r="FB39" s="743">
        <f>FB36/FE36</f>
        <v>-4.6966498658640226E-3</v>
      </c>
      <c r="FC39" s="721">
        <f>FC36/FE36</f>
        <v>-4.6966498658640226E-3</v>
      </c>
      <c r="FD39" s="721">
        <f>FD36/FE36</f>
        <v>-4.6966498658640226E-3</v>
      </c>
      <c r="FE39" s="741"/>
      <c r="FF39" s="721"/>
      <c r="FG39" s="690"/>
      <c r="FH39" s="754"/>
      <c r="FI39" s="754"/>
      <c r="FJ39" s="754"/>
      <c r="FK39" s="754"/>
      <c r="FL39" s="690"/>
      <c r="FM39" s="708"/>
      <c r="FN39" s="708"/>
      <c r="FO39" s="723"/>
      <c r="FP39" s="956"/>
      <c r="FQ39" s="956"/>
      <c r="FR39" s="723"/>
      <c r="FS39" s="723"/>
      <c r="FT39" s="723"/>
      <c r="FU39" s="690"/>
      <c r="FV39"/>
      <c r="FW39"/>
      <c r="FX39"/>
      <c r="FY39"/>
      <c r="FZ39"/>
      <c r="GA39"/>
      <c r="GB39" s="949"/>
      <c r="GC39" s="950"/>
      <c r="GD39" s="950"/>
      <c r="GE39" s="950"/>
      <c r="GF39" s="950"/>
      <c r="GG39" s="950"/>
      <c r="GH39" s="950"/>
      <c r="GI39" s="950"/>
      <c r="GJ39" s="950"/>
      <c r="GK39" s="950"/>
      <c r="GL39" s="950"/>
      <c r="GM39" s="950"/>
      <c r="GN39" s="950"/>
      <c r="GO39" s="950"/>
      <c r="GP39" s="950"/>
      <c r="GQ39" s="950"/>
      <c r="GR39" s="950"/>
      <c r="GS39" s="950"/>
      <c r="GT39" s="950"/>
      <c r="GU39" s="950"/>
      <c r="GV39" s="950"/>
      <c r="GW39" s="950"/>
      <c r="GX39" s="950"/>
      <c r="GY39" s="950"/>
      <c r="GZ39" s="950"/>
      <c r="HA39" s="950"/>
      <c r="HB39" s="950"/>
      <c r="HC39" s="950"/>
      <c r="HD39" s="950"/>
      <c r="HE39" s="950"/>
      <c r="HF39" s="950"/>
      <c r="HG39" s="950"/>
      <c r="HH39" s="950"/>
      <c r="HI39" s="950"/>
      <c r="HJ39" s="950"/>
      <c r="HK39" s="950"/>
      <c r="HL39" s="950"/>
      <c r="HM39" s="950"/>
      <c r="HN39" s="950"/>
      <c r="HO39" s="950"/>
      <c r="HP39" s="950"/>
      <c r="HQ39" s="950"/>
      <c r="HR39" s="950"/>
      <c r="HS39" s="950"/>
      <c r="HT39" s="950"/>
      <c r="HU39" s="950"/>
      <c r="HV39" s="950"/>
      <c r="HW39" s="950"/>
      <c r="HX39" s="950"/>
      <c r="HY39" s="950"/>
      <c r="HZ39" s="950"/>
      <c r="IA39" s="950"/>
      <c r="IB39" s="950"/>
      <c r="IC39" s="950"/>
      <c r="ID39" s="950"/>
      <c r="IE39" s="950"/>
      <c r="IF39" s="950"/>
      <c r="IG39" s="950"/>
      <c r="IH39" s="950"/>
      <c r="II39" s="950"/>
      <c r="IJ39" s="950"/>
      <c r="IK39" s="950"/>
      <c r="IL39" s="950"/>
      <c r="IM39" s="950"/>
      <c r="IN39" s="950"/>
      <c r="IO39" s="950"/>
      <c r="IP39" s="950"/>
      <c r="IQ39" s="950"/>
      <c r="IR39" s="950"/>
      <c r="IS39" s="950"/>
      <c r="IT39" s="950"/>
      <c r="IU39" s="950"/>
      <c r="IV39" s="950"/>
      <c r="IW39" s="950"/>
      <c r="IX39" s="950"/>
      <c r="IY39" s="950"/>
      <c r="IZ39" s="950"/>
      <c r="JA39" s="950"/>
      <c r="JB39" s="950"/>
      <c r="JC39" s="950"/>
      <c r="JD39" s="950"/>
      <c r="JE39" s="950"/>
      <c r="JF39" s="950"/>
      <c r="JG39" s="950"/>
      <c r="JH39" s="950"/>
      <c r="JI39" s="950"/>
      <c r="JJ39" s="950"/>
      <c r="JK39" s="950"/>
      <c r="JL39" s="950"/>
    </row>
    <row r="40" spans="1:272" s="714" customFormat="1" ht="12.75" customHeight="1">
      <c r="A40" s="957" t="s">
        <v>292</v>
      </c>
      <c r="B40" s="958"/>
      <c r="C40" s="958"/>
      <c r="D40" s="958"/>
      <c r="E40" s="958"/>
      <c r="F40" s="959"/>
      <c r="G40" s="960"/>
      <c r="H40" s="960"/>
      <c r="I40" s="960"/>
      <c r="J40" s="960"/>
      <c r="K40" s="959"/>
      <c r="L40" s="960"/>
      <c r="M40" s="960"/>
      <c r="N40" s="960"/>
      <c r="O40" s="960"/>
      <c r="P40" s="959"/>
      <c r="Q40" s="960"/>
      <c r="R40" s="960"/>
      <c r="S40" s="960"/>
      <c r="T40" s="960"/>
      <c r="U40" s="959"/>
      <c r="V40" s="960"/>
      <c r="W40" s="960"/>
      <c r="X40" s="960"/>
      <c r="Y40" s="960"/>
      <c r="Z40" s="959"/>
      <c r="AA40" s="960"/>
      <c r="AB40" s="960"/>
      <c r="AC40" s="960"/>
      <c r="AD40" s="960"/>
      <c r="AE40" s="959"/>
      <c r="AF40" s="780">
        <f>AF49*(AF47*2000/100)/1000</f>
        <v>257.91982099999996</v>
      </c>
      <c r="AG40" s="780">
        <f>AG49*(AG47*2000/100)/1000</f>
        <v>270.76924700000001</v>
      </c>
      <c r="AH40" s="960">
        <f>AH49*(AH47*2000/100)/1000</f>
        <v>277.290685</v>
      </c>
      <c r="AI40" s="960">
        <f>AI49*(AI47*2000/100)/1000</f>
        <v>277.16546799999998</v>
      </c>
      <c r="AJ40" s="959">
        <f>SUM(AF40:AI40)</f>
        <v>1083.1452209999998</v>
      </c>
      <c r="AK40" s="780">
        <f>AK49*(AK47*2000/100)/1000</f>
        <v>284.32484000000011</v>
      </c>
      <c r="AL40" s="780">
        <f>AL49*(AL47*2000/100)/1000</f>
        <v>297.77047799999883</v>
      </c>
      <c r="AM40" s="960">
        <f>AM49*(AM47*2000/100)/1000</f>
        <v>313.29448200000132</v>
      </c>
      <c r="AN40" s="960">
        <f>AN49*(AN47*2000/100)/1000</f>
        <v>306.5680549999995</v>
      </c>
      <c r="AO40" s="959">
        <f>SUM(AK40:AN40)</f>
        <v>1201.9578549999999</v>
      </c>
      <c r="AP40" s="780">
        <f>AP49*(AP47*2000/100)/1000</f>
        <v>315.51034199999947</v>
      </c>
      <c r="AQ40" s="780">
        <f>AQ49*(AQ47*2000/100)/1000</f>
        <v>344.56016800000083</v>
      </c>
      <c r="AR40" s="960">
        <f>AR49*(AR47*2000/100)/1000</f>
        <v>366.14799399999902</v>
      </c>
      <c r="AS40" s="960">
        <f>AS49*(AS47*2000/100)/1000</f>
        <v>359.0345080000007</v>
      </c>
      <c r="AT40" s="959">
        <f>SUM(AP40:AS40)</f>
        <v>1385.2530119999999</v>
      </c>
      <c r="AU40" s="780">
        <f>AU49*(AU47*2000/100)/1000</f>
        <v>373.57940999999909</v>
      </c>
      <c r="AV40" s="780">
        <f>AV49*(AV47*2000/100)/1000</f>
        <v>409.41544599999929</v>
      </c>
      <c r="AW40" s="960">
        <f>AW49*(AW47*2000/100)/1000</f>
        <v>422.51419799999894</v>
      </c>
      <c r="AX40" s="960">
        <f>AX49*(AX47*2000/100)/1000</f>
        <v>411.44517999999886</v>
      </c>
      <c r="AY40" s="959">
        <f>SUM(AU40:AX40)</f>
        <v>1616.9542339999962</v>
      </c>
      <c r="AZ40" s="780">
        <f>AZ49*(AZ47*2000/100)/1000</f>
        <v>421.60434400000065</v>
      </c>
      <c r="BA40" s="780">
        <f>BA49*(BA47*2000/100)/1000</f>
        <v>451.03371499999912</v>
      </c>
      <c r="BB40" s="960">
        <f>BB49*(BB47*2000/100)/1000</f>
        <v>478.56157699999915</v>
      </c>
      <c r="BC40" s="960">
        <f>BC49*(BC47*2000/100)/1000</f>
        <v>477.33906299999938</v>
      </c>
      <c r="BD40" s="959">
        <f>SUM(AZ40:BC40)</f>
        <v>1828.5386989999984</v>
      </c>
      <c r="BE40" s="780">
        <f>BE49*(BE47*20)/1000</f>
        <v>494.45856999999961</v>
      </c>
      <c r="BF40" s="780">
        <f>BF49*(BF47*20)/1000</f>
        <v>511.79301299999821</v>
      </c>
      <c r="BG40" s="960">
        <f>BG49*(BG47*20)/1000</f>
        <v>515.29593899999884</v>
      </c>
      <c r="BH40" s="960">
        <f>BH49*(BH47*20)/1000</f>
        <v>500.86328646999988</v>
      </c>
      <c r="BI40" s="959">
        <f>SUM(BE40:BH40)</f>
        <v>2022.4108084699965</v>
      </c>
      <c r="BJ40" s="780">
        <f>BJ49*(BJ47*20)/1000</f>
        <v>480.59982100000002</v>
      </c>
      <c r="BK40" s="780">
        <f>BK49*(BK47*20)/1000</f>
        <v>494.51041299999986</v>
      </c>
      <c r="BL40" s="960">
        <f>BL49*(BL47*20)/1000</f>
        <v>495.40585700000008</v>
      </c>
      <c r="BM40" s="960">
        <f>BM49*(BM47*20)/1000</f>
        <v>465.17574100000002</v>
      </c>
      <c r="BN40" s="959">
        <f>SUM(BJ40:BM40)</f>
        <v>1935.691832</v>
      </c>
      <c r="BO40" s="780">
        <f>BO49*(BO47*20)/1000</f>
        <v>461.73814399999998</v>
      </c>
      <c r="BP40" s="780">
        <f>BP49*(BP47*20)/1000</f>
        <v>506.33411100000006</v>
      </c>
      <c r="BQ40" s="960">
        <f>BQ49*(BQ47*20)/1000</f>
        <v>523.86402100000009</v>
      </c>
      <c r="BR40" s="960">
        <f>BR49*(BR47*20)/1000</f>
        <v>512.162914</v>
      </c>
      <c r="BS40" s="959">
        <f>SUM(BO40:BR40)</f>
        <v>2004.0991900000001</v>
      </c>
      <c r="BT40" s="780">
        <f>BT49*(BT47*20)/1000</f>
        <v>518.04052899999976</v>
      </c>
      <c r="BU40" s="780">
        <f>BU49*(BU47*20)/1000</f>
        <v>534.24866299999985</v>
      </c>
      <c r="BV40" s="960">
        <f>BV49*(BV47*20)/1000</f>
        <v>564.90445299999999</v>
      </c>
      <c r="BW40" s="960">
        <f>BW49*(BW47*20)/1000</f>
        <v>559.56577800000002</v>
      </c>
      <c r="BX40" s="959">
        <f>SUM(BT40:BW40)</f>
        <v>2176.759423</v>
      </c>
      <c r="BY40" s="780">
        <f>BY49*(BY47*20)/1000</f>
        <v>581.15275899999995</v>
      </c>
      <c r="BZ40" s="780">
        <f>BZ49*(BZ47*20)/1000</f>
        <v>636.27921299999991</v>
      </c>
      <c r="CA40" s="960">
        <f>CA49*(CA47*20)/1000</f>
        <v>665.6339999999999</v>
      </c>
      <c r="CB40" s="960">
        <f>CB49*(CB47*20)/1000</f>
        <v>646.4129999999999</v>
      </c>
      <c r="CC40" s="959">
        <f>SUM(BY40:CB40)</f>
        <v>2529.4789719999999</v>
      </c>
      <c r="CD40" s="780">
        <f>CD49*(CD47*20)/1000</f>
        <v>648.49091789999989</v>
      </c>
      <c r="CE40" s="780">
        <f>CE49*(CE47*20)/1000</f>
        <v>716.16383999999994</v>
      </c>
      <c r="CF40" s="960">
        <f>CF49*(CF47*20)/1000</f>
        <v>754.69311360000017</v>
      </c>
      <c r="CG40" s="960">
        <f>CG49*(CG47*20)/1000</f>
        <v>730.15213920000008</v>
      </c>
      <c r="CH40" s="959">
        <f>SUM(CD40:CG40)</f>
        <v>2849.5000107000001</v>
      </c>
      <c r="CI40" s="780">
        <f>CI49*(CI47*20)/1000</f>
        <v>724.01088000000016</v>
      </c>
      <c r="CJ40" s="780">
        <f>CJ49*(CJ47*20)/1000</f>
        <v>773.39037600000006</v>
      </c>
      <c r="CK40" s="960">
        <f>CK49*(CK47*20)/1000</f>
        <v>753.27192500000001</v>
      </c>
      <c r="CL40" s="960">
        <f>CL49*(CL47*20)/1000</f>
        <v>691.10469720000003</v>
      </c>
      <c r="CM40" s="959">
        <f>SUM(CI40:CL40)</f>
        <v>2941.7778782</v>
      </c>
      <c r="CN40" s="780">
        <f>CN49*(CN47*20)/1000</f>
        <v>716.01108480000005</v>
      </c>
      <c r="CO40" s="780">
        <f>CO49*(CO47*20)/1000</f>
        <v>779.5770603499999</v>
      </c>
      <c r="CP40" s="960">
        <f>CP49*(CP47*20)/1000</f>
        <v>776.24648009999987</v>
      </c>
      <c r="CQ40" s="960">
        <f>CQ49*(CQ47*20)/1000</f>
        <v>764.54328930000008</v>
      </c>
      <c r="CR40" s="959">
        <f>SUM(CN40:CQ40)</f>
        <v>3036.3779145499998</v>
      </c>
      <c r="CS40" s="780">
        <f>CS49*(CS47*20)/1000</f>
        <v>789.2479007999998</v>
      </c>
      <c r="CT40" s="780">
        <f>CT49*(CT47*20)/1000</f>
        <v>876.96275199999991</v>
      </c>
      <c r="CU40" s="960">
        <f>CU49*(CU47*20)/1000</f>
        <v>863.3846400000001</v>
      </c>
      <c r="CV40" s="960">
        <f>CV49*(CV47*20)/1000</f>
        <v>684.50657120000005</v>
      </c>
      <c r="CW40" s="959">
        <f>SUM(CS40:CV40)</f>
        <v>3214.1018639999998</v>
      </c>
      <c r="CX40" s="780">
        <f>CX49*(CX47*20)/1000</f>
        <v>598.26071197499982</v>
      </c>
      <c r="CY40" s="780">
        <f>CY49*(CY47*20)/1000</f>
        <v>669.21423140629997</v>
      </c>
      <c r="CZ40" s="960">
        <f>CZ49*(CZ47*20)/1000</f>
        <v>731.90704204799988</v>
      </c>
      <c r="DA40" s="960">
        <f>DA49*(DA47*20)/1000</f>
        <v>712.19366581499992</v>
      </c>
      <c r="DB40" s="959">
        <f>SUM(CX40:DA40)</f>
        <v>2711.5756512442995</v>
      </c>
      <c r="DC40" s="780">
        <f>DC49*(DC47*20)/1000</f>
        <v>749.79858019499989</v>
      </c>
      <c r="DD40" s="780">
        <f>DD49*(DD47*20)/1000</f>
        <v>845.78043612179988</v>
      </c>
      <c r="DE40" s="960">
        <f>DE49*(DE47*20)/1000</f>
        <v>819.66965644799984</v>
      </c>
      <c r="DF40" s="960">
        <f>DF49*(DF47*20)/1000</f>
        <v>753.00862021</v>
      </c>
      <c r="DG40" s="959">
        <f>SUM(DC40:DF40)</f>
        <v>3168.2572929747998</v>
      </c>
      <c r="DH40" s="780">
        <f>DH49*(DH47*20)/1000</f>
        <v>796.70784816000003</v>
      </c>
      <c r="DI40" s="780">
        <f>DI49*(DI47*20)/1000</f>
        <v>863.43855394875004</v>
      </c>
      <c r="DJ40" s="780">
        <f>DJ49*(DJ47*20)/1000</f>
        <v>867.32672512000011</v>
      </c>
      <c r="DK40" s="780">
        <f>DK49*(DK47*20)/1000</f>
        <v>816.15326284800005</v>
      </c>
      <c r="DL40" s="959">
        <f>SUM(DH40:DK40)</f>
        <v>3343.6263900767499</v>
      </c>
      <c r="DM40" s="780">
        <f>DM49*(DM47*20)/1000</f>
        <v>857.76455761919999</v>
      </c>
      <c r="DN40" s="780">
        <f>DN49*(DN47*20)/1000</f>
        <v>899.74762257379984</v>
      </c>
      <c r="DO40" s="780">
        <f>DO49*(DO47*20)/1000</f>
        <v>881.56632572189983</v>
      </c>
      <c r="DP40" s="780">
        <f>DP49*(DP47*20)/1000</f>
        <v>841.15150820400004</v>
      </c>
      <c r="DQ40" s="959">
        <f>SUM(DM40:DP40)</f>
        <v>3480.2300141188998</v>
      </c>
      <c r="DR40" s="780">
        <f>DR49*(DR47*20)/1000</f>
        <v>856.35033618750003</v>
      </c>
      <c r="DS40" s="780">
        <f>DS49*(DS47*20)/1000</f>
        <v>917.75767848960015</v>
      </c>
      <c r="DT40" s="780">
        <f>DT49*(DT47*20)/1000</f>
        <v>920.72200636790001</v>
      </c>
      <c r="DU40" s="780">
        <f>DU49*(DU47*20)/1000</f>
        <v>857.26766999279971</v>
      </c>
      <c r="DV40" s="959">
        <f>SUM(DR40:DU40)</f>
        <v>3552.0976910377999</v>
      </c>
      <c r="DW40" s="780">
        <f>DW49*(DW47*20)/1000</f>
        <v>874.56256048980003</v>
      </c>
      <c r="DX40" s="780">
        <f>DX49*(DX47*20)/1000</f>
        <v>965.9756899649999</v>
      </c>
      <c r="DY40" s="780">
        <f>DY49*(DY47*20)/1000</f>
        <v>970.82420613119996</v>
      </c>
      <c r="DZ40" s="780">
        <f>DZ49*(DZ47*20)/1000</f>
        <v>915.27122737440015</v>
      </c>
      <c r="EA40" s="959">
        <f>SUM(DW40:DZ40)</f>
        <v>3726.6336839604</v>
      </c>
      <c r="EB40" s="780">
        <f>EB49*(EB47*20)/1000</f>
        <v>885.59438662500008</v>
      </c>
      <c r="EC40" s="780">
        <f>EC49*(EC47*20)/1000</f>
        <v>940.19679402479994</v>
      </c>
      <c r="ED40" s="780">
        <f>ED49*(ED47*20)/1000</f>
        <v>928.08664955750385</v>
      </c>
      <c r="EE40" s="960">
        <f>EE42+EE68</f>
        <v>868.83666021057218</v>
      </c>
      <c r="EF40" s="959">
        <f>SUM(EB40:EE40)</f>
        <v>3622.7144904178758</v>
      </c>
      <c r="EG40" s="960">
        <f>EG42+EG68</f>
        <v>852.51089482900795</v>
      </c>
      <c r="EH40" s="960">
        <f>EH42+EH68</f>
        <v>899.980463210518</v>
      </c>
      <c r="EI40" s="960">
        <f>EI42+EI68</f>
        <v>903.61396931974139</v>
      </c>
      <c r="EJ40" s="960">
        <f>EJ42+EJ68</f>
        <v>863.67734467771493</v>
      </c>
      <c r="EK40" s="959">
        <f>SUM(EG40:EJ40)</f>
        <v>3519.7826720369821</v>
      </c>
      <c r="EL40" s="960">
        <f>EL42+EL68</f>
        <v>910.74309908720284</v>
      </c>
      <c r="EM40" s="960">
        <f t="shared" ref="EM40:EO40" si="60">EM42+EM68</f>
        <v>966.78346701967769</v>
      </c>
      <c r="EN40" s="960">
        <f t="shared" si="60"/>
        <v>961.78400998652489</v>
      </c>
      <c r="EO40" s="960">
        <f t="shared" si="60"/>
        <v>930.99676268247254</v>
      </c>
      <c r="EP40" s="959">
        <f>SUM(EL40:EO40)</f>
        <v>3770.3073387758777</v>
      </c>
      <c r="EQ40" s="960">
        <f>EQ42+EQ68</f>
        <v>946.90142085298601</v>
      </c>
      <c r="ER40" s="960">
        <f>ER42+ER68</f>
        <v>1015.7119816952785</v>
      </c>
      <c r="ES40" s="960">
        <f t="shared" ref="ES40:ET40" si="61">ES42+ES68</f>
        <v>1003.3229060080566</v>
      </c>
      <c r="ET40" s="960">
        <f t="shared" si="61"/>
        <v>967.53196345218169</v>
      </c>
      <c r="EU40" s="959">
        <f>SUM(EQ40:ET40)</f>
        <v>3933.4682720085025</v>
      </c>
      <c r="EV40" s="960">
        <f>EV42+EV68</f>
        <v>1009.0644846713285</v>
      </c>
      <c r="EW40" s="960">
        <f>EW42+EW68</f>
        <v>1083.8466893918421</v>
      </c>
      <c r="EX40" s="960">
        <f>EX42+EX68</f>
        <v>1070.6265453842775</v>
      </c>
      <c r="EY40" s="960">
        <f t="shared" ref="EY40:FE40" si="62">EY42+EY68</f>
        <v>1027.4229010161635</v>
      </c>
      <c r="EZ40" s="959">
        <f t="shared" si="62"/>
        <v>4161.967570205873</v>
      </c>
      <c r="FA40" s="960">
        <f t="shared" si="62"/>
        <v>0</v>
      </c>
      <c r="FB40" s="960">
        <f t="shared" si="62"/>
        <v>0</v>
      </c>
      <c r="FC40" s="960">
        <f t="shared" si="62"/>
        <v>0</v>
      </c>
      <c r="FD40" s="960">
        <f t="shared" si="62"/>
        <v>0</v>
      </c>
      <c r="FE40" s="959">
        <f t="shared" si="62"/>
        <v>4398.3544805762704</v>
      </c>
      <c r="FF40" s="961"/>
      <c r="FG40" s="690"/>
      <c r="FH40" s="754"/>
      <c r="FI40" s="754"/>
      <c r="FJ40" s="754"/>
      <c r="FK40" s="754"/>
      <c r="FL40" s="690"/>
      <c r="FM40" s="747"/>
      <c r="FN40" s="747"/>
      <c r="FO40" s="929"/>
      <c r="FP40" s="956"/>
      <c r="FQ40" s="929"/>
      <c r="FR40" s="929"/>
      <c r="FS40" s="929"/>
      <c r="FT40" s="929"/>
      <c r="FU40" s="690"/>
      <c r="FV40"/>
      <c r="FW40"/>
      <c r="FX40"/>
      <c r="FY40"/>
      <c r="FZ40"/>
      <c r="GA40"/>
      <c r="GB40" s="713"/>
      <c r="GC40" s="536"/>
      <c r="GD40" s="536"/>
      <c r="GE40" s="536"/>
      <c r="GF40" s="536"/>
      <c r="GG40" s="536"/>
      <c r="GH40" s="536"/>
      <c r="GI40" s="536"/>
      <c r="GJ40" s="536"/>
      <c r="GK40" s="536"/>
      <c r="GL40" s="536"/>
      <c r="GM40" s="536"/>
      <c r="GN40" s="536"/>
      <c r="GO40" s="536"/>
      <c r="GP40" s="536"/>
      <c r="GQ40" s="536"/>
      <c r="GR40" s="536"/>
      <c r="GS40" s="536"/>
      <c r="GT40" s="536"/>
      <c r="GU40" s="536"/>
      <c r="GV40" s="536"/>
      <c r="GW40" s="536"/>
      <c r="GX40" s="536"/>
      <c r="GY40" s="536"/>
      <c r="GZ40" s="536"/>
      <c r="HA40" s="536"/>
      <c r="HB40" s="536"/>
      <c r="HC40" s="536"/>
      <c r="HD40" s="536"/>
      <c r="HE40" s="536"/>
      <c r="HF40" s="536"/>
      <c r="HG40" s="536"/>
      <c r="HH40" s="536"/>
      <c r="HI40" s="536"/>
      <c r="HJ40" s="536"/>
      <c r="HK40" s="536"/>
      <c r="HL40" s="536"/>
      <c r="HM40" s="536"/>
      <c r="HN40" s="536"/>
      <c r="HO40" s="536"/>
      <c r="HP40" s="536"/>
      <c r="HQ40" s="536"/>
      <c r="HR40" s="536"/>
      <c r="HS40" s="536"/>
      <c r="HT40" s="536"/>
      <c r="HU40" s="536"/>
      <c r="HV40" s="536"/>
      <c r="HW40" s="536"/>
      <c r="HX40" s="536"/>
      <c r="HY40" s="536"/>
      <c r="HZ40" s="536"/>
      <c r="IA40" s="536"/>
      <c r="IB40" s="536"/>
      <c r="IC40" s="536"/>
      <c r="ID40" s="536"/>
      <c r="IE40" s="536"/>
      <c r="IF40" s="536"/>
      <c r="IG40" s="536"/>
      <c r="IH40" s="536"/>
      <c r="II40" s="536"/>
      <c r="IJ40" s="536"/>
      <c r="IK40" s="536"/>
      <c r="IL40" s="536"/>
      <c r="IM40" s="536"/>
      <c r="IN40" s="536"/>
      <c r="IO40" s="536"/>
      <c r="IP40" s="536"/>
      <c r="IQ40" s="536"/>
      <c r="IR40" s="536"/>
      <c r="IS40" s="536"/>
      <c r="IT40" s="536"/>
      <c r="IU40" s="536"/>
      <c r="IV40" s="536"/>
      <c r="IW40" s="536"/>
      <c r="IX40" s="536"/>
      <c r="IY40" s="536"/>
      <c r="IZ40" s="536"/>
      <c r="JA40" s="536"/>
      <c r="JB40" s="536"/>
      <c r="JC40" s="536"/>
      <c r="JD40" s="536"/>
      <c r="JE40" s="536"/>
      <c r="JF40" s="536"/>
      <c r="JG40" s="536"/>
      <c r="JH40" s="536"/>
      <c r="JI40" s="536"/>
      <c r="JJ40" s="536"/>
      <c r="JK40" s="536"/>
      <c r="JL40" s="536"/>
    </row>
    <row r="41" spans="1:272" s="799" customFormat="1" ht="12.75" customHeight="1">
      <c r="A41" s="58" t="s">
        <v>85</v>
      </c>
      <c r="B41" s="790"/>
      <c r="C41" s="721"/>
      <c r="D41" s="721"/>
      <c r="E41" s="721"/>
      <c r="F41" s="741"/>
      <c r="G41" s="721"/>
      <c r="H41" s="721"/>
      <c r="I41" s="721"/>
      <c r="J41" s="721"/>
      <c r="K41" s="741"/>
      <c r="L41" s="721"/>
      <c r="M41" s="721"/>
      <c r="N41" s="721"/>
      <c r="O41" s="721"/>
      <c r="P41" s="741"/>
      <c r="Q41" s="721"/>
      <c r="R41" s="721"/>
      <c r="S41" s="721"/>
      <c r="T41" s="721"/>
      <c r="U41" s="741"/>
      <c r="V41" s="721"/>
      <c r="W41" s="721"/>
      <c r="X41" s="721"/>
      <c r="Y41" s="721"/>
      <c r="Z41" s="741"/>
      <c r="AA41" s="721" t="str">
        <f t="shared" ref="AA41:CL41" si="63">IF(ISERROR(AA40/V40-1)," ",(AA40/V40-1))</f>
        <v xml:space="preserve"> </v>
      </c>
      <c r="AB41" s="721" t="str">
        <f t="shared" si="63"/>
        <v xml:space="preserve"> </v>
      </c>
      <c r="AC41" s="721" t="str">
        <f t="shared" si="63"/>
        <v xml:space="preserve"> </v>
      </c>
      <c r="AD41" s="721" t="str">
        <f t="shared" si="63"/>
        <v xml:space="preserve"> </v>
      </c>
      <c r="AE41" s="741" t="str">
        <f t="shared" si="63"/>
        <v xml:space="preserve"> </v>
      </c>
      <c r="AF41" s="721" t="str">
        <f t="shared" si="63"/>
        <v xml:space="preserve"> </v>
      </c>
      <c r="AG41" s="721" t="str">
        <f t="shared" si="63"/>
        <v xml:space="preserve"> </v>
      </c>
      <c r="AH41" s="721" t="str">
        <f t="shared" si="63"/>
        <v xml:space="preserve"> </v>
      </c>
      <c r="AI41" s="721" t="str">
        <f t="shared" si="63"/>
        <v xml:space="preserve"> </v>
      </c>
      <c r="AJ41" s="741" t="str">
        <f t="shared" si="63"/>
        <v xml:space="preserve"> </v>
      </c>
      <c r="AK41" s="721">
        <f t="shared" si="63"/>
        <v>0.10237685067252023</v>
      </c>
      <c r="AL41" s="721">
        <f t="shared" si="63"/>
        <v>9.9720449420162005E-2</v>
      </c>
      <c r="AM41" s="721">
        <f t="shared" si="63"/>
        <v>0.12984135042257661</v>
      </c>
      <c r="AN41" s="721">
        <f t="shared" si="63"/>
        <v>0.10608315390862311</v>
      </c>
      <c r="AO41" s="741">
        <f t="shared" si="63"/>
        <v>0.10969224781355535</v>
      </c>
      <c r="AP41" s="721">
        <f t="shared" si="63"/>
        <v>0.10968265030941149</v>
      </c>
      <c r="AQ41" s="721">
        <f t="shared" si="63"/>
        <v>0.15713340796666286</v>
      </c>
      <c r="AR41" s="721">
        <f t="shared" si="63"/>
        <v>0.16870233928983613</v>
      </c>
      <c r="AS41" s="721">
        <f t="shared" si="63"/>
        <v>0.17114129193924432</v>
      </c>
      <c r="AT41" s="741">
        <f t="shared" si="63"/>
        <v>0.15249715806383257</v>
      </c>
      <c r="AU41" s="721">
        <f t="shared" si="63"/>
        <v>0.18404806521365846</v>
      </c>
      <c r="AV41" s="721">
        <f t="shared" si="63"/>
        <v>0.18822627808794867</v>
      </c>
      <c r="AW41" s="721">
        <f t="shared" si="63"/>
        <v>0.15394377389378811</v>
      </c>
      <c r="AX41" s="721">
        <f t="shared" si="63"/>
        <v>0.14597669815069159</v>
      </c>
      <c r="AY41" s="741">
        <f t="shared" si="63"/>
        <v>0.16726274550052822</v>
      </c>
      <c r="AZ41" s="721">
        <f t="shared" si="63"/>
        <v>0.12855348210973849</v>
      </c>
      <c r="BA41" s="721">
        <f t="shared" si="63"/>
        <v>0.10165290393074211</v>
      </c>
      <c r="BB41" s="721">
        <f t="shared" si="63"/>
        <v>0.13265206060602108</v>
      </c>
      <c r="BC41" s="721">
        <f t="shared" si="63"/>
        <v>0.16015227836670909</v>
      </c>
      <c r="BD41" s="741">
        <f t="shared" si="63"/>
        <v>0.13085371283303915</v>
      </c>
      <c r="BE41" s="721">
        <f t="shared" si="63"/>
        <v>0.17280236087889755</v>
      </c>
      <c r="BF41" s="721">
        <f t="shared" si="63"/>
        <v>0.13471121111201012</v>
      </c>
      <c r="BG41" s="721">
        <f t="shared" si="63"/>
        <v>7.6759948490389807E-2</v>
      </c>
      <c r="BH41" s="721">
        <f t="shared" si="63"/>
        <v>4.9281999512368779E-2</v>
      </c>
      <c r="BI41" s="741">
        <f t="shared" si="63"/>
        <v>0.1060257076188893</v>
      </c>
      <c r="BJ41" s="721">
        <f t="shared" si="63"/>
        <v>-2.8028129839067439E-2</v>
      </c>
      <c r="BK41" s="721">
        <f t="shared" si="63"/>
        <v>-3.3768729859542712E-2</v>
      </c>
      <c r="BL41" s="721">
        <f t="shared" si="63"/>
        <v>-3.8599337768114639E-2</v>
      </c>
      <c r="BM41" s="721">
        <f t="shared" si="63"/>
        <v>-7.12520690456665E-2</v>
      </c>
      <c r="BN41" s="741">
        <f t="shared" si="63"/>
        <v>-4.2879011577079851E-2</v>
      </c>
      <c r="BO41" s="721">
        <f t="shared" si="63"/>
        <v>-3.9246117405441261E-2</v>
      </c>
      <c r="BP41" s="721">
        <f t="shared" si="63"/>
        <v>2.3909907029602273E-2</v>
      </c>
      <c r="BQ41" s="721">
        <f t="shared" si="63"/>
        <v>5.7444141198354837E-2</v>
      </c>
      <c r="BR41" s="721">
        <f t="shared" si="63"/>
        <v>0.10100950857624369</v>
      </c>
      <c r="BS41" s="741">
        <f t="shared" si="63"/>
        <v>3.534000447236485E-2</v>
      </c>
      <c r="BT41" s="721">
        <f t="shared" si="63"/>
        <v>0.12193574590190193</v>
      </c>
      <c r="BU41" s="721">
        <f t="shared" si="63"/>
        <v>5.5130696102755339E-2</v>
      </c>
      <c r="BV41" s="721">
        <f t="shared" si="63"/>
        <v>7.8341764952015946E-2</v>
      </c>
      <c r="BW41" s="721">
        <f t="shared" si="63"/>
        <v>9.255426877706352E-2</v>
      </c>
      <c r="BX41" s="741">
        <f t="shared" si="63"/>
        <v>8.6153536642066042E-2</v>
      </c>
      <c r="BY41" s="721">
        <f t="shared" si="63"/>
        <v>0.12182874981196723</v>
      </c>
      <c r="BZ41" s="721">
        <f t="shared" si="63"/>
        <v>0.19097951397212976</v>
      </c>
      <c r="CA41" s="721">
        <f t="shared" si="63"/>
        <v>0.17831253845683515</v>
      </c>
      <c r="CB41" s="721">
        <f t="shared" si="63"/>
        <v>0.1552046701469294</v>
      </c>
      <c r="CC41" s="741">
        <f t="shared" si="63"/>
        <v>0.16203882949723658</v>
      </c>
      <c r="CD41" s="721">
        <f t="shared" si="63"/>
        <v>0.11586998058112963</v>
      </c>
      <c r="CE41" s="721">
        <f t="shared" si="63"/>
        <v>0.12554964136475721</v>
      </c>
      <c r="CF41" s="721">
        <f t="shared" si="63"/>
        <v>0.13379592028051501</v>
      </c>
      <c r="CG41" s="721">
        <f t="shared" si="63"/>
        <v>0.12954433032751544</v>
      </c>
      <c r="CH41" s="741">
        <f t="shared" si="63"/>
        <v>0.1265165839457314</v>
      </c>
      <c r="CI41" s="721">
        <f t="shared" si="63"/>
        <v>0.11645492637669563</v>
      </c>
      <c r="CJ41" s="721">
        <f t="shared" si="63"/>
        <v>7.9907044734344845E-2</v>
      </c>
      <c r="CK41" s="721">
        <f t="shared" si="63"/>
        <v>-1.8831344481479162E-3</v>
      </c>
      <c r="CL41" s="721">
        <f t="shared" si="63"/>
        <v>-5.3478501128248257E-2</v>
      </c>
      <c r="CM41" s="741">
        <f t="shared" ref="CM41:EF41" si="64">IF(ISERROR(CM40/CH40-1)," ",(CM40/CH40-1))</f>
        <v>3.2383880383748842E-2</v>
      </c>
      <c r="CN41" s="721">
        <f t="shared" si="64"/>
        <v>-1.1049274839626921E-2</v>
      </c>
      <c r="CO41" s="721">
        <f t="shared" si="64"/>
        <v>7.9994328116643754E-3</v>
      </c>
      <c r="CP41" s="721">
        <f t="shared" si="64"/>
        <v>3.0499683231921759E-2</v>
      </c>
      <c r="CQ41" s="721">
        <f t="shared" si="64"/>
        <v>0.1062626146190806</v>
      </c>
      <c r="CR41" s="741">
        <f t="shared" si="64"/>
        <v>3.215743685171879E-2</v>
      </c>
      <c r="CS41" s="721">
        <f t="shared" si="64"/>
        <v>0.10228447234229154</v>
      </c>
      <c r="CT41" s="721">
        <f t="shared" si="64"/>
        <v>0.1249211868885387</v>
      </c>
      <c r="CU41" s="721">
        <f t="shared" si="64"/>
        <v>0.11225578747716147</v>
      </c>
      <c r="CV41" s="721">
        <f t="shared" si="64"/>
        <v>-0.10468565903348648</v>
      </c>
      <c r="CW41" s="741">
        <f t="shared" si="64"/>
        <v>5.8531564400585934E-2</v>
      </c>
      <c r="CX41" s="721">
        <f t="shared" si="64"/>
        <v>-0.24198631207179766</v>
      </c>
      <c r="CY41" s="721">
        <f t="shared" si="64"/>
        <v>-0.23689548971140328</v>
      </c>
      <c r="CZ41" s="721">
        <f t="shared" si="64"/>
        <v>-0.15228160412026814</v>
      </c>
      <c r="DA41" s="721">
        <f t="shared" si="64"/>
        <v>4.0448252478368474E-2</v>
      </c>
      <c r="DB41" s="741">
        <f t="shared" si="64"/>
        <v>-0.15635043132400872</v>
      </c>
      <c r="DC41" s="721">
        <f t="shared" si="64"/>
        <v>0.25329737552001008</v>
      </c>
      <c r="DD41" s="721">
        <f t="shared" si="64"/>
        <v>0.26384107872969209</v>
      </c>
      <c r="DE41" s="721">
        <f t="shared" si="64"/>
        <v>0.11990950948418977</v>
      </c>
      <c r="DF41" s="721">
        <f t="shared" si="64"/>
        <v>5.7308786014395929E-2</v>
      </c>
      <c r="DG41" s="741">
        <f t="shared" si="64"/>
        <v>0.16841928843878518</v>
      </c>
      <c r="DH41" s="721">
        <f t="shared" si="64"/>
        <v>6.2562492386689428E-2</v>
      </c>
      <c r="DI41" s="721">
        <f t="shared" si="64"/>
        <v>2.0877898178774279E-2</v>
      </c>
      <c r="DJ41" s="721">
        <f t="shared" si="64"/>
        <v>5.8141799317690923E-2</v>
      </c>
      <c r="DK41" s="721">
        <f t="shared" si="64"/>
        <v>8.3856467168184956E-2</v>
      </c>
      <c r="DL41" s="741">
        <f t="shared" si="64"/>
        <v>5.5351911440654877E-2</v>
      </c>
      <c r="DM41" s="721">
        <f t="shared" si="64"/>
        <v>7.6636259577724353E-2</v>
      </c>
      <c r="DN41" s="721">
        <f t="shared" si="64"/>
        <v>4.2051711102079059E-2</v>
      </c>
      <c r="DO41" s="721">
        <f t="shared" si="64"/>
        <v>1.6417804489916588E-2</v>
      </c>
      <c r="DP41" s="721">
        <f t="shared" si="64"/>
        <v>3.0629351733236554E-2</v>
      </c>
      <c r="DQ41" s="741">
        <f t="shared" si="64"/>
        <v>4.0854930577041593E-2</v>
      </c>
      <c r="DR41" s="743">
        <f>IF(ISERROR(DR40/DM40-1)," ",(DR40/DM40-1))</f>
        <v>-1.6487291520009828E-3</v>
      </c>
      <c r="DS41" s="743">
        <f t="shared" si="64"/>
        <v>2.00167863342402E-2</v>
      </c>
      <c r="DT41" s="721">
        <f t="shared" si="64"/>
        <v>4.4416034850169872E-2</v>
      </c>
      <c r="DU41" s="721">
        <f t="shared" si="64"/>
        <v>1.9159642028355073E-2</v>
      </c>
      <c r="DV41" s="741">
        <f t="shared" si="64"/>
        <v>2.0650266398295924E-2</v>
      </c>
      <c r="DW41" s="743">
        <f t="shared" si="64"/>
        <v>2.1267258892407881E-2</v>
      </c>
      <c r="DX41" s="743">
        <f t="shared" si="64"/>
        <v>5.2538935500659134E-2</v>
      </c>
      <c r="DY41" s="721">
        <f t="shared" si="64"/>
        <v>5.4416207516256865E-2</v>
      </c>
      <c r="DZ41" s="721">
        <f t="shared" si="64"/>
        <v>6.7660964494423936E-2</v>
      </c>
      <c r="EA41" s="741">
        <f t="shared" si="64"/>
        <v>4.9136034001251438E-2</v>
      </c>
      <c r="EB41" s="743">
        <f t="shared" si="64"/>
        <v>1.2614107479082648E-2</v>
      </c>
      <c r="EC41" s="743">
        <f>IF(ISERROR(EC40/DX40-1)," ",(EC40/DX40-1))</f>
        <v>-2.668689927500556E-2</v>
      </c>
      <c r="ED41" s="721">
        <f t="shared" si="64"/>
        <v>-4.4021931369025213E-2</v>
      </c>
      <c r="EE41" s="721">
        <f t="shared" si="64"/>
        <v>-5.0733122352193738E-2</v>
      </c>
      <c r="EF41" s="741">
        <f t="shared" si="64"/>
        <v>-2.7885540236969653E-2</v>
      </c>
      <c r="EG41" s="721">
        <f t="shared" ref="EG41:EJ41" si="65">IF(ISERROR(EG40/EB40-1)," ",(EG40/EB40-1))</f>
        <v>-3.7357386514240809E-2</v>
      </c>
      <c r="EH41" s="721">
        <f t="shared" si="65"/>
        <v>-4.2774375609305859E-2</v>
      </c>
      <c r="EI41" s="721">
        <f t="shared" si="65"/>
        <v>-2.6368960537715536E-2</v>
      </c>
      <c r="EJ41" s="721">
        <f t="shared" si="65"/>
        <v>-5.9381881188195207E-3</v>
      </c>
      <c r="EK41" s="741">
        <f t="shared" ref="EK41" si="66">IF(ISERROR(EK40/EF40-1)," ",(EK40/EF40-1))</f>
        <v>-2.8412898298540989E-2</v>
      </c>
      <c r="EL41" s="721">
        <f t="shared" ref="EL41" si="67">IF(ISERROR(EL40/EG40-1)," ",(EL40/EG40-1))</f>
        <v>6.8306698027448487E-2</v>
      </c>
      <c r="EM41" s="721">
        <f t="shared" ref="EM41" si="68">IF(ISERROR(EM40/EH40-1)," ",(EM40/EH40-1))</f>
        <v>7.4227171077527743E-2</v>
      </c>
      <c r="EN41" s="721">
        <f t="shared" ref="EN41" si="69">IF(ISERROR(EN40/EI40-1)," ",(EN40/EI40-1))</f>
        <v>6.4374879806888163E-2</v>
      </c>
      <c r="EO41" s="721">
        <f t="shared" ref="EO41:EP41" si="70">IF(ISERROR(EO40/EJ40-1)," ",(EO40/EJ40-1))</f>
        <v>7.7945101164924147E-2</v>
      </c>
      <c r="EP41" s="741">
        <f t="shared" si="70"/>
        <v>7.1176174804540082E-2</v>
      </c>
      <c r="EQ41" s="721">
        <f t="shared" ref="EQ41" si="71">IF(ISERROR(EQ40/EL40-1)," ",(EQ40/EL40-1))</f>
        <v>3.9701999171910307E-2</v>
      </c>
      <c r="ER41" s="721">
        <f t="shared" ref="ER41" si="72">IF(ISERROR(ER40/EM40-1)," ",(ER40/EM40-1))</f>
        <v>5.0609589783774167E-2</v>
      </c>
      <c r="ES41" s="721">
        <f t="shared" ref="ES41" si="73">IF(ISERROR(ES40/EN40-1)," ",(ES40/EN40-1))</f>
        <v>4.3189422562882607E-2</v>
      </c>
      <c r="ET41" s="721">
        <f t="shared" ref="ET41" si="74">IF(ISERROR(ET40/EO40-1)," ",(ET40/EO40-1))</f>
        <v>3.9243101838980277E-2</v>
      </c>
      <c r="EU41" s="741">
        <f t="shared" ref="EU41" si="75">IF(ISERROR(EU40/EP40-1)," ",(EU40/EP40-1))</f>
        <v>4.3275234237429183E-2</v>
      </c>
      <c r="EV41" s="721">
        <f t="shared" ref="EV41" si="76">IF(ISERROR(EV40/EQ40-1)," ",(EV40/EQ40-1))</f>
        <v>6.5648928652303429E-2</v>
      </c>
      <c r="EW41" s="721">
        <f t="shared" ref="EW41" si="77">IF(ISERROR(EW40/ER40-1)," ",(EW40/ER40-1))</f>
        <v>6.7080736394231621E-2</v>
      </c>
      <c r="EX41" s="721">
        <f t="shared" ref="EX41" si="78">IF(ISERROR(EX40/ES40-1)," ",(EX40/ES40-1))</f>
        <v>6.7080736394231621E-2</v>
      </c>
      <c r="EY41" s="721">
        <f t="shared" ref="EY41" si="79">IF(ISERROR(EY40/ET40-1)," ",(EY40/ET40-1))</f>
        <v>6.1900732819502036E-2</v>
      </c>
      <c r="EZ41" s="741">
        <f t="shared" ref="EZ41" si="80">IF(ISERROR(EZ40/EU40-1)," ",(EZ40/EU40-1))</f>
        <v>5.8091049017333196E-2</v>
      </c>
      <c r="FA41" s="721">
        <f t="shared" ref="FA41" si="81">IF(ISERROR(FA40/EV40-1)," ",(FA40/EV40-1))</f>
        <v>-1</v>
      </c>
      <c r="FB41" s="721">
        <f t="shared" ref="FB41" si="82">IF(ISERROR(FB40/EW40-1)," ",(FB40/EW40-1))</f>
        <v>-1</v>
      </c>
      <c r="FC41" s="721">
        <f t="shared" ref="FC41" si="83">IF(ISERROR(FC40/EX40-1)," ",(FC40/EX40-1))</f>
        <v>-1</v>
      </c>
      <c r="FD41" s="721">
        <f t="shared" ref="FD41" si="84">IF(ISERROR(FD40/EY40-1)," ",(FD40/EY40-1))</f>
        <v>-1</v>
      </c>
      <c r="FE41" s="741">
        <f t="shared" ref="FE41" si="85">IF(ISERROR(FE40/EZ40-1)," ",(FE40/EZ40-1))</f>
        <v>5.6796913090484402E-2</v>
      </c>
      <c r="FF41" s="721"/>
      <c r="FG41" s="690"/>
      <c r="FH41" s="754"/>
      <c r="FI41" s="754"/>
      <c r="FJ41" s="754"/>
      <c r="FK41" s="754"/>
      <c r="FL41" s="690"/>
      <c r="FM41" s="708"/>
      <c r="FN41" s="708"/>
      <c r="FO41" s="723"/>
      <c r="FP41" s="723"/>
      <c r="FQ41" s="723"/>
      <c r="FR41" s="723"/>
      <c r="FS41" s="723"/>
      <c r="FT41" s="723"/>
      <c r="FU41" s="690"/>
      <c r="FV41"/>
      <c r="FW41"/>
      <c r="FX41"/>
      <c r="FY41"/>
      <c r="FZ41"/>
      <c r="GA41"/>
      <c r="GB41" s="949"/>
      <c r="GC41" s="950"/>
      <c r="GD41" s="950"/>
      <c r="GE41" s="950"/>
      <c r="GF41" s="950"/>
      <c r="GG41" s="950"/>
      <c r="GH41" s="950"/>
      <c r="GI41" s="950"/>
      <c r="GJ41" s="950"/>
      <c r="GK41" s="950"/>
      <c r="GL41" s="950"/>
      <c r="GM41" s="950"/>
      <c r="GN41" s="950"/>
      <c r="GO41" s="950"/>
      <c r="GP41" s="950"/>
      <c r="GQ41" s="950"/>
      <c r="GR41" s="950"/>
      <c r="GS41" s="950"/>
      <c r="GT41" s="950"/>
      <c r="GU41" s="950"/>
      <c r="GV41" s="950"/>
      <c r="GW41" s="950"/>
      <c r="GX41" s="950"/>
      <c r="GY41" s="950"/>
      <c r="GZ41" s="950"/>
      <c r="HA41" s="950"/>
      <c r="HB41" s="950"/>
      <c r="HC41" s="950"/>
      <c r="HD41" s="950"/>
      <c r="HE41" s="950"/>
      <c r="HF41" s="950"/>
      <c r="HG41" s="950"/>
      <c r="HH41" s="950"/>
      <c r="HI41" s="950"/>
      <c r="HJ41" s="950"/>
      <c r="HK41" s="950"/>
      <c r="HL41" s="950"/>
      <c r="HM41" s="950"/>
      <c r="HN41" s="950"/>
      <c r="HO41" s="950"/>
      <c r="HP41" s="950"/>
      <c r="HQ41" s="950"/>
      <c r="HR41" s="950"/>
      <c r="HS41" s="950"/>
      <c r="HT41" s="950"/>
      <c r="HU41" s="950"/>
      <c r="HV41" s="950"/>
      <c r="HW41" s="950"/>
      <c r="HX41" s="950"/>
      <c r="HY41" s="950"/>
      <c r="HZ41" s="950"/>
      <c r="IA41" s="950"/>
      <c r="IB41" s="950"/>
      <c r="IC41" s="950"/>
      <c r="ID41" s="950"/>
      <c r="IE41" s="950"/>
      <c r="IF41" s="950"/>
      <c r="IG41" s="950"/>
      <c r="IH41" s="950"/>
      <c r="II41" s="950"/>
      <c r="IJ41" s="950"/>
      <c r="IK41" s="950"/>
      <c r="IL41" s="950"/>
      <c r="IM41" s="950"/>
      <c r="IN41" s="950"/>
      <c r="IO41" s="950"/>
      <c r="IP41" s="950"/>
      <c r="IQ41" s="950"/>
      <c r="IR41" s="950"/>
      <c r="IS41" s="950"/>
      <c r="IT41" s="950"/>
      <c r="IU41" s="950"/>
      <c r="IV41" s="950"/>
      <c r="IW41" s="950"/>
      <c r="IX41" s="950"/>
      <c r="IY41" s="950"/>
      <c r="IZ41" s="950"/>
      <c r="JA41" s="950"/>
      <c r="JB41" s="950"/>
      <c r="JC41" s="950"/>
      <c r="JD41" s="950"/>
      <c r="JE41" s="950"/>
      <c r="JF41" s="950"/>
      <c r="JG41" s="950"/>
      <c r="JH41" s="950"/>
      <c r="JI41" s="950"/>
      <c r="JJ41" s="950"/>
      <c r="JK41" s="950"/>
      <c r="JL41" s="950"/>
    </row>
    <row r="42" spans="1:272" s="811" customFormat="1" ht="12.75" customHeight="1">
      <c r="A42" s="962" t="s">
        <v>293</v>
      </c>
      <c r="B42" s="963"/>
      <c r="C42" s="963"/>
      <c r="D42" s="963"/>
      <c r="E42" s="963"/>
      <c r="F42" s="777"/>
      <c r="G42" s="776"/>
      <c r="H42" s="776"/>
      <c r="I42" s="776"/>
      <c r="J42" s="776"/>
      <c r="K42" s="777"/>
      <c r="L42" s="776"/>
      <c r="M42" s="776"/>
      <c r="N42" s="776"/>
      <c r="O42" s="776"/>
      <c r="P42" s="777"/>
      <c r="Q42" s="776"/>
      <c r="R42" s="776"/>
      <c r="S42" s="776"/>
      <c r="T42" s="776"/>
      <c r="U42" s="777"/>
      <c r="V42" s="776"/>
      <c r="W42" s="776"/>
      <c r="X42" s="776"/>
      <c r="Y42" s="776"/>
      <c r="Z42" s="777"/>
      <c r="AA42" s="776"/>
      <c r="AB42" s="776"/>
      <c r="AC42" s="776"/>
      <c r="AD42" s="776"/>
      <c r="AE42" s="777"/>
      <c r="AF42" s="776"/>
      <c r="AG42" s="776"/>
      <c r="AH42" s="776"/>
      <c r="AI42" s="776"/>
      <c r="AJ42" s="777"/>
      <c r="AK42" s="776"/>
      <c r="AL42" s="776"/>
      <c r="AM42" s="776"/>
      <c r="AN42" s="776"/>
      <c r="AO42" s="777"/>
      <c r="AP42" s="776"/>
      <c r="AQ42" s="776"/>
      <c r="AR42" s="776"/>
      <c r="AS42" s="776"/>
      <c r="AT42" s="777"/>
      <c r="AU42" s="776"/>
      <c r="AV42" s="776"/>
      <c r="AW42" s="776"/>
      <c r="AX42" s="776"/>
      <c r="AY42" s="777"/>
      <c r="AZ42" s="776"/>
      <c r="BA42" s="776"/>
      <c r="BB42" s="776"/>
      <c r="BC42" s="776"/>
      <c r="BD42" s="777"/>
      <c r="BE42" s="776">
        <f>BE49*(BE44*2000/100)/1000</f>
        <v>481.92971182479999</v>
      </c>
      <c r="BF42" s="776">
        <f>BF49*(BF44*2000/100)/1000</f>
        <v>498.41003598749995</v>
      </c>
      <c r="BG42" s="776">
        <f>BG49*(BG44*2000/100)/1000</f>
        <v>499.00434002109995</v>
      </c>
      <c r="BH42" s="776">
        <f>BH49*(BH44*2000/100)/1000</f>
        <v>479.76310046520001</v>
      </c>
      <c r="BI42" s="779">
        <f>SUM(BE42:BH42)</f>
        <v>1959.1071882986</v>
      </c>
      <c r="BJ42" s="778">
        <f>BJ49*(BJ44*20)/1000</f>
        <v>465.66213661799998</v>
      </c>
      <c r="BK42" s="778">
        <f>BK49*(BK44*20)/1000</f>
        <v>480.12678339119998</v>
      </c>
      <c r="BL42" s="776">
        <f>BL49*(BL44*20)/1000</f>
        <v>483.10872097399999</v>
      </c>
      <c r="BM42" s="776">
        <f>BM49*(BM44*20)/1000</f>
        <v>458.12775816130011</v>
      </c>
      <c r="BN42" s="779">
        <f>SUM(BJ42:BM42)</f>
        <v>1887.0253991444999</v>
      </c>
      <c r="BO42" s="778">
        <f>BO49*(BO44*20)/1000</f>
        <v>459.17300562000003</v>
      </c>
      <c r="BP42" s="778">
        <f>BP49*(BP44*20)/1000</f>
        <v>495.51719245020007</v>
      </c>
      <c r="BQ42" s="776">
        <f>BQ49*(BQ44*20)/1000</f>
        <v>510.77609228640011</v>
      </c>
      <c r="BR42" s="776">
        <f>BR49*(BR44*20)/1000</f>
        <v>494.39113220159993</v>
      </c>
      <c r="BS42" s="779">
        <f>SUM(BO42:BR42)</f>
        <v>1959.8574225582001</v>
      </c>
      <c r="BT42" s="778">
        <f>BT49*(BT44*20)/1000</f>
        <v>492.71434832759979</v>
      </c>
      <c r="BU42" s="778">
        <f>BU49*(BU44*20)/1000</f>
        <v>512.47714463399996</v>
      </c>
      <c r="BV42" s="776">
        <f>BV49*(BV44*20)/1000</f>
        <v>543.78838290310011</v>
      </c>
      <c r="BW42" s="776">
        <f>BW49*(BW44*20)/1000</f>
        <v>537.74376015990003</v>
      </c>
      <c r="BX42" s="779">
        <f>SUM(BT42:BW42)</f>
        <v>2086.7236360245997</v>
      </c>
      <c r="BY42" s="778">
        <f>BY49*(BY44*20)/1000</f>
        <v>552.61751972559989</v>
      </c>
      <c r="BZ42" s="778">
        <f>BZ49*(BZ44*20)/1000</f>
        <v>597.70614437099994</v>
      </c>
      <c r="CA42" s="776">
        <f>CA49*(CA44*20)/1000</f>
        <v>619.81414299999983</v>
      </c>
      <c r="CB42" s="776">
        <f>CB49*(CB44*20)/1000</f>
        <v>588.75991039999997</v>
      </c>
      <c r="CC42" s="779">
        <f>SUM(BY42:CB42)</f>
        <v>2358.8977174965994</v>
      </c>
      <c r="CD42" s="778">
        <f>CD49*(CD44*20)/1000</f>
        <v>593.29175220000002</v>
      </c>
      <c r="CE42" s="778">
        <f>CE49*(CE44*20)/1000</f>
        <v>645.84172799999999</v>
      </c>
      <c r="CF42" s="776">
        <f>CF49*(CF44*20)/1000</f>
        <v>670.23613440000008</v>
      </c>
      <c r="CG42" s="776">
        <f>CG49*(CG44*20)/1000</f>
        <v>641.45023360000005</v>
      </c>
      <c r="CH42" s="779">
        <f>SUM(CD42:CG42)</f>
        <v>2550.8198482000003</v>
      </c>
      <c r="CI42" s="778">
        <f>CI49*(CI44*20)/1000</f>
        <v>641.68768</v>
      </c>
      <c r="CJ42" s="778">
        <f>CJ49*(CJ44*20)/1000</f>
        <v>673.64059455000006</v>
      </c>
      <c r="CK42" s="776">
        <f>CK49*(CK44*20)/1000</f>
        <v>648.20362499999999</v>
      </c>
      <c r="CL42" s="776">
        <f>CL49*(CL44*20)/1000</f>
        <v>610.69693720000009</v>
      </c>
      <c r="CM42" s="779">
        <f>SUM(CI42:CL42)</f>
        <v>2574.2288367500005</v>
      </c>
      <c r="CN42" s="778">
        <f>CN49*(CN44*20)/1000</f>
        <v>634.33842559999994</v>
      </c>
      <c r="CO42" s="778">
        <f>CO49*(CO44*20)/1000</f>
        <v>679.54892664999988</v>
      </c>
      <c r="CP42" s="776">
        <f>CP49*(CP44*20)/1000</f>
        <v>673.88430690000007</v>
      </c>
      <c r="CQ42" s="776">
        <f>CQ49*(CQ44*20)/1000</f>
        <v>650.59279905000005</v>
      </c>
      <c r="CR42" s="779">
        <f>SUM(CN42:CQ42)</f>
        <v>2638.3644581999997</v>
      </c>
      <c r="CS42" s="778">
        <f>CS49*(CS44*20)/1000</f>
        <v>662.03360099999998</v>
      </c>
      <c r="CT42" s="778">
        <f>CT49*(CT44*20)/1000</f>
        <v>705.90553599999998</v>
      </c>
      <c r="CU42" s="776">
        <f>CU49*(CU44*20)/1000</f>
        <v>693.5078784000001</v>
      </c>
      <c r="CV42" s="776">
        <f>CV49*(CV44*20)/1000</f>
        <v>587.28223359999993</v>
      </c>
      <c r="CW42" s="779">
        <f>SUM(CS42:CV42)</f>
        <v>2648.729249</v>
      </c>
      <c r="CX42" s="778">
        <f>CX49*(CX44*20)/1000</f>
        <v>546.04344285000002</v>
      </c>
      <c r="CY42" s="778">
        <f>CY49*(CY44*20)/1000</f>
        <v>608.29746131729996</v>
      </c>
      <c r="CZ42" s="776">
        <f>CZ49*(CZ44*20)/1000</f>
        <v>652.87482623999995</v>
      </c>
      <c r="DA42" s="776">
        <f>DA49*(DA44*20)/1000</f>
        <v>629.92549219499995</v>
      </c>
      <c r="DB42" s="779">
        <f>SUM(CX42:DA42)</f>
        <v>2437.1412226022999</v>
      </c>
      <c r="DC42" s="778">
        <f>DC49*(DC44*20)/1000</f>
        <v>659.0521665</v>
      </c>
      <c r="DD42" s="778">
        <f>DD49*(DD44*20)/1000</f>
        <v>735.14381864769996</v>
      </c>
      <c r="DE42" s="776">
        <f>DE49*(DE44*20)/1000</f>
        <v>715.67773516799991</v>
      </c>
      <c r="DF42" s="776">
        <f>DF49*(DF44*20)/1000</f>
        <v>652.45010227599994</v>
      </c>
      <c r="DG42" s="779">
        <f>SUM(DC42:DF42)</f>
        <v>2762.3238225916998</v>
      </c>
      <c r="DH42" s="778">
        <f>DH49*(DH44*20)/1000</f>
        <v>673.9863681600001</v>
      </c>
      <c r="DI42" s="778">
        <f>DI49*(DI44*20)/1000</f>
        <v>714.97867123995002</v>
      </c>
      <c r="DJ42" s="776">
        <f>DJ49*(DJ44*20)/1000</f>
        <v>721.68034303999991</v>
      </c>
      <c r="DK42" s="776">
        <f>DK49*(DK44*20)/1000</f>
        <v>680.60002995599996</v>
      </c>
      <c r="DL42" s="779">
        <f>SUM(DH42:DK42)</f>
        <v>2791.2454123959501</v>
      </c>
      <c r="DM42" s="776">
        <f>DM49*(DM44*20)/1000</f>
        <v>711.81507133439982</v>
      </c>
      <c r="DN42" s="776">
        <f>DN49*(DN44*20)/1000</f>
        <v>745.19294131039987</v>
      </c>
      <c r="DO42" s="776">
        <f>DO49*(DO44*20)/1000</f>
        <v>733.07115575189994</v>
      </c>
      <c r="DP42" s="776">
        <f>DP49*(DP44*20)/1000</f>
        <v>695.71011306299999</v>
      </c>
      <c r="DQ42" s="779">
        <f>SUM(DM42:DP42)</f>
        <v>2885.7892814596994</v>
      </c>
      <c r="DR42" s="960">
        <f>DR49*(DR44*20)/1000</f>
        <v>709.06767332499999</v>
      </c>
      <c r="DS42" s="960">
        <f>DS49*(DS44*20)/1000</f>
        <v>764.28130995840002</v>
      </c>
      <c r="DT42" s="776">
        <f>DT49*(DT44*20)/1000</f>
        <v>764.91527035054992</v>
      </c>
      <c r="DU42" s="776">
        <f>DU49*(DU44*20)/1000</f>
        <v>713.60982354749979</v>
      </c>
      <c r="DV42" s="779">
        <f>SUM(DR42:DU42)</f>
        <v>2951.8740771814496</v>
      </c>
      <c r="DW42" s="960">
        <f>DW49*(DW44*20)/1000</f>
        <v>724.5959505057001</v>
      </c>
      <c r="DX42" s="960">
        <f>DX49*(DX44*20)/1000</f>
        <v>800.21654789999991</v>
      </c>
      <c r="DY42" s="776">
        <f>DY49*(DY44*20)/1000</f>
        <v>807.16809646080003</v>
      </c>
      <c r="DZ42" s="776">
        <f>DZ49*(DZ44*20)/1000</f>
        <v>770.2591193336001</v>
      </c>
      <c r="EA42" s="779">
        <f>SUM(DW42:DZ42)</f>
        <v>3102.2397142001</v>
      </c>
      <c r="EB42" s="960">
        <f>EB49*(EB44*20)/1000</f>
        <v>769.79319137500011</v>
      </c>
      <c r="EC42" s="960">
        <f>EC49*(EC44*20)/1000</f>
        <v>818.76730454999995</v>
      </c>
      <c r="ED42" s="776">
        <f>ED49*(ED44*20)/1000</f>
        <v>815.46010935859204</v>
      </c>
      <c r="EE42" s="776">
        <f>EE49*(EE44*20)/1000</f>
        <v>770.94660464016215</v>
      </c>
      <c r="EF42" s="779">
        <f>SUM(EB42:EE42)</f>
        <v>3174.9672099237541</v>
      </c>
      <c r="EG42" s="776">
        <f>EG49*(EG44*20)/1000</f>
        <v>770.64685756563563</v>
      </c>
      <c r="EH42" s="776">
        <f>EH49*(EH44*20)/1000</f>
        <v>805.92318329600005</v>
      </c>
      <c r="EI42" s="776">
        <f>EI49*(EI44*20)/1000</f>
        <v>806.81979813721921</v>
      </c>
      <c r="EJ42" s="776">
        <f>EJ49*(EJ44*20)/1000</f>
        <v>767.21881782366654</v>
      </c>
      <c r="EK42" s="779">
        <f>SUM(EG42:EJ42)</f>
        <v>3150.6086568225214</v>
      </c>
      <c r="EL42" s="776">
        <f t="shared" ref="EL42:EO42" si="86">EL49*(EL44*20)/1000</f>
        <v>804.77018704025454</v>
      </c>
      <c r="EM42" s="776">
        <f t="shared" si="86"/>
        <v>853.84186299299574</v>
      </c>
      <c r="EN42" s="776">
        <f t="shared" si="86"/>
        <v>846.92444279485676</v>
      </c>
      <c r="EO42" s="776">
        <f t="shared" si="86"/>
        <v>809.77879472622567</v>
      </c>
      <c r="EP42" s="779">
        <f>SUM(EL42:EO42)</f>
        <v>3315.3152875543328</v>
      </c>
      <c r="EQ42" s="776">
        <f t="shared" ref="EQ42:ET42" si="87">EQ49*(EQ44*20)/1000</f>
        <v>825.9327665347214</v>
      </c>
      <c r="ER42" s="776">
        <f>ER49*(ER44*20)/1000</f>
        <v>885.58423430630933</v>
      </c>
      <c r="ES42" s="776">
        <f t="shared" si="87"/>
        <v>874.78238269487213</v>
      </c>
      <c r="ET42" s="776">
        <f t="shared" si="87"/>
        <v>843.57678993860327</v>
      </c>
      <c r="EU42" s="779">
        <f>SUM(EQ42:ET42)</f>
        <v>3429.8761734745062</v>
      </c>
      <c r="EV42" s="776">
        <f t="shared" ref="EV42" si="88">EV49*(EV44*20)/1000</f>
        <v>880.69830345172261</v>
      </c>
      <c r="EW42" s="776">
        <f>EW49*(EW44*20)/1000</f>
        <v>948.91147731731928</v>
      </c>
      <c r="EX42" s="776">
        <f t="shared" ref="EX42:FE42" si="89">EX49*(EX44*20)/1000</f>
        <v>937.3371960989997</v>
      </c>
      <c r="EY42" s="776">
        <f t="shared" si="89"/>
        <v>899.51225793745709</v>
      </c>
      <c r="EZ42" s="779">
        <f t="shared" si="89"/>
        <v>3628.7578863810422</v>
      </c>
      <c r="FA42" s="776">
        <f t="shared" si="89"/>
        <v>0</v>
      </c>
      <c r="FB42" s="776">
        <f t="shared" si="89"/>
        <v>0</v>
      </c>
      <c r="FC42" s="776">
        <f t="shared" si="89"/>
        <v>0</v>
      </c>
      <c r="FD42" s="776">
        <f t="shared" si="89"/>
        <v>0</v>
      </c>
      <c r="FE42" s="779">
        <f t="shared" si="89"/>
        <v>3850.7743657645515</v>
      </c>
      <c r="FF42" s="778"/>
      <c r="FG42" s="690"/>
      <c r="FH42" s="754"/>
      <c r="FI42" s="754"/>
      <c r="FJ42" s="754"/>
      <c r="FK42" s="754"/>
      <c r="FL42" s="690"/>
      <c r="FM42" s="940"/>
      <c r="FN42" s="940"/>
      <c r="FO42" s="719"/>
      <c r="FP42" s="719"/>
      <c r="FQ42" s="719"/>
      <c r="FR42" s="719"/>
      <c r="FS42" s="719"/>
      <c r="FT42" s="719"/>
      <c r="FU42" s="690"/>
      <c r="FV42"/>
      <c r="FW42"/>
      <c r="FX42"/>
      <c r="FY42"/>
      <c r="FZ42"/>
      <c r="GA42"/>
      <c r="GB42" s="964"/>
      <c r="GC42" s="965"/>
      <c r="GD42" s="965"/>
      <c r="GE42" s="965"/>
      <c r="GF42" s="965"/>
      <c r="GG42" s="965"/>
      <c r="GH42" s="965"/>
      <c r="GI42" s="965"/>
      <c r="GJ42" s="965"/>
      <c r="GK42" s="965"/>
      <c r="GL42" s="965"/>
      <c r="GM42" s="965"/>
      <c r="GN42" s="965"/>
      <c r="GO42" s="965"/>
      <c r="GP42" s="965"/>
      <c r="GQ42" s="965"/>
      <c r="GR42" s="965"/>
      <c r="GS42" s="965"/>
      <c r="GT42" s="965"/>
      <c r="GU42" s="965"/>
      <c r="GV42" s="965"/>
      <c r="GW42" s="965"/>
      <c r="GX42" s="965"/>
      <c r="GY42" s="965"/>
      <c r="GZ42" s="965"/>
      <c r="HA42" s="965"/>
      <c r="HB42" s="965"/>
      <c r="HC42" s="965"/>
      <c r="HD42" s="965"/>
      <c r="HE42" s="965"/>
      <c r="HF42" s="965"/>
      <c r="HG42" s="965"/>
      <c r="HH42" s="965"/>
      <c r="HI42" s="965"/>
      <c r="HJ42" s="965"/>
      <c r="HK42" s="965"/>
      <c r="HL42" s="965"/>
      <c r="HM42" s="965"/>
      <c r="HN42" s="965"/>
      <c r="HO42" s="965"/>
      <c r="HP42" s="965"/>
      <c r="HQ42" s="965"/>
      <c r="HR42" s="965"/>
      <c r="HS42" s="965"/>
      <c r="HT42" s="965"/>
      <c r="HU42" s="965"/>
      <c r="HV42" s="965"/>
      <c r="HW42" s="965"/>
      <c r="HX42" s="965"/>
      <c r="HY42" s="965"/>
      <c r="HZ42" s="965"/>
      <c r="IA42" s="965"/>
      <c r="IB42" s="965"/>
      <c r="IC42" s="965"/>
      <c r="ID42" s="965"/>
      <c r="IE42" s="965"/>
      <c r="IF42" s="965"/>
      <c r="IG42" s="965"/>
      <c r="IH42" s="965"/>
      <c r="II42" s="965"/>
      <c r="IJ42" s="965"/>
      <c r="IK42" s="965"/>
      <c r="IL42" s="965"/>
      <c r="IM42" s="965"/>
      <c r="IN42" s="965"/>
      <c r="IO42" s="965"/>
      <c r="IP42" s="965"/>
      <c r="IQ42" s="965"/>
      <c r="IR42" s="965"/>
      <c r="IS42" s="965"/>
      <c r="IT42" s="965"/>
      <c r="IU42" s="965"/>
      <c r="IV42" s="965"/>
      <c r="IW42" s="965"/>
      <c r="IX42" s="965"/>
      <c r="IY42" s="965"/>
      <c r="IZ42" s="965"/>
      <c r="JA42" s="965"/>
      <c r="JB42" s="965"/>
      <c r="JC42" s="965"/>
      <c r="JD42" s="965"/>
      <c r="JE42" s="965"/>
      <c r="JF42" s="965"/>
      <c r="JG42" s="965"/>
      <c r="JH42" s="965"/>
      <c r="JI42" s="965"/>
      <c r="JJ42" s="965"/>
      <c r="JK42" s="965"/>
      <c r="JL42" s="965"/>
    </row>
    <row r="43" spans="1:272" s="799" customFormat="1" ht="12.75" customHeight="1">
      <c r="A43" s="58" t="s">
        <v>85</v>
      </c>
      <c r="B43" s="790"/>
      <c r="C43" s="721"/>
      <c r="D43" s="721"/>
      <c r="E43" s="721"/>
      <c r="F43" s="741"/>
      <c r="G43" s="721"/>
      <c r="H43" s="721"/>
      <c r="I43" s="721"/>
      <c r="J43" s="721"/>
      <c r="K43" s="741"/>
      <c r="L43" s="721"/>
      <c r="M43" s="721"/>
      <c r="N43" s="721"/>
      <c r="O43" s="721"/>
      <c r="P43" s="741"/>
      <c r="Q43" s="721"/>
      <c r="R43" s="721"/>
      <c r="S43" s="721"/>
      <c r="T43" s="721"/>
      <c r="U43" s="741"/>
      <c r="V43" s="721"/>
      <c r="W43" s="721"/>
      <c r="X43" s="721"/>
      <c r="Y43" s="721"/>
      <c r="Z43" s="741"/>
      <c r="AA43" s="721" t="str">
        <f t="shared" ref="AA43:CL43" si="90">IF(ISERROR(AA42/V42-1)," ",(AA42/V42-1))</f>
        <v xml:space="preserve"> </v>
      </c>
      <c r="AB43" s="721" t="str">
        <f t="shared" si="90"/>
        <v xml:space="preserve"> </v>
      </c>
      <c r="AC43" s="721" t="str">
        <f t="shared" si="90"/>
        <v xml:space="preserve"> </v>
      </c>
      <c r="AD43" s="721" t="str">
        <f t="shared" si="90"/>
        <v xml:space="preserve"> </v>
      </c>
      <c r="AE43" s="741" t="str">
        <f t="shared" si="90"/>
        <v xml:space="preserve"> </v>
      </c>
      <c r="AF43" s="721" t="str">
        <f t="shared" si="90"/>
        <v xml:space="preserve"> </v>
      </c>
      <c r="AG43" s="721" t="str">
        <f t="shared" si="90"/>
        <v xml:space="preserve"> </v>
      </c>
      <c r="AH43" s="721" t="str">
        <f t="shared" si="90"/>
        <v xml:space="preserve"> </v>
      </c>
      <c r="AI43" s="721" t="str">
        <f t="shared" si="90"/>
        <v xml:space="preserve"> </v>
      </c>
      <c r="AJ43" s="741" t="str">
        <f t="shared" si="90"/>
        <v xml:space="preserve"> </v>
      </c>
      <c r="AK43" s="721" t="str">
        <f t="shared" si="90"/>
        <v xml:space="preserve"> </v>
      </c>
      <c r="AL43" s="721" t="str">
        <f t="shared" si="90"/>
        <v xml:space="preserve"> </v>
      </c>
      <c r="AM43" s="721" t="str">
        <f t="shared" si="90"/>
        <v xml:space="preserve"> </v>
      </c>
      <c r="AN43" s="721" t="str">
        <f t="shared" si="90"/>
        <v xml:space="preserve"> </v>
      </c>
      <c r="AO43" s="741" t="str">
        <f t="shared" si="90"/>
        <v xml:space="preserve"> </v>
      </c>
      <c r="AP43" s="721" t="str">
        <f t="shared" si="90"/>
        <v xml:space="preserve"> </v>
      </c>
      <c r="AQ43" s="721" t="str">
        <f t="shared" si="90"/>
        <v xml:space="preserve"> </v>
      </c>
      <c r="AR43" s="721" t="str">
        <f t="shared" si="90"/>
        <v xml:space="preserve"> </v>
      </c>
      <c r="AS43" s="721" t="str">
        <f t="shared" si="90"/>
        <v xml:space="preserve"> </v>
      </c>
      <c r="AT43" s="741" t="str">
        <f t="shared" si="90"/>
        <v xml:space="preserve"> </v>
      </c>
      <c r="AU43" s="721" t="str">
        <f t="shared" si="90"/>
        <v xml:space="preserve"> </v>
      </c>
      <c r="AV43" s="721" t="str">
        <f t="shared" si="90"/>
        <v xml:space="preserve"> </v>
      </c>
      <c r="AW43" s="721" t="str">
        <f t="shared" si="90"/>
        <v xml:space="preserve"> </v>
      </c>
      <c r="AX43" s="721" t="str">
        <f t="shared" si="90"/>
        <v xml:space="preserve"> </v>
      </c>
      <c r="AY43" s="741" t="str">
        <f t="shared" si="90"/>
        <v xml:space="preserve"> </v>
      </c>
      <c r="AZ43" s="721" t="str">
        <f t="shared" si="90"/>
        <v xml:space="preserve"> </v>
      </c>
      <c r="BA43" s="721" t="str">
        <f t="shared" si="90"/>
        <v xml:space="preserve"> </v>
      </c>
      <c r="BB43" s="721" t="str">
        <f t="shared" si="90"/>
        <v xml:space="preserve"> </v>
      </c>
      <c r="BC43" s="721" t="str">
        <f t="shared" si="90"/>
        <v xml:space="preserve"> </v>
      </c>
      <c r="BD43" s="741" t="str">
        <f t="shared" si="90"/>
        <v xml:space="preserve"> </v>
      </c>
      <c r="BE43" s="721" t="str">
        <f t="shared" si="90"/>
        <v xml:space="preserve"> </v>
      </c>
      <c r="BF43" s="721" t="str">
        <f t="shared" si="90"/>
        <v xml:space="preserve"> </v>
      </c>
      <c r="BG43" s="721" t="str">
        <f t="shared" si="90"/>
        <v xml:space="preserve"> </v>
      </c>
      <c r="BH43" s="721" t="str">
        <f t="shared" si="90"/>
        <v xml:space="preserve"> </v>
      </c>
      <c r="BI43" s="741" t="str">
        <f t="shared" si="90"/>
        <v xml:space="preserve"> </v>
      </c>
      <c r="BJ43" s="721">
        <f t="shared" si="90"/>
        <v>-3.3755078401793814E-2</v>
      </c>
      <c r="BK43" s="721">
        <f t="shared" si="90"/>
        <v>-3.6683154985182709E-2</v>
      </c>
      <c r="BL43" s="721">
        <f t="shared" si="90"/>
        <v>-3.1854670936184326E-2</v>
      </c>
      <c r="BM43" s="721">
        <f t="shared" si="90"/>
        <v>-4.5095886455046919E-2</v>
      </c>
      <c r="BN43" s="741">
        <f t="shared" si="90"/>
        <v>-3.6793182927729484E-2</v>
      </c>
      <c r="BO43" s="721">
        <f t="shared" si="90"/>
        <v>-1.3935277291662662E-2</v>
      </c>
      <c r="BP43" s="721">
        <f t="shared" si="90"/>
        <v>3.2054885483154161E-2</v>
      </c>
      <c r="BQ43" s="721">
        <f t="shared" si="90"/>
        <v>5.7269451184031039E-2</v>
      </c>
      <c r="BR43" s="721">
        <f t="shared" si="90"/>
        <v>7.9155592286839882E-2</v>
      </c>
      <c r="BS43" s="741">
        <f t="shared" si="90"/>
        <v>3.8596207261820226E-2</v>
      </c>
      <c r="BT43" s="721">
        <f t="shared" si="90"/>
        <v>7.3047287835029451E-2</v>
      </c>
      <c r="BU43" s="721">
        <f t="shared" si="90"/>
        <v>3.4226768399169938E-2</v>
      </c>
      <c r="BV43" s="721">
        <f t="shared" si="90"/>
        <v>6.4631628447851197E-2</v>
      </c>
      <c r="BW43" s="721">
        <f t="shared" si="90"/>
        <v>8.7688927115751714E-2</v>
      </c>
      <c r="BX43" s="741">
        <f t="shared" si="90"/>
        <v>6.4732368796910356E-2</v>
      </c>
      <c r="BY43" s="721">
        <f t="shared" si="90"/>
        <v>0.12157789112764217</v>
      </c>
      <c r="BZ43" s="721">
        <f t="shared" si="90"/>
        <v>0.16630790393173278</v>
      </c>
      <c r="CA43" s="721">
        <f t="shared" si="90"/>
        <v>0.13980762091868204</v>
      </c>
      <c r="CB43" s="721">
        <f t="shared" si="90"/>
        <v>9.4870743316352257E-2</v>
      </c>
      <c r="CC43" s="741">
        <f t="shared" si="90"/>
        <v>0.13043130234079126</v>
      </c>
      <c r="CD43" s="721">
        <f t="shared" si="90"/>
        <v>7.360286458995513E-2</v>
      </c>
      <c r="CE43" s="721">
        <f t="shared" si="90"/>
        <v>8.0533861132807694E-2</v>
      </c>
      <c r="CF43" s="721">
        <f t="shared" si="90"/>
        <v>8.135017887128182E-2</v>
      </c>
      <c r="CG43" s="721">
        <f t="shared" si="90"/>
        <v>8.9493734660368807E-2</v>
      </c>
      <c r="CH43" s="741">
        <f t="shared" si="90"/>
        <v>8.136093789902854E-2</v>
      </c>
      <c r="CI43" s="721">
        <f t="shared" si="90"/>
        <v>8.1571887053109693E-2</v>
      </c>
      <c r="CJ43" s="721">
        <f t="shared" si="90"/>
        <v>4.3042846791714329E-2</v>
      </c>
      <c r="CK43" s="721">
        <f t="shared" si="90"/>
        <v>-3.2872756733302255E-2</v>
      </c>
      <c r="CL43" s="721">
        <f t="shared" si="90"/>
        <v>-4.7943386390872034E-2</v>
      </c>
      <c r="CM43" s="741">
        <f t="shared" ref="CM43:EF43" si="91">IF(ISERROR(CM42/CH42-1)," ",(CM42/CH42-1))</f>
        <v>9.1770450063413112E-3</v>
      </c>
      <c r="CN43" s="721">
        <f t="shared" si="91"/>
        <v>-1.1453008416804966E-2</v>
      </c>
      <c r="CO43" s="721">
        <f t="shared" si="91"/>
        <v>8.7707483008008236E-3</v>
      </c>
      <c r="CP43" s="721">
        <f t="shared" si="91"/>
        <v>3.9618232465145731E-2</v>
      </c>
      <c r="CQ43" s="721">
        <f t="shared" si="91"/>
        <v>6.5328413194471802E-2</v>
      </c>
      <c r="CR43" s="741">
        <f t="shared" si="91"/>
        <v>2.491449887220254E-2</v>
      </c>
      <c r="CS43" s="721">
        <f t="shared" si="91"/>
        <v>4.3659936529627741E-2</v>
      </c>
      <c r="CT43" s="721">
        <f t="shared" si="91"/>
        <v>3.8785447693856723E-2</v>
      </c>
      <c r="CU43" s="721">
        <f t="shared" si="91"/>
        <v>2.9120089752901812E-2</v>
      </c>
      <c r="CV43" s="721">
        <f t="shared" si="91"/>
        <v>-9.7312121410576102E-2</v>
      </c>
      <c r="CW43" s="741">
        <f t="shared" si="91"/>
        <v>3.9284909132955015E-3</v>
      </c>
      <c r="CX43" s="721">
        <f t="shared" si="91"/>
        <v>-0.17520282652541674</v>
      </c>
      <c r="CY43" s="721">
        <f t="shared" si="91"/>
        <v>-0.13827356452790307</v>
      </c>
      <c r="CZ43" s="721">
        <f t="shared" si="91"/>
        <v>-5.8590613640532974E-2</v>
      </c>
      <c r="DA43" s="721">
        <f t="shared" si="91"/>
        <v>7.2611184461685019E-2</v>
      </c>
      <c r="DB43" s="741">
        <f t="shared" si="91"/>
        <v>-7.9882844378142082E-2</v>
      </c>
      <c r="DC43" s="721">
        <f t="shared" si="91"/>
        <v>0.20695921749406265</v>
      </c>
      <c r="DD43" s="721">
        <f t="shared" si="91"/>
        <v>0.2085268563437821</v>
      </c>
      <c r="DE43" s="721">
        <f t="shared" si="91"/>
        <v>9.6194410327766766E-2</v>
      </c>
      <c r="DF43" s="721">
        <f t="shared" si="91"/>
        <v>3.5757578253440947E-2</v>
      </c>
      <c r="DG43" s="741">
        <f t="shared" si="91"/>
        <v>0.1334278854970008</v>
      </c>
      <c r="DH43" s="721">
        <f t="shared" si="91"/>
        <v>2.2660120729608657E-2</v>
      </c>
      <c r="DI43" s="721">
        <f t="shared" si="91"/>
        <v>-2.7430207391043293E-2</v>
      </c>
      <c r="DJ43" s="721">
        <f t="shared" si="91"/>
        <v>8.3873055944529984E-3</v>
      </c>
      <c r="DK43" s="721">
        <f t="shared" si="91"/>
        <v>4.3144950980622321E-2</v>
      </c>
      <c r="DL43" s="741">
        <f t="shared" si="91"/>
        <v>1.047002149701437E-2</v>
      </c>
      <c r="DM43" s="721">
        <f t="shared" si="91"/>
        <v>5.6126807546083013E-2</v>
      </c>
      <c r="DN43" s="721">
        <f t="shared" si="91"/>
        <v>4.2258980981979333E-2</v>
      </c>
      <c r="DO43" s="721">
        <f t="shared" si="91"/>
        <v>1.5783736971298756E-2</v>
      </c>
      <c r="DP43" s="721">
        <f t="shared" si="91"/>
        <v>2.2201120249696338E-2</v>
      </c>
      <c r="DQ43" s="741">
        <f t="shared" si="91"/>
        <v>3.3871571680468948E-2</v>
      </c>
      <c r="DR43" s="743">
        <f>IF(ISERROR(DR42/DM42-1)," ",(DR42/DM42-1))</f>
        <v>-3.8597075561345173E-3</v>
      </c>
      <c r="DS43" s="743">
        <f t="shared" si="91"/>
        <v>2.5615337437890684E-2</v>
      </c>
      <c r="DT43" s="721">
        <f t="shared" si="91"/>
        <v>4.3439322838978667E-2</v>
      </c>
      <c r="DU43" s="721">
        <f t="shared" si="91"/>
        <v>2.572869094239949E-2</v>
      </c>
      <c r="DV43" s="741">
        <f t="shared" si="91"/>
        <v>2.2900076643268541E-2</v>
      </c>
      <c r="DW43" s="743">
        <f t="shared" si="91"/>
        <v>2.1899570047925199E-2</v>
      </c>
      <c r="DX43" s="743">
        <f t="shared" si="91"/>
        <v>4.7018339286035715E-2</v>
      </c>
      <c r="DY43" s="721">
        <f t="shared" si="91"/>
        <v>5.523857052936898E-2</v>
      </c>
      <c r="DZ43" s="721">
        <f t="shared" si="91"/>
        <v>7.9384131099099919E-2</v>
      </c>
      <c r="EA43" s="741">
        <f t="shared" si="91"/>
        <v>5.0939041804325402E-2</v>
      </c>
      <c r="EB43" s="743">
        <f t="shared" si="91"/>
        <v>6.2375784515158461E-2</v>
      </c>
      <c r="EC43" s="743">
        <f>IF(ISERROR(EC42/DX42-1)," ",(EC42/DX42-1))</f>
        <v>2.3182170749508568E-2</v>
      </c>
      <c r="ED43" s="721">
        <f t="shared" si="91"/>
        <v>1.0272969080604266E-2</v>
      </c>
      <c r="EE43" s="721">
        <f t="shared" si="91"/>
        <v>8.9253770491781736E-4</v>
      </c>
      <c r="EF43" s="741">
        <f t="shared" si="91"/>
        <v>2.3443544801116989E-2</v>
      </c>
      <c r="EG43" s="721">
        <f t="shared" ref="EG43:EJ43" si="92">IF(ISERROR(EG42/EB42-1)," ",(EG42/EB42-1))</f>
        <v>1.1089552365495248E-3</v>
      </c>
      <c r="EH43" s="721">
        <f t="shared" si="92"/>
        <v>-1.5687144787808971E-2</v>
      </c>
      <c r="EI43" s="721">
        <f t="shared" si="92"/>
        <v>-1.0595627084896808E-2</v>
      </c>
      <c r="EJ43" s="721">
        <f t="shared" si="92"/>
        <v>-4.8353372257674554E-3</v>
      </c>
      <c r="EK43" s="741">
        <f t="shared" ref="EK43" si="93">IF(ISERROR(EK42/EF42-1)," ",(EK42/EF42-1))</f>
        <v>-7.6720644626178114E-3</v>
      </c>
      <c r="EL43" s="721">
        <f t="shared" ref="EL43" si="94">IF(ISERROR(EL42/EG42-1)," ",(EL42/EG42-1))</f>
        <v>4.4278814789967091E-2</v>
      </c>
      <c r="EM43" s="721">
        <f t="shared" ref="EM43" si="95">IF(ISERROR(EM42/EH42-1)," ",(EM42/EH42-1))</f>
        <v>5.9458122920625911E-2</v>
      </c>
      <c r="EN43" s="721">
        <f t="shared" ref="EN43" si="96">IF(ISERROR(EN42/EI42-1)," ",(EN42/EI42-1))</f>
        <v>4.9707065630058889E-2</v>
      </c>
      <c r="EO43" s="721">
        <f t="shared" ref="EO43:EP43" si="97">IF(ISERROR(EO42/EJ42-1)," ",(EO42/EJ42-1))</f>
        <v>5.5473061809520052E-2</v>
      </c>
      <c r="EP43" s="741">
        <f t="shared" si="97"/>
        <v>5.22777179498779E-2</v>
      </c>
      <c r="EQ43" s="721">
        <f t="shared" ref="EQ43" si="98">IF(ISERROR(EQ42/EL42-1)," ",(EQ42/EL42-1))</f>
        <v>2.6296425781250132E-2</v>
      </c>
      <c r="ER43" s="721">
        <f t="shared" ref="ER43" si="99">IF(ISERROR(ER42/EM42-1)," ",(ER42/EM42-1))</f>
        <v>3.7175937007874138E-2</v>
      </c>
      <c r="ES43" s="721">
        <f t="shared" ref="ES43" si="100">IF(ISERROR(ES42/EN42-1)," ",(ES42/EN42-1))</f>
        <v>3.2893063999999805E-2</v>
      </c>
      <c r="ET43" s="721">
        <f t="shared" ref="ET43" si="101">IF(ISERROR(ET42/EO42-1)," ",(ET42/EO42-1))</f>
        <v>4.1737318181818139E-2</v>
      </c>
      <c r="EU43" s="741">
        <f t="shared" ref="EU43" si="102">IF(ISERROR(EU42/EP42-1)," ",(EU42/EP42-1))</f>
        <v>3.4555050118531438E-2</v>
      </c>
      <c r="EV43" s="721">
        <f t="shared" ref="EV43" si="103">IF(ISERROR(EV42/EQ42-1)," ",(EV42/EQ42-1))</f>
        <v>6.6307500000000186E-2</v>
      </c>
      <c r="EW43" s="721">
        <f t="shared" ref="EW43" si="104">IF(ISERROR(EW42/ER42-1)," ",(EW42/ER42-1))</f>
        <v>7.1509000000000045E-2</v>
      </c>
      <c r="EX43" s="721">
        <f t="shared" ref="EX43" si="105">IF(ISERROR(EX42/ES42-1)," ",(EX42/ES42-1))</f>
        <v>7.1509000000000045E-2</v>
      </c>
      <c r="EY43" s="721">
        <f t="shared" ref="EY43" si="106">IF(ISERROR(EY42/ET42-1)," ",(EY42/ET42-1))</f>
        <v>6.6307499999999964E-2</v>
      </c>
      <c r="EZ43" s="741">
        <f t="shared" ref="EZ43" si="107">IF(ISERROR(EZ42/EU42-1)," ",(EZ42/EU42-1))</f>
        <v>5.798509999999979E-2</v>
      </c>
      <c r="FA43" s="721">
        <f t="shared" ref="FA43" si="108">IF(ISERROR(FA42/EV42-1)," ",(FA42/EV42-1))</f>
        <v>-1</v>
      </c>
      <c r="FB43" s="721">
        <f t="shared" ref="FB43" si="109">IF(ISERROR(FB42/EW42-1)," ",(FB42/EW42-1))</f>
        <v>-1</v>
      </c>
      <c r="FC43" s="721">
        <f t="shared" ref="FC43" si="110">IF(ISERROR(FC42/EX42-1)," ",(FC42/EX42-1))</f>
        <v>-1</v>
      </c>
      <c r="FD43" s="721">
        <f t="shared" ref="FD43" si="111">IF(ISERROR(FD42/EY42-1)," ",(FD42/EY42-1))</f>
        <v>-1</v>
      </c>
      <c r="FE43" s="741">
        <f t="shared" ref="FE43" si="112">IF(ISERROR(FE42/EZ42-1)," ",(FE42/EZ42-1))</f>
        <v>6.1182500000000362E-2</v>
      </c>
      <c r="FF43" s="721"/>
      <c r="FG43" s="690"/>
      <c r="FH43" s="754"/>
      <c r="FI43" s="754"/>
      <c r="FJ43" s="754"/>
      <c r="FK43" s="754"/>
      <c r="FL43" s="690"/>
      <c r="FM43" s="708"/>
      <c r="FN43" s="708"/>
      <c r="FO43" s="723"/>
      <c r="FP43" s="723"/>
      <c r="FQ43" s="723"/>
      <c r="FR43" s="723"/>
      <c r="FS43" s="723"/>
      <c r="FT43" s="723"/>
      <c r="FU43" s="690"/>
      <c r="FV43"/>
      <c r="FW43"/>
      <c r="FX43"/>
      <c r="FY43"/>
      <c r="FZ43"/>
      <c r="GA43"/>
      <c r="GB43" s="949"/>
      <c r="GC43" s="950"/>
      <c r="GD43" s="950"/>
      <c r="GE43" s="950"/>
      <c r="GF43" s="950"/>
      <c r="GG43" s="950"/>
      <c r="GH43" s="950"/>
      <c r="GI43" s="950"/>
      <c r="GJ43" s="950"/>
      <c r="GK43" s="950"/>
      <c r="GL43" s="950"/>
      <c r="GM43" s="950"/>
      <c r="GN43" s="950"/>
      <c r="GO43" s="950"/>
      <c r="GP43" s="950"/>
      <c r="GQ43" s="950"/>
      <c r="GR43" s="950"/>
      <c r="GS43" s="950"/>
      <c r="GT43" s="950"/>
      <c r="GU43" s="950"/>
      <c r="GV43" s="950"/>
      <c r="GW43" s="950"/>
      <c r="GX43" s="950"/>
      <c r="GY43" s="950"/>
      <c r="GZ43" s="950"/>
      <c r="HA43" s="950"/>
      <c r="HB43" s="950"/>
      <c r="HC43" s="950"/>
      <c r="HD43" s="950"/>
      <c r="HE43" s="950"/>
      <c r="HF43" s="950"/>
      <c r="HG43" s="950"/>
      <c r="HH43" s="950"/>
      <c r="HI43" s="950"/>
      <c r="HJ43" s="950"/>
      <c r="HK43" s="950"/>
      <c r="HL43" s="950"/>
      <c r="HM43" s="950"/>
      <c r="HN43" s="950"/>
      <c r="HO43" s="950"/>
      <c r="HP43" s="950"/>
      <c r="HQ43" s="950"/>
      <c r="HR43" s="950"/>
      <c r="HS43" s="950"/>
      <c r="HT43" s="950"/>
      <c r="HU43" s="950"/>
      <c r="HV43" s="950"/>
      <c r="HW43" s="950"/>
      <c r="HX43" s="950"/>
      <c r="HY43" s="950"/>
      <c r="HZ43" s="950"/>
      <c r="IA43" s="950"/>
      <c r="IB43" s="950"/>
      <c r="IC43" s="950"/>
      <c r="ID43" s="950"/>
      <c r="IE43" s="950"/>
      <c r="IF43" s="950"/>
      <c r="IG43" s="950"/>
      <c r="IH43" s="950"/>
      <c r="II43" s="950"/>
      <c r="IJ43" s="950"/>
      <c r="IK43" s="950"/>
      <c r="IL43" s="950"/>
      <c r="IM43" s="950"/>
      <c r="IN43" s="950"/>
      <c r="IO43" s="950"/>
      <c r="IP43" s="950"/>
      <c r="IQ43" s="950"/>
      <c r="IR43" s="950"/>
      <c r="IS43" s="950"/>
      <c r="IT43" s="950"/>
      <c r="IU43" s="950"/>
      <c r="IV43" s="950"/>
      <c r="IW43" s="950"/>
      <c r="IX43" s="950"/>
      <c r="IY43" s="950"/>
      <c r="IZ43" s="950"/>
      <c r="JA43" s="950"/>
      <c r="JB43" s="950"/>
      <c r="JC43" s="950"/>
      <c r="JD43" s="950"/>
      <c r="JE43" s="950"/>
      <c r="JF43" s="950"/>
      <c r="JG43" s="950"/>
      <c r="JH43" s="950"/>
      <c r="JI43" s="950"/>
      <c r="JJ43" s="950"/>
      <c r="JK43" s="950"/>
      <c r="JL43" s="950"/>
    </row>
    <row r="44" spans="1:272" s="978" customFormat="1" ht="12.75" customHeight="1">
      <c r="A44" s="966" t="s">
        <v>294</v>
      </c>
      <c r="B44" s="967"/>
      <c r="C44" s="968"/>
      <c r="D44" s="968"/>
      <c r="E44" s="968"/>
      <c r="F44" s="969"/>
      <c r="G44" s="970"/>
      <c r="H44" s="970"/>
      <c r="I44" s="970"/>
      <c r="J44" s="970"/>
      <c r="K44" s="969"/>
      <c r="L44" s="970"/>
      <c r="M44" s="970"/>
      <c r="N44" s="970"/>
      <c r="O44" s="970"/>
      <c r="P44" s="969"/>
      <c r="Q44" s="970"/>
      <c r="R44" s="970"/>
      <c r="S44" s="970"/>
      <c r="T44" s="970"/>
      <c r="U44" s="969"/>
      <c r="V44" s="970"/>
      <c r="W44" s="970"/>
      <c r="X44" s="970"/>
      <c r="Y44" s="970"/>
      <c r="Z44" s="969"/>
      <c r="AA44" s="970"/>
      <c r="AB44" s="970"/>
      <c r="AC44" s="970"/>
      <c r="AD44" s="970"/>
      <c r="AE44" s="969"/>
      <c r="AF44" s="970"/>
      <c r="AG44" s="970"/>
      <c r="AH44" s="970"/>
      <c r="AI44" s="970"/>
      <c r="AJ44" s="969"/>
      <c r="AK44" s="970"/>
      <c r="AL44" s="970"/>
      <c r="AM44" s="970"/>
      <c r="AN44" s="970"/>
      <c r="AO44" s="969"/>
      <c r="AP44" s="970"/>
      <c r="AQ44" s="970"/>
      <c r="AR44" s="970"/>
      <c r="AS44" s="970"/>
      <c r="AT44" s="969"/>
      <c r="AU44" s="970"/>
      <c r="AV44" s="970"/>
      <c r="AW44" s="970"/>
      <c r="AX44" s="970"/>
      <c r="AY44" s="969"/>
      <c r="AZ44" s="970"/>
      <c r="BA44" s="970"/>
      <c r="BB44" s="970"/>
      <c r="BC44" s="970"/>
      <c r="BD44" s="969"/>
      <c r="BE44" s="970">
        <v>13.84</v>
      </c>
      <c r="BF44" s="970">
        <v>13.65</v>
      </c>
      <c r="BG44" s="970">
        <v>13.87</v>
      </c>
      <c r="BH44" s="970">
        <v>14.22</v>
      </c>
      <c r="BI44" s="969">
        <f>BI42*1000/(BI49*2000/100)</f>
        <v>13.889361004384513</v>
      </c>
      <c r="BJ44" s="970">
        <v>14.15</v>
      </c>
      <c r="BK44" s="970">
        <v>13.68</v>
      </c>
      <c r="BL44" s="970">
        <v>13.82</v>
      </c>
      <c r="BM44" s="970">
        <v>13.99</v>
      </c>
      <c r="BN44" s="969">
        <f>BN42*1000/(BN49*2000/100)</f>
        <v>13.904837845648149</v>
      </c>
      <c r="BO44" s="970">
        <v>14</v>
      </c>
      <c r="BP44" s="970">
        <v>13.98</v>
      </c>
      <c r="BQ44" s="970">
        <v>14.44</v>
      </c>
      <c r="BR44" s="970">
        <v>14.76</v>
      </c>
      <c r="BS44" s="969">
        <f>BS42*1000/(BS49*2000/100)</f>
        <v>14.294006614948449</v>
      </c>
      <c r="BT44" s="970">
        <v>14.77</v>
      </c>
      <c r="BU44" s="970">
        <v>14.6</v>
      </c>
      <c r="BV44" s="970">
        <v>14.93</v>
      </c>
      <c r="BW44" s="970">
        <v>14.91</v>
      </c>
      <c r="BX44" s="969">
        <f>BX42*1000/(BX49*2000/100)</f>
        <v>14.804832804177209</v>
      </c>
      <c r="BY44" s="970">
        <v>14.84</v>
      </c>
      <c r="BZ44" s="970">
        <v>14.7</v>
      </c>
      <c r="CA44" s="970">
        <v>14.95</v>
      </c>
      <c r="CB44" s="970">
        <v>14.92</v>
      </c>
      <c r="CC44" s="969">
        <f>CC42*1000/(CC49*2000/100)</f>
        <v>14.852750090096995</v>
      </c>
      <c r="CD44" s="970">
        <v>14.94</v>
      </c>
      <c r="CE44" s="970">
        <v>14.97</v>
      </c>
      <c r="CF44" s="970">
        <v>14.84</v>
      </c>
      <c r="CG44" s="970">
        <v>14.68</v>
      </c>
      <c r="CH44" s="969">
        <f>CH42*1000/(CH49*2000/100)</f>
        <v>14.85507387965702</v>
      </c>
      <c r="CI44" s="970">
        <v>14.81</v>
      </c>
      <c r="CJ44" s="970">
        <v>15.33</v>
      </c>
      <c r="CK44" s="970">
        <v>15.3</v>
      </c>
      <c r="CL44" s="970">
        <v>15.19</v>
      </c>
      <c r="CM44" s="969">
        <f>CM42*1000/(CM49*2000/100)</f>
        <v>15.156719511655524</v>
      </c>
      <c r="CN44" s="970">
        <v>14.99</v>
      </c>
      <c r="CO44" s="970">
        <v>14.81</v>
      </c>
      <c r="CP44" s="970">
        <v>15.01</v>
      </c>
      <c r="CQ44" s="970">
        <v>15.13</v>
      </c>
      <c r="CR44" s="969">
        <f>CR42*1000/(CR49*2000/100)</f>
        <v>14.982383413351377</v>
      </c>
      <c r="CS44" s="970">
        <v>15.3</v>
      </c>
      <c r="CT44" s="970">
        <v>14.98</v>
      </c>
      <c r="CU44" s="970">
        <v>14.86</v>
      </c>
      <c r="CV44" s="970">
        <v>14.92</v>
      </c>
      <c r="CW44" s="969">
        <f>CW42*1000/(CW49*2000/100)</f>
        <v>15.013353552324734</v>
      </c>
      <c r="CX44" s="970">
        <v>14.64</v>
      </c>
      <c r="CY44" s="970">
        <v>13.98</v>
      </c>
      <c r="CZ44" s="970">
        <v>13.3</v>
      </c>
      <c r="DA44" s="970">
        <v>13.17</v>
      </c>
      <c r="DB44" s="969">
        <f>DB42*1000/(DB49*2000/100)</f>
        <v>13.712705379759115</v>
      </c>
      <c r="DC44" s="970">
        <v>13</v>
      </c>
      <c r="DD44" s="970">
        <v>13.09</v>
      </c>
      <c r="DE44" s="970">
        <v>13.42</v>
      </c>
      <c r="DF44" s="970">
        <v>13.82</v>
      </c>
      <c r="DG44" s="969">
        <f>DG42*1000/(DG49*2000/100)</f>
        <v>13.319028031725981</v>
      </c>
      <c r="DH44" s="970">
        <v>13.73</v>
      </c>
      <c r="DI44" s="970">
        <v>13.87</v>
      </c>
      <c r="DJ44" s="971">
        <v>14.32</v>
      </c>
      <c r="DK44" s="971">
        <v>14.41</v>
      </c>
      <c r="DL44" s="969">
        <f>DL42*1000/(DL49*2000/100)</f>
        <v>14.078362062925468</v>
      </c>
      <c r="DM44" s="971">
        <v>14.29</v>
      </c>
      <c r="DN44" s="971">
        <v>14.32</v>
      </c>
      <c r="DO44" s="971">
        <v>14.81</v>
      </c>
      <c r="DP44" s="971">
        <v>15.02</v>
      </c>
      <c r="DQ44" s="969">
        <f>DQ42*1000/(DQ49*2000/100)</f>
        <v>14.599170529740606</v>
      </c>
      <c r="DR44" s="971">
        <v>14.78</v>
      </c>
      <c r="DS44" s="971">
        <v>14.79</v>
      </c>
      <c r="DT44" s="971">
        <v>15.17</v>
      </c>
      <c r="DU44" s="971">
        <v>15.25</v>
      </c>
      <c r="DV44" s="969">
        <f>DV42*1000/(DV49*2000/100)</f>
        <v>14.994230078552819</v>
      </c>
      <c r="DW44" s="971">
        <v>14.93</v>
      </c>
      <c r="DX44" s="971">
        <v>15.4</v>
      </c>
      <c r="DY44" s="971">
        <v>15.98</v>
      </c>
      <c r="DZ44" s="971">
        <v>16.36</v>
      </c>
      <c r="EA44" s="969">
        <f>EA42*1000/(EA49*2000/100)</f>
        <v>15.660917315616764</v>
      </c>
      <c r="EB44" s="971">
        <v>16.22</v>
      </c>
      <c r="EC44" s="971">
        <v>16.25</v>
      </c>
      <c r="ED44" s="971">
        <f>+DY44*(1+4.2%)</f>
        <v>16.651160000000001</v>
      </c>
      <c r="EE44" s="971">
        <f>+DZ44*(1+3%)</f>
        <v>16.8508</v>
      </c>
      <c r="EF44" s="969">
        <f>EF42*1000/(EF49*2000/100)</f>
        <v>16.487367021681106</v>
      </c>
      <c r="EG44" s="971">
        <f>+EB44*(1+4.2%)</f>
        <v>16.901239999999998</v>
      </c>
      <c r="EH44" s="971">
        <v>17.149999999999999</v>
      </c>
      <c r="EI44" s="971">
        <f>+ED44*(1+4.5%)</f>
        <v>17.4004622</v>
      </c>
      <c r="EJ44" s="971">
        <f>+EE44*(1+2.95%)</f>
        <v>17.347898600000001</v>
      </c>
      <c r="EK44" s="969">
        <f>EK42*1000/(EK49*2000/100)</f>
        <v>17.199255669632223</v>
      </c>
      <c r="EL44" s="971">
        <f>+EG44*(1-1.1%)</f>
        <v>16.715326359999999</v>
      </c>
      <c r="EM44" s="971">
        <f>+EH44*(1-0.34%)</f>
        <v>17.09169</v>
      </c>
      <c r="EN44" s="971">
        <f>+EI44*(1+1.8%)</f>
        <v>17.713670519600001</v>
      </c>
      <c r="EO44" s="971">
        <f>+EJ44*(1+2.6%)</f>
        <v>17.798943963599999</v>
      </c>
      <c r="EP44" s="969">
        <f>EP42*1000/(EP49*2000/100)</f>
        <v>17.320491817684495</v>
      </c>
      <c r="EQ44" s="971">
        <f t="shared" ref="EQ44" si="113">EL44*(1+EQ45)</f>
        <v>17.216786150800001</v>
      </c>
      <c r="ER44" s="971">
        <f t="shared" ref="ER44" si="114">EM44*(1+ER45)</f>
        <v>17.604440700000001</v>
      </c>
      <c r="ES44" s="971">
        <f t="shared" ref="ES44" si="115">EN44*(1+ES45)</f>
        <v>17.890807224795999</v>
      </c>
      <c r="ET44" s="971">
        <f t="shared" ref="ET44" si="116">EO44*(1+ET45)</f>
        <v>17.887938683417996</v>
      </c>
      <c r="EU44" s="969">
        <f>EU42*1000/(EU49*2000/100)</f>
        <v>17.649594301632966</v>
      </c>
      <c r="EV44" s="971">
        <f t="shared" ref="EV44" si="117">EQ44*(1+EV45)</f>
        <v>17.388954012308002</v>
      </c>
      <c r="EW44" s="971">
        <f t="shared" ref="EW44" si="118">ER44*(1+EW45)</f>
        <v>17.780485107000001</v>
      </c>
      <c r="EX44" s="971">
        <f t="shared" ref="EX44" si="119">ES44*(1+EX45)</f>
        <v>18.06971529704396</v>
      </c>
      <c r="EY44" s="971">
        <f t="shared" ref="EY44" si="120">ET44*(1+EY45)</f>
        <v>18.066818070252175</v>
      </c>
      <c r="EZ44" s="2386">
        <f>EU44*(1+EZ45)</f>
        <v>17.949637404760725</v>
      </c>
      <c r="FA44" s="2387"/>
      <c r="FB44" s="2387"/>
      <c r="FC44" s="2387"/>
      <c r="FD44" s="2387"/>
      <c r="FE44" s="2386">
        <f>EZ44*(1+FE45)</f>
        <v>18.218881965832136</v>
      </c>
      <c r="FF44" s="972"/>
      <c r="FG44" s="690"/>
      <c r="FH44" s="754"/>
      <c r="FI44" s="754"/>
      <c r="FJ44" s="754"/>
      <c r="FK44" s="754"/>
      <c r="FL44" s="690"/>
      <c r="FM44" s="752"/>
      <c r="FN44" s="974"/>
      <c r="FO44" s="975"/>
      <c r="FP44" s="975"/>
      <c r="FQ44" s="975"/>
      <c r="FR44" s="975"/>
      <c r="FS44" s="975"/>
      <c r="FT44" s="975"/>
      <c r="FU44" s="690"/>
      <c r="FV44"/>
      <c r="FW44"/>
      <c r="FX44"/>
      <c r="FY44"/>
      <c r="FZ44"/>
      <c r="GA44"/>
      <c r="GB44" s="977"/>
    </row>
    <row r="45" spans="1:272" s="532" customFormat="1" ht="12.75" customHeight="1">
      <c r="A45" s="979" t="s">
        <v>85</v>
      </c>
      <c r="B45" s="980"/>
      <c r="C45" s="981"/>
      <c r="D45" s="981"/>
      <c r="E45" s="981"/>
      <c r="F45" s="754"/>
      <c r="G45" s="743"/>
      <c r="H45" s="743"/>
      <c r="I45" s="743"/>
      <c r="J45" s="743"/>
      <c r="K45" s="754"/>
      <c r="L45" s="743"/>
      <c r="M45" s="743"/>
      <c r="N45" s="743"/>
      <c r="O45" s="743"/>
      <c r="P45" s="754"/>
      <c r="Q45" s="743"/>
      <c r="R45" s="743"/>
      <c r="S45" s="743"/>
      <c r="T45" s="743"/>
      <c r="U45" s="754"/>
      <c r="V45" s="743"/>
      <c r="W45" s="743"/>
      <c r="X45" s="743"/>
      <c r="Y45" s="743"/>
      <c r="Z45" s="754"/>
      <c r="AA45" s="743"/>
      <c r="AB45" s="743"/>
      <c r="AC45" s="743"/>
      <c r="AD45" s="743"/>
      <c r="AE45" s="754"/>
      <c r="AF45" s="743"/>
      <c r="AG45" s="743"/>
      <c r="AH45" s="743"/>
      <c r="AI45" s="743"/>
      <c r="AJ45" s="754"/>
      <c r="AK45" s="743"/>
      <c r="AL45" s="743"/>
      <c r="AM45" s="743"/>
      <c r="AN45" s="743"/>
      <c r="AO45" s="754"/>
      <c r="AP45" s="743"/>
      <c r="AQ45" s="743"/>
      <c r="AR45" s="743"/>
      <c r="AS45" s="743"/>
      <c r="AT45" s="754"/>
      <c r="AU45" s="743"/>
      <c r="AV45" s="743"/>
      <c r="AW45" s="743"/>
      <c r="AX45" s="743"/>
      <c r="AY45" s="754"/>
      <c r="AZ45" s="743"/>
      <c r="BA45" s="743"/>
      <c r="BB45" s="743"/>
      <c r="BC45" s="743"/>
      <c r="BD45" s="754"/>
      <c r="BE45" s="743"/>
      <c r="BF45" s="743"/>
      <c r="BG45" s="743"/>
      <c r="BH45" s="743"/>
      <c r="BI45" s="754"/>
      <c r="BJ45" s="743">
        <f t="shared" ref="BJ45:DD45" si="121">BJ44/BE44-1</f>
        <v>2.2398843930635959E-2</v>
      </c>
      <c r="BK45" s="743">
        <f t="shared" si="121"/>
        <v>2.19780219780219E-3</v>
      </c>
      <c r="BL45" s="743">
        <f t="shared" si="121"/>
        <v>-3.6049026676279183E-3</v>
      </c>
      <c r="BM45" s="743">
        <f t="shared" si="121"/>
        <v>-1.6174402250351605E-2</v>
      </c>
      <c r="BN45" s="754">
        <f t="shared" si="121"/>
        <v>1.1142946935247533E-3</v>
      </c>
      <c r="BO45" s="743">
        <f t="shared" si="121"/>
        <v>-1.0600706713780994E-2</v>
      </c>
      <c r="BP45" s="743">
        <f t="shared" si="121"/>
        <v>2.1929824561403466E-2</v>
      </c>
      <c r="BQ45" s="743">
        <f t="shared" si="121"/>
        <v>4.4862518089725079E-2</v>
      </c>
      <c r="BR45" s="743">
        <f t="shared" si="121"/>
        <v>5.5039313795568257E-2</v>
      </c>
      <c r="BS45" s="754">
        <f t="shared" si="121"/>
        <v>2.7988012058846046E-2</v>
      </c>
      <c r="BT45" s="743">
        <f t="shared" si="121"/>
        <v>5.4999999999999938E-2</v>
      </c>
      <c r="BU45" s="743">
        <f t="shared" si="121"/>
        <v>4.4349070100142995E-2</v>
      </c>
      <c r="BV45" s="743">
        <f t="shared" si="121"/>
        <v>3.3933518005540231E-2</v>
      </c>
      <c r="BW45" s="743">
        <f t="shared" si="121"/>
        <v>1.0162601626016343E-2</v>
      </c>
      <c r="BX45" s="754">
        <f t="shared" si="121"/>
        <v>3.5737089186354876E-2</v>
      </c>
      <c r="BY45" s="743">
        <f t="shared" si="121"/>
        <v>4.7393364928909332E-3</v>
      </c>
      <c r="BZ45" s="743">
        <f t="shared" si="121"/>
        <v>6.8493150684931781E-3</v>
      </c>
      <c r="CA45" s="743">
        <f t="shared" si="121"/>
        <v>1.3395847287340779E-3</v>
      </c>
      <c r="CB45" s="743">
        <f t="shared" si="121"/>
        <v>6.7069081153592336E-4</v>
      </c>
      <c r="CC45" s="754">
        <f t="shared" si="121"/>
        <v>3.2365975728050334E-3</v>
      </c>
      <c r="CD45" s="743">
        <f t="shared" si="121"/>
        <v>6.7385444743934819E-3</v>
      </c>
      <c r="CE45" s="743">
        <f t="shared" si="121"/>
        <v>1.8367346938775508E-2</v>
      </c>
      <c r="CF45" s="743">
        <f t="shared" si="121"/>
        <v>-7.3578595317725926E-3</v>
      </c>
      <c r="CG45" s="743">
        <f t="shared" si="121"/>
        <v>-1.6085790884718509E-2</v>
      </c>
      <c r="CH45" s="754">
        <f t="shared" si="121"/>
        <v>1.5645517132711895E-4</v>
      </c>
      <c r="CI45" s="743">
        <f t="shared" si="121"/>
        <v>-8.7014725568941298E-3</v>
      </c>
      <c r="CJ45" s="743">
        <f t="shared" si="121"/>
        <v>2.4048096192384794E-2</v>
      </c>
      <c r="CK45" s="743">
        <f t="shared" si="121"/>
        <v>3.0997304582210283E-2</v>
      </c>
      <c r="CL45" s="743">
        <f t="shared" si="121"/>
        <v>3.4741144414168978E-2</v>
      </c>
      <c r="CM45" s="754">
        <f t="shared" si="121"/>
        <v>2.0305899145448558E-2</v>
      </c>
      <c r="CN45" s="743">
        <f t="shared" si="121"/>
        <v>1.2153950033760852E-2</v>
      </c>
      <c r="CO45" s="743">
        <f t="shared" si="121"/>
        <v>-3.3920417482061316E-2</v>
      </c>
      <c r="CP45" s="743">
        <f t="shared" si="121"/>
        <v>-1.8954248366013116E-2</v>
      </c>
      <c r="CQ45" s="743">
        <f t="shared" si="121"/>
        <v>-3.9499670836075085E-3</v>
      </c>
      <c r="CR45" s="754">
        <f t="shared" si="121"/>
        <v>-1.1502231612195657E-2</v>
      </c>
      <c r="CS45" s="743">
        <f t="shared" si="121"/>
        <v>2.0680453635757212E-2</v>
      </c>
      <c r="CT45" s="743">
        <f t="shared" si="121"/>
        <v>1.1478730587440866E-2</v>
      </c>
      <c r="CU45" s="743">
        <f t="shared" si="121"/>
        <v>-9.9933377748168128E-3</v>
      </c>
      <c r="CV45" s="743">
        <f t="shared" si="121"/>
        <v>-1.3879709187045619E-2</v>
      </c>
      <c r="CW45" s="754">
        <f t="shared" si="121"/>
        <v>2.0671036188915082E-3</v>
      </c>
      <c r="CX45" s="743">
        <f>IF(ISERROR(CX44/CS44-1)," ",(CX44/CS44-1))</f>
        <v>-4.3137254901960742E-2</v>
      </c>
      <c r="CY45" s="743">
        <f>IF(ISERROR(CY44/CT44-1)," ",(CY44/CT44-1))</f>
        <v>-6.675567423230977E-2</v>
      </c>
      <c r="CZ45" s="743">
        <f>IF(ISERROR(CZ44/CU44-1)," ",(CZ44/CU44-1))</f>
        <v>-0.10497981157469705</v>
      </c>
      <c r="DA45" s="743">
        <f>IF(ISERROR(DA44/CV44-1)," ",(DA44/CV44-1))</f>
        <v>-0.11729222520107241</v>
      </c>
      <c r="DB45" s="754">
        <f>IF(ISERROR(DB44/CW44-1)," ",(DB44/CW44-1))</f>
        <v>-8.663275450302188E-2</v>
      </c>
      <c r="DC45" s="743">
        <f t="shared" si="121"/>
        <v>-0.11202185792349728</v>
      </c>
      <c r="DD45" s="743">
        <f t="shared" si="121"/>
        <v>-6.3662374821173096E-2</v>
      </c>
      <c r="DE45" s="743">
        <f>IF(ISERROR(DE44/CZ44-1)," ",(DE44/CZ44-1))</f>
        <v>9.0225563909773765E-3</v>
      </c>
      <c r="DF45" s="743">
        <f>IF(ISERROR(DF44/DA44-1)," ",(DF44/DA44-1))</f>
        <v>4.9354593773728306E-2</v>
      </c>
      <c r="DG45" s="754">
        <f>IF(ISERROR(DG44/DB44-1)," ",(DG44/DB44-1))</f>
        <v>-2.8708948171104698E-2</v>
      </c>
      <c r="DH45" s="743">
        <f>DH44/DC44-1</f>
        <v>5.6153846153846221E-2</v>
      </c>
      <c r="DI45" s="743">
        <f>DI44/DD44-1</f>
        <v>5.9587471352177124E-2</v>
      </c>
      <c r="DJ45" s="743">
        <f>DJ44/DE44-1</f>
        <v>6.7064083457526014E-2</v>
      </c>
      <c r="DK45" s="743">
        <f>DK44/DF44-1</f>
        <v>4.2691751085383478E-2</v>
      </c>
      <c r="DL45" s="754">
        <f>IF(ISERROR(DL44/DG44-1)," ",(DL44/DG44-1))</f>
        <v>5.7011219541752478E-2</v>
      </c>
      <c r="DM45" s="743">
        <f>DM44/DH44-1</f>
        <v>4.078659868900214E-2</v>
      </c>
      <c r="DN45" s="743">
        <f>DN44/DI44-1</f>
        <v>3.2444124008651931E-2</v>
      </c>
      <c r="DO45" s="743">
        <f>DO44/DJ44-1</f>
        <v>3.4217877094972149E-2</v>
      </c>
      <c r="DP45" s="743">
        <f>DP44/DK44-1</f>
        <v>4.2331714087439298E-2</v>
      </c>
      <c r="DQ45" s="754">
        <f>IF(ISERROR(DQ44/DL44-1)," ",(DQ44/DL44-1))</f>
        <v>3.6993541186631118E-2</v>
      </c>
      <c r="DR45" s="743">
        <f>DR44/DM44-1</f>
        <v>3.4289713086074203E-2</v>
      </c>
      <c r="DS45" s="743">
        <f>DS44/DN44-1</f>
        <v>3.2821229050279177E-2</v>
      </c>
      <c r="DT45" s="743">
        <f>DT44/DO44-1</f>
        <v>2.4307900067521926E-2</v>
      </c>
      <c r="DU45" s="743">
        <f>DU44/DP44-1</f>
        <v>1.5312916111850816E-2</v>
      </c>
      <c r="DV45" s="754">
        <f>IF(ISERROR(DV44/DQ44-1)," ",(DV44/DQ44-1))</f>
        <v>2.7060410590274309E-2</v>
      </c>
      <c r="DW45" s="743">
        <f>DW44/DR44-1</f>
        <v>1.0148849797023018E-2</v>
      </c>
      <c r="DX45" s="743">
        <f>DX44/DS44-1</f>
        <v>4.1244083840432877E-2</v>
      </c>
      <c r="DY45" s="743">
        <f>DY44/DT44-1</f>
        <v>5.3394858272907131E-2</v>
      </c>
      <c r="DZ45" s="743">
        <f>DZ44/DU44-1</f>
        <v>7.2786885245901711E-2</v>
      </c>
      <c r="EA45" s="754">
        <f>IF(ISERROR(EA44/DV44-1)," ",(EA44/DV44-1))</f>
        <v>4.4462918974249144E-2</v>
      </c>
      <c r="EB45" s="743">
        <f>EB44/DW44-1</f>
        <v>8.640321500334891E-2</v>
      </c>
      <c r="EC45" s="743">
        <f>EC44/DX44-1</f>
        <v>5.5194805194805241E-2</v>
      </c>
      <c r="ED45" s="743">
        <f>ED44/DY44-1</f>
        <v>4.2000000000000037E-2</v>
      </c>
      <c r="EE45" s="743">
        <f>EE44/DZ44-1</f>
        <v>3.0000000000000027E-2</v>
      </c>
      <c r="EF45" s="754">
        <f>IF(ISERROR(EF44/EA44-1)," ",(EF44/EA44-1))</f>
        <v>5.2771474965915388E-2</v>
      </c>
      <c r="EG45" s="743">
        <f>EG44/EB44-1</f>
        <v>4.2000000000000037E-2</v>
      </c>
      <c r="EH45" s="743">
        <f>EH44/EC44-1</f>
        <v>5.5384615384615365E-2</v>
      </c>
      <c r="EI45" s="743">
        <f>EI44/ED44-1</f>
        <v>4.4999999999999929E-2</v>
      </c>
      <c r="EJ45" s="743">
        <f>EJ44/EE44-1</f>
        <v>2.9500000000000082E-2</v>
      </c>
      <c r="EK45" s="754">
        <f>IF(ISERROR(EK44/EF44-1)," ",(EK44/EF44-1))</f>
        <v>4.3177824998677616E-2</v>
      </c>
      <c r="EL45" s="743">
        <f>EL44/EG44-1</f>
        <v>-1.0999999999999899E-2</v>
      </c>
      <c r="EM45" s="743">
        <f>EM44/EH44-1</f>
        <v>-3.3999999999999586E-3</v>
      </c>
      <c r="EN45" s="743">
        <f>EN44/EI44-1</f>
        <v>1.8000000000000016E-2</v>
      </c>
      <c r="EO45" s="743">
        <f>EO44/EJ44-1</f>
        <v>2.6000000000000023E-2</v>
      </c>
      <c r="EP45" s="754">
        <f>IF(ISERROR(EP44/EK44-1)," ",(EP44/EK44-1))</f>
        <v>7.0489183009432299E-3</v>
      </c>
      <c r="EQ45" s="983">
        <v>0.03</v>
      </c>
      <c r="ER45" s="983">
        <v>0.03</v>
      </c>
      <c r="ES45" s="983">
        <v>0.01</v>
      </c>
      <c r="ET45" s="983">
        <v>5.0000000000000001E-3</v>
      </c>
      <c r="EU45" s="754">
        <f>IF(ISERROR(EU44/EP44-1)," ",(EU44/EP44-1))</f>
        <v>1.9000758605044465E-2</v>
      </c>
      <c r="EV45" s="983">
        <v>0.01</v>
      </c>
      <c r="EW45" s="983">
        <v>0.01</v>
      </c>
      <c r="EX45" s="983">
        <v>0.01</v>
      </c>
      <c r="EY45" s="983">
        <v>0.01</v>
      </c>
      <c r="EZ45" s="2384">
        <v>1.7000000000000001E-2</v>
      </c>
      <c r="FA45" s="2385">
        <v>0.01</v>
      </c>
      <c r="FB45" s="2385">
        <v>0.01</v>
      </c>
      <c r="FC45" s="2385">
        <v>0.01</v>
      </c>
      <c r="FD45" s="2385">
        <v>0.01</v>
      </c>
      <c r="FE45" s="2384">
        <v>1.4999999999999999E-2</v>
      </c>
      <c r="FF45" s="721"/>
      <c r="FG45" s="690"/>
      <c r="FH45" s="754"/>
      <c r="FI45" s="754"/>
      <c r="FJ45" s="754"/>
      <c r="FK45" s="754"/>
      <c r="FL45" s="690"/>
      <c r="FM45" s="973" t="s">
        <v>547</v>
      </c>
      <c r="FN45" s="752"/>
      <c r="FO45" s="723"/>
      <c r="FP45" s="723"/>
      <c r="FQ45" s="873" t="s">
        <v>623</v>
      </c>
      <c r="FR45" s="723"/>
      <c r="FS45" s="723"/>
      <c r="FT45" s="723"/>
      <c r="FU45" s="690"/>
      <c r="FV45"/>
      <c r="FW45"/>
      <c r="FX45"/>
      <c r="FY45"/>
      <c r="FZ45"/>
      <c r="GA45"/>
      <c r="GB45" s="725"/>
    </row>
    <row r="46" spans="1:272" s="532" customFormat="1" ht="12.75" customHeight="1">
      <c r="A46" s="979" t="s">
        <v>290</v>
      </c>
      <c r="B46" s="952"/>
      <c r="C46" s="953"/>
      <c r="D46" s="953"/>
      <c r="E46" s="953"/>
      <c r="F46" s="754"/>
      <c r="G46" s="954"/>
      <c r="H46" s="954"/>
      <c r="I46" s="954"/>
      <c r="J46" s="954"/>
      <c r="K46" s="754"/>
      <c r="L46" s="743"/>
      <c r="M46" s="743"/>
      <c r="N46" s="743"/>
      <c r="O46" s="743"/>
      <c r="P46" s="754"/>
      <c r="Q46" s="743"/>
      <c r="R46" s="743"/>
      <c r="S46" s="743"/>
      <c r="T46" s="743"/>
      <c r="U46" s="754"/>
      <c r="V46" s="743"/>
      <c r="W46" s="743"/>
      <c r="X46" s="743"/>
      <c r="Y46" s="743"/>
      <c r="Z46" s="754"/>
      <c r="AA46" s="743"/>
      <c r="AB46" s="743"/>
      <c r="AC46" s="743"/>
      <c r="AD46" s="743"/>
      <c r="AE46" s="754"/>
      <c r="AF46" s="743"/>
      <c r="AG46" s="954"/>
      <c r="AH46" s="743"/>
      <c r="AI46" s="743"/>
      <c r="AJ46" s="754"/>
      <c r="AK46" s="743"/>
      <c r="AL46" s="954"/>
      <c r="AM46" s="743"/>
      <c r="AN46" s="743"/>
      <c r="AO46" s="754"/>
      <c r="AP46" s="743"/>
      <c r="AQ46" s="954"/>
      <c r="AR46" s="743"/>
      <c r="AS46" s="743"/>
      <c r="AT46" s="754"/>
      <c r="AU46" s="743"/>
      <c r="AV46" s="954"/>
      <c r="AW46" s="743"/>
      <c r="AX46" s="743"/>
      <c r="AY46" s="754"/>
      <c r="AZ46" s="743"/>
      <c r="BA46" s="954"/>
      <c r="BB46" s="743"/>
      <c r="BC46" s="743"/>
      <c r="BD46" s="754"/>
      <c r="BE46" s="743" t="str">
        <f>IF(ISERROR(BE44/BC44-1)," ",(BE44/BC44-1))</f>
        <v xml:space="preserve"> </v>
      </c>
      <c r="BF46" s="954">
        <f>IF(ISERROR(BF44/BE44-1)," ",(BF44/BE44-1))</f>
        <v>-1.3728323699421896E-2</v>
      </c>
      <c r="BG46" s="743">
        <f>IF(ISERROR(BG44/BF44-1)," ",(BG44/BF44-1))</f>
        <v>1.611721611721606E-2</v>
      </c>
      <c r="BH46" s="743">
        <f>IF(ISERROR(BH44/BG44-1)," ",(BH44/BG44-1))</f>
        <v>2.5234318673395872E-2</v>
      </c>
      <c r="BI46" s="754">
        <f>BI45</f>
        <v>0</v>
      </c>
      <c r="BJ46" s="743">
        <f>IF(ISERROR(BJ44/BH44-1)," ",(BJ44/BH44-1))</f>
        <v>-4.9226441631504692E-3</v>
      </c>
      <c r="BK46" s="954">
        <f>IF(ISERROR(BK44/BJ44-1)," ",(BK44/BJ44-1))</f>
        <v>-3.3215547703180248E-2</v>
      </c>
      <c r="BL46" s="743">
        <f>IF(ISERROR(BL44/BK44-1)," ",(BL44/BK44-1))</f>
        <v>1.023391812865504E-2</v>
      </c>
      <c r="BM46" s="743">
        <f>IF(ISERROR(BM44/BL44-1)," ",(BM44/BL44-1))</f>
        <v>1.2301013024601959E-2</v>
      </c>
      <c r="BN46" s="754"/>
      <c r="BO46" s="743">
        <f>IF(ISERROR(BO44/BM44-1)," ",(BO44/BM44-1))</f>
        <v>7.1479628305937126E-4</v>
      </c>
      <c r="BP46" s="954">
        <f>IF(ISERROR(BP44/BO44-1)," ",(BP44/BO44-1))</f>
        <v>-1.4285714285714457E-3</v>
      </c>
      <c r="BQ46" s="743">
        <f>IF(ISERROR(BQ44/BP44-1)," ",(BQ44/BP44-1))</f>
        <v>3.2904148783976961E-2</v>
      </c>
      <c r="BR46" s="743">
        <f>IF(ISERROR(BR44/BQ44-1)," ",(BR44/BQ44-1))</f>
        <v>2.2160664819944609E-2</v>
      </c>
      <c r="BS46" s="754"/>
      <c r="BT46" s="743">
        <f>IF(ISERROR(BT44/BR44-1)," ",(BT44/BR44-1))</f>
        <v>6.7750677506772661E-4</v>
      </c>
      <c r="BU46" s="954">
        <f>IF(ISERROR(BU44/BT44-1)," ",(BU44/BT44-1))</f>
        <v>-1.1509817197020933E-2</v>
      </c>
      <c r="BV46" s="743">
        <f>IF(ISERROR(BV44/BU44-1)," ",(BV44/BU44-1))</f>
        <v>2.2602739726027332E-2</v>
      </c>
      <c r="BW46" s="743">
        <f>IF(ISERROR(BW44/BV44-1)," ",(BW44/BV44-1))</f>
        <v>-1.3395847287340779E-3</v>
      </c>
      <c r="BX46" s="754">
        <f>BX45</f>
        <v>3.5737089186354876E-2</v>
      </c>
      <c r="BY46" s="743">
        <f>IF(ISERROR(BY44/BW44-1)," ",(BY44/BW44-1))</f>
        <v>-4.6948356807512415E-3</v>
      </c>
      <c r="BZ46" s="954">
        <f>IF(ISERROR(BZ44/BY44-1)," ",(BZ44/BY44-1))</f>
        <v>-9.4339622641509413E-3</v>
      </c>
      <c r="CA46" s="743">
        <f>IF(ISERROR(CA44/BZ44-1)," ",(CA44/BZ44-1))</f>
        <v>1.7006802721088343E-2</v>
      </c>
      <c r="CB46" s="743">
        <f>IF(ISERROR(CB44/CA44-1)," ",(CB44/CA44-1))</f>
        <v>-2.0066889632106566E-3</v>
      </c>
      <c r="CC46" s="754">
        <f>CC45</f>
        <v>3.2365975728050334E-3</v>
      </c>
      <c r="CD46" s="743">
        <f>IF(ISERROR(CD44/CB44-1)," ",(CD44/CB44-1))</f>
        <v>1.3404825737264314E-3</v>
      </c>
      <c r="CE46" s="743">
        <f>IF(ISERROR(CE44/CD44-1)," ",(CE44/CD44-1))</f>
        <v>2.0080321285140812E-3</v>
      </c>
      <c r="CF46" s="743">
        <f>IF(ISERROR(CF44/CE44-1)," ",(CF44/CE44-1))</f>
        <v>-8.6840347361389902E-3</v>
      </c>
      <c r="CG46" s="743">
        <f>IF(ISERROR(CG44/CF44-1)," ",(CG44/CF44-1))</f>
        <v>-1.0781671159029615E-2</v>
      </c>
      <c r="CH46" s="754">
        <f>CH45</f>
        <v>1.5645517132711895E-4</v>
      </c>
      <c r="CI46" s="743">
        <f>IF(ISERROR(CI44/CG44-1)," ",(CI44/CG44-1))</f>
        <v>8.8555858310628288E-3</v>
      </c>
      <c r="CJ46" s="743">
        <f>IF(ISERROR(CJ44/CI44-1)," ",(CJ44/CI44-1))</f>
        <v>3.5111411208642807E-2</v>
      </c>
      <c r="CK46" s="743">
        <f>IF(ISERROR(CK44/CJ44-1)," ",(CK44/CJ44-1))</f>
        <v>-1.9569471624265589E-3</v>
      </c>
      <c r="CL46" s="743">
        <f>IF(ISERROR(CL44/CK44-1)," ",(CL44/CK44-1))</f>
        <v>-7.1895424836602162E-3</v>
      </c>
      <c r="CM46" s="754">
        <f>CM45</f>
        <v>2.0305899145448558E-2</v>
      </c>
      <c r="CN46" s="743">
        <f>IF(ISERROR(CN44/CL44-1)," ",(CN44/CL44-1))</f>
        <v>-1.3166556945358732E-2</v>
      </c>
      <c r="CO46" s="743">
        <f>IF(ISERROR(CO44/CN44-1)," ",(CO44/CN44-1))</f>
        <v>-1.2008005336891281E-2</v>
      </c>
      <c r="CP46" s="743">
        <f>IF(ISERROR(CP44/CO44-1)," ",(CP44/CO44-1))</f>
        <v>1.3504388926401045E-2</v>
      </c>
      <c r="CQ46" s="743">
        <f>IF(ISERROR(CQ44/CP44-1)," ",(CQ44/CP44-1))</f>
        <v>7.9946702198534503E-3</v>
      </c>
      <c r="CR46" s="754">
        <f>CR45</f>
        <v>-1.1502231612195657E-2</v>
      </c>
      <c r="CS46" s="743">
        <f>IF(ISERROR(CS44/CQ44-1)," ",(CS44/CQ44-1))</f>
        <v>1.1235955056179803E-2</v>
      </c>
      <c r="CT46" s="743">
        <f>IF(ISERROR(CT44/CS44-1)," ",(CT44/CS44-1))</f>
        <v>-2.0915032679738599E-2</v>
      </c>
      <c r="CU46" s="743">
        <f>IF(ISERROR(CU44/CT44-1)," ",(CU44/CT44-1))</f>
        <v>-8.0106809078772656E-3</v>
      </c>
      <c r="CV46" s="743">
        <f>IF(ISERROR(CV44/CU44-1)," ",(CV44/CU44-1))</f>
        <v>4.0376850605652326E-3</v>
      </c>
      <c r="CW46" s="754">
        <f>CW45</f>
        <v>2.0671036188915082E-3</v>
      </c>
      <c r="CX46" s="743">
        <f>IF(ISERROR(CX44/CV44-1)," ",(CX44/CV44-1))</f>
        <v>-1.8766756032171594E-2</v>
      </c>
      <c r="CY46" s="743">
        <f>IF(ISERROR(CY44/CX44-1)," ",(CY44/CX44-1))</f>
        <v>-4.5081967213114749E-2</v>
      </c>
      <c r="CZ46" s="743">
        <f>IF(ISERROR(CZ44/CY44-1)," ",(CZ44/CY44-1))</f>
        <v>-4.8640915593705314E-2</v>
      </c>
      <c r="DA46" s="743">
        <f>IF(ISERROR(DA44/CZ44-1)," ",(DA44/CZ44-1))</f>
        <v>-9.7744360902256577E-3</v>
      </c>
      <c r="DB46" s="754">
        <f>DB45</f>
        <v>-8.663275450302188E-2</v>
      </c>
      <c r="DC46" s="743">
        <f>IF(ISERROR(DC44/DA44-1)," ",(DC44/DA44-1))</f>
        <v>-1.2908124525436548E-2</v>
      </c>
      <c r="DD46" s="743">
        <f>IF(ISERROR(DD44/DC44-1)," ",(DD44/DC44-1))</f>
        <v>6.9230769230768097E-3</v>
      </c>
      <c r="DE46" s="743">
        <f>IF(ISERROR(DE44/DD44-1)," ",(DE44/DD44-1))</f>
        <v>2.5210084033613356E-2</v>
      </c>
      <c r="DF46" s="743">
        <f>IF(ISERROR(DF44/DE44-1)," ",(DF44/DE44-1))</f>
        <v>2.9806259314456129E-2</v>
      </c>
      <c r="DG46" s="754">
        <f>DG45</f>
        <v>-2.8708948171104698E-2</v>
      </c>
      <c r="DH46" s="743">
        <f>IF(ISERROR(DH44/DF44-1)," ",(DH44/DF44-1))</f>
        <v>-6.5123010130245795E-3</v>
      </c>
      <c r="DI46" s="743">
        <f>IF(ISERROR(DI44/DH44-1)," ",(DI44/DH44-1))</f>
        <v>1.0196649672250535E-2</v>
      </c>
      <c r="DJ46" s="743">
        <f>IF(ISERROR(DJ44/DI44-1)," ",(DJ44/DI44-1))</f>
        <v>3.2444124008651931E-2</v>
      </c>
      <c r="DK46" s="743">
        <f>IF(ISERROR(DK44/DJ44-1)," ",(DK44/DJ44-1))</f>
        <v>6.2849162011173743E-3</v>
      </c>
      <c r="DL46" s="754"/>
      <c r="DM46" s="743">
        <f>IF(ISERROR(DM44/DK44-1)," ",(DM44/DK44-1))</f>
        <v>-8.3275503122831607E-3</v>
      </c>
      <c r="DN46" s="743">
        <f>IF(ISERROR(DN44/DM44-1)," ",(DN44/DM44-1))</f>
        <v>2.0993701889433503E-3</v>
      </c>
      <c r="DO46" s="743">
        <f>IF(ISERROR(DO44/DN44-1)," ",(DO44/DN44-1))</f>
        <v>3.4217877094972149E-2</v>
      </c>
      <c r="DP46" s="743">
        <f>IF(ISERROR(DP44/DO44-1)," ",(DP44/DO44-1))</f>
        <v>1.4179608372721031E-2</v>
      </c>
      <c r="DQ46" s="754"/>
      <c r="DR46" s="743">
        <f>IF(ISERROR(DR44/DP44-1)," ",(DR44/DP44-1))</f>
        <v>-1.5978695073235683E-2</v>
      </c>
      <c r="DS46" s="743">
        <f>IF(ISERROR(DS44/DR44-1)," ",(DS44/DR44-1))</f>
        <v>6.7658998646824564E-4</v>
      </c>
      <c r="DT46" s="743">
        <f>IF(ISERROR(DT44/DS44-1)," ",(DT44/DS44-1))</f>
        <v>2.5693035835023803E-2</v>
      </c>
      <c r="DU46" s="743">
        <f>IF(ISERROR(DU44/DT44-1)," ",(DU44/DT44-1))</f>
        <v>5.273566249176076E-3</v>
      </c>
      <c r="DV46" s="754"/>
      <c r="DW46" s="743">
        <f>IF(ISERROR(DW44/DU44-1)," ",(DW44/DU44-1))</f>
        <v>-2.0983606557377077E-2</v>
      </c>
      <c r="DX46" s="743">
        <f>IF(ISERROR(DX44/DW44-1)," ",(DX44/DW44-1))</f>
        <v>3.1480241125251274E-2</v>
      </c>
      <c r="DY46" s="743">
        <f>IF(ISERROR(DY44/DX44-1)," ",(DY44/DX44-1))</f>
        <v>3.766233766233773E-2</v>
      </c>
      <c r="DZ46" s="743">
        <f>IF(ISERROR(DZ44/DY44-1)," ",(DZ44/DY44-1))</f>
        <v>2.3779724655819789E-2</v>
      </c>
      <c r="EA46" s="754"/>
      <c r="EB46" s="743">
        <f>IF(ISERROR(EB44/DZ44-1)," ",(EB44/DZ44-1))</f>
        <v>-8.5574572127139481E-3</v>
      </c>
      <c r="EC46" s="743">
        <f>IF(ISERROR(EC44/EB44-1)," ",(EC44/EB44-1))</f>
        <v>1.8495684340320562E-3</v>
      </c>
      <c r="ED46" s="743">
        <f>IF(ISERROR(ED44/EC44-1)," ",(ED44/EC44-1))</f>
        <v>2.468676923076929E-2</v>
      </c>
      <c r="EE46" s="743">
        <f>IF(ISERROR(EE44/ED44-1)," ",(EE44/ED44-1))</f>
        <v>1.1989555082048353E-2</v>
      </c>
      <c r="EF46" s="754"/>
      <c r="EG46" s="743">
        <f>IF(ISERROR(EG44/EF44-1)," ",(EG44/EF44-1))</f>
        <v>2.5102430107526885E-2</v>
      </c>
      <c r="EH46" s="743">
        <f>IF(ISERROR(EH44/EG44-1)," ",(EH44/EG44-1))</f>
        <v>1.4718446693852139E-2</v>
      </c>
      <c r="EI46" s="743">
        <f>IF(ISERROR(EI44/EH44-1)," ",(EI44/EH44-1))</f>
        <v>1.4604209912536525E-2</v>
      </c>
      <c r="EJ46" s="743">
        <f>IF(ISERROR(EJ44/EI44-1)," ",(EJ44/EI44-1))</f>
        <v>-3.0208163091207663E-3</v>
      </c>
      <c r="EK46" s="754"/>
      <c r="EL46" s="743">
        <f>IF(ISERROR(EL44/EJ44-1)," ",(EL44/EJ44-1))</f>
        <v>-3.6463911542577332E-2</v>
      </c>
      <c r="EM46" s="743">
        <f t="shared" ref="EM46:EO46" si="122">IF(ISERROR(EM44/EL44-1)," ",(EM44/EL44-1))</f>
        <v>2.251608086460366E-2</v>
      </c>
      <c r="EN46" s="743">
        <f t="shared" si="122"/>
        <v>3.6390814460126597E-2</v>
      </c>
      <c r="EO46" s="743">
        <f t="shared" si="122"/>
        <v>4.8139906354047746E-3</v>
      </c>
      <c r="EP46" s="754"/>
      <c r="EQ46" s="743">
        <f>IF(ISERROR(EQ44/EO44-1)," ",(EQ44/EO44-1))</f>
        <v>-3.270743556418565E-2</v>
      </c>
      <c r="ER46" s="743">
        <f t="shared" ref="ER46" si="123">IF(ISERROR(ER44/EQ44-1)," ",(ER44/EQ44-1))</f>
        <v>2.251608086460366E-2</v>
      </c>
      <c r="ES46" s="743">
        <f t="shared" ref="ES46" si="124">IF(ISERROR(ES44/ER44-1)," ",(ES44/ER44-1))</f>
        <v>1.6266720975463667E-2</v>
      </c>
      <c r="ET46" s="743">
        <f t="shared" ref="ET46" si="125">IF(ISERROR(ET44/ES44-1)," ",(ET44/ES44-1))</f>
        <v>-1.6033605090925995E-4</v>
      </c>
      <c r="EU46" s="754"/>
      <c r="EV46" s="743">
        <f>IF(ISERROR(EV44/ET44-1)," ",(EV44/ET44-1))</f>
        <v>-2.7895034746096781E-2</v>
      </c>
      <c r="EW46" s="743">
        <f t="shared" ref="EW46" si="126">IF(ISERROR(EW44/EV44-1)," ",(EW44/EV44-1))</f>
        <v>2.2516080864603438E-2</v>
      </c>
      <c r="EX46" s="743">
        <f t="shared" ref="EX46" si="127">IF(ISERROR(EX44/EW44-1)," ",(EX44/EW44-1))</f>
        <v>1.6266720975463889E-2</v>
      </c>
      <c r="EY46" s="743">
        <f t="shared" ref="EY46" si="128">IF(ISERROR(EY44/EX44-1)," ",(EY44/EX44-1))</f>
        <v>-1.6033605090937098E-4</v>
      </c>
      <c r="EZ46" s="754"/>
      <c r="FA46" s="743">
        <f>IF(ISERROR(FA44/EY44-1)," ",(FA44/EY44-1))</f>
        <v>-1</v>
      </c>
      <c r="FB46" s="743" t="str">
        <f t="shared" ref="FB46" si="129">IF(ISERROR(FB44/FA44-1)," ",(FB44/FA44-1))</f>
        <v xml:space="preserve"> </v>
      </c>
      <c r="FC46" s="743" t="str">
        <f t="shared" ref="FC46" si="130">IF(ISERROR(FC44/FB44-1)," ",(FC44/FB44-1))</f>
        <v xml:space="preserve"> </v>
      </c>
      <c r="FD46" s="743" t="str">
        <f t="shared" ref="FD46" si="131">IF(ISERROR(FD44/FC44-1)," ",(FD44/FC44-1))</f>
        <v xml:space="preserve"> </v>
      </c>
      <c r="FE46" s="754"/>
      <c r="FF46" s="721"/>
      <c r="FG46" s="690"/>
      <c r="FH46" s="955">
        <f>AVERAGE(DH46,DM46,DC46,DR46,DW46,EB46,EG46,EL46)</f>
        <v>-1.057865201614018E-2</v>
      </c>
      <c r="FI46" s="955">
        <f t="shared" ref="FI46" si="132">AVERAGE(DI46,DN46,DD46,DS46,DX46,EC46,EH46,EM46)</f>
        <v>1.1307502986059759E-2</v>
      </c>
      <c r="FJ46" s="955">
        <f t="shared" ref="FJ46" si="133">AVERAGE(DJ46,DO46,DE46,DT46,DY46,ED46,EI46,EN46)</f>
        <v>2.8863656529753923E-2</v>
      </c>
      <c r="FK46" s="955">
        <f t="shared" ref="FK46" si="134">AVERAGE(DK46,DP46,DF46,DU46,DZ46,EE46,EJ46,EO46)</f>
        <v>1.1638350525202845E-2</v>
      </c>
      <c r="FL46" s="690"/>
      <c r="FM46" s="752"/>
      <c r="FN46" s="752"/>
      <c r="FO46" s="723"/>
      <c r="FP46" s="723"/>
      <c r="FQ46" s="723"/>
      <c r="FR46" s="723" t="s">
        <v>621</v>
      </c>
      <c r="FS46" s="723"/>
      <c r="FT46" s="723"/>
      <c r="FU46" s="690"/>
      <c r="FV46"/>
      <c r="FW46"/>
      <c r="FX46"/>
      <c r="FY46"/>
      <c r="FZ46"/>
      <c r="GA46"/>
      <c r="GB46" s="725"/>
    </row>
    <row r="47" spans="1:272" s="990" customFormat="1" ht="12.75" customHeight="1">
      <c r="A47" s="984" t="s">
        <v>295</v>
      </c>
      <c r="B47" s="985"/>
      <c r="C47" s="986"/>
      <c r="D47" s="986"/>
      <c r="E47" s="986"/>
      <c r="F47" s="987"/>
      <c r="G47" s="988"/>
      <c r="H47" s="988">
        <v>8.2402966470792354</v>
      </c>
      <c r="I47" s="988">
        <v>8.332868821025265</v>
      </c>
      <c r="J47" s="988">
        <v>8.3452846623270371</v>
      </c>
      <c r="K47" s="987">
        <f>((K42+K68)*1000)/(K49*2000/100)</f>
        <v>0</v>
      </c>
      <c r="L47" s="988">
        <v>8.2194722731705507</v>
      </c>
      <c r="M47" s="988">
        <v>8.2663272724034709</v>
      </c>
      <c r="N47" s="988">
        <v>8.1281806101819072</v>
      </c>
      <c r="O47" s="988">
        <v>8.0997695842622388</v>
      </c>
      <c r="P47" s="987">
        <f>((P42+P68)*1000)/(P49*2000/100)</f>
        <v>0</v>
      </c>
      <c r="Q47" s="988">
        <v>8.4440053632325078</v>
      </c>
      <c r="R47" s="988">
        <v>8.3411290506667441</v>
      </c>
      <c r="S47" s="988">
        <v>8.4605185211729754</v>
      </c>
      <c r="T47" s="988">
        <v>8.4954991644022435</v>
      </c>
      <c r="U47" s="987">
        <f>((U42+U68)*1000)/(U49*2000/100)</f>
        <v>0</v>
      </c>
      <c r="V47" s="988">
        <v>8.7741907146773936</v>
      </c>
      <c r="W47" s="988">
        <v>8.7049970676503943</v>
      </c>
      <c r="X47" s="988">
        <v>8.6850198475135461</v>
      </c>
      <c r="Y47" s="988">
        <v>8.6995582299466054</v>
      </c>
      <c r="Z47" s="987">
        <f>((Z42+Z68)*1000)/(Z49*2000/100)</f>
        <v>0</v>
      </c>
      <c r="AA47" s="988">
        <v>9.029668927565238</v>
      </c>
      <c r="AB47" s="988">
        <v>9.7807989003891187</v>
      </c>
      <c r="AC47" s="988">
        <v>9.5163359144690318</v>
      </c>
      <c r="AD47" s="988">
        <v>9.5576795682047013</v>
      </c>
      <c r="AE47" s="987">
        <f>((AE42+AE68)*1000)/(AE49*2000/100)</f>
        <v>0</v>
      </c>
      <c r="AF47" s="988">
        <v>10.326531949244618</v>
      </c>
      <c r="AG47" s="988">
        <v>10.367016515438735</v>
      </c>
      <c r="AH47" s="988">
        <v>10.398302453436935</v>
      </c>
      <c r="AI47" s="988">
        <v>10.354051834832127</v>
      </c>
      <c r="AJ47" s="987">
        <f>((AJ42+AJ68)*1000)/(AJ49*2000/100)</f>
        <v>0</v>
      </c>
      <c r="AK47" s="988">
        <v>10.8793523811156</v>
      </c>
      <c r="AL47" s="988">
        <v>10.8891867230043</v>
      </c>
      <c r="AM47" s="988">
        <v>10.8915610873949</v>
      </c>
      <c r="AN47" s="988">
        <v>11.0353150900982</v>
      </c>
      <c r="AO47" s="987">
        <f>((AO42+AO68)*1000)/(AO49*2000/100)</f>
        <v>0</v>
      </c>
      <c r="AP47" s="988">
        <v>11.4218642684095</v>
      </c>
      <c r="AQ47" s="988">
        <v>11.3559095005643</v>
      </c>
      <c r="AR47" s="988">
        <v>11.7323398725914</v>
      </c>
      <c r="AS47" s="988">
        <v>11.568587653468301</v>
      </c>
      <c r="AT47" s="987">
        <f>((AT42+AT68)*1000)/(AT49*2000/100)</f>
        <v>0</v>
      </c>
      <c r="AU47" s="988">
        <v>12.230396555854099</v>
      </c>
      <c r="AV47" s="988">
        <v>12.672680521878901</v>
      </c>
      <c r="AW47" s="988">
        <v>12.865529845851601</v>
      </c>
      <c r="AX47" s="988">
        <v>12.8529543559541</v>
      </c>
      <c r="AY47" s="987">
        <f>((AY42+AY68)*1000)/(AY49*2000/100)</f>
        <v>0</v>
      </c>
      <c r="AZ47" s="988">
        <v>13.2338481764841</v>
      </c>
      <c r="BA47" s="988">
        <v>13.2767860764842</v>
      </c>
      <c r="BB47" s="988">
        <v>13.2694614263778</v>
      </c>
      <c r="BC47" s="988">
        <v>13.738895259371199</v>
      </c>
      <c r="BD47" s="987">
        <f>(BD40*1000)/(BD49*2000/100)</f>
        <v>13.382344226326907</v>
      </c>
      <c r="BE47" s="988">
        <v>14.1998022551633</v>
      </c>
      <c r="BF47" s="988">
        <v>14.016520782148101</v>
      </c>
      <c r="BG47" s="988">
        <v>14.322830686458101</v>
      </c>
      <c r="BH47" s="988">
        <v>14.8454016715694</v>
      </c>
      <c r="BI47" s="987">
        <f>(BI40*1000)/(BI49*2000/100)</f>
        <v>14.338160763119793</v>
      </c>
      <c r="BJ47" s="988">
        <v>14.603908998357522</v>
      </c>
      <c r="BK47" s="988">
        <v>14.089825195875523</v>
      </c>
      <c r="BL47" s="988">
        <v>14.17177675852485</v>
      </c>
      <c r="BM47" s="988">
        <v>14.205226600346483</v>
      </c>
      <c r="BN47" s="987">
        <f>(BN40*1000)/(BN49*2000/100)</f>
        <v>14.263443965994298</v>
      </c>
      <c r="BO47" s="988">
        <v>14.078210036044061</v>
      </c>
      <c r="BP47" s="988">
        <v>14.285177143457846</v>
      </c>
      <c r="BQ47" s="988">
        <v>14.810004965930188</v>
      </c>
      <c r="BR47" s="988">
        <v>15.290574847037144</v>
      </c>
      <c r="BS47" s="987">
        <f>(BS40*1000)/(BS49*2000/100)</f>
        <v>14.616679126321568</v>
      </c>
      <c r="BT47" s="988">
        <v>15.529197879666038</v>
      </c>
      <c r="BU47" s="988">
        <v>15.220250427695873</v>
      </c>
      <c r="BV47" s="988">
        <v>15.509752963576815</v>
      </c>
      <c r="BW47" s="988">
        <v>15.515058226801447</v>
      </c>
      <c r="BX47" s="987">
        <f>(BX40*1000)/(BX49*2000/100)</f>
        <v>15.443616373573461</v>
      </c>
      <c r="BY47" s="988">
        <v>15.606285786672787</v>
      </c>
      <c r="BZ47" s="988">
        <v>15.648667023396609</v>
      </c>
      <c r="CA47" s="988">
        <v>16.055181077079748</v>
      </c>
      <c r="CB47" s="988">
        <v>16.381009966265527</v>
      </c>
      <c r="CC47" s="987">
        <f>(CC40*1000)/(CC49*2000/100)</f>
        <v>15.926811387626692</v>
      </c>
      <c r="CD47" s="988">
        <v>16.329999999999998</v>
      </c>
      <c r="CE47" s="988">
        <v>16.600000000000001</v>
      </c>
      <c r="CF47" s="988">
        <v>16.71</v>
      </c>
      <c r="CG47" s="988">
        <v>16.71</v>
      </c>
      <c r="CH47" s="987">
        <f>(CH40*1000)/(CH49*2000/100)</f>
        <v>16.594481656124021</v>
      </c>
      <c r="CI47" s="988">
        <v>16.71</v>
      </c>
      <c r="CJ47" s="988">
        <v>17.600000000000001</v>
      </c>
      <c r="CK47" s="988">
        <v>17.78</v>
      </c>
      <c r="CL47" s="988">
        <v>17.190000000000001</v>
      </c>
      <c r="CM47" s="987">
        <f>(CM40*1000)/(CM49*2000/100)</f>
        <v>17.32079973968558</v>
      </c>
      <c r="CN47" s="988">
        <v>16.920000000000002</v>
      </c>
      <c r="CO47" s="988">
        <v>16.989999999999998</v>
      </c>
      <c r="CP47" s="988">
        <v>17.29</v>
      </c>
      <c r="CQ47" s="988">
        <v>17.78</v>
      </c>
      <c r="CR47" s="987">
        <f>(CR40*1000)/(CR49*2000/100)</f>
        <v>17.24256781970789</v>
      </c>
      <c r="CS47" s="988">
        <v>18.239999999999998</v>
      </c>
      <c r="CT47" s="988">
        <v>18.61</v>
      </c>
      <c r="CU47" s="988">
        <v>18.5</v>
      </c>
      <c r="CV47" s="988">
        <v>17.39</v>
      </c>
      <c r="CW47" s="987">
        <f>(CW40*1000)/(CW49*2000/100)</f>
        <v>18.217961558598677</v>
      </c>
      <c r="CX47" s="988">
        <v>16.04</v>
      </c>
      <c r="CY47" s="988">
        <v>15.38</v>
      </c>
      <c r="CZ47" s="988">
        <v>14.91</v>
      </c>
      <c r="DA47" s="988">
        <v>14.89</v>
      </c>
      <c r="DB47" s="987">
        <f>(DB40*1000)/(DB49*2000/100)</f>
        <v>15.256825363914977</v>
      </c>
      <c r="DC47" s="988">
        <v>14.79</v>
      </c>
      <c r="DD47" s="988">
        <v>15.06</v>
      </c>
      <c r="DE47" s="988">
        <v>15.37</v>
      </c>
      <c r="DF47" s="988">
        <v>15.95</v>
      </c>
      <c r="DG47" s="987">
        <f>(DG40*1000)/(DG49*2000/100)</f>
        <v>15.276307343742211</v>
      </c>
      <c r="DH47" s="988">
        <v>16.23</v>
      </c>
      <c r="DI47" s="989">
        <v>16.75</v>
      </c>
      <c r="DJ47" s="989">
        <v>17.21</v>
      </c>
      <c r="DK47" s="989">
        <v>17.28</v>
      </c>
      <c r="DL47" s="987">
        <f>(DL40*1000)/(DL49*2000/100)</f>
        <v>16.86443718406208</v>
      </c>
      <c r="DM47" s="989">
        <v>17.22</v>
      </c>
      <c r="DN47" s="989">
        <v>17.29</v>
      </c>
      <c r="DO47" s="989">
        <v>17.809999999999999</v>
      </c>
      <c r="DP47" s="989">
        <v>18.16</v>
      </c>
      <c r="DQ47" s="987">
        <f>(DQ40*1000)/(DQ49*2000/100)</f>
        <v>17.606438482973111</v>
      </c>
      <c r="DR47" s="989">
        <v>17.850000000000001</v>
      </c>
      <c r="DS47" s="989">
        <v>17.760000000000002</v>
      </c>
      <c r="DT47" s="989">
        <v>18.260000000000002</v>
      </c>
      <c r="DU47" s="989">
        <v>18.32</v>
      </c>
      <c r="DV47" s="987">
        <f>(DV40*1000)/(DV49*2000/100)</f>
        <v>18.043103685429696</v>
      </c>
      <c r="DW47" s="989">
        <v>18.02</v>
      </c>
      <c r="DX47" s="989">
        <v>18.59</v>
      </c>
      <c r="DY47" s="989">
        <v>19.22</v>
      </c>
      <c r="DZ47" s="989">
        <v>19.440000000000001</v>
      </c>
      <c r="EA47" s="987">
        <f t="shared" ref="EA47:EG47" si="135">(EA40*1000)/(EA49*2000/100)</f>
        <v>18.813021354523102</v>
      </c>
      <c r="EB47" s="989">
        <v>18.66</v>
      </c>
      <c r="EC47" s="989">
        <v>18.66</v>
      </c>
      <c r="ED47" s="989">
        <f>+DY47*(1-1.4%)</f>
        <v>18.95092</v>
      </c>
      <c r="EE47" s="989">
        <f t="shared" si="135"/>
        <v>18.990410886769229</v>
      </c>
      <c r="EF47" s="987">
        <f t="shared" si="135"/>
        <v>18.812485127906669</v>
      </c>
      <c r="EG47" s="989">
        <f t="shared" si="135"/>
        <v>18.696619722338461</v>
      </c>
      <c r="EH47" s="989">
        <v>19.149999999999999</v>
      </c>
      <c r="EI47" s="989">
        <v>19.52</v>
      </c>
      <c r="EJ47" s="989">
        <f t="shared" ref="EJ47:EK47" si="136">(EJ40*1000)/(EJ49*2000/100)</f>
        <v>19.52896181703127</v>
      </c>
      <c r="EK47" s="987">
        <f t="shared" si="136"/>
        <v>19.214586345661619</v>
      </c>
      <c r="EL47" s="989">
        <f t="shared" ref="EL47:EP47" si="137">(EL40*1000)/(EL49*2000/100)</f>
        <v>18.916416607513991</v>
      </c>
      <c r="EM47" s="989">
        <f t="shared" si="137"/>
        <v>19.352486721023077</v>
      </c>
      <c r="EN47" s="989">
        <f t="shared" si="137"/>
        <v>20.115991702517956</v>
      </c>
      <c r="EO47" s="989">
        <f t="shared" si="137"/>
        <v>20.463315805745033</v>
      </c>
      <c r="EP47" s="987">
        <f t="shared" si="137"/>
        <v>19.697546612405915</v>
      </c>
      <c r="EQ47" s="989">
        <f t="shared" ref="EQ47:EU47" si="138">(EQ40*1000)/(EQ49*2000/100)</f>
        <v>19.738409625172789</v>
      </c>
      <c r="ER47" s="989">
        <f t="shared" si="138"/>
        <v>20.191237216458003</v>
      </c>
      <c r="ES47" s="989">
        <f t="shared" si="138"/>
        <v>20.519682438407518</v>
      </c>
      <c r="ET47" s="989">
        <f t="shared" si="138"/>
        <v>20.516392393559439</v>
      </c>
      <c r="EU47" s="987">
        <f t="shared" si="138"/>
        <v>20.24099870899067</v>
      </c>
      <c r="EV47" s="989">
        <f t="shared" ref="EV47:EZ47" si="139">(EV40*1000)/(EV49*2000/100)</f>
        <v>19.923481004371958</v>
      </c>
      <c r="EW47" s="989">
        <f t="shared" si="139"/>
        <v>20.308870089215404</v>
      </c>
      <c r="EX47" s="989">
        <f t="shared" si="139"/>
        <v>20.639228812283612</v>
      </c>
      <c r="EY47" s="989">
        <f t="shared" si="139"/>
        <v>20.635919599842033</v>
      </c>
      <c r="EZ47" s="987">
        <f t="shared" si="139"/>
        <v>20.587157125016265</v>
      </c>
      <c r="FA47" s="989">
        <f t="shared" ref="FA47:FE47" si="140">(FA40*1000)/(FA49*2000/100)</f>
        <v>0</v>
      </c>
      <c r="FB47" s="989">
        <f t="shared" si="140"/>
        <v>0</v>
      </c>
      <c r="FC47" s="989">
        <f t="shared" si="140"/>
        <v>0</v>
      </c>
      <c r="FD47" s="989">
        <f t="shared" si="140"/>
        <v>0</v>
      </c>
      <c r="FE47" s="987">
        <f t="shared" si="140"/>
        <v>20.809606981373467</v>
      </c>
      <c r="FF47" s="972"/>
      <c r="FG47" s="690"/>
      <c r="FH47" s="754"/>
      <c r="FI47" s="754"/>
      <c r="FJ47" s="754"/>
      <c r="FK47" s="754"/>
      <c r="FL47" s="690"/>
      <c r="FM47" s="1116"/>
      <c r="FN47" s="752"/>
      <c r="FO47" s="975"/>
      <c r="FP47" s="975"/>
      <c r="FQ47" s="975"/>
      <c r="FR47" s="975"/>
      <c r="FS47" s="975"/>
      <c r="FT47" s="975"/>
      <c r="FU47" s="690"/>
      <c r="FV47"/>
      <c r="FW47"/>
      <c r="FX47"/>
      <c r="FY47"/>
      <c r="FZ47"/>
      <c r="GA47"/>
      <c r="GB47" s="977"/>
    </row>
    <row r="48" spans="1:272" s="532" customFormat="1" ht="12.75" customHeight="1">
      <c r="A48" s="991" t="s">
        <v>85</v>
      </c>
      <c r="B48" s="992"/>
      <c r="C48" s="993"/>
      <c r="D48" s="993"/>
      <c r="E48" s="993"/>
      <c r="F48" s="754"/>
      <c r="G48" s="954"/>
      <c r="H48" s="954"/>
      <c r="I48" s="954"/>
      <c r="J48" s="954"/>
      <c r="K48" s="754"/>
      <c r="L48" s="743"/>
      <c r="M48" s="743">
        <f t="shared" ref="M48:AI48" si="141">M47/H47-1</f>
        <v>3.1589427467348941E-3</v>
      </c>
      <c r="N48" s="743">
        <f t="shared" si="141"/>
        <v>-2.4563954532308752E-2</v>
      </c>
      <c r="O48" s="743">
        <f t="shared" si="141"/>
        <v>-2.9419616945257965E-2</v>
      </c>
      <c r="P48" s="754"/>
      <c r="Q48" s="743">
        <f t="shared" si="141"/>
        <v>2.731721485269345E-2</v>
      </c>
      <c r="R48" s="743">
        <f t="shared" si="141"/>
        <v>9.0489737217389621E-3</v>
      </c>
      <c r="S48" s="743">
        <f t="shared" si="141"/>
        <v>4.0887121845540664E-2</v>
      </c>
      <c r="T48" s="743">
        <f t="shared" si="141"/>
        <v>4.8856893523107514E-2</v>
      </c>
      <c r="U48" s="754"/>
      <c r="V48" s="743">
        <f t="shared" si="141"/>
        <v>3.9102930095544775E-2</v>
      </c>
      <c r="W48" s="743">
        <f t="shared" si="141"/>
        <v>4.3623352998544584E-2</v>
      </c>
      <c r="X48" s="743">
        <f t="shared" si="141"/>
        <v>2.6535173438689608E-2</v>
      </c>
      <c r="Y48" s="743">
        <f t="shared" si="141"/>
        <v>2.4019667543422107E-2</v>
      </c>
      <c r="Z48" s="754"/>
      <c r="AA48" s="743">
        <f t="shared" si="141"/>
        <v>2.9117011607746601E-2</v>
      </c>
      <c r="AB48" s="743">
        <f t="shared" si="141"/>
        <v>0.12358439921095798</v>
      </c>
      <c r="AC48" s="743">
        <f t="shared" si="141"/>
        <v>9.571838424681145E-2</v>
      </c>
      <c r="AD48" s="743">
        <f t="shared" si="141"/>
        <v>9.8639645321778824E-2</v>
      </c>
      <c r="AE48" s="754"/>
      <c r="AF48" s="743">
        <f t="shared" si="141"/>
        <v>0.14362243312380962</v>
      </c>
      <c r="AG48" s="743">
        <f t="shared" si="141"/>
        <v>5.9935555471475332E-2</v>
      </c>
      <c r="AH48" s="743">
        <f t="shared" si="141"/>
        <v>9.2679214657284792E-2</v>
      </c>
      <c r="AI48" s="743">
        <f t="shared" si="141"/>
        <v>8.332276270034189E-2</v>
      </c>
      <c r="AJ48" s="754"/>
      <c r="AK48" s="743">
        <f t="shared" ref="AK48:CV48" si="142">(AK47-AF47)/AF47</f>
        <v>5.3533987459499485E-2</v>
      </c>
      <c r="AL48" s="954">
        <f t="shared" si="142"/>
        <v>5.0368416678794811E-2</v>
      </c>
      <c r="AM48" s="743">
        <f t="shared" si="142"/>
        <v>4.7436457649385672E-2</v>
      </c>
      <c r="AN48" s="743">
        <f t="shared" si="142"/>
        <v>6.5796778510827131E-2</v>
      </c>
      <c r="AO48" s="754"/>
      <c r="AP48" s="743">
        <f t="shared" si="142"/>
        <v>4.9866193160136352E-2</v>
      </c>
      <c r="AQ48" s="954">
        <f t="shared" si="142"/>
        <v>4.2861123556087913E-2</v>
      </c>
      <c r="AR48" s="743">
        <f t="shared" si="142"/>
        <v>7.7195434010791736E-2</v>
      </c>
      <c r="AS48" s="743">
        <f t="shared" si="142"/>
        <v>4.8324180960505364E-2</v>
      </c>
      <c r="AT48" s="754"/>
      <c r="AU48" s="743">
        <f t="shared" si="142"/>
        <v>7.0788119035946812E-2</v>
      </c>
      <c r="AV48" s="954">
        <f t="shared" si="142"/>
        <v>0.11595469488808163</v>
      </c>
      <c r="AW48" s="743">
        <f t="shared" si="142"/>
        <v>9.6586868908180204E-2</v>
      </c>
      <c r="AX48" s="743">
        <f t="shared" si="142"/>
        <v>0.11102191044908946</v>
      </c>
      <c r="AY48" s="754"/>
      <c r="AZ48" s="743">
        <f t="shared" si="142"/>
        <v>8.2045714220909463E-2</v>
      </c>
      <c r="BA48" s="954">
        <f t="shared" si="142"/>
        <v>4.766991115749615E-2</v>
      </c>
      <c r="BB48" s="743">
        <f t="shared" si="142"/>
        <v>3.1396420152602147E-2</v>
      </c>
      <c r="BC48" s="743">
        <f t="shared" si="142"/>
        <v>6.8928969860278785E-2</v>
      </c>
      <c r="BD48" s="754"/>
      <c r="BE48" s="743">
        <f t="shared" si="142"/>
        <v>7.2991171260046117E-2</v>
      </c>
      <c r="BF48" s="954">
        <f t="shared" si="142"/>
        <v>5.5716398637627874E-2</v>
      </c>
      <c r="BG48" s="743">
        <f t="shared" si="142"/>
        <v>7.9382970132182776E-2</v>
      </c>
      <c r="BH48" s="743">
        <f t="shared" si="142"/>
        <v>8.0538237704626259E-2</v>
      </c>
      <c r="BI48" s="754">
        <f t="shared" si="142"/>
        <v>7.1423699811317146E-2</v>
      </c>
      <c r="BJ48" s="743">
        <f t="shared" si="142"/>
        <v>2.8458617657670618E-2</v>
      </c>
      <c r="BK48" s="954">
        <f t="shared" si="142"/>
        <v>5.229858027306267E-3</v>
      </c>
      <c r="BL48" s="743">
        <f t="shared" si="142"/>
        <v>-1.0546373914485296E-2</v>
      </c>
      <c r="BM48" s="743">
        <f t="shared" si="142"/>
        <v>-4.3122785451398277E-2</v>
      </c>
      <c r="BN48" s="754">
        <f t="shared" si="142"/>
        <v>-5.2110447329952779E-3</v>
      </c>
      <c r="BO48" s="743">
        <f t="shared" si="142"/>
        <v>-3.5997140380194484E-2</v>
      </c>
      <c r="BP48" s="954">
        <f t="shared" si="142"/>
        <v>1.3864753101373273E-2</v>
      </c>
      <c r="BQ48" s="743">
        <f t="shared" si="142"/>
        <v>4.5035158137205412E-2</v>
      </c>
      <c r="BR48" s="743">
        <f t="shared" si="142"/>
        <v>7.6404852750760588E-2</v>
      </c>
      <c r="BS48" s="754">
        <f t="shared" si="142"/>
        <v>2.476506804173122E-2</v>
      </c>
      <c r="BT48" s="743">
        <f t="shared" si="142"/>
        <v>0.10306621650813934</v>
      </c>
      <c r="BU48" s="954">
        <f t="shared" si="142"/>
        <v>6.5457591099334841E-2</v>
      </c>
      <c r="BV48" s="743">
        <f t="shared" si="142"/>
        <v>4.7248329710649573E-2</v>
      </c>
      <c r="BW48" s="743">
        <f t="shared" si="142"/>
        <v>1.4681160257869641E-2</v>
      </c>
      <c r="BX48" s="754">
        <f t="shared" si="142"/>
        <v>5.6574905975923941E-2</v>
      </c>
      <c r="BY48" s="743">
        <f t="shared" si="142"/>
        <v>4.9640623813344831E-3</v>
      </c>
      <c r="BZ48" s="954">
        <f t="shared" si="142"/>
        <v>2.8147802017840479E-2</v>
      </c>
      <c r="CA48" s="743">
        <f t="shared" si="142"/>
        <v>3.5166782783956574E-2</v>
      </c>
      <c r="CB48" s="743">
        <f t="shared" si="142"/>
        <v>5.5813631299700447E-2</v>
      </c>
      <c r="CC48" s="754">
        <f t="shared" si="142"/>
        <v>3.1287685627833711E-2</v>
      </c>
      <c r="CD48" s="743">
        <f t="shared" si="142"/>
        <v>4.6373251343714172E-2</v>
      </c>
      <c r="CE48" s="743">
        <f t="shared" si="142"/>
        <v>6.0793227639200025E-2</v>
      </c>
      <c r="CF48" s="743">
        <f t="shared" si="142"/>
        <v>4.0785520871830412E-2</v>
      </c>
      <c r="CG48" s="743">
        <f t="shared" si="142"/>
        <v>2.0083623318219355E-2</v>
      </c>
      <c r="CH48" s="754">
        <f t="shared" si="142"/>
        <v>4.1921151211474252E-2</v>
      </c>
      <c r="CI48" s="743">
        <f t="shared" si="142"/>
        <v>2.3270055113288585E-2</v>
      </c>
      <c r="CJ48" s="743">
        <f t="shared" si="142"/>
        <v>6.0240963855421679E-2</v>
      </c>
      <c r="CK48" s="743">
        <f t="shared" si="142"/>
        <v>6.4033512866546988E-2</v>
      </c>
      <c r="CL48" s="743">
        <f t="shared" si="142"/>
        <v>2.8725314183123903E-2</v>
      </c>
      <c r="CM48" s="754">
        <f t="shared" si="142"/>
        <v>4.3768651447664737E-2</v>
      </c>
      <c r="CN48" s="743">
        <f t="shared" si="142"/>
        <v>1.2567324955116747E-2</v>
      </c>
      <c r="CO48" s="743">
        <f t="shared" si="142"/>
        <v>-3.4659090909091077E-2</v>
      </c>
      <c r="CP48" s="743">
        <f t="shared" si="142"/>
        <v>-2.7559055118110347E-2</v>
      </c>
      <c r="CQ48" s="743">
        <f t="shared" si="142"/>
        <v>3.4322280395578816E-2</v>
      </c>
      <c r="CR48" s="754">
        <f t="shared" si="142"/>
        <v>-4.5166459489998948E-3</v>
      </c>
      <c r="CS48" s="743">
        <f t="shared" si="142"/>
        <v>7.8014184397162914E-2</v>
      </c>
      <c r="CT48" s="743">
        <f t="shared" si="142"/>
        <v>9.5350206003531557E-2</v>
      </c>
      <c r="CU48" s="743">
        <f t="shared" si="142"/>
        <v>6.9982648930017405E-2</v>
      </c>
      <c r="CV48" s="743">
        <f t="shared" si="142"/>
        <v>-2.1934758155230626E-2</v>
      </c>
      <c r="CW48" s="754">
        <f>(CW47-CR47)/CR47</f>
        <v>5.6568937358386535E-2</v>
      </c>
      <c r="CX48" s="743">
        <f t="shared" ref="CX48:EF48" si="143">IF(ISERROR(CX47/CS47-1)," ",(CX47/CS47-1))</f>
        <v>-0.12061403508771928</v>
      </c>
      <c r="CY48" s="743">
        <f t="shared" si="143"/>
        <v>-0.17356260075228369</v>
      </c>
      <c r="CZ48" s="743">
        <f t="shared" si="143"/>
        <v>-0.19405405405405407</v>
      </c>
      <c r="DA48" s="743">
        <f t="shared" si="143"/>
        <v>-0.14376078205865439</v>
      </c>
      <c r="DB48" s="754">
        <f t="shared" si="143"/>
        <v>-0.1625393809927147</v>
      </c>
      <c r="DC48" s="743">
        <f t="shared" si="143"/>
        <v>-7.7930174563591081E-2</v>
      </c>
      <c r="DD48" s="743">
        <f t="shared" si="143"/>
        <v>-2.0806241872561748E-2</v>
      </c>
      <c r="DE48" s="743">
        <f t="shared" si="143"/>
        <v>3.0851777330650476E-2</v>
      </c>
      <c r="DF48" s="743">
        <f t="shared" si="143"/>
        <v>7.1188717259905943E-2</v>
      </c>
      <c r="DG48" s="754">
        <f t="shared" si="143"/>
        <v>1.276935362537035E-3</v>
      </c>
      <c r="DH48" s="743">
        <f t="shared" si="143"/>
        <v>9.7363083164300201E-2</v>
      </c>
      <c r="DI48" s="743">
        <f t="shared" si="143"/>
        <v>0.11221779548472766</v>
      </c>
      <c r="DJ48" s="743">
        <f t="shared" si="143"/>
        <v>0.1197137280416396</v>
      </c>
      <c r="DK48" s="743">
        <f t="shared" si="143"/>
        <v>8.3385579937304222E-2</v>
      </c>
      <c r="DL48" s="754">
        <f t="shared" si="143"/>
        <v>0.10396032264763444</v>
      </c>
      <c r="DM48" s="743">
        <f t="shared" si="143"/>
        <v>6.0998151571164394E-2</v>
      </c>
      <c r="DN48" s="743">
        <f t="shared" si="143"/>
        <v>3.2238805970149276E-2</v>
      </c>
      <c r="DO48" s="743">
        <f t="shared" si="143"/>
        <v>3.4863451481696561E-2</v>
      </c>
      <c r="DP48" s="743">
        <f t="shared" si="143"/>
        <v>5.0925925925925819E-2</v>
      </c>
      <c r="DQ48" s="754">
        <f t="shared" si="143"/>
        <v>4.3997987647774517E-2</v>
      </c>
      <c r="DR48" s="743">
        <f>IF(ISERROR(DR47/DM47-1)," ",(DR47/DM47-1))</f>
        <v>3.6585365853658791E-2</v>
      </c>
      <c r="DS48" s="743">
        <f t="shared" si="143"/>
        <v>2.7183342972816771E-2</v>
      </c>
      <c r="DT48" s="743">
        <f t="shared" si="143"/>
        <v>2.5266704098821036E-2</v>
      </c>
      <c r="DU48" s="743">
        <f t="shared" si="143"/>
        <v>8.8105726872247381E-3</v>
      </c>
      <c r="DV48" s="754">
        <f t="shared" si="143"/>
        <v>2.4801449928608665E-2</v>
      </c>
      <c r="DW48" s="743">
        <f t="shared" si="143"/>
        <v>9.52380952380949E-3</v>
      </c>
      <c r="DX48" s="743">
        <f t="shared" si="143"/>
        <v>4.6734234234234062E-2</v>
      </c>
      <c r="DY48" s="743">
        <f t="shared" si="143"/>
        <v>5.2573932092004227E-2</v>
      </c>
      <c r="DZ48" s="743">
        <f t="shared" si="143"/>
        <v>6.1135371179039444E-2</v>
      </c>
      <c r="EA48" s="754">
        <f t="shared" si="143"/>
        <v>4.2671021710922963E-2</v>
      </c>
      <c r="EB48" s="743">
        <f t="shared" si="143"/>
        <v>3.5516093229744694E-2</v>
      </c>
      <c r="EC48" s="743">
        <f>IF(ISERROR(EC47/DX47-1)," ",(EC47/DX47-1))</f>
        <v>3.7654653039269625E-3</v>
      </c>
      <c r="ED48" s="743">
        <f t="shared" si="143"/>
        <v>-1.3999999999999901E-2</v>
      </c>
      <c r="EE48" s="743">
        <f t="shared" si="143"/>
        <v>-2.3127011997467695E-2</v>
      </c>
      <c r="EF48" s="754">
        <f t="shared" si="143"/>
        <v>-2.8502950500497448E-5</v>
      </c>
      <c r="EG48" s="743">
        <f t="shared" ref="EG48:EJ48" si="144">IF(ISERROR(EG47/EB47-1)," ",(EG47/EB47-1))</f>
        <v>1.9624717223183374E-3</v>
      </c>
      <c r="EH48" s="743">
        <f t="shared" si="144"/>
        <v>2.62593783494105E-2</v>
      </c>
      <c r="EI48" s="743">
        <f t="shared" si="144"/>
        <v>3.0029148980629916E-2</v>
      </c>
      <c r="EJ48" s="743">
        <f t="shared" si="144"/>
        <v>2.8359098361439461E-2</v>
      </c>
      <c r="EK48" s="754">
        <f t="shared" ref="EK48" si="145">IF(ISERROR(EK47/EF47-1)," ",(EK47/EF47-1))</f>
        <v>2.1374168007100236E-2</v>
      </c>
      <c r="EL48" s="743">
        <f t="shared" ref="EL48" si="146">IF(ISERROR(EL47/EG47-1)," ",(EL47/EG47-1))</f>
        <v>1.175596917730104E-2</v>
      </c>
      <c r="EM48" s="743">
        <f t="shared" ref="EM48" si="147">IF(ISERROR(EM47/EH47-1)," ",(EM47/EH47-1))</f>
        <v>1.0573719113476709E-2</v>
      </c>
      <c r="EN48" s="743">
        <f t="shared" ref="EN48" si="148">IF(ISERROR(EN47/EI47-1)," ",(EN47/EI47-1))</f>
        <v>3.0532361809321618E-2</v>
      </c>
      <c r="EO48" s="743">
        <f t="shared" ref="EO48:EP48" si="149">IF(ISERROR(EO47/EJ47-1)," ",(EO47/EJ47-1))</f>
        <v>4.7844529446460893E-2</v>
      </c>
      <c r="EP48" s="754">
        <f t="shared" si="149"/>
        <v>2.5135085296974946E-2</v>
      </c>
      <c r="EQ48" s="743">
        <f t="shared" ref="EQ48" si="150">IF(ISERROR(EQ47/EL47-1)," ",(EQ47/EL47-1))</f>
        <v>4.3453949799999947E-2</v>
      </c>
      <c r="ER48" s="743">
        <f t="shared" ref="ER48" si="151">IF(ISERROR(ER47/EM47-1)," ",(ER47/EM47-1))</f>
        <v>4.3340709001689737E-2</v>
      </c>
      <c r="ES48" s="743">
        <f t="shared" ref="ES48" si="152">IF(ISERROR(ES47/EN47-1)," ",(ES47/EN47-1))</f>
        <v>2.0068149851097283E-2</v>
      </c>
      <c r="ET48" s="743">
        <f t="shared" ref="ET48" si="153">IF(ISERROR(ET47/EO47-1)," ",(ET47/EO47-1))</f>
        <v>2.5937432778857517E-3</v>
      </c>
      <c r="EU48" s="754">
        <f t="shared" ref="EU48" si="154">IF(ISERROR(EU47/EP47-1)," ",(EU47/EP47-1))</f>
        <v>2.7589836809548629E-2</v>
      </c>
      <c r="EV48" s="743">
        <f t="shared" ref="EV48" si="155">IF(ISERROR(EV47/EQ47-1)," ",(EV47/EQ47-1))</f>
        <v>9.3762052117483119E-3</v>
      </c>
      <c r="EW48" s="743">
        <f t="shared" ref="EW48" si="156">IF(ISERROR(EW47/ER47-1)," ",(EW47/ER47-1))</f>
        <v>5.8259368406368139E-3</v>
      </c>
      <c r="EX48" s="743">
        <f t="shared" ref="EX48" si="157">IF(ISERROR(EX47/ES47-1)," ",(EX47/ES47-1))</f>
        <v>5.825936840637258E-3</v>
      </c>
      <c r="EY48" s="743">
        <f t="shared" ref="EY48" si="158">IF(ISERROR(EY47/ET47-1)," ",(EY47/ET47-1))</f>
        <v>5.8259368406365919E-3</v>
      </c>
      <c r="EZ48" s="754">
        <f t="shared" ref="EZ48" si="159">IF(ISERROR(EZ47/EU47-1)," ",(EZ47/EU47-1))</f>
        <v>1.7101844676855604E-2</v>
      </c>
      <c r="FA48" s="743">
        <f t="shared" ref="FA48" si="160">IF(ISERROR(FA47/EV47-1)," ",(FA47/EV47-1))</f>
        <v>-1</v>
      </c>
      <c r="FB48" s="743">
        <f t="shared" ref="FB48" si="161">IF(ISERROR(FB47/EW47-1)," ",(FB47/EW47-1))</f>
        <v>-1</v>
      </c>
      <c r="FC48" s="743">
        <f t="shared" ref="FC48" si="162">IF(ISERROR(FC47/EX47-1)," ",(FC47/EX47-1))</f>
        <v>-1</v>
      </c>
      <c r="FD48" s="743">
        <f t="shared" ref="FD48" si="163">IF(ISERROR(FD47/EY47-1)," ",(FD47/EY47-1))</f>
        <v>-1</v>
      </c>
      <c r="FE48" s="754">
        <f t="shared" ref="FE48" si="164">IF(ISERROR(FE47/EZ47-1)," ",(FE47/EZ47-1))</f>
        <v>1.0805273161630158E-2</v>
      </c>
      <c r="FF48" s="721"/>
      <c r="FG48" s="690"/>
      <c r="FH48" s="754"/>
      <c r="FI48" s="754"/>
      <c r="FJ48" s="754"/>
      <c r="FK48" s="754"/>
      <c r="FL48" s="690"/>
      <c r="FM48" s="752"/>
      <c r="FN48" s="708"/>
      <c r="FO48" s="723"/>
      <c r="FP48" s="723"/>
      <c r="FQ48" s="723"/>
      <c r="FR48" s="723"/>
      <c r="FS48" s="723"/>
      <c r="FT48" s="723"/>
      <c r="FU48" s="690"/>
      <c r="FV48"/>
      <c r="FW48"/>
      <c r="FX48"/>
      <c r="FY48"/>
      <c r="FZ48"/>
      <c r="GA48"/>
      <c r="GB48" s="725"/>
    </row>
    <row r="49" spans="1:184" s="1005" customFormat="1" ht="12.75" customHeight="1">
      <c r="A49" s="995" t="s">
        <v>296</v>
      </c>
      <c r="B49" s="996"/>
      <c r="C49" s="997"/>
      <c r="D49" s="997"/>
      <c r="E49" s="997"/>
      <c r="F49" s="998"/>
      <c r="G49" s="999">
        <f>G55*G58/2000</f>
        <v>820.99394849999999</v>
      </c>
      <c r="H49" s="997">
        <f>H55*H58/2000</f>
        <v>872.76342199999988</v>
      </c>
      <c r="I49" s="999">
        <f>I55*I58/2000</f>
        <v>857.49432200000001</v>
      </c>
      <c r="J49" s="999">
        <f>J55*J58/2000</f>
        <v>776.87210949999997</v>
      </c>
      <c r="K49" s="998">
        <f>SUM(G49:J49)</f>
        <v>3328.1238020000001</v>
      </c>
      <c r="L49" s="999">
        <f>L55*L58/2000</f>
        <v>759.0866289999999</v>
      </c>
      <c r="M49" s="997">
        <f>M55*M58/2000</f>
        <v>826.31685450000009</v>
      </c>
      <c r="N49" s="999">
        <f>N55*N58/2000</f>
        <v>904.01158050000004</v>
      </c>
      <c r="O49" s="999">
        <f>O55*O58/2000</f>
        <v>879.61352799999986</v>
      </c>
      <c r="P49" s="998">
        <f>SUM(L49:O49)</f>
        <v>3369.0285919999997</v>
      </c>
      <c r="Q49" s="999">
        <f>Q55*Q58/2000</f>
        <v>895.31602300000009</v>
      </c>
      <c r="R49" s="997">
        <f>R55*R58/2000</f>
        <v>943.62921999999992</v>
      </c>
      <c r="S49" s="999">
        <f>S55*S58/2000</f>
        <v>959.11339000000009</v>
      </c>
      <c r="T49" s="999">
        <f>T55*T58/2000</f>
        <v>915.07485900000006</v>
      </c>
      <c r="U49" s="998">
        <f>SUM(Q49:T49)</f>
        <v>3713.1334919999999</v>
      </c>
      <c r="V49" s="999">
        <f>V55*V58/2000</f>
        <v>939.42739200000005</v>
      </c>
      <c r="W49" s="997">
        <f>W55*W58/2000</f>
        <v>1011.9171990000001</v>
      </c>
      <c r="X49" s="999">
        <f>X55*X58/2000</f>
        <v>1089.4703485</v>
      </c>
      <c r="Y49" s="999">
        <f>Y55*Y58/2000</f>
        <v>1112.5054680000001</v>
      </c>
      <c r="Z49" s="998">
        <f>SUM(V49:Y49)</f>
        <v>4153.3204075000003</v>
      </c>
      <c r="AA49" s="999">
        <f>AA55*AA58/2000</f>
        <v>1147.2849482500001</v>
      </c>
      <c r="AB49" s="997">
        <f>AB55*AB58/2000</f>
        <v>1309.7437878749997</v>
      </c>
      <c r="AC49" s="999">
        <f>AC55*AC58/2000</f>
        <v>1259.5791340000001</v>
      </c>
      <c r="AD49" s="999">
        <f>AD55*AD58/2000</f>
        <v>1230.14175075</v>
      </c>
      <c r="AE49" s="998">
        <f>SUM(AA49:AD49)</f>
        <v>4946.7496208749999</v>
      </c>
      <c r="AF49" s="999">
        <f>AF55*AF58/2000</f>
        <v>1248.8211059999999</v>
      </c>
      <c r="AG49" s="997">
        <f>AG55*AG58/2000</f>
        <v>1305.916927</v>
      </c>
      <c r="AH49" s="999">
        <f>AH55*AH58/2000</f>
        <v>1333.3459294999998</v>
      </c>
      <c r="AI49" s="999">
        <f>AI55*AI58/2000</f>
        <v>1338.4396389999999</v>
      </c>
      <c r="AJ49" s="998">
        <f>SUM(AF49:AI49)</f>
        <v>5226.5236014999991</v>
      </c>
      <c r="AK49" s="999">
        <f>AK55*AK58/2000</f>
        <v>1306.7176704999999</v>
      </c>
      <c r="AL49" s="997">
        <f>AL55*AL58/2000</f>
        <v>1367.2760215000001</v>
      </c>
      <c r="AM49" s="999">
        <f>AM55*AM58/2000</f>
        <v>1438.2441575000003</v>
      </c>
      <c r="AN49" s="999">
        <f>AN55*AN58/2000</f>
        <v>1389.0317245000001</v>
      </c>
      <c r="AO49" s="998">
        <f>SUM(AK49:AN49)</f>
        <v>5501.2695739999999</v>
      </c>
      <c r="AP49" s="999">
        <f>AP55*AP58/2000</f>
        <v>1381.1683215</v>
      </c>
      <c r="AQ49" s="997">
        <f>AQ55*AQ58/2000</f>
        <v>1517.0963100000001</v>
      </c>
      <c r="AR49" s="999">
        <f>AR55*AR58/2000</f>
        <v>1560.4218679999999</v>
      </c>
      <c r="AS49" s="999">
        <f>AS55*AS58/2000</f>
        <v>1551.7646525000002</v>
      </c>
      <c r="AT49" s="998">
        <f>SUM(AP49:AS49)</f>
        <v>6010.4511519999996</v>
      </c>
      <c r="AU49" s="999">
        <f>AU55*AU58/2000</f>
        <v>1527.2579605000001</v>
      </c>
      <c r="AV49" s="997">
        <f>AV55*AV58/2000</f>
        <v>1615.3466715</v>
      </c>
      <c r="AW49" s="999">
        <f>AW55*AW58/2000</f>
        <v>1642.0396325000002</v>
      </c>
      <c r="AX49" s="999">
        <f>AX55*AX58/2000</f>
        <v>1600.5860155</v>
      </c>
      <c r="AY49" s="998">
        <f>SUM(AU49:AX49)</f>
        <v>6385.2302800000007</v>
      </c>
      <c r="AZ49" s="999">
        <f>AZ55*AZ58/2000</f>
        <v>1592.9015445</v>
      </c>
      <c r="BA49" s="997">
        <f>BA55*BA58/2000</f>
        <v>1698.5801849999998</v>
      </c>
      <c r="BB49" s="999">
        <f>BB55*BB58/2000</f>
        <v>1803.244162</v>
      </c>
      <c r="BC49" s="999">
        <f>BC55*BC58/2000</f>
        <v>1737.1813889999996</v>
      </c>
      <c r="BD49" s="998">
        <f>SUM(AZ49:BC49)</f>
        <v>6831.9072804999996</v>
      </c>
      <c r="BE49" s="999">
        <f>BE55*BE58/2000</f>
        <v>1741.0755485</v>
      </c>
      <c r="BF49" s="997">
        <f>BF55*BF58/2000</f>
        <v>1825.6777874999998</v>
      </c>
      <c r="BG49" s="999">
        <f>BG55*BG58/2000</f>
        <v>1798.8620765000001</v>
      </c>
      <c r="BH49" s="999">
        <f>BH55*BH58/2000</f>
        <v>1686.9307330000001</v>
      </c>
      <c r="BI49" s="998">
        <f>SUM(BE49:BH49)</f>
        <v>7052.5461454999995</v>
      </c>
      <c r="BJ49" s="999">
        <f>BJ55*BJ58/2000</f>
        <v>1645.4492459999999</v>
      </c>
      <c r="BK49" s="997">
        <f>BK55*BK58/2000</f>
        <v>1754.8493544999999</v>
      </c>
      <c r="BL49" s="999">
        <f>BL55*BL58/2000</f>
        <v>1747.8607850000001</v>
      </c>
      <c r="BM49" s="999">
        <f>BM55*BM58/2000</f>
        <v>1637.3400935000002</v>
      </c>
      <c r="BN49" s="998">
        <f>SUM(BJ49:BM49)</f>
        <v>6785.4994790000001</v>
      </c>
      <c r="BO49" s="999">
        <f>BO55*BO58/2000</f>
        <v>1639.9035914999999</v>
      </c>
      <c r="BP49" s="997">
        <f>BP55*BP58/2000</f>
        <v>1772.2360245000002</v>
      </c>
      <c r="BQ49" s="999">
        <f>BQ55*BQ58/2000</f>
        <v>1768.6152780000002</v>
      </c>
      <c r="BR49" s="999">
        <f>BR55*BR58/2000</f>
        <v>1674.7667079999999</v>
      </c>
      <c r="BS49" s="998">
        <f>SUM(BO49:BR49)</f>
        <v>6855.5216020000007</v>
      </c>
      <c r="BT49" s="999">
        <f>BT55*BT58/2000</f>
        <v>1667.9564939999996</v>
      </c>
      <c r="BU49" s="997">
        <f>BU55*BU58/2000</f>
        <v>1755.0587145</v>
      </c>
      <c r="BV49" s="999">
        <f>BV55*BV58/2000</f>
        <v>1821.1265335000001</v>
      </c>
      <c r="BW49" s="999">
        <f>BW55*BW58/2000</f>
        <v>1803.2989945000002</v>
      </c>
      <c r="BX49" s="998">
        <f>SUM(BT49:BW49)</f>
        <v>7047.4407364999997</v>
      </c>
      <c r="BY49" s="999">
        <f>BY55*BY58/2000</f>
        <v>1861.9188669999996</v>
      </c>
      <c r="BZ49" s="997">
        <f>BZ55*BZ58/2000</f>
        <v>2033.0140964999996</v>
      </c>
      <c r="CA49" s="999">
        <f>CA55*CA58/2000</f>
        <v>2072.9569999999994</v>
      </c>
      <c r="CB49" s="999">
        <f>CB55*CB58/2000</f>
        <v>1973.056</v>
      </c>
      <c r="CC49" s="998">
        <f>SUM(BY49:CB49)</f>
        <v>7940.9459634999985</v>
      </c>
      <c r="CD49" s="999">
        <f>CD55*CD58/2000</f>
        <v>1985.5815</v>
      </c>
      <c r="CE49" s="999">
        <f>CE55*CE58/2000</f>
        <v>2157.12</v>
      </c>
      <c r="CF49" s="999">
        <f>CF55*CF58/2000</f>
        <v>2258.2080000000001</v>
      </c>
      <c r="CG49" s="999">
        <f>CG55*CG58/2000</f>
        <v>2184.7759999999998</v>
      </c>
      <c r="CH49" s="998">
        <f>SUM(CD49:CG49)</f>
        <v>8585.6854999999996</v>
      </c>
      <c r="CI49" s="999">
        <f>CI55*CI58/2000</f>
        <v>2166.4</v>
      </c>
      <c r="CJ49" s="999">
        <f>CJ55*CJ58/2000</f>
        <v>2197.13175</v>
      </c>
      <c r="CK49" s="999">
        <f>CK55*CK58/2000</f>
        <v>2118.3125</v>
      </c>
      <c r="CL49" s="999">
        <f>CL55*CL58/2000</f>
        <v>2010.1940000000002</v>
      </c>
      <c r="CM49" s="998">
        <f>SUM(CI49:CL49)</f>
        <v>8492.0382499999996</v>
      </c>
      <c r="CN49" s="999">
        <f>CN55*CN58/2000</f>
        <v>2115.8719999999998</v>
      </c>
      <c r="CO49" s="999">
        <f>CO55*CO58/2000</f>
        <v>2294.22325</v>
      </c>
      <c r="CP49" s="999">
        <f>CP55*CP58/2000</f>
        <v>2244.7845000000002</v>
      </c>
      <c r="CQ49" s="999">
        <f>CQ55*CQ58/2000</f>
        <v>2150.0092500000001</v>
      </c>
      <c r="CR49" s="998">
        <f>SUM(CN49:CQ49)</f>
        <v>8804.8889999999992</v>
      </c>
      <c r="CS49" s="999">
        <f>CS55*CS58/2000</f>
        <v>2163.5084999999999</v>
      </c>
      <c r="CT49" s="999">
        <f>CT55*CT58/2000</f>
        <v>2356.16</v>
      </c>
      <c r="CU49" s="999">
        <f>CU55*CU58/2000</f>
        <v>2333.4720000000002</v>
      </c>
      <c r="CV49" s="999">
        <f>CV55*CV58/2000</f>
        <v>1968.104</v>
      </c>
      <c r="CW49" s="998">
        <f>SUM(CS49:CV49)</f>
        <v>8821.2444999999989</v>
      </c>
      <c r="CX49" s="999">
        <f>CX58*CX55/2000</f>
        <v>1864.90246875</v>
      </c>
      <c r="CY49" s="999">
        <f>CY58*CY55/2000</f>
        <v>2175.5989317499998</v>
      </c>
      <c r="CZ49" s="999">
        <f>CZ58*CZ55/2000</f>
        <v>2454.4166399999999</v>
      </c>
      <c r="DA49" s="999">
        <f>DA58*DA55/2000</f>
        <v>2391.5166749999999</v>
      </c>
      <c r="DB49" s="998">
        <f>SUM(CX49:DA49)</f>
        <v>8886.4347154999996</v>
      </c>
      <c r="DC49" s="999">
        <f>DC55*DC58/2000</f>
        <v>2534.8160250000001</v>
      </c>
      <c r="DD49" s="999">
        <f>DD55*DD58/2000</f>
        <v>2808.0359764999998</v>
      </c>
      <c r="DE49" s="999">
        <f>DE58*DE55/2000</f>
        <v>2666.4595199999999</v>
      </c>
      <c r="DF49" s="999">
        <f>DF58*DF55/2000</f>
        <v>2360.5285899999999</v>
      </c>
      <c r="DG49" s="998">
        <f>SUM(DC49:DF49)</f>
        <v>10369.8401115</v>
      </c>
      <c r="DH49" s="999">
        <f>DH55*DH58/2000</f>
        <v>2454.4295999999999</v>
      </c>
      <c r="DI49" s="999">
        <f>DI55*DI58/2000</f>
        <v>2577.4285192500001</v>
      </c>
      <c r="DJ49" s="999">
        <f>DJ58*DJ55/2000</f>
        <v>2519.8335999999999</v>
      </c>
      <c r="DK49" s="999">
        <f>DK58*DK55/2000</f>
        <v>2361.55458</v>
      </c>
      <c r="DL49" s="998">
        <f>SUM(DH49:DK49)</f>
        <v>9913.2462992500004</v>
      </c>
      <c r="DM49" s="999">
        <f>DM58*DM55/2000</f>
        <v>2490.6055679999999</v>
      </c>
      <c r="DN49" s="999">
        <f>DN58*DN55/2000</f>
        <v>2601.9306609999999</v>
      </c>
      <c r="DO49" s="999">
        <f>DO58*DO55/2000</f>
        <v>2474.9194994999998</v>
      </c>
      <c r="DP49" s="999">
        <f>DP58*DP55/2000</f>
        <v>2315.9457825000004</v>
      </c>
      <c r="DQ49" s="998">
        <f>SUM(DM49:DP49)</f>
        <v>9883.401511</v>
      </c>
      <c r="DR49" s="999">
        <f>DR58*DR55/2000</f>
        <v>2398.7404375000001</v>
      </c>
      <c r="DS49" s="999">
        <f>DS58*DS55/2000</f>
        <v>2583.7772480000003</v>
      </c>
      <c r="DT49" s="999">
        <f>DT58*DT55/2000</f>
        <v>2521.14459575</v>
      </c>
      <c r="DU49" s="999">
        <f>DU58*DU55/2000</f>
        <v>2339.7043394999996</v>
      </c>
      <c r="DV49" s="998">
        <f>SUM(DR49:DU49)</f>
        <v>9843.3666207500009</v>
      </c>
      <c r="DW49" s="999">
        <f>DW58*DW55/2000</f>
        <v>2426.6441745000002</v>
      </c>
      <c r="DX49" s="999">
        <f>DX58*DX55/2000</f>
        <v>2598.1056749999998</v>
      </c>
      <c r="DY49" s="999">
        <f>DY58*DY55/2000</f>
        <v>2525.5572480000001</v>
      </c>
      <c r="DZ49" s="999">
        <f>DZ58*DZ55/2000</f>
        <v>2354.0926630000004</v>
      </c>
      <c r="EA49" s="998">
        <f>SUM(DW49:DZ49)</f>
        <v>9904.3997605000004</v>
      </c>
      <c r="EB49" s="999">
        <f>EB58*EB55/2000</f>
        <v>2372.9753125000002</v>
      </c>
      <c r="EC49" s="999">
        <f>EC58*EC55/2000</f>
        <v>2519.2840139999998</v>
      </c>
      <c r="ED49" s="999">
        <f>ED58*ED55/2000</f>
        <v>2448.6585599999999</v>
      </c>
      <c r="EE49" s="999">
        <f>EE58*EE55/2000</f>
        <v>2287.5667761772802</v>
      </c>
      <c r="EF49" s="998">
        <f>SUM(EB49:EE49)</f>
        <v>9628.4846626772796</v>
      </c>
      <c r="EG49" s="999">
        <f>EG58*EG55/2000</f>
        <v>2279.8530095000001</v>
      </c>
      <c r="EH49" s="999">
        <f>EH58*EH55/2000</f>
        <v>2349.6302719999999</v>
      </c>
      <c r="EI49" s="999">
        <f>EI58*EI55/2000</f>
        <v>2318.3861119999997</v>
      </c>
      <c r="EJ49" s="999">
        <f>EJ58*EJ55/2000</f>
        <v>2211.2730640000004</v>
      </c>
      <c r="EK49" s="998">
        <f>SUM(EG49:EJ49)</f>
        <v>9159.1424575000001</v>
      </c>
      <c r="EL49" s="999">
        <f t="shared" ref="EL49:EO49" si="165">EL58*EL55/2000</f>
        <v>2407.2823039999998</v>
      </c>
      <c r="EM49" s="999">
        <f t="shared" si="165"/>
        <v>2497.827491</v>
      </c>
      <c r="EN49" s="999">
        <f t="shared" si="165"/>
        <v>2390.5955625000001</v>
      </c>
      <c r="EO49" s="999">
        <f t="shared" si="165"/>
        <v>2274.7944944999999</v>
      </c>
      <c r="EP49" s="998">
        <f>SUM(EL49:EO49)</f>
        <v>9570.4998520000008</v>
      </c>
      <c r="EQ49" s="999">
        <f t="shared" ref="EQ49:ET49" si="166">EQ58*EQ55/2000</f>
        <v>2398.6264314967498</v>
      </c>
      <c r="ER49" s="999">
        <f t="shared" si="166"/>
        <v>2515.2296781184004</v>
      </c>
      <c r="ES49" s="999">
        <f t="shared" si="166"/>
        <v>2444.7817577578503</v>
      </c>
      <c r="ET49" s="999">
        <f t="shared" si="166"/>
        <v>2357.9485732489497</v>
      </c>
      <c r="EU49" s="998">
        <f>SUM(EQ49:ET49)</f>
        <v>9716.5864406219498</v>
      </c>
      <c r="EV49" s="999">
        <f t="shared" ref="EV49:FE49" si="167">EV58*EV55/2000</f>
        <v>2532.3498550526938</v>
      </c>
      <c r="EW49" s="999">
        <f t="shared" si="167"/>
        <v>2668.4071655158109</v>
      </c>
      <c r="EX49" s="999">
        <f t="shared" si="167"/>
        <v>2593.6689668053032</v>
      </c>
      <c r="EY49" s="999">
        <f t="shared" si="167"/>
        <v>2489.4042062075787</v>
      </c>
      <c r="EZ49" s="998">
        <f t="shared" si="167"/>
        <v>10108.164874179014</v>
      </c>
      <c r="FA49" s="999">
        <f t="shared" si="167"/>
        <v>2660.48675771836</v>
      </c>
      <c r="FB49" s="999">
        <f t="shared" si="167"/>
        <v>2803.4285680909111</v>
      </c>
      <c r="FC49" s="999">
        <f t="shared" si="167"/>
        <v>2724.9086165256517</v>
      </c>
      <c r="FD49" s="999">
        <f t="shared" si="167"/>
        <v>2615.3680590416825</v>
      </c>
      <c r="FE49" s="998">
        <f t="shared" si="167"/>
        <v>10568.086375954161</v>
      </c>
      <c r="FF49" s="732"/>
      <c r="FG49" s="690"/>
      <c r="FH49" s="754"/>
      <c r="FI49" s="754"/>
      <c r="FJ49" s="754"/>
      <c r="FK49" s="754"/>
      <c r="FL49" s="690"/>
      <c r="FM49" s="1000"/>
      <c r="FN49" s="1001"/>
      <c r="FO49" s="1002"/>
      <c r="FP49" s="1002"/>
      <c r="FQ49" s="1002"/>
      <c r="FR49" s="1002"/>
      <c r="FS49" s="1002"/>
      <c r="FT49" s="1002"/>
      <c r="FU49" s="690"/>
      <c r="FV49"/>
      <c r="FW49"/>
      <c r="FX49"/>
      <c r="FY49"/>
      <c r="FZ49"/>
      <c r="GA49"/>
      <c r="GB49" s="1004"/>
    </row>
    <row r="50" spans="1:184" s="532" customFormat="1" ht="12.75" customHeight="1">
      <c r="A50" s="1006" t="s">
        <v>85</v>
      </c>
      <c r="B50" s="992"/>
      <c r="C50" s="993"/>
      <c r="D50" s="993"/>
      <c r="E50" s="993"/>
      <c r="F50" s="754"/>
      <c r="G50" s="743"/>
      <c r="H50" s="954"/>
      <c r="I50" s="743"/>
      <c r="J50" s="743"/>
      <c r="K50" s="754"/>
      <c r="L50" s="743">
        <f t="shared" ref="L50:BW50" si="168">L49/G49-1</f>
        <v>-7.540532986035775E-2</v>
      </c>
      <c r="M50" s="954">
        <f t="shared" si="168"/>
        <v>-5.3217820922838555E-2</v>
      </c>
      <c r="N50" s="743">
        <f t="shared" si="168"/>
        <v>5.4247890984868929E-2</v>
      </c>
      <c r="O50" s="743">
        <f t="shared" si="168"/>
        <v>0.13225010557545303</v>
      </c>
      <c r="P50" s="754">
        <f t="shared" si="168"/>
        <v>1.229064555093129E-2</v>
      </c>
      <c r="Q50" s="743">
        <f t="shared" si="168"/>
        <v>0.17946488423787033</v>
      </c>
      <c r="R50" s="954">
        <f t="shared" si="168"/>
        <v>0.14197019564726765</v>
      </c>
      <c r="S50" s="743">
        <f t="shared" si="168"/>
        <v>6.0952548273246476E-2</v>
      </c>
      <c r="T50" s="743">
        <f t="shared" si="168"/>
        <v>4.0314672149972086E-2</v>
      </c>
      <c r="U50" s="754">
        <f t="shared" si="168"/>
        <v>0.10213772029631984</v>
      </c>
      <c r="V50" s="743">
        <f t="shared" si="168"/>
        <v>4.9269048991430697E-2</v>
      </c>
      <c r="W50" s="954">
        <f t="shared" si="168"/>
        <v>7.2367384935366985E-2</v>
      </c>
      <c r="X50" s="743">
        <f t="shared" si="168"/>
        <v>0.13591402211577908</v>
      </c>
      <c r="Y50" s="743">
        <f t="shared" si="168"/>
        <v>0.21575350591071141</v>
      </c>
      <c r="Z50" s="754">
        <f t="shared" si="168"/>
        <v>0.11854863727587217</v>
      </c>
      <c r="AA50" s="743">
        <f t="shared" si="168"/>
        <v>0.22125984192081116</v>
      </c>
      <c r="AB50" s="954">
        <f t="shared" si="168"/>
        <v>0.29431912924231218</v>
      </c>
      <c r="AC50" s="743">
        <f t="shared" si="168"/>
        <v>0.1561389768287027</v>
      </c>
      <c r="AD50" s="743">
        <f t="shared" si="168"/>
        <v>0.10573995915856482</v>
      </c>
      <c r="AE50" s="754">
        <f t="shared" si="168"/>
        <v>0.19103491556833352</v>
      </c>
      <c r="AF50" s="743">
        <f t="shared" si="168"/>
        <v>8.8501254988899714E-2</v>
      </c>
      <c r="AG50" s="954">
        <f t="shared" si="168"/>
        <v>-2.9218393020276068E-3</v>
      </c>
      <c r="AH50" s="743">
        <f t="shared" si="168"/>
        <v>5.8564637591082658E-2</v>
      </c>
      <c r="AI50" s="743">
        <f t="shared" si="168"/>
        <v>8.8036917846233687E-2</v>
      </c>
      <c r="AJ50" s="754">
        <f t="shared" si="168"/>
        <v>5.6557133889366229E-2</v>
      </c>
      <c r="AK50" s="743">
        <f t="shared" si="168"/>
        <v>4.6360975340530519E-2</v>
      </c>
      <c r="AL50" s="954">
        <f t="shared" si="168"/>
        <v>4.6985450017066777E-2</v>
      </c>
      <c r="AM50" s="743">
        <f t="shared" si="168"/>
        <v>7.8672927767017731E-2</v>
      </c>
      <c r="AN50" s="743">
        <f t="shared" si="168"/>
        <v>3.7799303028561937E-2</v>
      </c>
      <c r="AO50" s="754">
        <f t="shared" si="168"/>
        <v>5.2567632607867676E-2</v>
      </c>
      <c r="AP50" s="743">
        <f t="shared" si="168"/>
        <v>5.6975315082034905E-2</v>
      </c>
      <c r="AQ50" s="954">
        <f t="shared" si="168"/>
        <v>0.10957574487091226</v>
      </c>
      <c r="AR50" s="743">
        <f t="shared" si="168"/>
        <v>8.4949213847232086E-2</v>
      </c>
      <c r="AS50" s="743">
        <f t="shared" si="168"/>
        <v>0.11715565967982333</v>
      </c>
      <c r="AT50" s="754">
        <f t="shared" si="168"/>
        <v>9.2557103619587133E-2</v>
      </c>
      <c r="AU50" s="743">
        <f t="shared" si="168"/>
        <v>0.10577250920535253</v>
      </c>
      <c r="AV50" s="954">
        <f t="shared" si="168"/>
        <v>6.4762112235313474E-2</v>
      </c>
      <c r="AW50" s="743">
        <f t="shared" si="168"/>
        <v>5.2304935077980064E-2</v>
      </c>
      <c r="AX50" s="743">
        <f t="shared" si="168"/>
        <v>3.1461834706277836E-2</v>
      </c>
      <c r="AY50" s="754">
        <f t="shared" si="168"/>
        <v>6.2354575142881341E-2</v>
      </c>
      <c r="AZ50" s="743">
        <f t="shared" si="168"/>
        <v>4.2981333669728672E-2</v>
      </c>
      <c r="BA50" s="954">
        <f t="shared" si="168"/>
        <v>5.1526718671918159E-2</v>
      </c>
      <c r="BB50" s="743">
        <f t="shared" si="168"/>
        <v>9.8173348748328504E-2</v>
      </c>
      <c r="BC50" s="743">
        <f t="shared" si="168"/>
        <v>8.5340851523889594E-2</v>
      </c>
      <c r="BD50" s="754">
        <f t="shared" si="168"/>
        <v>6.9954720646347557E-2</v>
      </c>
      <c r="BE50" s="743">
        <f t="shared" si="168"/>
        <v>9.3021445369061206E-2</v>
      </c>
      <c r="BF50" s="954">
        <f t="shared" si="168"/>
        <v>7.4825788986817798E-2</v>
      </c>
      <c r="BG50" s="743">
        <f t="shared" si="168"/>
        <v>-2.4301121236625089E-3</v>
      </c>
      <c r="BH50" s="743">
        <f t="shared" si="168"/>
        <v>-2.8926545217552668E-2</v>
      </c>
      <c r="BI50" s="754">
        <f t="shared" si="168"/>
        <v>3.2295354128964782E-2</v>
      </c>
      <c r="BJ50" s="743">
        <f t="shared" si="168"/>
        <v>-5.4923695058715638E-2</v>
      </c>
      <c r="BK50" s="954">
        <f t="shared" si="168"/>
        <v>-3.8795691926004738E-2</v>
      </c>
      <c r="BL50" s="743">
        <f t="shared" si="168"/>
        <v>-2.8351974376619182E-2</v>
      </c>
      <c r="BM50" s="743">
        <f t="shared" si="168"/>
        <v>-2.9396962501127111E-2</v>
      </c>
      <c r="BN50" s="754">
        <f t="shared" si="168"/>
        <v>-3.7865284535627319E-2</v>
      </c>
      <c r="BO50" s="743">
        <f t="shared" si="168"/>
        <v>-3.3702981197877291E-3</v>
      </c>
      <c r="BP50" s="954">
        <f t="shared" si="168"/>
        <v>9.9077849363053971E-3</v>
      </c>
      <c r="BQ50" s="743">
        <f t="shared" si="168"/>
        <v>1.187422544067207E-2</v>
      </c>
      <c r="BR50" s="743">
        <f t="shared" si="168"/>
        <v>2.285817995209305E-2</v>
      </c>
      <c r="BS50" s="754">
        <f t="shared" si="168"/>
        <v>1.0319376372617484E-2</v>
      </c>
      <c r="BT50" s="743">
        <f t="shared" si="168"/>
        <v>1.7106433966852963E-2</v>
      </c>
      <c r="BU50" s="954">
        <f t="shared" si="168"/>
        <v>-9.6924505328496169E-3</v>
      </c>
      <c r="BV50" s="743">
        <f t="shared" si="168"/>
        <v>2.9690603803548044E-2</v>
      </c>
      <c r="BW50" s="743">
        <f t="shared" si="168"/>
        <v>7.6746382577363992E-2</v>
      </c>
      <c r="BX50" s="754">
        <f t="shared" ref="BX50:CW50" si="169">BX49/BS49-1</f>
        <v>2.7994826016449093E-2</v>
      </c>
      <c r="BY50" s="743">
        <f t="shared" si="169"/>
        <v>0.11628742937703995</v>
      </c>
      <c r="BZ50" s="954">
        <f t="shared" si="169"/>
        <v>0.15837383655804738</v>
      </c>
      <c r="CA50" s="743">
        <f t="shared" si="169"/>
        <v>0.13828279466996163</v>
      </c>
      <c r="CB50" s="743">
        <f t="shared" si="169"/>
        <v>9.413691574040306E-2</v>
      </c>
      <c r="CC50" s="754">
        <f t="shared" si="169"/>
        <v>0.12678435483286443</v>
      </c>
      <c r="CD50" s="743">
        <f t="shared" si="169"/>
        <v>6.6416767772083718E-2</v>
      </c>
      <c r="CE50" s="743">
        <f t="shared" si="169"/>
        <v>6.1045274459069709E-2</v>
      </c>
      <c r="CF50" s="743">
        <f t="shared" si="169"/>
        <v>8.9365577771270965E-2</v>
      </c>
      <c r="CG50" s="743">
        <f t="shared" si="169"/>
        <v>0.1073056213305652</v>
      </c>
      <c r="CH50" s="754">
        <f t="shared" si="169"/>
        <v>8.1191779853873935E-2</v>
      </c>
      <c r="CI50" s="743">
        <f t="shared" si="169"/>
        <v>9.1065765872617277E-2</v>
      </c>
      <c r="CJ50" s="743">
        <f t="shared" si="169"/>
        <v>1.8548689919893224E-2</v>
      </c>
      <c r="CK50" s="743">
        <f t="shared" si="169"/>
        <v>-6.1949784962235577E-2</v>
      </c>
      <c r="CL50" s="743">
        <f t="shared" si="169"/>
        <v>-7.9908420817511594E-2</v>
      </c>
      <c r="CM50" s="754">
        <f t="shared" si="169"/>
        <v>-1.0907370180284426E-2</v>
      </c>
      <c r="CN50" s="743">
        <f t="shared" si="169"/>
        <v>-2.3323485967503776E-2</v>
      </c>
      <c r="CO50" s="743">
        <f t="shared" si="169"/>
        <v>4.4190112859640696E-2</v>
      </c>
      <c r="CP50" s="743">
        <f t="shared" si="169"/>
        <v>5.9704127695984432E-2</v>
      </c>
      <c r="CQ50" s="743">
        <f t="shared" si="169"/>
        <v>6.9553112784139115E-2</v>
      </c>
      <c r="CR50" s="754">
        <f t="shared" si="169"/>
        <v>3.6840478197327942E-2</v>
      </c>
      <c r="CS50" s="743">
        <f t="shared" si="169"/>
        <v>2.2513885528047117E-2</v>
      </c>
      <c r="CT50" s="743">
        <f t="shared" si="169"/>
        <v>2.6996827793458911E-2</v>
      </c>
      <c r="CU50" s="743">
        <f t="shared" si="169"/>
        <v>3.9508246782709033E-2</v>
      </c>
      <c r="CV50" s="743">
        <f t="shared" si="169"/>
        <v>-8.4606729017561166E-2</v>
      </c>
      <c r="CW50" s="754">
        <f t="shared" si="169"/>
        <v>1.8575475511388717E-3</v>
      </c>
      <c r="CX50" s="743">
        <f>IF(ISERROR(CX49/CS49-1)," ",(CX49/CS49-1))</f>
        <v>-0.13801934739336585</v>
      </c>
      <c r="CY50" s="743">
        <f>IF(ISERROR(CY49/CT49-1)," ",(CY49/CT49-1))</f>
        <v>-7.6633619215163651E-2</v>
      </c>
      <c r="CZ50" s="743">
        <f>IF(ISERROR(CZ49/CU49-1)," ",(CZ49/CU49-1))</f>
        <v>5.1830336939975963E-2</v>
      </c>
      <c r="DA50" s="743">
        <f>IF(ISERROR(DA49/CV49-1)," ",(DA49/CV49-1))</f>
        <v>0.21513734792470296</v>
      </c>
      <c r="DB50" s="754">
        <f>IF(ISERROR(DB49/CW49-1)," ",(DB49/CW49-1))</f>
        <v>7.3901381488745699E-3</v>
      </c>
      <c r="DC50" s="743">
        <f>DC49/CX49-1</f>
        <v>0.35922176493177527</v>
      </c>
      <c r="DD50" s="743">
        <f>DD49/CY49-1</f>
        <v>0.29069560364293934</v>
      </c>
      <c r="DE50" s="743">
        <f>DE49/CZ49-1</f>
        <v>8.6392373871780892E-2</v>
      </c>
      <c r="DF50" s="743">
        <f>DF49/DA49-1</f>
        <v>-1.2957503212893129E-2</v>
      </c>
      <c r="DG50" s="754">
        <f>IF(ISERROR(DG49/DB49-1)," ",(DG49/DB49-1))</f>
        <v>0.16692919528375061</v>
      </c>
      <c r="DH50" s="743">
        <f>DH49/DC49-1</f>
        <v>-3.1712922834311041E-2</v>
      </c>
      <c r="DI50" s="743">
        <f>DI49/DD49-1</f>
        <v>-8.2124110652397775E-2</v>
      </c>
      <c r="DJ50" s="743">
        <f>DJ49/DE49-1</f>
        <v>-5.4988991544863142E-2</v>
      </c>
      <c r="DK50" s="743">
        <f>DK49/DF49-1</f>
        <v>4.3464417433725089E-4</v>
      </c>
      <c r="DL50" s="754">
        <f>IF(ISERROR(DL49/DG49-1)," ",(DL49/DG49-1))</f>
        <v>-4.4030940433077981E-2</v>
      </c>
      <c r="DM50" s="743">
        <f>DM49/DH49-1</f>
        <v>1.4739053016635806E-2</v>
      </c>
      <c r="DN50" s="743">
        <f>DN49/DI49-1</f>
        <v>9.5064292053110844E-3</v>
      </c>
      <c r="DO50" s="743">
        <f>DO49/DJ49-1</f>
        <v>-1.7824232719176436E-2</v>
      </c>
      <c r="DP50" s="743">
        <f>DP49/DK49-1</f>
        <v>-1.9313039760444406E-2</v>
      </c>
      <c r="DQ50" s="754">
        <f>IF(ISERROR(DQ49/DL49-1)," ",(DQ49/DL49-1))</f>
        <v>-3.0105968669675853E-3</v>
      </c>
      <c r="DR50" s="743">
        <f>DR49/DM49-1</f>
        <v>-3.688465635840088E-2</v>
      </c>
      <c r="DS50" s="743">
        <f>DS49/DN49-1</f>
        <v>-6.9769011419477112E-3</v>
      </c>
      <c r="DT50" s="743">
        <f>DT49/DO49-1</f>
        <v>1.8677414057038488E-2</v>
      </c>
      <c r="DU50" s="743">
        <f>DU49/DP49-1</f>
        <v>1.0258684456055045E-2</v>
      </c>
      <c r="DV50" s="754">
        <f>IF(ISERROR(DV49/DQ49-1)," ",(DV49/DQ49-1))</f>
        <v>-4.0507198058725713E-3</v>
      </c>
      <c r="DW50" s="743">
        <f>DW49/DR49-1</f>
        <v>1.1632662110403924E-2</v>
      </c>
      <c r="DX50" s="743">
        <f>DX49/DS49-1</f>
        <v>5.5455349376927199E-3</v>
      </c>
      <c r="DY50" s="743">
        <f>DY49/DT49-1</f>
        <v>1.7502575050389879E-3</v>
      </c>
      <c r="DZ50" s="743">
        <f>DZ49/DU49-1</f>
        <v>6.1496332066792725E-3</v>
      </c>
      <c r="EA50" s="754">
        <f>IF(ISERROR(EA49/DV49-1)," ",(EA49/DV49-1))</f>
        <v>6.200433459558452E-3</v>
      </c>
      <c r="EB50" s="743">
        <f>EB49/DW49-1</f>
        <v>-2.2116494277970578E-2</v>
      </c>
      <c r="EC50" s="743">
        <f>EC49/DX49-1</f>
        <v>-3.033812741277353E-2</v>
      </c>
      <c r="ED50" s="743">
        <f>ED49/DY49-1</f>
        <v>-3.0448206256617927E-2</v>
      </c>
      <c r="EE50" s="743">
        <f>EE49/DZ49-1</f>
        <v>-2.8259672131147662E-2</v>
      </c>
      <c r="EF50" s="754">
        <f>IF(ISERROR(EF49/EA49-1)," ",(EF49/EA49-1))</f>
        <v>-2.7857831316856263E-2</v>
      </c>
      <c r="EG50" s="743">
        <f>EG49/EB49-1</f>
        <v>-3.9242845262428383E-2</v>
      </c>
      <c r="EH50" s="743">
        <f>EH49/EC49-1</f>
        <v>-6.7342046810606182E-2</v>
      </c>
      <c r="EI50" s="743">
        <f>EI49/ED49-1</f>
        <v>-5.3201557019039947E-2</v>
      </c>
      <c r="EJ50" s="743">
        <f>EJ49/EE49-1</f>
        <v>-3.3351468893412228E-2</v>
      </c>
      <c r="EK50" s="754">
        <f>IF(ISERROR(EK49/EF49-1)," ",(EK49/EF49-1))</f>
        <v>-4.8745178667270683E-2</v>
      </c>
      <c r="EL50" s="743">
        <f>EL49/EG49-1</f>
        <v>5.5893644883687754E-2</v>
      </c>
      <c r="EM50" s="743">
        <f>EM49/EH49-1</f>
        <v>6.3072569657461441E-2</v>
      </c>
      <c r="EN50" s="743">
        <f>EN49/EI49-1</f>
        <v>3.1146429892002558E-2</v>
      </c>
      <c r="EO50" s="743">
        <f>EO49/EJ49-1</f>
        <v>2.8726181100896975E-2</v>
      </c>
      <c r="EP50" s="754">
        <f>IF(ISERROR(EP49/EK49-1)," ",(EP49/EK49-1))</f>
        <v>4.4912217099883467E-2</v>
      </c>
      <c r="EQ50" s="743">
        <f>EQ49/EL49-1</f>
        <v>-3.595703125000016E-3</v>
      </c>
      <c r="ER50" s="743">
        <f>ER49/EM49-1</f>
        <v>6.966929133858546E-3</v>
      </c>
      <c r="ES50" s="743">
        <f>ES49/EN49-1</f>
        <v>2.2666400000000086E-2</v>
      </c>
      <c r="ET50" s="743">
        <f>ET49/EO49-1</f>
        <v>3.6554545454545284E-2</v>
      </c>
      <c r="EU50" s="754">
        <f>IF(ISERROR(EU49/EP49-1)," ",(EU49/EP49-1))</f>
        <v>1.5264259012701453E-2</v>
      </c>
      <c r="EV50" s="743">
        <f>EV49/EQ49-1</f>
        <v>5.5750000000000188E-2</v>
      </c>
      <c r="EW50" s="743">
        <f>EW49/ER49-1</f>
        <v>6.0899999999999954E-2</v>
      </c>
      <c r="EX50" s="743">
        <f>EX49/ES49-1</f>
        <v>6.0899999999999954E-2</v>
      </c>
      <c r="EY50" s="743">
        <f>EY49/ET49-1</f>
        <v>5.5749999999999966E-2</v>
      </c>
      <c r="EZ50" s="754">
        <f>IF(ISERROR(EZ49/EU49-1)," ",(EZ49/EU49-1))</f>
        <v>4.0300000000000002E-2</v>
      </c>
      <c r="FA50" s="743">
        <f>FA49/EV49-1</f>
        <v>5.0599999999999978E-2</v>
      </c>
      <c r="FB50" s="743">
        <f>FB49/EW49-1</f>
        <v>5.0599999999999978E-2</v>
      </c>
      <c r="FC50" s="743">
        <f>FC49/EX49-1</f>
        <v>5.0599999999999978E-2</v>
      </c>
      <c r="FD50" s="743">
        <f>FD49/EY49-1</f>
        <v>5.06000000000002E-2</v>
      </c>
      <c r="FE50" s="754">
        <f>IF(ISERROR(FE49/EZ49-1)," ",(FE49/EZ49-1))</f>
        <v>4.5500000000000096E-2</v>
      </c>
      <c r="FF50" s="712"/>
      <c r="FG50" s="690"/>
      <c r="FH50" s="754"/>
      <c r="FI50" s="754"/>
      <c r="FJ50" s="754"/>
      <c r="FK50" s="754"/>
      <c r="FL50" s="690"/>
      <c r="FM50" s="973" t="s">
        <v>537</v>
      </c>
      <c r="FN50" s="747"/>
      <c r="FO50" s="748"/>
      <c r="FP50" s="748"/>
      <c r="FQ50" s="748"/>
      <c r="FR50" s="748"/>
      <c r="FS50" s="748"/>
      <c r="FT50" s="748"/>
      <c r="FU50" s="690"/>
      <c r="FV50"/>
      <c r="FW50"/>
      <c r="FX50"/>
      <c r="FY50"/>
      <c r="FZ50"/>
      <c r="GA50"/>
      <c r="GB50" s="725"/>
    </row>
    <row r="51" spans="1:184" s="532" customFormat="1" ht="12.75" customHeight="1">
      <c r="A51" s="1006" t="s">
        <v>290</v>
      </c>
      <c r="B51" s="952"/>
      <c r="C51" s="953"/>
      <c r="D51" s="953"/>
      <c r="E51" s="953"/>
      <c r="F51" s="754"/>
      <c r="G51" s="743"/>
      <c r="H51" s="954"/>
      <c r="I51" s="743"/>
      <c r="J51" s="743"/>
      <c r="K51" s="754"/>
      <c r="L51" s="743">
        <f>IF(ISERROR(L49/J49-1)," ",(L49/J49-1))</f>
        <v>-2.2893704488177513E-2</v>
      </c>
      <c r="M51" s="743">
        <f>IF(ISERROR(M49/L49-1)," ",(M49/L49-1))</f>
        <v>8.8567263513213756E-2</v>
      </c>
      <c r="N51" s="743">
        <f>IF(ISERROR(N49/M49-1)," ",(N49/M49-1))</f>
        <v>9.4025343398099537E-2</v>
      </c>
      <c r="O51" s="743">
        <f>IF(ISERROR(O49/N49-1)," ",(O49/N49-1))</f>
        <v>-2.6988650395945002E-2</v>
      </c>
      <c r="P51" s="754">
        <f>P50</f>
        <v>1.229064555093129E-2</v>
      </c>
      <c r="Q51" s="743">
        <f>IF(ISERROR(Q49/O49-1)," ",(Q49/O49-1))</f>
        <v>1.7851584247122076E-2</v>
      </c>
      <c r="R51" s="743">
        <f>IF(ISERROR(R49/Q49-1)," ",(R49/Q49-1))</f>
        <v>5.3962171745919774E-2</v>
      </c>
      <c r="S51" s="743">
        <f>IF(ISERROR(S49/R49-1)," ",(S49/R49-1))</f>
        <v>1.6409167575374806E-2</v>
      </c>
      <c r="T51" s="743">
        <f>IF(ISERROR(T49/S49-1)," ",(T49/S49-1))</f>
        <v>-4.5915875494137337E-2</v>
      </c>
      <c r="U51" s="754">
        <f>U50</f>
        <v>0.10213772029631984</v>
      </c>
      <c r="V51" s="743">
        <f>IF(ISERROR(V49/T49-1)," ",(V49/T49-1))</f>
        <v>2.6612612903180954E-2</v>
      </c>
      <c r="W51" s="743">
        <f>IF(ISERROR(W49/V49-1)," ",(W49/V49-1))</f>
        <v>7.716382087355611E-2</v>
      </c>
      <c r="X51" s="743">
        <f>IF(ISERROR(X49/W49-1)," ",(X49/W49-1))</f>
        <v>7.6639817543016076E-2</v>
      </c>
      <c r="Y51" s="743">
        <f>IF(ISERROR(Y49/X49-1)," ",(Y49/X49-1))</f>
        <v>2.1143411137086288E-2</v>
      </c>
      <c r="Z51" s="754">
        <f>Z50</f>
        <v>0.11854863727587217</v>
      </c>
      <c r="AA51" s="743">
        <f>IF(ISERROR(AA49/Y49-1)," ",(AA49/Y49-1))</f>
        <v>3.1262300501340157E-2</v>
      </c>
      <c r="AB51" s="743">
        <f>IF(ISERROR(AB49/AA49-1)," ",(AB49/AA49-1))</f>
        <v>0.1416028684702999</v>
      </c>
      <c r="AC51" s="743">
        <f>IF(ISERROR(AC49/AB49-1)," ",(AC49/AB49-1))</f>
        <v>-3.8301119913223269E-2</v>
      </c>
      <c r="AD51" s="743">
        <f>IF(ISERROR(AD49/AC49-1)," ",(AD49/AC49-1))</f>
        <v>-2.3370808911796437E-2</v>
      </c>
      <c r="AE51" s="754">
        <f>AE50</f>
        <v>0.19103491556833352</v>
      </c>
      <c r="AF51" s="743">
        <f>IF(ISERROR(AF49/AD49-1)," ",(AF49/AD49-1))</f>
        <v>1.5184717727539265E-2</v>
      </c>
      <c r="AG51" s="743">
        <f>IF(ISERROR(AG49/AF49-1)," ",(AG49/AF49-1))</f>
        <v>4.5719775815512342E-2</v>
      </c>
      <c r="AH51" s="743">
        <f>IF(ISERROR(AH49/AG49-1)," ",(AH49/AG49-1))</f>
        <v>2.1003635019120726E-2</v>
      </c>
      <c r="AI51" s="743">
        <f>IF(ISERROR(AI49/AH49-1)," ",(AI49/AH49-1))</f>
        <v>3.8202460346583589E-3</v>
      </c>
      <c r="AJ51" s="754">
        <f>AJ50</f>
        <v>5.6557133889366229E-2</v>
      </c>
      <c r="AK51" s="743">
        <f>IF(ISERROR(AK49/AI49-1)," ",(AK49/AI49-1))</f>
        <v>-2.370070907620514E-2</v>
      </c>
      <c r="AL51" s="743">
        <f>IF(ISERROR(AL49/AK49-1)," ",(AL49/AK49-1))</f>
        <v>4.6343867820221707E-2</v>
      </c>
      <c r="AM51" s="743">
        <f>IF(ISERROR(AM49/AL49-1)," ",(AM49/AL49-1))</f>
        <v>5.1904761645818365E-2</v>
      </c>
      <c r="AN51" s="743">
        <f>IF(ISERROR(AN49/AM49-1)," ",(AN49/AM49-1))</f>
        <v>-3.4217022710207101E-2</v>
      </c>
      <c r="AO51" s="754">
        <f>AO50</f>
        <v>5.2567632607867676E-2</v>
      </c>
      <c r="AP51" s="743">
        <f>IF(ISERROR(AP49/AN49-1)," ",(AP49/AN49-1))</f>
        <v>-5.661067966486244E-3</v>
      </c>
      <c r="AQ51" s="743">
        <f>IF(ISERROR(AQ49/AP49-1)," ",(AQ49/AP49-1))</f>
        <v>9.8415223100669857E-2</v>
      </c>
      <c r="AR51" s="743">
        <f>IF(ISERROR(AR49/AQ49-1)," ",(AR49/AQ49-1))</f>
        <v>2.8558211970075797E-2</v>
      </c>
      <c r="AS51" s="743">
        <f>IF(ISERROR(AS49/AR49-1)," ",(AS49/AR49-1))</f>
        <v>-5.5479967805729391E-3</v>
      </c>
      <c r="AT51" s="754">
        <f>AT50</f>
        <v>9.2557103619587133E-2</v>
      </c>
      <c r="AU51" s="743">
        <f>IF(ISERROR(AU49/AS49-1)," ",(AU49/AS49-1))</f>
        <v>-1.5792789171037103E-2</v>
      </c>
      <c r="AV51" s="743">
        <f>IF(ISERROR(AV49/AU49-1)," ",(AV49/AU49-1))</f>
        <v>5.7677689871828308E-2</v>
      </c>
      <c r="AW51" s="743">
        <f>IF(ISERROR(AW49/AV49-1)," ",(AW49/AV49-1))</f>
        <v>1.6524602099940111E-2</v>
      </c>
      <c r="AX51" s="743">
        <f>IF(ISERROR(AX49/AW49-1)," ",(AX49/AW49-1))</f>
        <v>-2.5245198824395687E-2</v>
      </c>
      <c r="AY51" s="754">
        <f>AY50</f>
        <v>6.2354575142881341E-2</v>
      </c>
      <c r="AZ51" s="743">
        <f>IF(ISERROR(AZ49/AX49-1)," ",(AZ49/AX49-1))</f>
        <v>-4.801035949073662E-3</v>
      </c>
      <c r="BA51" s="743">
        <f>IF(ISERROR(BA49/AZ49-1)," ",(BA49/AZ49-1))</f>
        <v>6.6343485487153186E-2</v>
      </c>
      <c r="BB51" s="743">
        <f>IF(ISERROR(BB49/BA49-1)," ",(BB49/BA49-1))</f>
        <v>6.1618508165983465E-2</v>
      </c>
      <c r="BC51" s="743">
        <f>IF(ISERROR(BC49/BB49-1)," ",(BC49/BB49-1))</f>
        <v>-3.6635511924646535E-2</v>
      </c>
      <c r="BD51" s="754">
        <f>BD50</f>
        <v>6.9954720646347557E-2</v>
      </c>
      <c r="BE51" s="743">
        <f>IF(ISERROR(BE49/BC49-1)," ",(BE49/BC49-1))</f>
        <v>2.2416539370375688E-3</v>
      </c>
      <c r="BF51" s="743">
        <f>IF(ISERROR(BF49/BE49-1)," ",(BF49/BE49-1))</f>
        <v>4.859194023653246E-2</v>
      </c>
      <c r="BG51" s="743">
        <f>IF(ISERROR(BG49/BF49-1)," ",(BG49/BF49-1))</f>
        <v>-1.4688085259951578E-2</v>
      </c>
      <c r="BH51" s="743">
        <f>IF(ISERROR(BH49/BG49-1)," ",(BH49/BG49-1))</f>
        <v>-6.2223416104130624E-2</v>
      </c>
      <c r="BI51" s="754">
        <f>BI50</f>
        <v>3.2295354128964782E-2</v>
      </c>
      <c r="BJ51" s="743">
        <f>IF(ISERROR(BJ49/BH49-1)," ",(BJ49/BH49-1))</f>
        <v>-2.458991717237291E-2</v>
      </c>
      <c r="BK51" s="743">
        <f>IF(ISERROR(BK49/BJ49-1)," ",(BK49/BJ49-1))</f>
        <v>6.648646791503654E-2</v>
      </c>
      <c r="BL51" s="743">
        <f>IF(ISERROR(BL49/BK49-1)," ",(BL49/BK49-1))</f>
        <v>-3.9824327268200843E-3</v>
      </c>
      <c r="BM51" s="743">
        <f>IF(ISERROR(BM49/BL49-1)," ",(BM49/BL49-1))</f>
        <v>-6.3231976166797432E-2</v>
      </c>
      <c r="BN51" s="754"/>
      <c r="BO51" s="743">
        <f>IF(ISERROR(BO49/BM49-1)," ",(BO49/BM49-1))</f>
        <v>1.5656478517667161E-3</v>
      </c>
      <c r="BP51" s="743">
        <f>IF(ISERROR(BP49/BO49-1)," ",(BP49/BO49-1))</f>
        <v>8.069525165132263E-2</v>
      </c>
      <c r="BQ51" s="743">
        <f>IF(ISERROR(BQ49/BP49-1)," ",(BQ49/BP49-1))</f>
        <v>-2.0430385399831108E-3</v>
      </c>
      <c r="BR51" s="743">
        <f>IF(ISERROR(BR49/BQ49-1)," ",(BR49/BQ49-1))</f>
        <v>-5.3063303912045168E-2</v>
      </c>
      <c r="BS51" s="754"/>
      <c r="BT51" s="743">
        <f>IF(ISERROR(BT49/BR49-1)," ",(BT49/BR49-1))</f>
        <v>-4.0663657615531701E-3</v>
      </c>
      <c r="BU51" s="743">
        <f>IF(ISERROR(BU49/BT49-1)," ",(BU49/BT49-1))</f>
        <v>5.222091871899881E-2</v>
      </c>
      <c r="BV51" s="743">
        <f>IF(ISERROR(BV49/BU49-1)," ",(BV49/BU49-1))</f>
        <v>3.7644221503337016E-2</v>
      </c>
      <c r="BW51" s="743">
        <f>IF(ISERROR(BW49/BV49-1)," ",(BW49/BV49-1))</f>
        <v>-9.7892917774018429E-3</v>
      </c>
      <c r="BX51" s="754">
        <f>BX50</f>
        <v>2.7994826016449093E-2</v>
      </c>
      <c r="BY51" s="743">
        <f>IF(ISERROR(BY49/BW49-1)," ",(BY49/BW49-1))</f>
        <v>3.2507017792827497E-2</v>
      </c>
      <c r="BZ51" s="743">
        <f>IF(ISERROR(BZ49/BY49-1)," ",(BZ49/BY49-1))</f>
        <v>9.1891882365248145E-2</v>
      </c>
      <c r="CA51" s="743">
        <f>IF(ISERROR(CA49/BZ49-1)," ",(CA49/BZ49-1))</f>
        <v>1.964713553573727E-2</v>
      </c>
      <c r="CB51" s="743">
        <f>IF(ISERROR(CB49/CA49-1)," ",(CB49/CA49-1))</f>
        <v>-4.8192509540718631E-2</v>
      </c>
      <c r="CC51" s="754">
        <f>CC50</f>
        <v>0.12678435483286443</v>
      </c>
      <c r="CD51" s="743">
        <f>IF(ISERROR(CD49/CB49-1)," ",(CD49/CB49-1))</f>
        <v>6.3482739466087512E-3</v>
      </c>
      <c r="CE51" s="743">
        <f>IF(ISERROR(CE49/CD49-1)," ",(CE49/CD49-1))</f>
        <v>8.6392072045393231E-2</v>
      </c>
      <c r="CF51" s="743">
        <f>IF(ISERROR(CF49/CE49-1)," ",(CF49/CE49-1))</f>
        <v>4.686248331108156E-2</v>
      </c>
      <c r="CG51" s="743">
        <f>IF(ISERROR(CG49/CF49-1)," ",(CG49/CF49-1))</f>
        <v>-3.2517819439130569E-2</v>
      </c>
      <c r="CH51" s="754">
        <f>CH50</f>
        <v>8.1191779853873935E-2</v>
      </c>
      <c r="CI51" s="743">
        <f>IF(ISERROR(CI49/CG49-1)," ",(CI49/CG49-1))</f>
        <v>-8.4109309146566114E-3</v>
      </c>
      <c r="CJ51" s="743">
        <f>IF(ISERROR(CJ49/CI49-1)," ",(CJ49/CI49-1))</f>
        <v>1.4185630539143235E-2</v>
      </c>
      <c r="CK51" s="743">
        <f>IF(ISERROR(CK49/CJ49-1)," ",(CK49/CJ49-1))</f>
        <v>-3.5873702157369514E-2</v>
      </c>
      <c r="CL51" s="743">
        <f>IF(ISERROR(CL49/CK49-1)," ",(CL49/CK49-1))</f>
        <v>-5.1039919747440377E-2</v>
      </c>
      <c r="CM51" s="754">
        <f>CM50</f>
        <v>-1.0907370180284426E-2</v>
      </c>
      <c r="CN51" s="743">
        <f>IF(ISERROR(CN49/CL49-1)," ",(CN49/CL49-1))</f>
        <v>5.2571045381689441E-2</v>
      </c>
      <c r="CO51" s="743">
        <f>IF(ISERROR(CO49/CN49-1)," ",(CO49/CN49-1))</f>
        <v>8.4292079104974382E-2</v>
      </c>
      <c r="CP51" s="743">
        <f>IF(ISERROR(CP49/CO49-1)," ",(CP49/CO49-1))</f>
        <v>-2.154923240360318E-2</v>
      </c>
      <c r="CQ51" s="743">
        <f>IF(ISERROR(CQ49/CP49-1)," ",(CQ49/CP49-1))</f>
        <v>-4.2220199756368704E-2</v>
      </c>
      <c r="CR51" s="754">
        <f>CR50</f>
        <v>3.6840478197327942E-2</v>
      </c>
      <c r="CS51" s="1007">
        <f>IF(ISERROR(CS49/CQ49-1)," ",(CS49/CQ49-1))</f>
        <v>6.2786939172470024E-3</v>
      </c>
      <c r="CT51" s="743">
        <f>IF(ISERROR(CT49/CS49-1)," ",(CT49/CS49-1))</f>
        <v>8.9045871555392564E-2</v>
      </c>
      <c r="CU51" s="743">
        <f>IF(ISERROR(CU49/CT49-1)," ",(CU49/CT49-1))</f>
        <v>-9.629227217166747E-3</v>
      </c>
      <c r="CV51" s="743">
        <f>IF(ISERROR(CV49/CU49-1)," ",(CV49/CU49-1))</f>
        <v>-0.15657698056801206</v>
      </c>
      <c r="CW51" s="754">
        <f>CW50</f>
        <v>1.8575475511388717E-3</v>
      </c>
      <c r="CX51" s="1007">
        <f>IF(ISERROR(CX49/CV49-1)," ",(CX49/CV49-1))</f>
        <v>-5.2437031401795897E-2</v>
      </c>
      <c r="CY51" s="743">
        <f>IF(ISERROR(CY49/CX49-1)," ",(CY49/CX49-1))</f>
        <v>0.16660199029510236</v>
      </c>
      <c r="CZ51" s="743">
        <f>IF(ISERROR(CZ49/CY49-1)," ",(CZ49/CY49-1))</f>
        <v>0.12815675912550928</v>
      </c>
      <c r="DA51" s="743">
        <f>IF(ISERROR(DA49/CZ49-1)," ",(DA49/CZ49-1))</f>
        <v>-2.562725658509224E-2</v>
      </c>
      <c r="DB51" s="754">
        <f>DB50</f>
        <v>7.3901381488745699E-3</v>
      </c>
      <c r="DC51" s="1007">
        <f>IF(ISERROR(DC49/DA49-1)," ",(DC49/DA49-1))</f>
        <v>5.9919862360984899E-2</v>
      </c>
      <c r="DD51" s="743">
        <f>IF(ISERROR(DD49/DC49-1)," ",(DD49/DC49-1))</f>
        <v>0.10778689609238978</v>
      </c>
      <c r="DE51" s="743">
        <f>IF(ISERROR(DE49/DD49-1)," ",(DE49/DD49-1))</f>
        <v>-5.0418320023258412E-2</v>
      </c>
      <c r="DF51" s="743">
        <f>IF(ISERROR(DF49/DE49-1)," ",(DF49/DE49-1))</f>
        <v>-0.11473301121031076</v>
      </c>
      <c r="DG51" s="754">
        <f>DG50</f>
        <v>0.16692919528375061</v>
      </c>
      <c r="DH51" s="743">
        <f>IF(ISERROR(DH49/DF49-1)," ",(DH49/DF49-1))</f>
        <v>3.9779653759669076E-2</v>
      </c>
      <c r="DI51" s="743">
        <f>IF(ISERROR(DI49/DH49-1)," ",(DI49/DH49-1))</f>
        <v>5.0113036140861489E-2</v>
      </c>
      <c r="DJ51" s="743">
        <f>IF(ISERROR(DJ49/DI49-1)," ",(DJ49/DI49-1))</f>
        <v>-2.2345884209723721E-2</v>
      </c>
      <c r="DK51" s="743">
        <f>IF(ISERROR(DK49/DJ49-1)," ",(DK49/DJ49-1))</f>
        <v>-6.2813282591358433E-2</v>
      </c>
      <c r="DL51" s="754"/>
      <c r="DM51" s="743">
        <f>IF(ISERROR(DM49/DK49-1)," ",(DM49/DK49-1))</f>
        <v>5.4646625190428511E-2</v>
      </c>
      <c r="DN51" s="743">
        <f>IF(ISERROR(DN49/DM49-1)," ",(DN49/DM49-1))</f>
        <v>4.4698002136643433E-2</v>
      </c>
      <c r="DO51" s="743">
        <f>IF(ISERROR(DO49/DN49-1)," ",(DO49/DN49-1))</f>
        <v>-4.8814199165163719E-2</v>
      </c>
      <c r="DP51" s="743">
        <f>IF(ISERROR(DP49/DO49-1)," ",(DP49/DO49-1))</f>
        <v>-6.4233894085086951E-2</v>
      </c>
      <c r="DQ51" s="754"/>
      <c r="DR51" s="743">
        <f>IF(ISERROR(DR49/DP49-1)," ",(DR49/DP49-1))</f>
        <v>3.5749824380873596E-2</v>
      </c>
      <c r="DS51" s="743">
        <f>IF(ISERROR(DS49/DR49-1)," ",(DS49/DR49-1))</f>
        <v>7.7139155036235696E-2</v>
      </c>
      <c r="DT51" s="743">
        <f>IF(ISERROR(DT49/DS49-1)," ",(DT49/DS49-1))</f>
        <v>-2.4240732167791101E-2</v>
      </c>
      <c r="DU51" s="743">
        <f>IF(ISERROR(DU49/DT49-1)," ",(DU49/DT49-1))</f>
        <v>-7.1967413751619747E-2</v>
      </c>
      <c r="DV51" s="754"/>
      <c r="DW51" s="743">
        <f>IF(ISERROR(DW49/DU49-1)," ",(DW49/DU49-1))</f>
        <v>3.7158470637610463E-2</v>
      </c>
      <c r="DX51" s="743">
        <f>IF(ISERROR(DX49/DW49-1)," ",(DX49/DW49-1))</f>
        <v>7.0657866654606938E-2</v>
      </c>
      <c r="DY51" s="743">
        <f>IF(ISERROR(DY49/DX49-1)," ",(DY49/DX49-1))</f>
        <v>-2.7923585902640324E-2</v>
      </c>
      <c r="DZ51" s="743">
        <f>IF(ISERROR(DZ49/DY49-1)," ",(DZ49/DY49-1))</f>
        <v>-6.7891783144406359E-2</v>
      </c>
      <c r="EA51" s="754"/>
      <c r="EB51" s="743">
        <f>IF(ISERROR(EB49/DZ49-1)," ",(EB49/DZ49-1))</f>
        <v>8.0212006081086251E-3</v>
      </c>
      <c r="EC51" s="743">
        <f>IF(ISERROR(EC49/EB49-1)," ",(EC49/EB49-1))</f>
        <v>6.1656225721901547E-2</v>
      </c>
      <c r="ED51" s="743">
        <f>IF(ISERROR(ED49/EC49-1)," ",(ED49/EC49-1))</f>
        <v>-2.8033938852279006E-2</v>
      </c>
      <c r="EE51" s="743">
        <f>IF(ISERROR(EE49/ED49-1)," ",(EE49/ED49-1))</f>
        <v>-6.5787769048012867E-2</v>
      </c>
      <c r="EF51" s="754"/>
      <c r="EG51" s="743">
        <f>IF(ISERROR(EG49/EE49-1)," ",(EG49/EE49-1))</f>
        <v>-3.3720400023340424E-3</v>
      </c>
      <c r="EH51" s="743">
        <f>IF(ISERROR(EH49/EG49-1)," ",(EH49/EG49-1))</f>
        <v>3.060603565635267E-2</v>
      </c>
      <c r="EI51" s="743">
        <f>IF(ISERROR(EI49/EH49-1)," ",(EI49/EH49-1))</f>
        <v>-1.3297479340613538E-2</v>
      </c>
      <c r="EJ51" s="743">
        <f>IF(ISERROR(EJ49/EI49-1)," ",(EJ49/EI49-1))</f>
        <v>-4.6201556956186329E-2</v>
      </c>
      <c r="EK51" s="754"/>
      <c r="EL51" s="743">
        <f>IF(ISERROR(EL49/EJ49-1)," ",(EL49/EJ49-1))</f>
        <v>8.8640902469745431E-2</v>
      </c>
      <c r="EM51" s="743">
        <f>IF(ISERROR(EM49/EL49-1)," ",(EM49/EL49-1))</f>
        <v>3.7613032276915703E-2</v>
      </c>
      <c r="EN51" s="743">
        <f>IF(ISERROR(EN49/EM49-1)," ",(EN49/EM49-1))</f>
        <v>-4.2930077792149635E-2</v>
      </c>
      <c r="EO51" s="743">
        <f>IF(ISERROR(EO49/EN49-1)," ",(EO49/EN49-1))</f>
        <v>-4.8440258911423562E-2</v>
      </c>
      <c r="EP51" s="754"/>
      <c r="EQ51" s="743">
        <f>IF(ISERROR(EQ49/EO49-1)," ",(EQ49/EO49-1))</f>
        <v>5.4436538024050352E-2</v>
      </c>
      <c r="ER51" s="743">
        <f>IF(ISERROR(ER49/EQ49-1)," ",(ER49/EQ49-1))</f>
        <v>4.8612508013133882E-2</v>
      </c>
      <c r="ES51" s="743">
        <f>IF(ISERROR(ES49/ER49-1)," ",(ES49/ER49-1))</f>
        <v>-2.8008543702160438E-2</v>
      </c>
      <c r="ET51" s="743">
        <f>IF(ISERROR(ET49/ES49-1)," ",(ET49/ES49-1))</f>
        <v>-3.5517765229292619E-2</v>
      </c>
      <c r="EU51" s="754"/>
      <c r="EV51" s="743">
        <f>IF(ISERROR(EV49/ET49-1)," ",(EV49/ET49-1))</f>
        <v>7.3963140580051601E-2</v>
      </c>
      <c r="EW51" s="743">
        <f>IF(ISERROR(EW49/EV49-1)," ",(EW49/EV49-1))</f>
        <v>5.3727690979051612E-2</v>
      </c>
      <c r="EX51" s="743">
        <f>IF(ISERROR(EX49/EW49-1)," ",(EX49/EW49-1))</f>
        <v>-2.8008543702160438E-2</v>
      </c>
      <c r="EY51" s="743">
        <f>IF(ISERROR(EY49/EX49-1)," ",(EY49/EX49-1))</f>
        <v>-4.0199717825266768E-2</v>
      </c>
      <c r="EZ51" s="754"/>
      <c r="FA51" s="743">
        <f>IF(ISERROR(FA49/EY49-1)," ",(FA49/EY49-1))</f>
        <v>6.8724295991856144E-2</v>
      </c>
      <c r="FB51" s="743">
        <f>IF(ISERROR(FB49/FA49-1)," ",(FB49/FA49-1))</f>
        <v>5.3727690979051612E-2</v>
      </c>
      <c r="FC51" s="743">
        <f>IF(ISERROR(FC49/FB49-1)," ",(FC49/FB49-1))</f>
        <v>-2.8008543702160438E-2</v>
      </c>
      <c r="FD51" s="743">
        <f>IF(ISERROR(FD49/FC49-1)," ",(FD49/FC49-1))</f>
        <v>-4.0199717825266768E-2</v>
      </c>
      <c r="FE51" s="754"/>
      <c r="FF51" s="721"/>
      <c r="FG51" s="690"/>
      <c r="FH51" s="955">
        <f>AVERAGE(DH51,DM51,DC51,DR51,DW51,EB51,EG51,EL51)</f>
        <v>4.006806242563582E-2</v>
      </c>
      <c r="FI51" s="955">
        <f t="shared" ref="FI51" si="170">AVERAGE(DI51,DN51,DD51,DS51,DX51,EC51,EH51,EM51)</f>
        <v>6.0033781214488408E-2</v>
      </c>
      <c r="FJ51" s="955">
        <f t="shared" ref="FJ51" si="171">AVERAGE(DJ51,DO51,DE51,DT51,DY51,ED51,EI51,EN51)</f>
        <v>-3.2250527181702432E-2</v>
      </c>
      <c r="FK51" s="955">
        <f t="shared" ref="FK51" si="172">AVERAGE(DK51,DP51,DF51,DU51,DZ51,EE51,EJ51,EO51)</f>
        <v>-6.7758621212300627E-2</v>
      </c>
      <c r="FL51" s="690"/>
      <c r="FM51" s="708"/>
      <c r="FN51" s="1008"/>
      <c r="FO51" s="723"/>
      <c r="FP51" s="723"/>
      <c r="FQ51" s="723"/>
      <c r="FR51" s="723"/>
      <c r="FS51" s="723"/>
      <c r="FT51" s="723"/>
      <c r="FU51" s="690"/>
      <c r="FV51"/>
      <c r="FW51"/>
      <c r="FX51"/>
      <c r="FY51"/>
      <c r="FZ51"/>
      <c r="GA51"/>
      <c r="GB51" s="725"/>
    </row>
    <row r="52" spans="1:184" s="532" customFormat="1" ht="12.75" customHeight="1">
      <c r="A52" s="1010" t="s">
        <v>297</v>
      </c>
      <c r="B52" s="1011"/>
      <c r="C52" s="1012"/>
      <c r="D52" s="1012"/>
      <c r="E52" s="1012"/>
      <c r="F52" s="1013"/>
      <c r="G52" s="750">
        <v>1158.1825970849134</v>
      </c>
      <c r="H52" s="1014">
        <v>1157.8298032946732</v>
      </c>
      <c r="I52" s="750">
        <v>1146.4824109046911</v>
      </c>
      <c r="J52" s="750">
        <v>1141.7428767104161</v>
      </c>
      <c r="K52" s="1013">
        <f>K46*2000/K55</f>
        <v>0</v>
      </c>
      <c r="L52" s="750">
        <v>1132.4648051010299</v>
      </c>
      <c r="M52" s="1014">
        <v>1137.0803439656365</v>
      </c>
      <c r="N52" s="750">
        <v>1153.8273078324598</v>
      </c>
      <c r="O52" s="750">
        <v>1156.0666318380006</v>
      </c>
      <c r="P52" s="1013"/>
      <c r="Q52" s="750">
        <v>1143.0264226772997</v>
      </c>
      <c r="R52" s="1014">
        <v>1149.4132765546926</v>
      </c>
      <c r="S52" s="750">
        <v>1128.6674590332736</v>
      </c>
      <c r="T52" s="750">
        <v>1125.0247227010188</v>
      </c>
      <c r="U52" s="1013"/>
      <c r="V52" s="750">
        <v>1136.110226326537</v>
      </c>
      <c r="W52" s="1014">
        <v>1146.2152251811922</v>
      </c>
      <c r="X52" s="750">
        <v>1150.359449332916</v>
      </c>
      <c r="Y52" s="750">
        <v>1168.7528685519303</v>
      </c>
      <c r="Z52" s="1013"/>
      <c r="AA52" s="750">
        <v>1174.3057229347282</v>
      </c>
      <c r="AB52" s="1014">
        <v>1177.1020440421141</v>
      </c>
      <c r="AC52" s="750">
        <v>1172.5282887840915</v>
      </c>
      <c r="AD52" s="750">
        <v>1180.2677659002366</v>
      </c>
      <c r="AE52" s="1013"/>
      <c r="AF52" s="750">
        <v>1155.7032091784679</v>
      </c>
      <c r="AG52" s="1014">
        <v>1130.3567056228867</v>
      </c>
      <c r="AH52" s="750">
        <v>1118.0146339745504</v>
      </c>
      <c r="AI52" s="750">
        <v>1117.7840395622363</v>
      </c>
      <c r="AJ52" s="1013"/>
      <c r="AK52" s="750">
        <v>1105.8041199468557</v>
      </c>
      <c r="AL52" s="1014">
        <v>1102.1948528137375</v>
      </c>
      <c r="AM52" s="750">
        <v>1105.7024785287583</v>
      </c>
      <c r="AN52" s="750">
        <v>1104.8785154558154</v>
      </c>
      <c r="AO52" s="1013"/>
      <c r="AP52" s="750">
        <v>1103.0537299796388</v>
      </c>
      <c r="AQ52" s="1014">
        <v>1111.7251787569182</v>
      </c>
      <c r="AR52" s="750">
        <v>1047.9427548137769</v>
      </c>
      <c r="AS52" s="750">
        <v>1122.2904652679063</v>
      </c>
      <c r="AT52" s="1013"/>
      <c r="AU52" s="750">
        <v>1122.9004026171585</v>
      </c>
      <c r="AV52" s="1014">
        <v>1105.6907040608814</v>
      </c>
      <c r="AW52" s="750">
        <v>1098.6441790158005</v>
      </c>
      <c r="AX52" s="750">
        <v>1107.2980304921243</v>
      </c>
      <c r="AY52" s="1013"/>
      <c r="AZ52" s="750">
        <v>1104.3678573038032</v>
      </c>
      <c r="BA52" s="1014">
        <v>1094.3021568041313</v>
      </c>
      <c r="BB52" s="750">
        <v>1095.2539421221786</v>
      </c>
      <c r="BC52" s="750">
        <v>1114.7407882261782</v>
      </c>
      <c r="BD52" s="1013">
        <f t="shared" ref="BD52:DO52" si="173">BD49*1000/BD64</f>
        <v>27164.641274353875</v>
      </c>
      <c r="BE52" s="750">
        <f t="shared" si="173"/>
        <v>26785.777669230771</v>
      </c>
      <c r="BF52" s="1014">
        <f t="shared" si="173"/>
        <v>28750.831299212598</v>
      </c>
      <c r="BG52" s="750">
        <f t="shared" si="173"/>
        <v>28781.793224000001</v>
      </c>
      <c r="BH52" s="750">
        <f t="shared" si="173"/>
        <v>27654.602180327875</v>
      </c>
      <c r="BI52" s="1013">
        <f t="shared" si="173"/>
        <v>27986.2942281746</v>
      </c>
      <c r="BJ52" s="750">
        <f t="shared" si="173"/>
        <v>25710.144468749997</v>
      </c>
      <c r="BK52" s="1014">
        <f t="shared" si="173"/>
        <v>27635.422905511808</v>
      </c>
      <c r="BL52" s="750">
        <f t="shared" si="173"/>
        <v>27743.821984126986</v>
      </c>
      <c r="BM52" s="750">
        <f t="shared" si="173"/>
        <v>26623.416154471546</v>
      </c>
      <c r="BN52" s="1013">
        <f t="shared" si="173"/>
        <v>26926.585234126986</v>
      </c>
      <c r="BO52" s="750">
        <f t="shared" si="173"/>
        <v>26238.457463999999</v>
      </c>
      <c r="BP52" s="1014">
        <f t="shared" si="173"/>
        <v>27691.187882812505</v>
      </c>
      <c r="BQ52" s="750">
        <f t="shared" si="173"/>
        <v>27852.209102362209</v>
      </c>
      <c r="BR52" s="750">
        <f t="shared" si="173"/>
        <v>27012.366258064514</v>
      </c>
      <c r="BS52" s="1013">
        <f t="shared" si="173"/>
        <v>27204.450801587303</v>
      </c>
      <c r="BT52" s="750">
        <f t="shared" si="173"/>
        <v>26475.499904761895</v>
      </c>
      <c r="BU52" s="1014">
        <f t="shared" si="173"/>
        <v>27638.719913385827</v>
      </c>
      <c r="BV52" s="750">
        <f t="shared" si="173"/>
        <v>28455.102085937502</v>
      </c>
      <c r="BW52" s="750">
        <f t="shared" si="173"/>
        <v>29562.278598360659</v>
      </c>
      <c r="BX52" s="1013">
        <f t="shared" si="173"/>
        <v>28021.633147117296</v>
      </c>
      <c r="BY52" s="750">
        <f t="shared" si="173"/>
        <v>29321.556960629914</v>
      </c>
      <c r="BZ52" s="1014">
        <f t="shared" si="173"/>
        <v>32015.970023622041</v>
      </c>
      <c r="CA52" s="750">
        <f t="shared" si="173"/>
        <v>32389.953124999993</v>
      </c>
      <c r="CB52" s="750">
        <f t="shared" si="173"/>
        <v>32345.180327868853</v>
      </c>
      <c r="CC52" s="1013">
        <f t="shared" si="173"/>
        <v>31511.6903313492</v>
      </c>
      <c r="CD52" s="750">
        <f t="shared" si="173"/>
        <v>31269</v>
      </c>
      <c r="CE52" s="750">
        <f t="shared" si="173"/>
        <v>33705</v>
      </c>
      <c r="CF52" s="750">
        <f t="shared" si="173"/>
        <v>35284.5</v>
      </c>
      <c r="CG52" s="750">
        <f t="shared" si="173"/>
        <v>35816</v>
      </c>
      <c r="CH52" s="1013">
        <f t="shared" si="173"/>
        <v>34002.714851485151</v>
      </c>
      <c r="CI52" s="750">
        <f t="shared" si="173"/>
        <v>33850</v>
      </c>
      <c r="CJ52" s="750">
        <f t="shared" si="173"/>
        <v>34600.5</v>
      </c>
      <c r="CK52" s="750">
        <f t="shared" si="173"/>
        <v>33893</v>
      </c>
      <c r="CL52" s="750">
        <f t="shared" si="173"/>
        <v>32954.000000000007</v>
      </c>
      <c r="CM52" s="1013">
        <f t="shared" si="173"/>
        <v>33832.821713147408</v>
      </c>
      <c r="CN52" s="750">
        <f t="shared" si="173"/>
        <v>33060.5</v>
      </c>
      <c r="CO52" s="750">
        <f t="shared" si="173"/>
        <v>36129.5</v>
      </c>
      <c r="CP52" s="750">
        <f t="shared" si="173"/>
        <v>35631.5</v>
      </c>
      <c r="CQ52" s="750">
        <f t="shared" si="173"/>
        <v>34959.5</v>
      </c>
      <c r="CR52" s="1013">
        <f t="shared" si="173"/>
        <v>34940.035714285717</v>
      </c>
      <c r="CS52" s="750">
        <f t="shared" si="173"/>
        <v>34071</v>
      </c>
      <c r="CT52" s="750">
        <f t="shared" si="173"/>
        <v>36815</v>
      </c>
      <c r="CU52" s="750">
        <f t="shared" si="173"/>
        <v>36460.5</v>
      </c>
      <c r="CV52" s="750">
        <f t="shared" si="173"/>
        <v>32264</v>
      </c>
      <c r="CW52" s="1013">
        <f t="shared" si="173"/>
        <v>34935.621782178212</v>
      </c>
      <c r="CX52" s="750">
        <f t="shared" si="173"/>
        <v>29838.4395</v>
      </c>
      <c r="CY52" s="750">
        <f t="shared" si="173"/>
        <v>34261.400500000003</v>
      </c>
      <c r="CZ52" s="750">
        <f t="shared" si="173"/>
        <v>38350.26</v>
      </c>
      <c r="DA52" s="750">
        <f t="shared" si="173"/>
        <v>38886.449999999997</v>
      </c>
      <c r="DB52" s="1013">
        <f t="shared" si="173"/>
        <v>35333.736443339956</v>
      </c>
      <c r="DC52" s="750">
        <f t="shared" si="173"/>
        <v>40235.174999999996</v>
      </c>
      <c r="DD52" s="750">
        <f t="shared" si="173"/>
        <v>44221.038999999997</v>
      </c>
      <c r="DE52" s="750">
        <f t="shared" si="173"/>
        <v>41663.43</v>
      </c>
      <c r="DF52" s="750">
        <f t="shared" si="173"/>
        <v>38697.189999999995</v>
      </c>
      <c r="DG52" s="1013">
        <f t="shared" si="173"/>
        <v>41231.968634194833</v>
      </c>
      <c r="DH52" s="750">
        <f t="shared" si="173"/>
        <v>38350.462500000001</v>
      </c>
      <c r="DI52" s="750">
        <f t="shared" si="173"/>
        <v>40589.425500000005</v>
      </c>
      <c r="DJ52" s="750">
        <f t="shared" si="173"/>
        <v>39372.400000000001</v>
      </c>
      <c r="DK52" s="750">
        <f t="shared" si="173"/>
        <v>39033.96</v>
      </c>
      <c r="DL52" s="1013">
        <f t="shared" si="173"/>
        <v>39338.278965277779</v>
      </c>
      <c r="DM52" s="750">
        <f t="shared" si="173"/>
        <v>38915.712</v>
      </c>
      <c r="DN52" s="750">
        <f t="shared" si="173"/>
        <v>40975.286</v>
      </c>
      <c r="DO52" s="750">
        <f t="shared" si="173"/>
        <v>39284.436499999996</v>
      </c>
      <c r="DP52" s="750">
        <f>DP49*1000/DP64</f>
        <v>37657.655000000006</v>
      </c>
      <c r="DQ52" s="1013">
        <f t="shared" ref="DQ52:EG52" si="174">DQ49*1000/DQ64</f>
        <v>39219.847265873017</v>
      </c>
      <c r="DR52" s="750">
        <f>DR49*1000/DR64</f>
        <v>38379.847000000002</v>
      </c>
      <c r="DS52" s="750">
        <f>DS49*1000/DS64</f>
        <v>40371.519500000002</v>
      </c>
      <c r="DT52" s="750">
        <f>DT49*1000/DT64</f>
        <v>39703.0645</v>
      </c>
      <c r="DU52" s="750">
        <f>DU49*1000/DU64</f>
        <v>38043.972999999998</v>
      </c>
      <c r="DV52" s="1013">
        <f t="shared" si="174"/>
        <v>39138.634674950299</v>
      </c>
      <c r="DW52" s="750">
        <f t="shared" si="174"/>
        <v>38518.161500000002</v>
      </c>
      <c r="DX52" s="750">
        <f t="shared" si="174"/>
        <v>40915.049999999996</v>
      </c>
      <c r="DY52" s="750">
        <f t="shared" ref="DY52:ED52" si="175">DY49*1000/DY64</f>
        <v>39461.832000000002</v>
      </c>
      <c r="DZ52" s="750">
        <f t="shared" si="175"/>
        <v>38591.683000000005</v>
      </c>
      <c r="EA52" s="1013">
        <f t="shared" si="175"/>
        <v>39381.3111749503</v>
      </c>
      <c r="EB52" s="750">
        <f t="shared" si="175"/>
        <v>37967.605000000003</v>
      </c>
      <c r="EC52" s="750">
        <f t="shared" si="175"/>
        <v>39673.764000000003</v>
      </c>
      <c r="ED52" s="750">
        <f t="shared" si="175"/>
        <v>38260.29</v>
      </c>
      <c r="EE52" s="750">
        <f t="shared" si="174"/>
        <v>37196.207742719998</v>
      </c>
      <c r="EF52" s="1013">
        <f t="shared" si="174"/>
        <v>38284.233251201906</v>
      </c>
      <c r="EG52" s="750">
        <f t="shared" si="174"/>
        <v>35903.197</v>
      </c>
      <c r="EH52" s="750">
        <f t="shared" ref="EH52" si="176">EH49*1000/EH64</f>
        <v>36712.972999999998</v>
      </c>
      <c r="EI52" s="750">
        <f t="shared" ref="EI52" si="177">EI49*1000/EI64</f>
        <v>36224.782999999996</v>
      </c>
      <c r="EJ52" s="750">
        <f t="shared" ref="EJ52:EN52" si="178">EJ49*1000/EJ64</f>
        <v>36549.968000000001</v>
      </c>
      <c r="EK52" s="1013">
        <f t="shared" si="178"/>
        <v>36345.803402777776</v>
      </c>
      <c r="EL52" s="750">
        <f t="shared" si="178"/>
        <v>37613.786</v>
      </c>
      <c r="EM52" s="750">
        <f t="shared" si="178"/>
        <v>39335.866000000002</v>
      </c>
      <c r="EN52" s="750">
        <f t="shared" si="178"/>
        <v>38249.529000000002</v>
      </c>
      <c r="EO52" s="750">
        <f t="shared" ref="EO52:ES52" si="179">EO49*1000/EO64</f>
        <v>37599.909</v>
      </c>
      <c r="EP52" s="1013">
        <f t="shared" si="179"/>
        <v>38205.588231536924</v>
      </c>
      <c r="EQ52" s="750">
        <f t="shared" si="179"/>
        <v>37773.644590499993</v>
      </c>
      <c r="ER52" s="750">
        <f t="shared" si="179"/>
        <v>39300.463720600004</v>
      </c>
      <c r="ES52" s="750">
        <f t="shared" si="179"/>
        <v>38806.059646950009</v>
      </c>
      <c r="ET52" s="750">
        <f t="shared" ref="ET52:EX52" si="180">ET49*1000/ET64</f>
        <v>38340.6272073</v>
      </c>
      <c r="EU52" s="1013">
        <f t="shared" si="180"/>
        <v>38557.882700880749</v>
      </c>
      <c r="EV52" s="750">
        <f t="shared" si="180"/>
        <v>39879.525276420376</v>
      </c>
      <c r="EW52" s="750">
        <f t="shared" si="180"/>
        <v>41693.861961184542</v>
      </c>
      <c r="EX52" s="750">
        <f t="shared" si="180"/>
        <v>41169.348679449256</v>
      </c>
      <c r="EY52" s="750">
        <f t="shared" ref="EY52:FC52" si="181">EY49*1000/EY64</f>
        <v>40478.11717410697</v>
      </c>
      <c r="EZ52" s="1013">
        <f t="shared" si="181"/>
        <v>40111.765373726252</v>
      </c>
      <c r="FA52" s="750">
        <f t="shared" si="181"/>
        <v>41897.429255407245</v>
      </c>
      <c r="FB52" s="750">
        <f t="shared" si="181"/>
        <v>43803.571376420485</v>
      </c>
      <c r="FC52" s="750">
        <f t="shared" si="181"/>
        <v>43252.517722629396</v>
      </c>
      <c r="FD52" s="750">
        <f t="shared" ref="FD52:FE52" si="182">FD49*1000/FD64</f>
        <v>42526.309903116788</v>
      </c>
      <c r="FE52" s="1013">
        <f t="shared" si="182"/>
        <v>41936.850698230795</v>
      </c>
      <c r="FF52" s="712"/>
      <c r="FG52" s="690"/>
      <c r="FH52" s="1018"/>
      <c r="FI52" s="1018"/>
      <c r="FJ52" s="1018"/>
      <c r="FK52" s="1018"/>
      <c r="FL52" s="690"/>
      <c r="FM52" s="752"/>
      <c r="FN52" s="708" t="s">
        <v>298</v>
      </c>
      <c r="FO52" s="748"/>
      <c r="FP52" s="748"/>
      <c r="FQ52" s="748"/>
      <c r="FR52" s="748"/>
      <c r="FS52" s="748"/>
      <c r="FT52" s="748"/>
      <c r="FU52" s="690"/>
      <c r="FV52"/>
      <c r="FW52"/>
      <c r="FX52"/>
      <c r="FY52"/>
      <c r="FZ52"/>
      <c r="GA52"/>
      <c r="GB52" s="961"/>
    </row>
    <row r="53" spans="1:184" s="532" customFormat="1" ht="12.75" customHeight="1">
      <c r="A53" s="1019" t="s">
        <v>85</v>
      </c>
      <c r="B53" s="992" t="str">
        <f>_xll.ThomsonONEAddinShim.SpreadsheetFormulas.TF(sedol,$O53,"dataDir=across",trSdate,trEdate,Currency_ISOcode)</f>
        <v>N/A</v>
      </c>
      <c r="C53" s="993"/>
      <c r="D53" s="993"/>
      <c r="E53" s="993"/>
      <c r="F53" s="754"/>
      <c r="G53" s="743"/>
      <c r="H53" s="954"/>
      <c r="I53" s="743"/>
      <c r="J53" s="743"/>
      <c r="K53" s="754"/>
      <c r="L53" s="743">
        <f t="shared" ref="L53:BC53" si="183">L52/G52-1</f>
        <v>-2.2205299966183034E-2</v>
      </c>
      <c r="M53" s="954">
        <f t="shared" si="183"/>
        <v>-1.7920992593205676E-2</v>
      </c>
      <c r="N53" s="743">
        <f t="shared" si="183"/>
        <v>6.4064628099902432E-3</v>
      </c>
      <c r="O53" s="743">
        <f t="shared" si="183"/>
        <v>1.2545517401303163E-2</v>
      </c>
      <c r="P53" s="754"/>
      <c r="Q53" s="743">
        <f t="shared" si="183"/>
        <v>9.3262214672777954E-3</v>
      </c>
      <c r="R53" s="954">
        <f t="shared" si="183"/>
        <v>1.0846139988704984E-2</v>
      </c>
      <c r="S53" s="743">
        <f t="shared" si="183"/>
        <v>-2.1805558447434037E-2</v>
      </c>
      <c r="T53" s="743">
        <f t="shared" si="183"/>
        <v>-2.6851314865501297E-2</v>
      </c>
      <c r="U53" s="754"/>
      <c r="V53" s="743">
        <f t="shared" si="183"/>
        <v>-6.0507755669925167E-3</v>
      </c>
      <c r="W53" s="954">
        <f t="shared" si="183"/>
        <v>-2.782333768656664E-3</v>
      </c>
      <c r="X53" s="743">
        <f t="shared" si="183"/>
        <v>1.9219115538443798E-2</v>
      </c>
      <c r="Y53" s="743">
        <f t="shared" si="183"/>
        <v>3.886860881237042E-2</v>
      </c>
      <c r="Z53" s="754"/>
      <c r="AA53" s="743">
        <f t="shared" si="183"/>
        <v>3.361953419932795E-2</v>
      </c>
      <c r="AB53" s="954">
        <f t="shared" si="183"/>
        <v>2.6946788161917423E-2</v>
      </c>
      <c r="AC53" s="743">
        <f t="shared" si="183"/>
        <v>1.9271228192223822E-2</v>
      </c>
      <c r="AD53" s="743">
        <f t="shared" si="183"/>
        <v>9.8522944055512429E-3</v>
      </c>
      <c r="AE53" s="754"/>
      <c r="AF53" s="743">
        <f t="shared" si="183"/>
        <v>-1.5841286807127597E-2</v>
      </c>
      <c r="AG53" s="954">
        <f t="shared" si="183"/>
        <v>-3.971222261980456E-2</v>
      </c>
      <c r="AH53" s="743">
        <f t="shared" si="183"/>
        <v>-4.6492400508367782E-2</v>
      </c>
      <c r="AI53" s="743">
        <f t="shared" si="183"/>
        <v>-5.2940297230214872E-2</v>
      </c>
      <c r="AJ53" s="754"/>
      <c r="AK53" s="743">
        <f t="shared" si="183"/>
        <v>-4.317638718601724E-2</v>
      </c>
      <c r="AL53" s="954">
        <f t="shared" si="183"/>
        <v>-2.4914129025872866E-2</v>
      </c>
      <c r="AM53" s="743">
        <f t="shared" si="183"/>
        <v>-1.1012517253036536E-2</v>
      </c>
      <c r="AN53" s="743">
        <f t="shared" si="183"/>
        <v>-1.1545632832148156E-2</v>
      </c>
      <c r="AO53" s="754"/>
      <c r="AP53" s="743">
        <f t="shared" si="183"/>
        <v>-2.4872307107601799E-3</v>
      </c>
      <c r="AQ53" s="954">
        <f t="shared" si="183"/>
        <v>8.6466797761315384E-3</v>
      </c>
      <c r="AR53" s="743">
        <f t="shared" si="183"/>
        <v>-5.2238034043150749E-2</v>
      </c>
      <c r="AS53" s="743">
        <f t="shared" si="183"/>
        <v>1.5759153217770328E-2</v>
      </c>
      <c r="AT53" s="754"/>
      <c r="AU53" s="743">
        <f t="shared" si="183"/>
        <v>1.7992480418778989E-2</v>
      </c>
      <c r="AV53" s="954">
        <f t="shared" si="183"/>
        <v>-5.4280273680445967E-3</v>
      </c>
      <c r="AW53" s="743">
        <f t="shared" si="183"/>
        <v>4.8381864342421421E-2</v>
      </c>
      <c r="AX53" s="743">
        <f t="shared" si="183"/>
        <v>-1.3358782988682871E-2</v>
      </c>
      <c r="AY53" s="754"/>
      <c r="AZ53" s="743">
        <f t="shared" si="183"/>
        <v>-1.6504175499591267E-2</v>
      </c>
      <c r="BA53" s="954">
        <f t="shared" si="183"/>
        <v>-1.0299939408844883E-2</v>
      </c>
      <c r="BB53" s="743">
        <f t="shared" si="183"/>
        <v>-3.0858370329318596E-3</v>
      </c>
      <c r="BC53" s="743">
        <f t="shared" si="183"/>
        <v>6.7215487873180102E-3</v>
      </c>
      <c r="BD53" s="754"/>
      <c r="BE53" s="743">
        <f t="shared" ref="BE53:CW53" si="184">BE52/AZ52-1</f>
        <v>23.254398108457629</v>
      </c>
      <c r="BF53" s="954">
        <f t="shared" si="184"/>
        <v>25.273210849897556</v>
      </c>
      <c r="BG53" s="743">
        <f t="shared" si="184"/>
        <v>25.278648372844032</v>
      </c>
      <c r="BH53" s="743">
        <f t="shared" si="184"/>
        <v>23.808101105130479</v>
      </c>
      <c r="BI53" s="754">
        <f t="shared" si="184"/>
        <v>3.024714906124859E-2</v>
      </c>
      <c r="BJ53" s="743">
        <f t="shared" si="184"/>
        <v>-4.0156877794008228E-2</v>
      </c>
      <c r="BK53" s="954">
        <f t="shared" si="184"/>
        <v>-3.8795691926004849E-2</v>
      </c>
      <c r="BL53" s="743">
        <f t="shared" si="184"/>
        <v>-3.6063466643471376E-2</v>
      </c>
      <c r="BM53" s="743">
        <f t="shared" si="184"/>
        <v>-3.7288044106809193E-2</v>
      </c>
      <c r="BN53" s="754">
        <f t="shared" si="184"/>
        <v>-3.7865284535627319E-2</v>
      </c>
      <c r="BO53" s="743">
        <f t="shared" si="184"/>
        <v>2.0548814725337428E-2</v>
      </c>
      <c r="BP53" s="954">
        <f t="shared" si="184"/>
        <v>2.017880366490532E-3</v>
      </c>
      <c r="BQ53" s="743">
        <f t="shared" si="184"/>
        <v>3.906711854525069E-3</v>
      </c>
      <c r="BR53" s="743">
        <f t="shared" si="184"/>
        <v>1.4609323662156726E-2</v>
      </c>
      <c r="BS53" s="754">
        <f t="shared" si="184"/>
        <v>1.0319376372617262E-2</v>
      </c>
      <c r="BT53" s="743">
        <f t="shared" si="184"/>
        <v>9.0341606814015041E-3</v>
      </c>
      <c r="BU53" s="954">
        <f t="shared" si="184"/>
        <v>-1.894753292950746E-3</v>
      </c>
      <c r="BV53" s="743">
        <f t="shared" si="184"/>
        <v>2.1646145961332852E-2</v>
      </c>
      <c r="BW53" s="743">
        <f t="shared" si="184"/>
        <v>9.4397962619615861E-2</v>
      </c>
      <c r="BX53" s="754">
        <f t="shared" si="184"/>
        <v>3.0038553304752247E-2</v>
      </c>
      <c r="BY53" s="743">
        <f t="shared" si="184"/>
        <v>0.10749776457879556</v>
      </c>
      <c r="BZ53" s="954">
        <f t="shared" si="184"/>
        <v>0.15837383655804738</v>
      </c>
      <c r="CA53" s="743">
        <f t="shared" si="184"/>
        <v>0.13828279466996163</v>
      </c>
      <c r="CB53" s="743">
        <f t="shared" si="184"/>
        <v>9.4136915740402838E-2</v>
      </c>
      <c r="CC53" s="754">
        <f t="shared" si="184"/>
        <v>0.1245486715891484</v>
      </c>
      <c r="CD53" s="743">
        <f t="shared" si="184"/>
        <v>6.641676777208394E-2</v>
      </c>
      <c r="CE53" s="743">
        <f t="shared" si="184"/>
        <v>5.2755858252358401E-2</v>
      </c>
      <c r="CF53" s="743">
        <f t="shared" si="184"/>
        <v>8.9365577771270965E-2</v>
      </c>
      <c r="CG53" s="743">
        <f t="shared" si="184"/>
        <v>0.10730562133056543</v>
      </c>
      <c r="CH53" s="754">
        <f t="shared" si="184"/>
        <v>7.9050806032381349E-2</v>
      </c>
      <c r="CI53" s="743">
        <f t="shared" si="184"/>
        <v>8.2541814576737371E-2</v>
      </c>
      <c r="CJ53" s="743">
        <f t="shared" si="184"/>
        <v>2.6568758344459376E-2</v>
      </c>
      <c r="CK53" s="743">
        <f t="shared" si="184"/>
        <v>-3.9436579801329197E-2</v>
      </c>
      <c r="CL53" s="743">
        <f t="shared" si="184"/>
        <v>-7.9908420817511483E-2</v>
      </c>
      <c r="CM53" s="754">
        <f t="shared" si="184"/>
        <v>-4.9964580498877975E-3</v>
      </c>
      <c r="CN53" s="743">
        <f t="shared" si="184"/>
        <v>-2.3323485967503665E-2</v>
      </c>
      <c r="CO53" s="743">
        <f t="shared" si="184"/>
        <v>4.4190112859640696E-2</v>
      </c>
      <c r="CP53" s="743">
        <f t="shared" si="184"/>
        <v>5.1293777476175029E-2</v>
      </c>
      <c r="CQ53" s="743">
        <f t="shared" si="184"/>
        <v>6.085755902166623E-2</v>
      </c>
      <c r="CR53" s="754">
        <f t="shared" si="184"/>
        <v>3.2726031855275117E-2</v>
      </c>
      <c r="CS53" s="743">
        <f t="shared" si="184"/>
        <v>3.0565175965275859E-2</v>
      </c>
      <c r="CT53" s="743">
        <f t="shared" si="184"/>
        <v>1.8973415076322775E-2</v>
      </c>
      <c r="CU53" s="743">
        <f t="shared" si="184"/>
        <v>2.3265930426729087E-2</v>
      </c>
      <c r="CV53" s="743">
        <f t="shared" si="184"/>
        <v>-7.7103505484918289E-2</v>
      </c>
      <c r="CW53" s="754">
        <f t="shared" si="184"/>
        <v>-1.2632878064577913E-4</v>
      </c>
      <c r="CX53" s="743">
        <f>IF(ISERROR(CX52/CS52-1)," ",(CX52/CS52-1))</f>
        <v>-0.12422765695165972</v>
      </c>
      <c r="CY53" s="743">
        <f>IF(ISERROR(CY52/CT52-1)," ",(CY52/CT52-1))</f>
        <v>-6.9363017791660875E-2</v>
      </c>
      <c r="CZ53" s="743">
        <f>IF(ISERROR(CZ52/CU52-1)," ",(CZ52/CU52-1))</f>
        <v>5.1830336939976185E-2</v>
      </c>
      <c r="DA53" s="743">
        <f>IF(ISERROR(DA52/CV52-1)," ",(DA52/CV52-1))</f>
        <v>0.20525818249442085</v>
      </c>
      <c r="DB53" s="754">
        <f>IF(ISERROR(DB52/CW52-1)," ",(DB52/CW52-1))</f>
        <v>1.1395665537140554E-2</v>
      </c>
      <c r="DC53" s="743">
        <f>DC52/CX52-1</f>
        <v>0.34843429060691977</v>
      </c>
      <c r="DD53" s="743">
        <f>DD52/CY52-1</f>
        <v>0.29069560364293912</v>
      </c>
      <c r="DE53" s="743">
        <f>DE52/CZ52-1</f>
        <v>8.639237387178067E-2</v>
      </c>
      <c r="DF53" s="743">
        <f>DF52/DA52-1</f>
        <v>-4.8669909441464432E-3</v>
      </c>
      <c r="DG53" s="754">
        <f>IF(ISERROR(DG52/DB52-1)," ",(DG52/DB52-1))</f>
        <v>0.16692919528375083</v>
      </c>
      <c r="DH53" s="743">
        <f>DH52/DC52-1</f>
        <v>-4.6842408415024739E-2</v>
      </c>
      <c r="DI53" s="743">
        <f>DI52/DD52-1</f>
        <v>-8.2124110652397664E-2</v>
      </c>
      <c r="DJ53" s="743">
        <f>DJ52/DE52-1</f>
        <v>-5.4988991544863142E-2</v>
      </c>
      <c r="DK53" s="743">
        <f>DK52/DF52-1</f>
        <v>8.7026990848690922E-3</v>
      </c>
      <c r="DL53" s="754">
        <f>IF(ISERROR(DL52/DG52-1)," ",(DL52/DG52-1))</f>
        <v>-4.5927704440155259E-2</v>
      </c>
      <c r="DM53" s="743">
        <f>DM52/DH52-1</f>
        <v>1.4739053016635584E-2</v>
      </c>
      <c r="DN53" s="743">
        <f>DN52/DI52-1</f>
        <v>9.5064292053110844E-3</v>
      </c>
      <c r="DO53" s="743">
        <f>DO52/DJ52-1</f>
        <v>-2.2341411750365081E-3</v>
      </c>
      <c r="DP53" s="743">
        <f>DP52/DK52-1</f>
        <v>-3.5259169195233975E-2</v>
      </c>
      <c r="DQ53" s="754">
        <f>IF(ISERROR(DQ52/DL52-1)," ",(DQ52/DL52-1))</f>
        <v>-3.0105968669675853E-3</v>
      </c>
      <c r="DR53" s="743">
        <f>DR52/DM52-1</f>
        <v>-1.3769888111002548E-2</v>
      </c>
      <c r="DS53" s="743">
        <f>DS52/DN52-1</f>
        <v>-1.4734894101776308E-2</v>
      </c>
      <c r="DT53" s="743">
        <f>DT52/DO52-1</f>
        <v>1.0656332056589557E-2</v>
      </c>
      <c r="DU53" s="743">
        <f>DU52/DP52-1</f>
        <v>1.0258684456055267E-2</v>
      </c>
      <c r="DV53" s="754">
        <f>IF(ISERROR(DV52/DQ52-1)," ",(DV52/DQ52-1))</f>
        <v>-2.0707013561825915E-3</v>
      </c>
      <c r="DW53" s="743">
        <f>DW52/DR52-1</f>
        <v>3.603831458734108E-3</v>
      </c>
      <c r="DX53" s="743">
        <f>DX52/DS52-1</f>
        <v>1.3463216315154902E-2</v>
      </c>
      <c r="DY53" s="743">
        <f>DY52/DT52-1</f>
        <v>-6.0759163817190043E-3</v>
      </c>
      <c r="DZ53" s="743">
        <f>DZ52/DU52-1</f>
        <v>1.4396761347717391E-2</v>
      </c>
      <c r="EA53" s="754">
        <f>IF(ISERROR(EA52/DV52-1)," ",(EA52/DV52-1))</f>
        <v>6.2004334595586741E-3</v>
      </c>
      <c r="EB53" s="743">
        <f>EB52/DW52-1</f>
        <v>-1.4293426232194317E-2</v>
      </c>
      <c r="EC53" s="743">
        <f>EC52/DX52-1</f>
        <v>-3.0338127412773419E-2</v>
      </c>
      <c r="ED53" s="743">
        <f>ED52/DY52-1</f>
        <v>-3.0448206256617816E-2</v>
      </c>
      <c r="EE53" s="743">
        <f>EE52/DZ52-1</f>
        <v>-3.6160000000000192E-2</v>
      </c>
      <c r="EF53" s="754">
        <f>IF(ISERROR(EF52/EA52-1)," ",(EF52/EA52-1))</f>
        <v>-2.7857831316856374E-2</v>
      </c>
      <c r="EG53" s="743">
        <f>EG52/EB52-1</f>
        <v>-5.4372879195303536E-2</v>
      </c>
      <c r="EH53" s="743">
        <f>EH52/EC52-1</f>
        <v>-7.4628437069898523E-2</v>
      </c>
      <c r="EI53" s="743">
        <f>EI52/ED52-1</f>
        <v>-5.3201557019039947E-2</v>
      </c>
      <c r="EJ53" s="743">
        <f>EJ52/EE52-1</f>
        <v>-1.7373807222228921E-2</v>
      </c>
      <c r="EK53" s="754">
        <f>IF(ISERROR(EK52/EF52-1)," ",(EK52/EF52-1))</f>
        <v>-5.0632589027057917E-2</v>
      </c>
      <c r="EL53" s="743">
        <f>EL52/EG52-1</f>
        <v>4.7644475783034101E-2</v>
      </c>
      <c r="EM53" s="743">
        <f>EM52/EH52-1</f>
        <v>7.1443219812244774E-2</v>
      </c>
      <c r="EN53" s="743">
        <f>EN52/EI52-1</f>
        <v>5.5893944209410629E-2</v>
      </c>
      <c r="EO53" s="743">
        <f>EO52/EJ52-1</f>
        <v>2.8726181100897197E-2</v>
      </c>
      <c r="EP53" s="754">
        <f>IF(ISERROR(EP52/EK52-1)," ",(EP52/EK52-1))</f>
        <v>5.1169176483714995E-2</v>
      </c>
      <c r="EQ53" s="743">
        <f>EQ52/EL52-1</f>
        <v>4.249999999999865E-3</v>
      </c>
      <c r="ER53" s="743">
        <f>ER52/EM52-1</f>
        <v>-8.9999999999990088E-4</v>
      </c>
      <c r="ES53" s="743">
        <f>ES52/EN52-1</f>
        <v>1.4550000000000063E-2</v>
      </c>
      <c r="ET53" s="743">
        <f>ET52/EO52-1</f>
        <v>1.9700000000000051E-2</v>
      </c>
      <c r="EU53" s="754">
        <f>IF(ISERROR(EU52/EP52-1)," ",(EU52/EP52-1))</f>
        <v>9.2210193757211734E-3</v>
      </c>
      <c r="EV53" s="743">
        <f>EV52/EQ52-1</f>
        <v>5.5750000000000188E-2</v>
      </c>
      <c r="EW53" s="743">
        <f>EW52/ER52-1</f>
        <v>6.0899999999999954E-2</v>
      </c>
      <c r="EX53" s="743">
        <f>EX52/ES52-1</f>
        <v>6.0899999999999732E-2</v>
      </c>
      <c r="EY53" s="743">
        <f>EY52/ET52-1</f>
        <v>5.5749999999999966E-2</v>
      </c>
      <c r="EZ53" s="754">
        <f>IF(ISERROR(EZ52/EU52-1)," ",(EZ52/EU52-1))</f>
        <v>4.0300000000000225E-2</v>
      </c>
      <c r="FA53" s="743">
        <f>FA52/EV52-1</f>
        <v>5.0599999999999978E-2</v>
      </c>
      <c r="FB53" s="743">
        <f>FB52/EW52-1</f>
        <v>5.06000000000002E-2</v>
      </c>
      <c r="FC53" s="743">
        <f>FC52/EX52-1</f>
        <v>5.06000000000002E-2</v>
      </c>
      <c r="FD53" s="743">
        <f>FD52/EY52-1</f>
        <v>5.06000000000002E-2</v>
      </c>
      <c r="FE53" s="754">
        <f>IF(ISERROR(FE52/EZ52-1)," ",(FE52/EZ52-1))</f>
        <v>4.5499999999999874E-2</v>
      </c>
      <c r="FF53" s="712"/>
      <c r="FG53" s="690"/>
      <c r="FH53" s="754"/>
      <c r="FI53" s="754"/>
      <c r="FJ53" s="754"/>
      <c r="FK53" s="754"/>
      <c r="FL53" s="690"/>
      <c r="FM53" s="973" t="s">
        <v>564</v>
      </c>
      <c r="FN53" s="752"/>
      <c r="FO53" s="748"/>
      <c r="FP53" s="748"/>
      <c r="FQ53" s="748" t="s">
        <v>625</v>
      </c>
      <c r="FR53" s="748"/>
      <c r="FS53" s="748"/>
      <c r="FT53" s="748"/>
      <c r="FU53" s="690"/>
      <c r="FV53"/>
      <c r="FW53"/>
      <c r="FX53"/>
      <c r="FY53"/>
      <c r="FZ53"/>
      <c r="GA53"/>
      <c r="GB53" s="725"/>
    </row>
    <row r="54" spans="1:184" s="532" customFormat="1" ht="12.75" customHeight="1">
      <c r="A54" s="1019" t="s">
        <v>290</v>
      </c>
      <c r="B54" s="952"/>
      <c r="C54" s="953"/>
      <c r="D54" s="953"/>
      <c r="E54" s="953"/>
      <c r="F54" s="754"/>
      <c r="G54" s="743"/>
      <c r="H54" s="954"/>
      <c r="I54" s="743"/>
      <c r="J54" s="743"/>
      <c r="K54" s="754"/>
      <c r="L54" s="743">
        <f>IF(ISERROR(L52/J52-1)," ",(L52/J52-1))</f>
        <v>-8.1262355987874457E-3</v>
      </c>
      <c r="M54" s="743">
        <f>IF(ISERROR(M52/L52-1)," ",(M52/L52-1))</f>
        <v>4.0756576661955535E-3</v>
      </c>
      <c r="N54" s="743">
        <f>IF(ISERROR(N52/M52-1)," ",(N52/M52-1))</f>
        <v>1.472803918887311E-2</v>
      </c>
      <c r="O54" s="743">
        <f>IF(ISERROR(O52/N52-1)," ",(O52/N52-1))</f>
        <v>1.9407791706260724E-3</v>
      </c>
      <c r="P54" s="754"/>
      <c r="Q54" s="743">
        <f>IF(ISERROR(Q52/O52-1)," ",(Q52/O52-1))</f>
        <v>-1.1279807583381762E-2</v>
      </c>
      <c r="R54" s="743">
        <f>IF(ISERROR(R52/Q52-1)," ",(R52/Q52-1))</f>
        <v>5.5876694979921648E-3</v>
      </c>
      <c r="S54" s="743">
        <f>IF(ISERROR(S52/R52-1)," ",(S52/R52-1))</f>
        <v>-1.8049049845329401E-2</v>
      </c>
      <c r="T54" s="743">
        <f>IF(ISERROR(T52/S52-1)," ",(T52/S52-1))</f>
        <v>-3.2274664278660881E-3</v>
      </c>
      <c r="U54" s="754"/>
      <c r="V54" s="743">
        <f>IF(ISERROR(V52/T52-1)," ",(V52/T52-1))</f>
        <v>9.8535644611466022E-3</v>
      </c>
      <c r="W54" s="743">
        <f>IF(ISERROR(W52/V52-1)," ",(W52/V52-1))</f>
        <v>8.894382446787974E-3</v>
      </c>
      <c r="X54" s="743">
        <f>IF(ISERROR(X52/W52-1)," ",(X52/W52-1))</f>
        <v>3.6155724166626602E-3</v>
      </c>
      <c r="Y54" s="743">
        <f>IF(ISERROR(Y52/X52-1)," ",(Y52/X52-1))</f>
        <v>1.5989279898279252E-2</v>
      </c>
      <c r="Z54" s="754"/>
      <c r="AA54" s="743">
        <f>IF(ISERROR(AA52/Y52-1)," ",(AA52/Y52-1))</f>
        <v>4.7510936932952941E-3</v>
      </c>
      <c r="AB54" s="743">
        <f>IF(ISERROR(AB52/AA52-1)," ",(AB52/AA52-1))</f>
        <v>2.381254772732877E-3</v>
      </c>
      <c r="AC54" s="743">
        <f>IF(ISERROR(AC52/AB52-1)," ",(AC52/AB52-1))</f>
        <v>-3.8856064188934614E-3</v>
      </c>
      <c r="AD54" s="743">
        <f>IF(ISERROR(AD52/AC52-1)," ",(AD52/AC52-1))</f>
        <v>6.6006741075483877E-3</v>
      </c>
      <c r="AE54" s="754"/>
      <c r="AF54" s="743">
        <f>IF(ISERROR(AF52/AD52-1)," ",(AF52/AD52-1))</f>
        <v>-2.0812698127896656E-2</v>
      </c>
      <c r="AG54" s="743">
        <f>IF(ISERROR(AG52/AF52-1)," ",(AG52/AF52-1))</f>
        <v>-2.1931671863746671E-2</v>
      </c>
      <c r="AH54" s="743">
        <f>IF(ISERROR(AH52/AG52-1)," ",(AH52/AG52-1))</f>
        <v>-1.091874059484188E-2</v>
      </c>
      <c r="AI54" s="743">
        <f>IF(ISERROR(AI52/AH52-1)," ",(AI52/AH52-1))</f>
        <v>-2.0625348301062107E-4</v>
      </c>
      <c r="AJ54" s="754"/>
      <c r="AK54" s="743">
        <f>IF(ISERROR(AK52/AI52-1)," ",(AK52/AI52-1))</f>
        <v>-1.0717561882590765E-2</v>
      </c>
      <c r="AL54" s="743">
        <f>IF(ISERROR(AL52/AK52-1)," ",(AL52/AK52-1))</f>
        <v>-3.2639299022432233E-3</v>
      </c>
      <c r="AM54" s="743">
        <f>IF(ISERROR(AM52/AL52-1)," ",(AM52/AL52-1))</f>
        <v>3.1824007398204568E-3</v>
      </c>
      <c r="AN54" s="743">
        <f>IF(ISERROR(AN52/AM52-1)," ",(AN52/AM52-1))</f>
        <v>-7.4519419911156515E-4</v>
      </c>
      <c r="AO54" s="754"/>
      <c r="AP54" s="743">
        <f>IF(ISERROR(AP52/AN52-1)," ",(AP52/AN52-1))</f>
        <v>-1.6515711461941862E-3</v>
      </c>
      <c r="AQ54" s="743">
        <f>IF(ISERROR(AQ52/AP52-1)," ",(AQ52/AP52-1))</f>
        <v>7.8613113229213383E-3</v>
      </c>
      <c r="AR54" s="743">
        <f>IF(ISERROR(AR52/AQ52-1)," ",(AR52/AQ52-1))</f>
        <v>-5.7372474026773479E-2</v>
      </c>
      <c r="AS54" s="743">
        <f>IF(ISERROR(AS52/AR52-1)," ",(AS52/AR52-1))</f>
        <v>7.0946347128800102E-2</v>
      </c>
      <c r="AT54" s="754"/>
      <c r="AU54" s="743">
        <f>IF(ISERROR(AU52/AS52-1)," ",(AU52/AS52-1))</f>
        <v>5.434754799478192E-4</v>
      </c>
      <c r="AV54" s="743">
        <f>IF(ISERROR(AV52/AU52-1)," ",(AV52/AU52-1))</f>
        <v>-1.5326113087292703E-2</v>
      </c>
      <c r="AW54" s="743">
        <f>IF(ISERROR(AW52/AV52-1)," ",(AW52/AV52-1))</f>
        <v>-6.3729621848145346E-3</v>
      </c>
      <c r="AX54" s="743">
        <f>IF(ISERROR(AX52/AW52-1)," ",(AX52/AW52-1))</f>
        <v>7.876846427272044E-3</v>
      </c>
      <c r="AY54" s="754"/>
      <c r="AZ54" s="743">
        <f>IF(ISERROR(AZ52/AX52-1)," ",(AZ52/AX52-1))</f>
        <v>-2.6462371535319607E-3</v>
      </c>
      <c r="BA54" s="743">
        <f>IF(ISERROR(BA52/AZ52-1)," ",(BA52/AZ52-1))</f>
        <v>-9.114445366280699E-3</v>
      </c>
      <c r="BB54" s="743">
        <f>IF(ISERROR(BB52/BA52-1)," ",(BB52/BA52-1))</f>
        <v>8.6976463687782335E-4</v>
      </c>
      <c r="BC54" s="743">
        <f>IF(ISERROR(BC52/BB52-1)," ",(BC52/BB52-1))</f>
        <v>1.7792080315403025E-2</v>
      </c>
      <c r="BD54" s="754"/>
      <c r="BE54" s="743">
        <f>IF(ISERROR(BE52/BC52-1)," ",(BE52/BC52-1))</f>
        <v>23.028705105384553</v>
      </c>
      <c r="BF54" s="743">
        <f>IF(ISERROR(BF52/BE52-1)," ",(BF52/BE52-1))</f>
        <v>7.3361828588576428E-2</v>
      </c>
      <c r="BG54" s="743">
        <f>IF(ISERROR(BG52/BF52-1)," ",(BG52/BF52-1))</f>
        <v>1.0769053758892255E-3</v>
      </c>
      <c r="BH54" s="743">
        <f>IF(ISERROR(BH52/BG52-1)," ",(BH52/BG52-1))</f>
        <v>-3.9163336172264862E-2</v>
      </c>
      <c r="BI54" s="754">
        <f>BI53</f>
        <v>3.024714906124859E-2</v>
      </c>
      <c r="BJ54" s="743">
        <f>IF(ISERROR(BJ52/BH52-1)," ",(BJ52/BH52-1))</f>
        <v>-7.0312264804918034E-2</v>
      </c>
      <c r="BK54" s="743">
        <f>IF(ISERROR(BK52/BJ52-1)," ",(BK52/BJ52-1))</f>
        <v>7.4883999158462E-2</v>
      </c>
      <c r="BL54" s="743">
        <f>IF(ISERROR(BL52/BK52-1)," ",(BL52/BK52-1))</f>
        <v>3.922468600744855E-3</v>
      </c>
      <c r="BM54" s="743">
        <f>IF(ISERROR(BM52/BL52-1)," ",(BM52/BL52-1))</f>
        <v>-4.0383975585499887E-2</v>
      </c>
      <c r="BN54" s="754"/>
      <c r="BO54" s="743">
        <f>IF(ISERROR(BO52/BM52-1)," ",(BO52/BM52-1))</f>
        <v>-1.4459402513861463E-2</v>
      </c>
      <c r="BP54" s="743">
        <f>IF(ISERROR(BP52/BO52-1)," ",(BP52/BO52-1))</f>
        <v>5.5366456690744803E-2</v>
      </c>
      <c r="BQ54" s="743">
        <f>IF(ISERROR(BQ52/BP52-1)," ",(BQ52/BP52-1))</f>
        <v>5.8148902904107125E-3</v>
      </c>
      <c r="BR54" s="743">
        <f>IF(ISERROR(BR52/BQ52-1)," ",(BR52/BQ52-1))</f>
        <v>-3.0153545135723769E-2</v>
      </c>
      <c r="BS54" s="754"/>
      <c r="BT54" s="743">
        <f>IF(ISERROR(BT52/BR52-1)," ",(BT52/BR52-1))</f>
        <v>-1.9874836146290487E-2</v>
      </c>
      <c r="BU54" s="743">
        <f>IF(ISERROR(BU52/BT52-1)," ",(BU52/BT52-1))</f>
        <v>4.3935714634597556E-2</v>
      </c>
      <c r="BV54" s="743">
        <f>IF(ISERROR(BV52/BU52-1)," ",(BV52/BU52-1))</f>
        <v>2.9537626022842378E-2</v>
      </c>
      <c r="BW54" s="743">
        <f>IF(ISERROR(BW52/BV52-1)," ",(BW52/BV52-1))</f>
        <v>3.8909595512234052E-2</v>
      </c>
      <c r="BX54" s="754">
        <f>BX53</f>
        <v>3.0038553304752247E-2</v>
      </c>
      <c r="BY54" s="743">
        <f>IF(ISERROR(BY52/BW52-1)," ",(BY52/BW52-1))</f>
        <v>-8.1428647974413071E-3</v>
      </c>
      <c r="BZ54" s="743">
        <f>IF(ISERROR(BZ52/BY52-1)," ",(BZ52/BY52-1))</f>
        <v>9.1891882365248145E-2</v>
      </c>
      <c r="CA54" s="743">
        <f>IF(ISERROR(CA52/BZ52-1)," ",(CA52/BZ52-1))</f>
        <v>1.1681142289364344E-2</v>
      </c>
      <c r="CB54" s="743">
        <f>IF(ISERROR(CB52/CA52-1)," ",(CB52/CA52-1))</f>
        <v>-1.3823050919015145E-3</v>
      </c>
      <c r="CC54" s="754">
        <f>CC53</f>
        <v>0.1245486715891484</v>
      </c>
      <c r="CD54" s="743">
        <f>IF(ISERROR(CD52/CB52-1)," ",(CD52/CB52-1))</f>
        <v>-3.3271736838690891E-2</v>
      </c>
      <c r="CE54" s="743">
        <f>IF(ISERROR(CE52/CD52-1)," ",(CE52/CD52-1))</f>
        <v>7.7904633982538662E-2</v>
      </c>
      <c r="CF54" s="743">
        <f>IF(ISERROR(CF52/CE52-1)," ",(CF52/CE52-1))</f>
        <v>4.6862483311081338E-2</v>
      </c>
      <c r="CG54" s="743">
        <f>IF(ISERROR(CG52/CF52-1)," ",(CG52/CF52-1))</f>
        <v>1.5063271408125356E-2</v>
      </c>
      <c r="CH54" s="754">
        <f>CH53</f>
        <v>7.9050806032381349E-2</v>
      </c>
      <c r="CI54" s="743">
        <f>IF(ISERROR(CI52/CG52-1)," ",(CI52/CG52-1))</f>
        <v>-5.4891668528032178E-2</v>
      </c>
      <c r="CJ54" s="743">
        <f>IF(ISERROR(CJ52/CI52-1)," ",(CJ52/CI52-1))</f>
        <v>2.2171344165435647E-2</v>
      </c>
      <c r="CK54" s="743">
        <f>IF(ISERROR(CK52/CJ52-1)," ",(CK52/CJ52-1))</f>
        <v>-2.0447681391887351E-2</v>
      </c>
      <c r="CL54" s="743">
        <f>IF(ISERROR(CL52/CK52-1)," ",(CL52/CK52-1))</f>
        <v>-2.7704835806803496E-2</v>
      </c>
      <c r="CM54" s="754">
        <f>CM53</f>
        <v>-4.9964580498877975E-3</v>
      </c>
      <c r="CN54" s="743">
        <f>IF(ISERROR(CN52/CL52-1)," ",(CN52/CL52-1))</f>
        <v>3.2317776294226164E-3</v>
      </c>
      <c r="CO54" s="743">
        <f>IF(ISERROR(CO52/CN52-1)," ",(CO52/CN52-1))</f>
        <v>9.2829812011312685E-2</v>
      </c>
      <c r="CP54" s="743">
        <f>IF(ISERROR(CP52/CO52-1)," ",(CP52/CO52-1))</f>
        <v>-1.3783750121092231E-2</v>
      </c>
      <c r="CQ54" s="743">
        <f>IF(ISERROR(CQ52/CP52-1)," ",(CQ52/CP52-1))</f>
        <v>-1.8859716823597106E-2</v>
      </c>
      <c r="CR54" s="754">
        <f>CR53</f>
        <v>3.2726031855275117E-2</v>
      </c>
      <c r="CS54" s="1007">
        <f>IF(ISERROR(CS52/CQ52-1)," ",(CS52/CQ52-1))</f>
        <v>-2.5415123214004742E-2</v>
      </c>
      <c r="CT54" s="743">
        <f>IF(ISERROR(CT52/CS52-1)," ",(CT52/CS52-1))</f>
        <v>8.053770068386612E-2</v>
      </c>
      <c r="CU54" s="743">
        <f>IF(ISERROR(CU52/CT52-1)," ",(CU52/CT52-1))</f>
        <v>-9.6292272171669691E-3</v>
      </c>
      <c r="CV54" s="743">
        <f>IF(ISERROR(CV52/CU52-1)," ",(CV52/CU52-1))</f>
        <v>-0.1150971599402093</v>
      </c>
      <c r="CW54" s="754">
        <f>CW53</f>
        <v>-1.2632878064577913E-4</v>
      </c>
      <c r="CX54" s="1007">
        <f>IF(ISERROR(CX52/CV52-1)," ",(CX52/CV52-1))</f>
        <v>-7.5178542648152713E-2</v>
      </c>
      <c r="CY54" s="743">
        <f>IF(ISERROR(CY52/CX52-1)," ",(CY52/CX52-1))</f>
        <v>0.14823030540856541</v>
      </c>
      <c r="CZ54" s="743">
        <f>IF(ISERROR(CZ52/CY52-1)," ",(CZ52/CY52-1))</f>
        <v>0.11934303444484118</v>
      </c>
      <c r="DA54" s="743">
        <f>IF(ISERROR(DA52/CZ52-1)," ",(DA52/CZ52-1))</f>
        <v>1.3981391521204589E-2</v>
      </c>
      <c r="DB54" s="754">
        <f>DB53</f>
        <v>1.1395665537140554E-2</v>
      </c>
      <c r="DC54" s="1007">
        <f>IF(ISERROR(DC52/DA52-1)," ",(DC52/DA52-1))</f>
        <v>3.468367516191373E-2</v>
      </c>
      <c r="DD54" s="743">
        <f>IF(ISERROR(DD52/DC52-1)," ",(DD52/DC52-1))</f>
        <v>9.9064164627095552E-2</v>
      </c>
      <c r="DE54" s="743">
        <f>IF(ISERROR(DE52/DD52-1)," ",(DE52/DD52-1))</f>
        <v>-5.7836926898076624E-2</v>
      </c>
      <c r="DF54" s="743">
        <f>IF(ISERROR(DF52/DE52-1)," ",(DF52/DE52-1))</f>
        <v>-7.1195290450162263E-2</v>
      </c>
      <c r="DG54" s="754">
        <f>DG53</f>
        <v>0.16692919528375083</v>
      </c>
      <c r="DH54" s="743">
        <f>IF(ISERROR(DH52/DF52-1)," ",(DH52/DF52-1))</f>
        <v>-8.9600175103151658E-3</v>
      </c>
      <c r="DI54" s="743">
        <f>IF(ISERROR(DI52/DH52-1)," ",(DI52/DH52-1))</f>
        <v>5.8381642724647742E-2</v>
      </c>
      <c r="DJ54" s="743">
        <f>IF(ISERROR(DJ52/DI52-1)," ",(DJ52/DI52-1))</f>
        <v>-2.9983806989335227E-2</v>
      </c>
      <c r="DK54" s="743">
        <f>IF(ISERROR(DK52/DJ52-1)," ",(DK52/DJ52-1))</f>
        <v>-8.5958691875527293E-3</v>
      </c>
      <c r="DL54" s="754"/>
      <c r="DM54" s="743">
        <f>IF(ISERROR(DM52/DK52-1)," ",(DM52/DK52-1))</f>
        <v>-3.0293621246729741E-3</v>
      </c>
      <c r="DN54" s="743">
        <f>IF(ISERROR(DN52/DM52-1)," ",(DN52/DM52-1))</f>
        <v>5.2923970657404507E-2</v>
      </c>
      <c r="DO54" s="743">
        <f>IF(ISERROR(DO52/DN52-1)," ",(DO52/DN52-1))</f>
        <v>-4.1265105507744426E-2</v>
      </c>
      <c r="DP54" s="743">
        <f>IF(ISERROR(DP52/DO52-1)," ",(DP52/DO52-1))</f>
        <v>-4.1410330526186589E-2</v>
      </c>
      <c r="DQ54" s="754"/>
      <c r="DR54" s="743">
        <f>IF(ISERROR(DR52/DP52-1)," ",(DR52/DP52-1))</f>
        <v>1.917782719077965E-2</v>
      </c>
      <c r="DS54" s="743">
        <f>IF(ISERROR(DS52/DR52-1)," ",(DS52/DR52-1))</f>
        <v>5.189370609007371E-2</v>
      </c>
      <c r="DT54" s="743">
        <f>IF(ISERROR(DT52/DS52-1)," ",(DT52/DS52-1))</f>
        <v>-1.6557588326592487E-2</v>
      </c>
      <c r="DU54" s="743">
        <f>IF(ISERROR(DU52/DT52-1)," ",(DU52/DT52-1))</f>
        <v>-4.178749224760725E-2</v>
      </c>
      <c r="DV54" s="754"/>
      <c r="DW54" s="743">
        <f>IF(ISERROR(DW52/DU52-1)," ",(DW52/DU52-1))</f>
        <v>1.2464221336714765E-2</v>
      </c>
      <c r="DX54" s="743">
        <f>IF(ISERROR(DX52/DW52-1)," ",(DX52/DW52-1))</f>
        <v>6.2227489751814691E-2</v>
      </c>
      <c r="DY54" s="743">
        <f>IF(ISERROR(DY52/DX52-1)," ",(DY52/DX52-1))</f>
        <v>-3.5517932887775827E-2</v>
      </c>
      <c r="DZ54" s="743">
        <f>IF(ISERROR(DZ52/DY52-1)," ",(DZ52/DY52-1))</f>
        <v>-2.2050395430196934E-2</v>
      </c>
      <c r="EA54" s="754"/>
      <c r="EB54" s="743">
        <f>IF(ISERROR(EB52/DZ52-1)," ",(EB52/DZ52-1))</f>
        <v>-1.6171308206485824E-2</v>
      </c>
      <c r="EC54" s="743">
        <f>IF(ISERROR(EC52/EB52-1)," ",(EC52/EB52-1))</f>
        <v>4.4937230041241616E-2</v>
      </c>
      <c r="ED54" s="743">
        <f>IF(ISERROR(ED52/EC52-1)," ",(ED52/EC52-1))</f>
        <v>-3.5627423704995609E-2</v>
      </c>
      <c r="EE54" s="743">
        <f>IF(ISERROR(EE52/ED52-1)," ",(EE52/ED52-1))</f>
        <v>-2.7811662098745304E-2</v>
      </c>
      <c r="EF54" s="754"/>
      <c r="EG54" s="743">
        <f>IF(ISERROR(EG52/EE52-1)," ",(EG52/EE52-1))</f>
        <v>-3.4761897010134435E-2</v>
      </c>
      <c r="EH54" s="743">
        <f>IF(ISERROR(EH52/EG52-1)," ",(EH52/EG52-1))</f>
        <v>2.2554426002787453E-2</v>
      </c>
      <c r="EI54" s="743">
        <f>IF(ISERROR(EI52/EH52-1)," ",(EI52/EH52-1))</f>
        <v>-1.3297479340613538E-2</v>
      </c>
      <c r="EJ54" s="743">
        <f>IF(ISERROR(EJ52/EI52-1)," ",(EJ52/EI52-1))</f>
        <v>8.9768653686621569E-3</v>
      </c>
      <c r="EK54" s="754"/>
      <c r="EL54" s="743">
        <f>IF(ISERROR(EL52/EJ52-1)," ",(EL52/EJ52-1))</f>
        <v>2.9105853115931613E-2</v>
      </c>
      <c r="EM54" s="743">
        <f>IF(ISERROR(EM52/EL52-1)," ",(EM52/EL52-1))</f>
        <v>4.5783213633426856E-2</v>
      </c>
      <c r="EN54" s="743">
        <f>IF(ISERROR(EN52/EM52-1)," ",(EN52/EM52-1))</f>
        <v>-2.761695903682404E-2</v>
      </c>
      <c r="EO54" s="743">
        <f>IF(ISERROR(EO52/EN52-1)," ",(EO52/EN52-1))</f>
        <v>-1.6983738544859017E-2</v>
      </c>
      <c r="EP54" s="754"/>
      <c r="EQ54" s="743">
        <f>IF(ISERROR(EQ52/EO52-1)," ",(EQ52/EO52-1))</f>
        <v>4.6206385898432956E-3</v>
      </c>
      <c r="ER54" s="743">
        <f>IF(ISERROR(ER52/EQ52-1)," ",(ER52/EQ52-1))</f>
        <v>4.0420222794281369E-2</v>
      </c>
      <c r="ES54" s="743">
        <f>IF(ISERROR(ES52/ER52-1)," ",(ES52/ER52-1))</f>
        <v>-1.2580107887908865E-2</v>
      </c>
      <c r="ET54" s="743">
        <f>IF(ISERROR(ET52/ES52-1)," ",(ET52/ES52-1))</f>
        <v>-1.1993808283665586E-2</v>
      </c>
      <c r="EU54" s="754"/>
      <c r="EV54" s="743">
        <f>IF(ISERROR(EV52/ET52-1)," ",(EV52/ET52-1))</f>
        <v>4.0137529853120801E-2</v>
      </c>
      <c r="EW54" s="743">
        <f>IF(ISERROR(EW52/EV52-1)," ",(EW52/EV52-1))</f>
        <v>4.549544339327749E-2</v>
      </c>
      <c r="EX54" s="743">
        <f>IF(ISERROR(EX52/EW52-1)," ",(EX52/EW52-1))</f>
        <v>-1.2580107887908976E-2</v>
      </c>
      <c r="EY54" s="743">
        <f>IF(ISERROR(EY52/EX52-1)," ",(EY52/EX52-1))</f>
        <v>-1.678995484539525E-2</v>
      </c>
      <c r="EZ54" s="754"/>
      <c r="FA54" s="743">
        <f>IF(ISERROR(FA52/EY52-1)," ",(FA52/EY52-1))</f>
        <v>3.5063688244081126E-2</v>
      </c>
      <c r="FB54" s="743">
        <f>IF(ISERROR(FB52/FA52-1)," ",(FB52/FA52-1))</f>
        <v>4.5495443393277712E-2</v>
      </c>
      <c r="FC54" s="743">
        <f>IF(ISERROR(FC52/FB52-1)," ",(FC52/FB52-1))</f>
        <v>-1.2580107887908865E-2</v>
      </c>
      <c r="FD54" s="743">
        <f>IF(ISERROR(FD52/FC52-1)," ",(FD52/FC52-1))</f>
        <v>-1.6789954845395361E-2</v>
      </c>
      <c r="FE54" s="754"/>
      <c r="FF54" s="721"/>
      <c r="FG54" s="690"/>
      <c r="FH54" s="955">
        <f>AVERAGE(DH54,DM54,DC54,DR54,DW54,EB54,EG54,EL54)</f>
        <v>4.0636239942164198E-3</v>
      </c>
      <c r="FI54" s="955">
        <f t="shared" ref="FI54" si="185">AVERAGE(DI54,DN54,DD54,DS54,DX54,EC54,EH54,EM54)</f>
        <v>5.4720730441061516E-2</v>
      </c>
      <c r="FJ54" s="955">
        <f t="shared" ref="FJ54" si="186">AVERAGE(DJ54,DO54,DE54,DT54,DY54,ED54,EI54,EN54)</f>
        <v>-3.2212902836494722E-2</v>
      </c>
      <c r="FK54" s="955">
        <f t="shared" ref="FK54" si="187">AVERAGE(DK54,DP54,DF54,DU54,DZ54,EE54,EJ54,EO54)</f>
        <v>-2.7607239139580991E-2</v>
      </c>
      <c r="FL54" s="690"/>
      <c r="FM54" s="752"/>
      <c r="FN54" s="1234" t="s">
        <v>565</v>
      </c>
      <c r="FO54" s="723"/>
      <c r="FP54" s="723"/>
      <c r="FQ54" s="723"/>
      <c r="FR54" s="723"/>
      <c r="FS54" s="723"/>
      <c r="FT54" s="723"/>
      <c r="FU54" s="690"/>
      <c r="FV54"/>
      <c r="FW54"/>
      <c r="FX54"/>
      <c r="FY54"/>
      <c r="FZ54"/>
      <c r="GA54"/>
      <c r="GB54" s="725"/>
    </row>
    <row r="55" spans="1:184" s="532" customFormat="1" ht="12.75" customHeight="1">
      <c r="A55" s="1020" t="s">
        <v>299</v>
      </c>
      <c r="B55" s="1011"/>
      <c r="C55" s="1012"/>
      <c r="D55" s="1012"/>
      <c r="E55" s="1012"/>
      <c r="F55" s="1013"/>
      <c r="G55" s="750">
        <v>1158.1825970849134</v>
      </c>
      <c r="H55" s="1014">
        <v>1157.8298032946732</v>
      </c>
      <c r="I55" s="750">
        <v>1146.4824109046911</v>
      </c>
      <c r="J55" s="750">
        <v>1141.7428767104161</v>
      </c>
      <c r="K55" s="1013">
        <f>K49*2000/K58</f>
        <v>1151.1944242477909</v>
      </c>
      <c r="L55" s="750">
        <v>1132.4648051010299</v>
      </c>
      <c r="M55" s="1014">
        <v>1137.0803439656365</v>
      </c>
      <c r="N55" s="750">
        <v>1153.8273078324598</v>
      </c>
      <c r="O55" s="750">
        <v>1156.0666318380006</v>
      </c>
      <c r="P55" s="1013">
        <f>P49*2000/P58</f>
        <v>1145.4007796070753</v>
      </c>
      <c r="Q55" s="750">
        <v>1143.0264226772997</v>
      </c>
      <c r="R55" s="1014">
        <v>1149.4132765546926</v>
      </c>
      <c r="S55" s="750">
        <v>1128.6674590332736</v>
      </c>
      <c r="T55" s="750">
        <v>1125.0247227010188</v>
      </c>
      <c r="U55" s="1013">
        <f>U49*2000/U58</f>
        <v>1136.4154472879654</v>
      </c>
      <c r="V55" s="750">
        <v>1136.110226326537</v>
      </c>
      <c r="W55" s="1014">
        <v>1146.2152251811922</v>
      </c>
      <c r="X55" s="750">
        <v>1150.359449332916</v>
      </c>
      <c r="Y55" s="750">
        <v>1168.7528685519303</v>
      </c>
      <c r="Z55" s="1013">
        <f>Z49*2000/Z58</f>
        <v>1150.9322809105602</v>
      </c>
      <c r="AA55" s="750">
        <v>1174.3057229347282</v>
      </c>
      <c r="AB55" s="1014">
        <v>1177.1020440421141</v>
      </c>
      <c r="AC55" s="750">
        <v>1172.5282887840915</v>
      </c>
      <c r="AD55" s="750">
        <v>1180.2677659002366</v>
      </c>
      <c r="AE55" s="1013">
        <f>AE49*2000/AE58</f>
        <v>1176.0688475820123</v>
      </c>
      <c r="AF55" s="750">
        <v>1155.7032091784679</v>
      </c>
      <c r="AG55" s="1014">
        <v>1130.3567056228867</v>
      </c>
      <c r="AH55" s="750">
        <v>1118.0146339745504</v>
      </c>
      <c r="AI55" s="750">
        <v>1117.7840395622363</v>
      </c>
      <c r="AJ55" s="1013">
        <f>AJ49*2000/AJ58</f>
        <v>1129.8411282795696</v>
      </c>
      <c r="AK55" s="750">
        <v>1105.8041199468557</v>
      </c>
      <c r="AL55" s="1014">
        <v>1102.1948528137375</v>
      </c>
      <c r="AM55" s="750">
        <v>1105.7024785287583</v>
      </c>
      <c r="AN55" s="750">
        <v>1104.8785154558154</v>
      </c>
      <c r="AO55" s="1013">
        <f>AO49*2000/AO58</f>
        <v>1104.6448781908082</v>
      </c>
      <c r="AP55" s="750">
        <v>1103.0537299796388</v>
      </c>
      <c r="AQ55" s="1014">
        <v>1111.7251787569182</v>
      </c>
      <c r="AR55" s="750">
        <v>1047.9427548137769</v>
      </c>
      <c r="AS55" s="750">
        <v>1122.2904652679063</v>
      </c>
      <c r="AT55" s="1013">
        <f>AT49*2000/AT58</f>
        <v>1095.1042406322777</v>
      </c>
      <c r="AU55" s="750">
        <v>1122.9004026171585</v>
      </c>
      <c r="AV55" s="1014">
        <v>1105.6907040608814</v>
      </c>
      <c r="AW55" s="750">
        <v>1098.6441790158005</v>
      </c>
      <c r="AX55" s="750">
        <v>1107.2980304921243</v>
      </c>
      <c r="AY55" s="1013">
        <f>AY49*2000/AY58</f>
        <v>1108.3288175842481</v>
      </c>
      <c r="AZ55" s="750">
        <v>1104.3678573038032</v>
      </c>
      <c r="BA55" s="1014">
        <v>1094.3021568041313</v>
      </c>
      <c r="BB55" s="750">
        <v>1095.2539421221786</v>
      </c>
      <c r="BC55" s="750">
        <v>1114.7407882261782</v>
      </c>
      <c r="BD55" s="1013">
        <f>BD49*2000/BD58</f>
        <v>1102.0346430227128</v>
      </c>
      <c r="BE55" s="750">
        <v>1109.4090811483829</v>
      </c>
      <c r="BF55" s="1014">
        <v>1110.3478462231324</v>
      </c>
      <c r="BG55" s="750">
        <v>1100.514924163263</v>
      </c>
      <c r="BH55" s="750">
        <v>1096.707812559933</v>
      </c>
      <c r="BI55" s="1013">
        <f>BI49*2000/BI58</f>
        <v>1104.3152011261511</v>
      </c>
      <c r="BJ55" s="750">
        <v>1082.2134305152165</v>
      </c>
      <c r="BK55" s="1014">
        <v>1091.905488556097</v>
      </c>
      <c r="BL55" s="750">
        <v>1088.0438146816691</v>
      </c>
      <c r="BM55" s="750">
        <v>1070.9892154752945</v>
      </c>
      <c r="BN55" s="1013">
        <f>BN49*2000/BN58</f>
        <v>1083.4561445723882</v>
      </c>
      <c r="BO55" s="750">
        <v>1066.0125416598139</v>
      </c>
      <c r="BP55" s="1014">
        <v>1072.3403734115579</v>
      </c>
      <c r="BQ55" s="750">
        <v>1071.32381672925</v>
      </c>
      <c r="BR55" s="750">
        <v>1073.148086230329</v>
      </c>
      <c r="BS55" s="1013">
        <f>BS49*2000/BS58</f>
        <v>1070.7547281235722</v>
      </c>
      <c r="BT55" s="750">
        <v>1065.0158664685564</v>
      </c>
      <c r="BU55" s="1014">
        <v>1072.9546314325453</v>
      </c>
      <c r="BV55" s="750">
        <v>1067.957196423032</v>
      </c>
      <c r="BW55" s="750">
        <v>1083.5560791507723</v>
      </c>
      <c r="BX55" s="1013">
        <f>BX49*2000/BX58</f>
        <v>1072.4506805877186</v>
      </c>
      <c r="BY55" s="750">
        <v>1095.0241668602546</v>
      </c>
      <c r="BZ55" s="1014">
        <v>1121.8823745113179</v>
      </c>
      <c r="CA55" s="750">
        <v>1123.8569749837691</v>
      </c>
      <c r="CB55" s="750">
        <v>1132.0554226669735</v>
      </c>
      <c r="CC55" s="1013">
        <f>CC49*2000/CC58</f>
        <v>1118.4604217107587</v>
      </c>
      <c r="CD55" s="750">
        <v>1139.3747267162221</v>
      </c>
      <c r="CE55" s="750">
        <v>1145.2988548710457</v>
      </c>
      <c r="CF55" s="750">
        <v>1157.9128722618755</v>
      </c>
      <c r="CG55" s="750">
        <v>1193.6080515888225</v>
      </c>
      <c r="CH55" s="1013">
        <f>CH49*2000/CH58</f>
        <v>1159.1647065836178</v>
      </c>
      <c r="CI55" s="750">
        <v>1171.2802768166091</v>
      </c>
      <c r="CJ55" s="750">
        <v>1172.0838061685947</v>
      </c>
      <c r="CK55" s="750">
        <v>1165.2084228620542</v>
      </c>
      <c r="CL55" s="750">
        <v>1161.7429316787704</v>
      </c>
      <c r="CM55" s="1013">
        <f>CM49*2000/CM58</f>
        <v>1167.7003399062476</v>
      </c>
      <c r="CN55" s="750">
        <v>1155.7796850145955</v>
      </c>
      <c r="CO55" s="750">
        <v>1167.1243054658225</v>
      </c>
      <c r="CP55" s="750">
        <v>1147.6632202789319</v>
      </c>
      <c r="CQ55" s="750">
        <v>1143.5697813251338</v>
      </c>
      <c r="CR55" s="1013">
        <f>CR49*2000/CR58</f>
        <v>1153.6138030288671</v>
      </c>
      <c r="CS55" s="750">
        <v>1161.8612423059217</v>
      </c>
      <c r="CT55" s="750">
        <v>1200.2608199527265</v>
      </c>
      <c r="CU55" s="750">
        <v>1207.0615109580879</v>
      </c>
      <c r="CV55" s="750">
        <v>1179.2397660818713</v>
      </c>
      <c r="CW55" s="1013">
        <f>CW49*2000/CW58</f>
        <v>1187.6801359473013</v>
      </c>
      <c r="CX55" s="750">
        <v>1167</v>
      </c>
      <c r="CY55" s="750">
        <v>1181</v>
      </c>
      <c r="CZ55" s="750">
        <v>1215</v>
      </c>
      <c r="DA55" s="750">
        <v>1230</v>
      </c>
      <c r="DB55" s="1013">
        <f>DB49*2000/DB58</f>
        <v>1200.120859128896</v>
      </c>
      <c r="DC55" s="750">
        <v>1275</v>
      </c>
      <c r="DD55" s="750">
        <v>1286</v>
      </c>
      <c r="DE55" s="750">
        <v>1305</v>
      </c>
      <c r="DF55" s="750">
        <v>1295</v>
      </c>
      <c r="DG55" s="1013">
        <f>DG49*2000/DG58</f>
        <v>1290.1502213366455</v>
      </c>
      <c r="DH55" s="750">
        <v>1323</v>
      </c>
      <c r="DI55" s="750">
        <v>1313</v>
      </c>
      <c r="DJ55" s="750">
        <v>1285</v>
      </c>
      <c r="DK55" s="750">
        <v>1302</v>
      </c>
      <c r="DL55" s="1013">
        <f>DL49*2000/DL58</f>
        <v>1305.5843688900002</v>
      </c>
      <c r="DM55" s="750">
        <v>1328</v>
      </c>
      <c r="DN55" s="750">
        <v>1342</v>
      </c>
      <c r="DO55" s="750">
        <v>1319</v>
      </c>
      <c r="DP55" s="750">
        <v>1315</v>
      </c>
      <c r="DQ55" s="1013">
        <f>DQ49*2000/DQ58</f>
        <v>1326.3039499989097</v>
      </c>
      <c r="DR55" s="750">
        <v>1334</v>
      </c>
      <c r="DS55" s="750">
        <v>1339</v>
      </c>
      <c r="DT55" s="750">
        <v>1331</v>
      </c>
      <c r="DU55" s="750">
        <v>1331</v>
      </c>
      <c r="DV55" s="1013">
        <f>DV49*2000/DV58</f>
        <v>1333.822770208634</v>
      </c>
      <c r="DW55" s="750">
        <v>1381</v>
      </c>
      <c r="DX55" s="750">
        <v>1370</v>
      </c>
      <c r="DY55" s="750">
        <v>1332</v>
      </c>
      <c r="DZ55" s="750">
        <v>1333</v>
      </c>
      <c r="EA55" s="1013">
        <f>EA49*2000/EA58</f>
        <v>1353.8614811882501</v>
      </c>
      <c r="EB55" s="750">
        <v>1349</v>
      </c>
      <c r="EC55" s="750">
        <v>1352</v>
      </c>
      <c r="ED55" s="750">
        <v>1324</v>
      </c>
      <c r="EE55" s="750">
        <f>DZ55*(1+EE56)</f>
        <v>1338.3320000000001</v>
      </c>
      <c r="EF55" s="1013">
        <f>EF49*2000/EF58</f>
        <v>1340.8007043229284</v>
      </c>
      <c r="EG55" s="750">
        <v>1342</v>
      </c>
      <c r="EH55" s="750">
        <v>1331</v>
      </c>
      <c r="EI55" s="750">
        <v>1322</v>
      </c>
      <c r="EJ55" s="750">
        <v>1352.0000000000002</v>
      </c>
      <c r="EK55" s="1013">
        <f>EK49*2000/EK58</f>
        <v>1336.4353585325325</v>
      </c>
      <c r="EL55" s="750">
        <v>1393</v>
      </c>
      <c r="EM55" s="750">
        <v>1382</v>
      </c>
      <c r="EN55" s="750">
        <v>1371</v>
      </c>
      <c r="EO55" s="750">
        <v>1398</v>
      </c>
      <c r="EP55" s="1013">
        <f>EP49*2000/EP58</f>
        <v>1385.744890667434</v>
      </c>
      <c r="EQ55" s="750">
        <f t="shared" ref="EQ55:ER55" si="188">EL55*(1+EQ56)</f>
        <v>1434.79</v>
      </c>
      <c r="ER55" s="750">
        <f t="shared" si="188"/>
        <v>1423.46</v>
      </c>
      <c r="ES55" s="750">
        <f t="shared" ref="ES55" si="189">EN55*(1+ES56)</f>
        <v>1412.13</v>
      </c>
      <c r="ET55" s="750">
        <f t="shared" ref="ET55" si="190">EO55*(1+ET56)</f>
        <v>1439.94</v>
      </c>
      <c r="EU55" s="1013">
        <f>EU49*2000/EU58</f>
        <v>1427.3251611076116</v>
      </c>
      <c r="EV55" s="750">
        <f t="shared" ref="EV55" si="191">EQ55*(1+EV56)</f>
        <v>1470.6597499999998</v>
      </c>
      <c r="EW55" s="750">
        <f t="shared" ref="EW55" si="192">ER55*(1+EW56)</f>
        <v>1466.1638</v>
      </c>
      <c r="EX55" s="750">
        <f t="shared" ref="EX55" si="193">ES55*(1+EX56)</f>
        <v>1454.4939000000002</v>
      </c>
      <c r="EY55" s="750">
        <f t="shared" ref="EY55" si="194">ET55*(1+EY56)</f>
        <v>1475.9385</v>
      </c>
      <c r="EZ55" s="1013">
        <f t="shared" ref="EZ55" si="195">EU55*(1+EZ56)</f>
        <v>1470.1449159408401</v>
      </c>
      <c r="FA55" s="750">
        <f t="shared" ref="FA55" si="196">EV55*(1+FA56)</f>
        <v>1500.0729449999999</v>
      </c>
      <c r="FB55" s="750">
        <f t="shared" ref="FB55" si="197">EW55*(1+FB56)</f>
        <v>1495.4870760000001</v>
      </c>
      <c r="FC55" s="750">
        <f t="shared" ref="FC55" si="198">EX55*(1+FC56)</f>
        <v>1483.5837780000002</v>
      </c>
      <c r="FD55" s="750">
        <f t="shared" ref="FD55" si="199">EY55*(1+FD56)</f>
        <v>1505.4572700000001</v>
      </c>
      <c r="FE55" s="1013">
        <f t="shared" ref="FE55" si="200">EZ55*(1+FE56)</f>
        <v>1499.5478142596569</v>
      </c>
      <c r="FF55" s="712"/>
      <c r="FG55" s="690"/>
      <c r="FH55" s="754"/>
      <c r="FI55" s="754"/>
      <c r="FJ55" s="754"/>
      <c r="FK55" s="754"/>
      <c r="FL55" s="690"/>
      <c r="FM55" s="973"/>
      <c r="FN55" s="752"/>
      <c r="FO55" s="748"/>
      <c r="FP55" s="748"/>
      <c r="FQ55" s="720" t="s">
        <v>615</v>
      </c>
      <c r="FR55" s="748"/>
      <c r="FS55" s="748"/>
      <c r="FT55" s="748"/>
      <c r="FU55" s="690"/>
      <c r="FV55"/>
      <c r="FW55"/>
      <c r="FX55"/>
      <c r="FY55"/>
      <c r="FZ55"/>
      <c r="GA55"/>
      <c r="GB55" s="961"/>
    </row>
    <row r="56" spans="1:184" s="532" customFormat="1" ht="12.75" customHeight="1">
      <c r="A56" s="1019" t="s">
        <v>85</v>
      </c>
      <c r="B56" s="992"/>
      <c r="C56" s="993"/>
      <c r="D56" s="993"/>
      <c r="E56" s="993"/>
      <c r="F56" s="754"/>
      <c r="G56" s="743"/>
      <c r="H56" s="954"/>
      <c r="I56" s="743"/>
      <c r="J56" s="743"/>
      <c r="K56" s="754"/>
      <c r="L56" s="743">
        <f t="shared" ref="L56:BW56" si="201">L55/G55-1</f>
        <v>-2.2205299966183034E-2</v>
      </c>
      <c r="M56" s="954">
        <f t="shared" si="201"/>
        <v>-1.7920992593205676E-2</v>
      </c>
      <c r="N56" s="743">
        <f t="shared" si="201"/>
        <v>6.4064628099902432E-3</v>
      </c>
      <c r="O56" s="743">
        <f t="shared" si="201"/>
        <v>1.2545517401303163E-2</v>
      </c>
      <c r="P56" s="754">
        <f t="shared" si="201"/>
        <v>-5.0327247237158534E-3</v>
      </c>
      <c r="Q56" s="743">
        <f t="shared" si="201"/>
        <v>9.3262214672777954E-3</v>
      </c>
      <c r="R56" s="954">
        <f t="shared" si="201"/>
        <v>1.0846139988704984E-2</v>
      </c>
      <c r="S56" s="743">
        <f t="shared" si="201"/>
        <v>-2.1805558447434037E-2</v>
      </c>
      <c r="T56" s="743">
        <f t="shared" si="201"/>
        <v>-2.6851314865501297E-2</v>
      </c>
      <c r="U56" s="754">
        <f t="shared" si="201"/>
        <v>-7.8447059571516986E-3</v>
      </c>
      <c r="V56" s="743">
        <f t="shared" si="201"/>
        <v>-6.0507755669925167E-3</v>
      </c>
      <c r="W56" s="954">
        <f t="shared" si="201"/>
        <v>-2.782333768656664E-3</v>
      </c>
      <c r="X56" s="743">
        <f t="shared" si="201"/>
        <v>1.9219115538443798E-2</v>
      </c>
      <c r="Y56" s="743">
        <f t="shared" si="201"/>
        <v>3.886860881237042E-2</v>
      </c>
      <c r="Z56" s="754">
        <f t="shared" si="201"/>
        <v>1.2774231164526029E-2</v>
      </c>
      <c r="AA56" s="743">
        <f t="shared" si="201"/>
        <v>3.361953419932795E-2</v>
      </c>
      <c r="AB56" s="954">
        <f t="shared" si="201"/>
        <v>2.6946788161917423E-2</v>
      </c>
      <c r="AC56" s="743">
        <f t="shared" si="201"/>
        <v>1.9271228192223822E-2</v>
      </c>
      <c r="AD56" s="743">
        <f t="shared" si="201"/>
        <v>9.8522944055512429E-3</v>
      </c>
      <c r="AE56" s="754">
        <f t="shared" si="201"/>
        <v>2.1840178686764578E-2</v>
      </c>
      <c r="AF56" s="743">
        <f t="shared" si="201"/>
        <v>-1.5841286807127597E-2</v>
      </c>
      <c r="AG56" s="954">
        <f t="shared" si="201"/>
        <v>-3.971222261980456E-2</v>
      </c>
      <c r="AH56" s="743">
        <f t="shared" si="201"/>
        <v>-4.6492400508367782E-2</v>
      </c>
      <c r="AI56" s="743">
        <f t="shared" si="201"/>
        <v>-5.2940297230214872E-2</v>
      </c>
      <c r="AJ56" s="754">
        <f t="shared" si="201"/>
        <v>-3.9306983938471318E-2</v>
      </c>
      <c r="AK56" s="743">
        <f t="shared" si="201"/>
        <v>-4.317638718601724E-2</v>
      </c>
      <c r="AL56" s="954">
        <f t="shared" si="201"/>
        <v>-2.4914129025872866E-2</v>
      </c>
      <c r="AM56" s="743">
        <f t="shared" si="201"/>
        <v>-1.1012517253036536E-2</v>
      </c>
      <c r="AN56" s="743">
        <f t="shared" si="201"/>
        <v>-1.1545632832148156E-2</v>
      </c>
      <c r="AO56" s="754">
        <f t="shared" si="201"/>
        <v>-2.2300701804977008E-2</v>
      </c>
      <c r="AP56" s="743">
        <f t="shared" si="201"/>
        <v>-2.4872307107601799E-3</v>
      </c>
      <c r="AQ56" s="954">
        <f t="shared" si="201"/>
        <v>8.6466797761315384E-3</v>
      </c>
      <c r="AR56" s="743">
        <f t="shared" si="201"/>
        <v>-5.2238034043150749E-2</v>
      </c>
      <c r="AS56" s="743">
        <f t="shared" si="201"/>
        <v>1.5759153217770328E-2</v>
      </c>
      <c r="AT56" s="754">
        <f t="shared" si="201"/>
        <v>-8.6368368214011504E-3</v>
      </c>
      <c r="AU56" s="743">
        <f t="shared" si="201"/>
        <v>1.7992480418778989E-2</v>
      </c>
      <c r="AV56" s="954">
        <f t="shared" si="201"/>
        <v>-5.4280273680445967E-3</v>
      </c>
      <c r="AW56" s="743">
        <f t="shared" si="201"/>
        <v>4.8381864342421421E-2</v>
      </c>
      <c r="AX56" s="743">
        <f t="shared" si="201"/>
        <v>-1.3358782988682871E-2</v>
      </c>
      <c r="AY56" s="754">
        <f t="shared" si="201"/>
        <v>1.2076089618952679E-2</v>
      </c>
      <c r="AZ56" s="743">
        <f t="shared" si="201"/>
        <v>-1.6504175499591267E-2</v>
      </c>
      <c r="BA56" s="954">
        <f t="shared" si="201"/>
        <v>-1.0299939408844883E-2</v>
      </c>
      <c r="BB56" s="743">
        <f t="shared" si="201"/>
        <v>-3.0858370329318596E-3</v>
      </c>
      <c r="BC56" s="743">
        <f t="shared" si="201"/>
        <v>6.7215487873180102E-3</v>
      </c>
      <c r="BD56" s="754">
        <f t="shared" si="201"/>
        <v>-5.678977629810511E-3</v>
      </c>
      <c r="BE56" s="743">
        <f t="shared" si="201"/>
        <v>4.5648049345508035E-3</v>
      </c>
      <c r="BF56" s="954">
        <f t="shared" si="201"/>
        <v>1.4662942331999052E-2</v>
      </c>
      <c r="BG56" s="743">
        <f t="shared" si="201"/>
        <v>4.8034358414548173E-3</v>
      </c>
      <c r="BH56" s="743">
        <f t="shared" si="201"/>
        <v>-1.6176833086856024E-2</v>
      </c>
      <c r="BI56" s="754">
        <f t="shared" si="201"/>
        <v>2.0694069082829447E-3</v>
      </c>
      <c r="BJ56" s="743">
        <f t="shared" si="201"/>
        <v>-2.4513636218855717E-2</v>
      </c>
      <c r="BK56" s="954">
        <f t="shared" si="201"/>
        <v>-1.6609531625397689E-2</v>
      </c>
      <c r="BL56" s="743">
        <f t="shared" si="201"/>
        <v>-1.1332067569257087E-2</v>
      </c>
      <c r="BM56" s="743">
        <f t="shared" si="201"/>
        <v>-2.345072843477447E-2</v>
      </c>
      <c r="BN56" s="754">
        <f t="shared" si="201"/>
        <v>-1.888868009105682E-2</v>
      </c>
      <c r="BO56" s="743">
        <f t="shared" si="201"/>
        <v>-1.4970142116689233E-2</v>
      </c>
      <c r="BP56" s="954">
        <f t="shared" si="201"/>
        <v>-1.7918322922262586E-2</v>
      </c>
      <c r="BQ56" s="743">
        <f t="shared" si="201"/>
        <v>-1.5367026333687583E-2</v>
      </c>
      <c r="BR56" s="743">
        <f t="shared" si="201"/>
        <v>2.015772636960067E-3</v>
      </c>
      <c r="BS56" s="754">
        <f t="shared" si="201"/>
        <v>-1.1723055439248009E-2</v>
      </c>
      <c r="BT56" s="743">
        <f t="shared" si="201"/>
        <v>-9.3495634648510517E-4</v>
      </c>
      <c r="BU56" s="954">
        <f t="shared" si="201"/>
        <v>5.7282000773040131E-4</v>
      </c>
      <c r="BV56" s="743">
        <f t="shared" si="201"/>
        <v>-3.1424861966536932E-3</v>
      </c>
      <c r="BW56" s="743">
        <f t="shared" si="201"/>
        <v>9.6985616933853436E-3</v>
      </c>
      <c r="BX56" s="754">
        <f t="shared" ref="BX56:DD56" si="202">BX55/BS55-1</f>
        <v>1.5838851042184743E-3</v>
      </c>
      <c r="BY56" s="743">
        <f t="shared" si="202"/>
        <v>2.8176388105091377E-2</v>
      </c>
      <c r="BZ56" s="954">
        <f t="shared" si="202"/>
        <v>4.560094308316387E-2</v>
      </c>
      <c r="CA56" s="743">
        <f t="shared" si="202"/>
        <v>5.2342714434590931E-2</v>
      </c>
      <c r="CB56" s="743">
        <f t="shared" si="202"/>
        <v>4.4759421731279669E-2</v>
      </c>
      <c r="CC56" s="754">
        <f t="shared" si="202"/>
        <v>4.2901498368042468E-2</v>
      </c>
      <c r="CD56" s="743">
        <f t="shared" si="202"/>
        <v>4.0501900504290367E-2</v>
      </c>
      <c r="CE56" s="743">
        <f t="shared" si="202"/>
        <v>2.0872491530074866E-2</v>
      </c>
      <c r="CF56" s="743">
        <f t="shared" si="202"/>
        <v>3.0302696905536664E-2</v>
      </c>
      <c r="CG56" s="743">
        <f t="shared" si="202"/>
        <v>5.4372451815865253E-2</v>
      </c>
      <c r="CH56" s="754">
        <f t="shared" si="202"/>
        <v>3.6393138355847343E-2</v>
      </c>
      <c r="CI56" s="743">
        <f t="shared" si="202"/>
        <v>2.8002683710864451E-2</v>
      </c>
      <c r="CJ56" s="743">
        <f t="shared" si="202"/>
        <v>2.3386866391798433E-2</v>
      </c>
      <c r="CK56" s="743">
        <f t="shared" si="202"/>
        <v>6.3006041084314734E-3</v>
      </c>
      <c r="CL56" s="743">
        <f t="shared" si="202"/>
        <v>-2.6696468633598869E-2</v>
      </c>
      <c r="CM56" s="754">
        <f t="shared" si="202"/>
        <v>7.3636069784996927E-3</v>
      </c>
      <c r="CN56" s="743">
        <f t="shared" si="202"/>
        <v>-1.3233887830965796E-2</v>
      </c>
      <c r="CO56" s="743">
        <f t="shared" si="202"/>
        <v>-4.2313533184834551E-3</v>
      </c>
      <c r="CP56" s="743">
        <f t="shared" si="202"/>
        <v>-1.505756587308793E-2</v>
      </c>
      <c r="CQ56" s="743">
        <f t="shared" si="202"/>
        <v>-1.5643004883512113E-2</v>
      </c>
      <c r="CR56" s="754">
        <f t="shared" si="202"/>
        <v>-1.2063486149632707E-2</v>
      </c>
      <c r="CS56" s="743">
        <f t="shared" si="202"/>
        <v>5.2618655356011512E-3</v>
      </c>
      <c r="CT56" s="743">
        <f t="shared" si="202"/>
        <v>2.8391589766163294E-2</v>
      </c>
      <c r="CU56" s="743">
        <f t="shared" si="202"/>
        <v>5.1755854530843637E-2</v>
      </c>
      <c r="CV56" s="743">
        <f t="shared" si="202"/>
        <v>3.1191786753410167E-2</v>
      </c>
      <c r="CW56" s="754">
        <f t="shared" si="202"/>
        <v>2.9530101693471034E-2</v>
      </c>
      <c r="CX56" s="743">
        <f>IF(ISERROR(CX55/CS55-1)," ",(CX55/CS55-1))</f>
        <v>4.4228669543013854E-3</v>
      </c>
      <c r="CY56" s="743">
        <f>IF(ISERROR(CY55/CT55-1)," ",(CY55/CT55-1))</f>
        <v>-1.6047195436642792E-2</v>
      </c>
      <c r="CZ56" s="743">
        <f>IF(ISERROR(CZ55/CU55-1)," ",(CZ55/CU55-1))</f>
        <v>6.5767062985970792E-3</v>
      </c>
      <c r="DA56" s="743">
        <f>IF(ISERROR(DA55/CV55-1)," ",(DA55/CV55-1))</f>
        <v>4.3044879742127451E-2</v>
      </c>
      <c r="DB56" s="754">
        <f>IF(ISERROR(DB55/CW55-1)," ",(DB55/CW55-1))</f>
        <v>1.0474809508935534E-2</v>
      </c>
      <c r="DC56" s="743">
        <f t="shared" si="202"/>
        <v>9.2544987146529589E-2</v>
      </c>
      <c r="DD56" s="743">
        <f t="shared" si="202"/>
        <v>8.8907705334462239E-2</v>
      </c>
      <c r="DE56" s="743">
        <f>DE55/CZ55-1</f>
        <v>7.4074074074074181E-2</v>
      </c>
      <c r="DF56" s="743">
        <f>DF55/DA55-1</f>
        <v>5.2845528455284452E-2</v>
      </c>
      <c r="DG56" s="754">
        <f>IF(ISERROR(DG55/DB55-1)," ",(DG55/DB55-1))</f>
        <v>7.5016913107482486E-2</v>
      </c>
      <c r="DH56" s="743">
        <f>DH55/DC55-1</f>
        <v>3.7647058823529367E-2</v>
      </c>
      <c r="DI56" s="743">
        <f>DI55/DD55-1</f>
        <v>2.0995334370139895E-2</v>
      </c>
      <c r="DJ56" s="743">
        <f>DJ55/DE55-1</f>
        <v>-1.5325670498084309E-2</v>
      </c>
      <c r="DK56" s="743">
        <f>DK55/DF55-1</f>
        <v>5.4054054054053502E-3</v>
      </c>
      <c r="DL56" s="754">
        <f>IF(ISERROR(DL55/DG55-1)," ",(DL55/DG55-1))</f>
        <v>1.1963062361346033E-2</v>
      </c>
      <c r="DM56" s="743">
        <f>DM55/DH55-1</f>
        <v>3.7792894935753107E-3</v>
      </c>
      <c r="DN56" s="743">
        <f>DN55/DI55-1</f>
        <v>2.2086824067022004E-2</v>
      </c>
      <c r="DO56" s="743">
        <f>DO55/DJ55-1</f>
        <v>2.6459143968871501E-2</v>
      </c>
      <c r="DP56" s="743">
        <f>DP55/DK55-1</f>
        <v>9.9846390168971677E-3</v>
      </c>
      <c r="DQ56" s="754">
        <f>IF(ISERROR(DQ55/DL55-1)," ",(DQ55/DL55-1))</f>
        <v>1.5869967198309132E-2</v>
      </c>
      <c r="DR56" s="743">
        <f>DR55/DM55-1</f>
        <v>4.5180722891566827E-3</v>
      </c>
      <c r="DS56" s="743">
        <f>DS55/DN55-1</f>
        <v>-2.2354694485842153E-3</v>
      </c>
      <c r="DT56" s="743">
        <f>DT55/DO55-1</f>
        <v>9.0978013646703104E-3</v>
      </c>
      <c r="DU56" s="743">
        <f>DU55/DP55-1</f>
        <v>1.2167300380228063E-2</v>
      </c>
      <c r="DV56" s="754">
        <f>IF(ISERROR(DV55/DQ55-1)," ",(DV55/DQ55-1))</f>
        <v>5.66900235027612E-3</v>
      </c>
      <c r="DW56" s="743">
        <f>DW55/DR55-1</f>
        <v>3.5232383808095902E-2</v>
      </c>
      <c r="DX56" s="743">
        <f>DX55/DS55-1</f>
        <v>2.3151605675877596E-2</v>
      </c>
      <c r="DY56" s="743">
        <f>DY55/DT55-1</f>
        <v>7.513148009015147E-4</v>
      </c>
      <c r="DZ56" s="743">
        <f>DZ55/DU55-1</f>
        <v>1.5026296018032514E-3</v>
      </c>
      <c r="EA56" s="754">
        <f>IF(ISERROR(EA55/DV55-1)," ",(EA55/DV55-1))</f>
        <v>1.5023518436772187E-2</v>
      </c>
      <c r="EB56" s="743">
        <f>EB55/DW55-1</f>
        <v>-2.3171614771904436E-2</v>
      </c>
      <c r="EC56" s="743">
        <f>EC55/DX55-1</f>
        <v>-1.3138686131386912E-2</v>
      </c>
      <c r="ED56" s="743">
        <f>ED55/DY55-1</f>
        <v>-6.0060060060059817E-3</v>
      </c>
      <c r="EE56" s="1021">
        <v>4.0000000000000001E-3</v>
      </c>
      <c r="EF56" s="754">
        <f>IF(ISERROR(EF55/EA55-1)," ",(EF55/EA55-1))</f>
        <v>-9.6470555125466317E-3</v>
      </c>
      <c r="EG56" s="743">
        <f>EG55/EB55-1</f>
        <v>-5.1890289103039278E-3</v>
      </c>
      <c r="EH56" s="743">
        <f>EH55/EC55-1</f>
        <v>-1.5532544378698221E-2</v>
      </c>
      <c r="EI56" s="743">
        <f>EI55/ED55-1</f>
        <v>-1.5105740181269312E-3</v>
      </c>
      <c r="EJ56" s="743">
        <f>EJ55/EE55-1</f>
        <v>1.0212712540685009E-2</v>
      </c>
      <c r="EK56" s="754">
        <f>IF(ISERROR(EK55/EF55-1)," ",(EK55/EF55-1))</f>
        <v>-3.2557752813832108E-3</v>
      </c>
      <c r="EL56" s="743">
        <f>EL55/EG55-1</f>
        <v>3.8002980625931437E-2</v>
      </c>
      <c r="EM56" s="743">
        <f>EM55/EH55-1</f>
        <v>3.8317054845980358E-2</v>
      </c>
      <c r="EN56" s="743">
        <f>EN55/EI55-1</f>
        <v>3.7065052950075561E-2</v>
      </c>
      <c r="EO56" s="743">
        <f>EO55/EJ55-1</f>
        <v>3.4023668639053151E-2</v>
      </c>
      <c r="EP56" s="754">
        <f>IF(ISERROR(EP55/EK55-1)," ",(EP55/EK55-1))</f>
        <v>3.6896309140642236E-2</v>
      </c>
      <c r="EQ56" s="1021">
        <v>0.03</v>
      </c>
      <c r="ER56" s="1021">
        <v>0.03</v>
      </c>
      <c r="ES56" s="1021">
        <v>0.03</v>
      </c>
      <c r="ET56" s="1021">
        <v>0.03</v>
      </c>
      <c r="EU56" s="754">
        <f>IF(ISERROR(EU55/EP55-1)," ",(EU55/EP55-1))</f>
        <v>3.0005718022276584E-2</v>
      </c>
      <c r="EV56" s="1021">
        <v>2.5000000000000001E-2</v>
      </c>
      <c r="EW56" s="1021">
        <v>0.03</v>
      </c>
      <c r="EX56" s="1021">
        <v>0.03</v>
      </c>
      <c r="EY56" s="1021">
        <v>2.5000000000000001E-2</v>
      </c>
      <c r="EZ56" s="2384">
        <v>0.03</v>
      </c>
      <c r="FA56" s="2388">
        <v>0.02</v>
      </c>
      <c r="FB56" s="2388">
        <v>0.02</v>
      </c>
      <c r="FC56" s="2388">
        <v>0.02</v>
      </c>
      <c r="FD56" s="2388">
        <v>0.02</v>
      </c>
      <c r="FE56" s="2384">
        <v>0.02</v>
      </c>
      <c r="FF56" s="712"/>
      <c r="FG56" s="690"/>
      <c r="FH56" s="754"/>
      <c r="FI56" s="754"/>
      <c r="FJ56" s="754"/>
      <c r="FK56" s="754"/>
      <c r="FL56" s="690"/>
      <c r="FM56" s="752"/>
      <c r="FN56" s="747"/>
      <c r="FO56" s="748"/>
      <c r="FP56" s="748"/>
      <c r="FQ56" s="748" t="s">
        <v>626</v>
      </c>
      <c r="FR56" s="748"/>
      <c r="FS56" s="748"/>
      <c r="FT56" s="748"/>
      <c r="FU56" s="690"/>
      <c r="FV56"/>
      <c r="FW56"/>
      <c r="FX56"/>
      <c r="FY56"/>
      <c r="FZ56"/>
      <c r="GA56"/>
      <c r="GB56" s="725"/>
    </row>
    <row r="57" spans="1:184" s="532" customFormat="1" ht="12.75" customHeight="1">
      <c r="A57" s="1019" t="s">
        <v>290</v>
      </c>
      <c r="B57" s="952"/>
      <c r="C57" s="953"/>
      <c r="D57" s="953"/>
      <c r="E57" s="953"/>
      <c r="F57" s="754"/>
      <c r="G57" s="743"/>
      <c r="H57" s="954"/>
      <c r="I57" s="743"/>
      <c r="J57" s="743"/>
      <c r="K57" s="754"/>
      <c r="L57" s="743">
        <f>IF(ISERROR(L55/J55-1)," ",(L55/J55-1))</f>
        <v>-8.1262355987874457E-3</v>
      </c>
      <c r="M57" s="743">
        <f>IF(ISERROR(M55/L55-1)," ",(M55/L55-1))</f>
        <v>4.0756576661955535E-3</v>
      </c>
      <c r="N57" s="743">
        <f>IF(ISERROR(N55/M55-1)," ",(N55/M55-1))</f>
        <v>1.472803918887311E-2</v>
      </c>
      <c r="O57" s="743">
        <f>IF(ISERROR(O55/N55-1)," ",(O55/N55-1))</f>
        <v>1.9407791706260724E-3</v>
      </c>
      <c r="P57" s="754">
        <f>P56</f>
        <v>-5.0327247237158534E-3</v>
      </c>
      <c r="Q57" s="743">
        <f>IF(ISERROR(Q55/O55-1)," ",(Q55/O55-1))</f>
        <v>-1.1279807583381762E-2</v>
      </c>
      <c r="R57" s="743">
        <f>IF(ISERROR(R55/Q55-1)," ",(R55/Q55-1))</f>
        <v>5.5876694979921648E-3</v>
      </c>
      <c r="S57" s="743">
        <f>IF(ISERROR(S55/R55-1)," ",(S55/R55-1))</f>
        <v>-1.8049049845329401E-2</v>
      </c>
      <c r="T57" s="743">
        <f>IF(ISERROR(T55/S55-1)," ",(T55/S55-1))</f>
        <v>-3.2274664278660881E-3</v>
      </c>
      <c r="U57" s="754">
        <f>U56</f>
        <v>-7.8447059571516986E-3</v>
      </c>
      <c r="V57" s="743">
        <f>IF(ISERROR(V55/T55-1)," ",(V55/T55-1))</f>
        <v>9.8535644611466022E-3</v>
      </c>
      <c r="W57" s="743">
        <f>IF(ISERROR(W55/V55-1)," ",(W55/V55-1))</f>
        <v>8.894382446787974E-3</v>
      </c>
      <c r="X57" s="743">
        <f>IF(ISERROR(X55/W55-1)," ",(X55/W55-1))</f>
        <v>3.6155724166626602E-3</v>
      </c>
      <c r="Y57" s="743">
        <f>IF(ISERROR(Y55/X55-1)," ",(Y55/X55-1))</f>
        <v>1.5989279898279252E-2</v>
      </c>
      <c r="Z57" s="754">
        <f>Z56</f>
        <v>1.2774231164526029E-2</v>
      </c>
      <c r="AA57" s="743">
        <f>IF(ISERROR(AA55/Y55-1)," ",(AA55/Y55-1))</f>
        <v>4.7510936932952941E-3</v>
      </c>
      <c r="AB57" s="743">
        <f>IF(ISERROR(AB55/AA55-1)," ",(AB55/AA55-1))</f>
        <v>2.381254772732877E-3</v>
      </c>
      <c r="AC57" s="743">
        <f>IF(ISERROR(AC55/AB55-1)," ",(AC55/AB55-1))</f>
        <v>-3.8856064188934614E-3</v>
      </c>
      <c r="AD57" s="743">
        <f>IF(ISERROR(AD55/AC55-1)," ",(AD55/AC55-1))</f>
        <v>6.6006741075483877E-3</v>
      </c>
      <c r="AE57" s="754">
        <f>AE56</f>
        <v>2.1840178686764578E-2</v>
      </c>
      <c r="AF57" s="743">
        <f>IF(ISERROR(AF55/AD55-1)," ",(AF55/AD55-1))</f>
        <v>-2.0812698127896656E-2</v>
      </c>
      <c r="AG57" s="743">
        <f>IF(ISERROR(AG55/AF55-1)," ",(AG55/AF55-1))</f>
        <v>-2.1931671863746671E-2</v>
      </c>
      <c r="AH57" s="743">
        <f>IF(ISERROR(AH55/AG55-1)," ",(AH55/AG55-1))</f>
        <v>-1.091874059484188E-2</v>
      </c>
      <c r="AI57" s="743">
        <f>IF(ISERROR(AI55/AH55-1)," ",(AI55/AH55-1))</f>
        <v>-2.0625348301062107E-4</v>
      </c>
      <c r="AJ57" s="754">
        <f>AJ56</f>
        <v>-3.9306983938471318E-2</v>
      </c>
      <c r="AK57" s="743">
        <f>IF(ISERROR(AK55/AI55-1)," ",(AK55/AI55-1))</f>
        <v>-1.0717561882590765E-2</v>
      </c>
      <c r="AL57" s="743">
        <f>IF(ISERROR(AL55/AK55-1)," ",(AL55/AK55-1))</f>
        <v>-3.2639299022432233E-3</v>
      </c>
      <c r="AM57" s="743">
        <f>IF(ISERROR(AM55/AL55-1)," ",(AM55/AL55-1))</f>
        <v>3.1824007398204568E-3</v>
      </c>
      <c r="AN57" s="743">
        <f>IF(ISERROR(AN55/AM55-1)," ",(AN55/AM55-1))</f>
        <v>-7.4519419911156515E-4</v>
      </c>
      <c r="AO57" s="754">
        <f>AO56</f>
        <v>-2.2300701804977008E-2</v>
      </c>
      <c r="AP57" s="743">
        <f>IF(ISERROR(AP55/AN55-1)," ",(AP55/AN55-1))</f>
        <v>-1.6515711461941862E-3</v>
      </c>
      <c r="AQ57" s="743">
        <f>IF(ISERROR(AQ55/AP55-1)," ",(AQ55/AP55-1))</f>
        <v>7.8613113229213383E-3</v>
      </c>
      <c r="AR57" s="743">
        <f>IF(ISERROR(AR55/AQ55-1)," ",(AR55/AQ55-1))</f>
        <v>-5.7372474026773479E-2</v>
      </c>
      <c r="AS57" s="743">
        <f>IF(ISERROR(AS55/AR55-1)," ",(AS55/AR55-1))</f>
        <v>7.0946347128800102E-2</v>
      </c>
      <c r="AT57" s="754">
        <f>AT56</f>
        <v>-8.6368368214011504E-3</v>
      </c>
      <c r="AU57" s="743">
        <f>IF(ISERROR(AU55/AS55-1)," ",(AU55/AS55-1))</f>
        <v>5.434754799478192E-4</v>
      </c>
      <c r="AV57" s="743">
        <f>IF(ISERROR(AV55/AU55-1)," ",(AV55/AU55-1))</f>
        <v>-1.5326113087292703E-2</v>
      </c>
      <c r="AW57" s="743">
        <f>IF(ISERROR(AW55/AV55-1)," ",(AW55/AV55-1))</f>
        <v>-6.3729621848145346E-3</v>
      </c>
      <c r="AX57" s="743">
        <f>IF(ISERROR(AX55/AW55-1)," ",(AX55/AW55-1))</f>
        <v>7.876846427272044E-3</v>
      </c>
      <c r="AY57" s="754">
        <f>AY56</f>
        <v>1.2076089618952679E-2</v>
      </c>
      <c r="AZ57" s="743">
        <f>IF(ISERROR(AZ55/AX55-1)," ",(AZ55/AX55-1))</f>
        <v>-2.6462371535319607E-3</v>
      </c>
      <c r="BA57" s="743">
        <f>IF(ISERROR(BA55/AZ55-1)," ",(BA55/AZ55-1))</f>
        <v>-9.114445366280699E-3</v>
      </c>
      <c r="BB57" s="743">
        <f>IF(ISERROR(BB55/BA55-1)," ",(BB55/BA55-1))</f>
        <v>8.6976463687782335E-4</v>
      </c>
      <c r="BC57" s="743">
        <f>IF(ISERROR(BC55/BB55-1)," ",(BC55/BB55-1))</f>
        <v>1.7792080315403025E-2</v>
      </c>
      <c r="BD57" s="754">
        <f>BD56</f>
        <v>-5.678977629810511E-3</v>
      </c>
      <c r="BE57" s="743">
        <f>IF(ISERROR(BE55/BC55-1)," ",(BE55/BC55-1))</f>
        <v>-4.7829119864531977E-3</v>
      </c>
      <c r="BF57" s="743">
        <f>IF(ISERROR(BF55/BE55-1)," ",(BF55/BE55-1))</f>
        <v>8.4618477593290109E-4</v>
      </c>
      <c r="BG57" s="743">
        <f>IF(ISERROR(BG55/BF55-1)," ",(BG55/BF55-1))</f>
        <v>-8.8557131833202352E-3</v>
      </c>
      <c r="BH57" s="743">
        <f>IF(ISERROR(BH55/BG55-1)," ",(BH55/BG55-1))</f>
        <v>-3.4593911629363649E-3</v>
      </c>
      <c r="BI57" s="754">
        <f>BI56</f>
        <v>2.0694069082829447E-3</v>
      </c>
      <c r="BJ57" s="743">
        <f>IF(ISERROR(BJ55/BH55-1)," ",(BJ55/BH55-1))</f>
        <v>-1.3216265881140887E-2</v>
      </c>
      <c r="BK57" s="743">
        <f>IF(ISERROR(BK55/BJ55-1)," ",(BK55/BJ55-1))</f>
        <v>8.9557732029497128E-3</v>
      </c>
      <c r="BL57" s="743">
        <f>IF(ISERROR(BL55/BK55-1)," ",(BL55/BK55-1))</f>
        <v>-3.5366374790682942E-3</v>
      </c>
      <c r="BM57" s="743">
        <f>IF(ISERROR(BM55/BL55-1)," ",(BM55/BL55-1))</f>
        <v>-1.5674551866612374E-2</v>
      </c>
      <c r="BN57" s="754"/>
      <c r="BO57" s="743">
        <f>IF(ISERROR(BO55/BM55-1)," ",(BO55/BM55-1))</f>
        <v>-4.6468010541749205E-3</v>
      </c>
      <c r="BP57" s="743">
        <f>IF(ISERROR(BP55/BO55-1)," ",(BP55/BO55-1))</f>
        <v>5.9359824621683099E-3</v>
      </c>
      <c r="BQ57" s="743">
        <f>IF(ISERROR(BQ55/BP55-1)," ",(BQ55/BP55-1))</f>
        <v>-9.4797949187896968E-4</v>
      </c>
      <c r="BR57" s="743">
        <f>IF(ISERROR(BR55/BQ55-1)," ",(BR55/BQ55-1))</f>
        <v>1.7028180206508647E-3</v>
      </c>
      <c r="BS57" s="754"/>
      <c r="BT57" s="743">
        <f>IF(ISERROR(BT55/BR55-1)," ",(BT55/BR55-1))</f>
        <v>-7.5779101375830216E-3</v>
      </c>
      <c r="BU57" s="743">
        <f>IF(ISERROR(BU55/BT55-1)," ",(BU55/BT55-1))</f>
        <v>7.4541283505125122E-3</v>
      </c>
      <c r="BV57" s="743">
        <f>IF(ISERROR(BV55/BU55-1)," ",(BV55/BU55-1))</f>
        <v>-4.657638695161781E-3</v>
      </c>
      <c r="BW57" s="743">
        <f>IF(ISERROR(BW55/BV55-1)," ",(BW55/BV55-1))</f>
        <v>1.4606280832215601E-2</v>
      </c>
      <c r="BX57" s="754">
        <f>BX56</f>
        <v>1.5838851042184743E-3</v>
      </c>
      <c r="BY57" s="743">
        <f>IF(ISERROR(BY55/BW55-1)," ",(BY55/BW55-1))</f>
        <v>1.0583750975279749E-2</v>
      </c>
      <c r="BZ57" s="743">
        <f>IF(ISERROR(BZ55/BY55-1)," ",(BZ55/BY55-1))</f>
        <v>2.4527502190270001E-2</v>
      </c>
      <c r="CA57" s="743">
        <f>IF(ISERROR(CA55/BZ55-1)," ",(CA55/BZ55-1))</f>
        <v>1.7600779879540784E-3</v>
      </c>
      <c r="CB57" s="743">
        <f>IF(ISERROR(CB55/CA55-1)," ",(CB55/CA55-1))</f>
        <v>7.2949208535391108E-3</v>
      </c>
      <c r="CC57" s="754">
        <f>CC56</f>
        <v>4.2901498368042468E-2</v>
      </c>
      <c r="CD57" s="743">
        <f>IF(ISERROR(CD55/CB55-1)," ",(CD55/CB55-1))</f>
        <v>6.4654997473578835E-3</v>
      </c>
      <c r="CE57" s="743">
        <f>IF(ISERROR(CE55/CD55-1)," ",(CE55/CD55-1))</f>
        <v>5.1994554696657147E-3</v>
      </c>
      <c r="CF57" s="743">
        <f>IF(ISERROR(CF55/CE55-1)," ",(CF55/CE55-1))</f>
        <v>1.1013734395333818E-2</v>
      </c>
      <c r="CG57" s="743">
        <f>IF(ISERROR(CG55/CF55-1)," ",(CG55/CF55-1))</f>
        <v>3.0827172045526874E-2</v>
      </c>
      <c r="CH57" s="754">
        <f>CH56</f>
        <v>3.6393138355847343E-2</v>
      </c>
      <c r="CI57" s="743">
        <f>IF(ISERROR(CI55/CG55-1)," ",(CI55/CG55-1))</f>
        <v>-1.8706119435515478E-2</v>
      </c>
      <c r="CJ57" s="743">
        <f>IF(ISERROR(CJ55/CI55-1)," ",(CJ55/CI55-1))</f>
        <v>6.8602653685045922E-4</v>
      </c>
      <c r="CK57" s="743">
        <f>IF(ISERROR(CK55/CJ55-1)," ",(CK55/CJ55-1))</f>
        <v>-5.8659485527876587E-3</v>
      </c>
      <c r="CL57" s="743">
        <f>IF(ISERROR(CL55/CK55-1)," ",(CL55/CK55-1))</f>
        <v>-2.9741384590850073E-3</v>
      </c>
      <c r="CM57" s="754">
        <f>CM56</f>
        <v>7.3636069784996927E-3</v>
      </c>
      <c r="CN57" s="743">
        <f>IF(ISERROR(CN55/CL55-1)," ",(CN55/CL55-1))</f>
        <v>-5.1330173841107607E-3</v>
      </c>
      <c r="CO57" s="743">
        <f>IF(ISERROR(CO55/CN55-1)," ",(CO55/CN55-1))</f>
        <v>9.8155561983974682E-3</v>
      </c>
      <c r="CP57" s="743">
        <f>IF(ISERROR(CP55/CO55-1)," ",(CP55/CO55-1))</f>
        <v>-1.6674389433714465E-2</v>
      </c>
      <c r="CQ57" s="743">
        <f>IF(ISERROR(CQ55/CP55-1)," ",(CQ55/CP55-1))</f>
        <v>-3.5667597266062501E-3</v>
      </c>
      <c r="CR57" s="754">
        <f>CR56</f>
        <v>-1.2063486149632707E-2</v>
      </c>
      <c r="CS57" s="1007">
        <f>IF(ISERROR(CS55/CQ55-1)," ",(CS55/CQ55-1))</f>
        <v>1.5995054503444628E-2</v>
      </c>
      <c r="CT57" s="743">
        <f>IF(ISERROR(CT55/CS55-1)," ",(CT55/CS55-1))</f>
        <v>3.3050054729938383E-2</v>
      </c>
      <c r="CU57" s="743">
        <f>IF(ISERROR(CU55/CT55-1)," ",(CU55/CT55-1))</f>
        <v>5.6660109972008765E-3</v>
      </c>
      <c r="CV57" s="743">
        <f>IF(ISERROR(CV55/CU55-1)," ",(CV55/CU55-1))</f>
        <v>-2.3049152527557126E-2</v>
      </c>
      <c r="CW57" s="754">
        <f>CW56</f>
        <v>2.9530101693471034E-2</v>
      </c>
      <c r="CX57" s="1007">
        <f>IF(ISERROR(CX55/CV55-1)," ",(CX55/CV55-1))</f>
        <v>-1.0379370195883864E-2</v>
      </c>
      <c r="CY57" s="743">
        <f>IF(ISERROR(CY55/CX55-1)," ",(CY55/CX55-1))</f>
        <v>1.1996572407883432E-2</v>
      </c>
      <c r="CZ57" s="743">
        <f>IF(ISERROR(CZ55/CY55-1)," ",(CZ55/CY55-1))</f>
        <v>2.8789161727349688E-2</v>
      </c>
      <c r="DA57" s="743">
        <f>IF(ISERROR(DA55/CZ55-1)," ",(DA55/CZ55-1))</f>
        <v>1.2345679012345734E-2</v>
      </c>
      <c r="DB57" s="754">
        <f>DB56</f>
        <v>1.0474809508935534E-2</v>
      </c>
      <c r="DC57" s="1007">
        <f>IF(ISERROR(DC55/DA55-1)," ",(DC55/DA55-1))</f>
        <v>3.6585365853658569E-2</v>
      </c>
      <c r="DD57" s="743">
        <f>IF(ISERROR(DD55/DC55-1)," ",(DD55/DC55-1))</f>
        <v>8.6274509803920818E-3</v>
      </c>
      <c r="DE57" s="743">
        <f>IF(ISERROR(DE55/DD55-1)," ",(DE55/DD55-1))</f>
        <v>1.4774494556765161E-2</v>
      </c>
      <c r="DF57" s="743">
        <f>IF(ISERROR(DF55/DE55-1)," ",(DF55/DE55-1))</f>
        <v>-7.6628352490420992E-3</v>
      </c>
      <c r="DG57" s="754">
        <f>DG56</f>
        <v>7.5016913107482486E-2</v>
      </c>
      <c r="DH57" s="743">
        <f>IF(ISERROR(DH55/DF55-1)," ",(DH55/DF55-1))</f>
        <v>2.1621621621621623E-2</v>
      </c>
      <c r="DI57" s="743">
        <f>IF(ISERROR(DI55/DH55-1)," ",(DI55/DH55-1))</f>
        <v>-7.5585789871503994E-3</v>
      </c>
      <c r="DJ57" s="743">
        <f>IF(ISERROR(DJ55/DI55-1)," ",(DJ55/DI55-1))</f>
        <v>-2.1325209444021276E-2</v>
      </c>
      <c r="DK57" s="743">
        <f>IF(ISERROR(DK55/DJ55-1)," ",(DK55/DJ55-1))</f>
        <v>1.3229571984435751E-2</v>
      </c>
      <c r="DL57" s="754"/>
      <c r="DM57" s="743">
        <f>IF(ISERROR(DM55/DK55-1)," ",(DM55/DK55-1))</f>
        <v>1.9969278033794113E-2</v>
      </c>
      <c r="DN57" s="743">
        <f>IF(ISERROR(DN55/DM55-1)," ",(DN55/DM55-1))</f>
        <v>1.0542168674698704E-2</v>
      </c>
      <c r="DO57" s="743">
        <f>IF(ISERROR(DO55/DN55-1)," ",(DO55/DN55-1))</f>
        <v>-1.7138599105812169E-2</v>
      </c>
      <c r="DP57" s="743">
        <f>IF(ISERROR(DP55/DO55-1)," ",(DP55/DO55-1))</f>
        <v>-3.0326004548900665E-3</v>
      </c>
      <c r="DQ57" s="754"/>
      <c r="DR57" s="743">
        <f>IF(ISERROR(DR55/DP55-1)," ",(DR55/DP55-1))</f>
        <v>1.4448669201520881E-2</v>
      </c>
      <c r="DS57" s="743">
        <f>IF(ISERROR(DS55/DR55-1)," ",(DS55/DR55-1))</f>
        <v>3.7481259370315545E-3</v>
      </c>
      <c r="DT57" s="743">
        <f>IF(ISERROR(DT55/DS55-1)," ",(DT55/DS55-1))</f>
        <v>-5.9746079163555121E-3</v>
      </c>
      <c r="DU57" s="743">
        <f>IF(ISERROR(DU55/DT55-1)," ",(DU55/DT55-1))</f>
        <v>0</v>
      </c>
      <c r="DV57" s="754"/>
      <c r="DW57" s="743">
        <f>IF(ISERROR(DW55/DU55-1)," ",(DW55/DU55-1))</f>
        <v>3.7565740045078844E-2</v>
      </c>
      <c r="DX57" s="743">
        <f>IF(ISERROR(DX55/DW55-1)," ",(DX55/DW55-1))</f>
        <v>-7.9652425778421465E-3</v>
      </c>
      <c r="DY57" s="743">
        <f>IF(ISERROR(DY55/DX55-1)," ",(DY55/DX55-1))</f>
        <v>-2.7737226277372296E-2</v>
      </c>
      <c r="DZ57" s="743">
        <f>IF(ISERROR(DZ55/DY55-1)," ",(DZ55/DY55-1))</f>
        <v>7.5075075075070608E-4</v>
      </c>
      <c r="EA57" s="754"/>
      <c r="EB57" s="743">
        <f>IF(ISERROR(EB55/DZ55-1)," ",(EB55/DZ55-1))</f>
        <v>1.2003000750187454E-2</v>
      </c>
      <c r="EC57" s="743">
        <f>IF(ISERROR(EC55/EB55-1)," ",(EC55/EB55-1))</f>
        <v>2.2238695329874769E-3</v>
      </c>
      <c r="ED57" s="743">
        <f>IF(ISERROR(ED55/EC55-1)," ",(ED55/EC55-1))</f>
        <v>-2.0710059171597628E-2</v>
      </c>
      <c r="EE57" s="743">
        <f>IF(ISERROR(EE55/ED55-1)," ",(EE55/ED55-1))</f>
        <v>1.0824773413897315E-2</v>
      </c>
      <c r="EF57" s="754"/>
      <c r="EG57" s="743">
        <f>IF(ISERROR(EG55/EE55-1)," ",(EG55/EE55-1))</f>
        <v>2.7407250218929313E-3</v>
      </c>
      <c r="EH57" s="743">
        <f>IF(ISERROR(EH55/EG55-1)," ",(EH55/EG55-1))</f>
        <v>-8.1967213114754189E-3</v>
      </c>
      <c r="EI57" s="743">
        <f>IF(ISERROR(EI55/EH55-1)," ",(EI55/EH55-1))</f>
        <v>-6.7618332081141874E-3</v>
      </c>
      <c r="EJ57" s="743">
        <f>IF(ISERROR(EJ55/EI55-1)," ",(EJ55/EI55-1))</f>
        <v>2.2692889561271024E-2</v>
      </c>
      <c r="EK57" s="754"/>
      <c r="EL57" s="743">
        <f>IF(ISERROR(EL55/EJ55-1)," ",(EL55/EJ55-1))</f>
        <v>3.0325443786981987E-2</v>
      </c>
      <c r="EM57" s="743">
        <f>IF(ISERROR(EM55/EL55-1)," ",(EM55/EL55-1))</f>
        <v>-7.8966259870782984E-3</v>
      </c>
      <c r="EN57" s="743">
        <f>IF(ISERROR(EN55/EM55-1)," ",(EN55/EM55-1))</f>
        <v>-7.9594790159189799E-3</v>
      </c>
      <c r="EO57" s="743">
        <f>IF(ISERROR(EO55/EN55-1)," ",(EO55/EN55-1))</f>
        <v>1.9693654266958349E-2</v>
      </c>
      <c r="EP57" s="754"/>
      <c r="EQ57" s="743">
        <f>IF(ISERROR(EQ55/EO55-1)," ",(EQ55/EO55-1))</f>
        <v>2.6316165951359105E-2</v>
      </c>
      <c r="ER57" s="743">
        <f>IF(ISERROR(ER55/EQ55-1)," ",(ER55/EQ55-1))</f>
        <v>-7.8966259870781874E-3</v>
      </c>
      <c r="ES57" s="743">
        <f>IF(ISERROR(ES55/ER55-1)," ",(ES55/ER55-1))</f>
        <v>-7.9594790159188689E-3</v>
      </c>
      <c r="ET57" s="743">
        <f>IF(ISERROR(ET55/ES55-1)," ",(ET55/ES55-1))</f>
        <v>1.9693654266958349E-2</v>
      </c>
      <c r="EU57" s="754"/>
      <c r="EV57" s="743">
        <f>IF(ISERROR(EV55/ET55-1)," ",(EV55/ET55-1))</f>
        <v>2.1334048640915482E-2</v>
      </c>
      <c r="EW57" s="743">
        <f>IF(ISERROR(EW55/EV55-1)," ",(EW55/EV55-1))</f>
        <v>-3.0570973333565732E-3</v>
      </c>
      <c r="EX57" s="743">
        <f>IF(ISERROR(EX55/EW55-1)," ",(EX55/EW55-1))</f>
        <v>-7.9594790159188689E-3</v>
      </c>
      <c r="EY57" s="743">
        <f>IF(ISERROR(EY55/EX55-1)," ",(EY55/EX55-1))</f>
        <v>1.4743685071487711E-2</v>
      </c>
      <c r="EZ57" s="754"/>
      <c r="FA57" s="743">
        <f>IF(ISERROR(FA55/EY55-1)," ",(FA55/EY55-1))</f>
        <v>1.635193133047208E-2</v>
      </c>
      <c r="FB57" s="743">
        <f>IF(ISERROR(FB55/FA55-1)," ",(FB55/FA55-1))</f>
        <v>-3.0570973333565732E-3</v>
      </c>
      <c r="FC57" s="743">
        <f>IF(ISERROR(FC55/FB55-1)," ",(FC55/FB55-1))</f>
        <v>-7.9594790159188689E-3</v>
      </c>
      <c r="FD57" s="743">
        <f>IF(ISERROR(FD55/FC55-1)," ",(FD55/FC55-1))</f>
        <v>1.4743685071487711E-2</v>
      </c>
      <c r="FE57" s="754"/>
      <c r="FF57" s="721"/>
      <c r="FG57" s="690"/>
      <c r="FH57" s="955">
        <f>AVERAGE(DH57,DM57,DC57,DR57,DW57,EB57,EG57,EL57)</f>
        <v>2.190748053934205E-2</v>
      </c>
      <c r="FI57" s="955">
        <f t="shared" ref="FI57" si="203">AVERAGE(DI57,DN57,DD57,DS57,DX57,EC57,EH57,EM57)</f>
        <v>-8.0944421730455574E-4</v>
      </c>
      <c r="FJ57" s="955">
        <f t="shared" ref="FJ57" si="204">AVERAGE(DJ57,DO57,DE57,DT57,DY57,ED57,EI57,EN57)</f>
        <v>-1.1604064947803361E-2</v>
      </c>
      <c r="FK57" s="955">
        <f t="shared" ref="FK57" si="205">AVERAGE(DK57,DP57,DF57,DU57,DZ57,EE57,EJ57,EO57)</f>
        <v>7.0620255341726224E-3</v>
      </c>
      <c r="FL57" s="690"/>
      <c r="FM57" s="708"/>
      <c r="FN57" s="708"/>
      <c r="FO57" s="723"/>
      <c r="FP57" s="723"/>
      <c r="FQ57" s="723"/>
      <c r="FR57" s="723"/>
      <c r="FS57" s="723"/>
      <c r="FT57" s="723"/>
      <c r="FU57" s="690"/>
      <c r="FV57"/>
      <c r="FW57"/>
      <c r="FX57"/>
      <c r="FY57"/>
      <c r="FZ57"/>
      <c r="GA57"/>
      <c r="GB57" s="725"/>
    </row>
    <row r="58" spans="1:184" s="532" customFormat="1" ht="12.75" customHeight="1">
      <c r="A58" s="1020" t="s">
        <v>300</v>
      </c>
      <c r="B58" s="1011"/>
      <c r="C58" s="1012"/>
      <c r="D58" s="1012"/>
      <c r="E58" s="1012"/>
      <c r="F58" s="1013"/>
      <c r="G58" s="750">
        <v>1417.7279999999998</v>
      </c>
      <c r="H58" s="1014">
        <v>1507.585</v>
      </c>
      <c r="I58" s="750">
        <v>1495.87</v>
      </c>
      <c r="J58" s="750">
        <v>1360.8530000000001</v>
      </c>
      <c r="K58" s="1013">
        <f>SUM(G58:J58)</f>
        <v>5782.0360000000001</v>
      </c>
      <c r="L58" s="750">
        <v>1340.5920000000001</v>
      </c>
      <c r="M58" s="1014">
        <v>1453.4010000000001</v>
      </c>
      <c r="N58" s="750">
        <v>1566.979</v>
      </c>
      <c r="O58" s="750">
        <v>1521.7349999999999</v>
      </c>
      <c r="P58" s="1013">
        <f>SUM(L58:O58)</f>
        <v>5882.7070000000003</v>
      </c>
      <c r="Q58" s="750">
        <v>1566.5709999999999</v>
      </c>
      <c r="R58" s="1014">
        <v>1641.9320000000002</v>
      </c>
      <c r="S58" s="750">
        <v>1699.55</v>
      </c>
      <c r="T58" s="750">
        <v>1626.7639999999999</v>
      </c>
      <c r="U58" s="1013">
        <f>SUM(Q58:T58)</f>
        <v>6534.817</v>
      </c>
      <c r="V58" s="750">
        <v>1653.761</v>
      </c>
      <c r="W58" s="1014">
        <v>1765.6670000000001</v>
      </c>
      <c r="X58" s="750">
        <v>1894.1389999999999</v>
      </c>
      <c r="Y58" s="750">
        <v>1903.748</v>
      </c>
      <c r="Z58" s="1013">
        <f>SUM(V58:Y58)</f>
        <v>7217.3150000000005</v>
      </c>
      <c r="AA58" s="750">
        <v>1953.98</v>
      </c>
      <c r="AB58" s="1014">
        <v>2225.37</v>
      </c>
      <c r="AC58" s="750">
        <v>2148.4839999999999</v>
      </c>
      <c r="AD58" s="750">
        <v>2084.5130000000004</v>
      </c>
      <c r="AE58" s="1013">
        <f>SUM(AA58:AD58)</f>
        <v>8412.3470000000016</v>
      </c>
      <c r="AF58" s="750">
        <v>2161.145</v>
      </c>
      <c r="AG58" s="1014">
        <v>2310.6280000000002</v>
      </c>
      <c r="AH58" s="750">
        <v>2385.203</v>
      </c>
      <c r="AI58" s="750">
        <v>2394.8090000000002</v>
      </c>
      <c r="AJ58" s="1013">
        <f>SUM(AF58:AI58)</f>
        <v>9251.7849999999999</v>
      </c>
      <c r="AK58" s="750">
        <v>2363.38</v>
      </c>
      <c r="AL58" s="1014">
        <v>2481.0060000000003</v>
      </c>
      <c r="AM58" s="750">
        <v>2601.5030000000002</v>
      </c>
      <c r="AN58" s="750">
        <v>2514.3610000000003</v>
      </c>
      <c r="AO58" s="1013">
        <f>SUM(AK58:AN58)</f>
        <v>9960.2500000000018</v>
      </c>
      <c r="AP58" s="750">
        <v>2504.2629999999999</v>
      </c>
      <c r="AQ58" s="1014">
        <v>2729.2649999999999</v>
      </c>
      <c r="AR58" s="750">
        <v>2978.067</v>
      </c>
      <c r="AS58" s="750">
        <v>2765.3530000000001</v>
      </c>
      <c r="AT58" s="1013">
        <f>SUM(AP58:AS58)</f>
        <v>10976.948</v>
      </c>
      <c r="AU58" s="750">
        <v>2720.2020000000002</v>
      </c>
      <c r="AV58" s="1014">
        <v>2921.8779999999997</v>
      </c>
      <c r="AW58" s="750">
        <v>2989.2109999999998</v>
      </c>
      <c r="AX58" s="750">
        <v>2890.9760000000001</v>
      </c>
      <c r="AY58" s="1013">
        <f>SUM(AU58:AX58)</f>
        <v>11522.267</v>
      </c>
      <c r="AZ58" s="750">
        <v>2884.73</v>
      </c>
      <c r="BA58" s="1014">
        <v>3104.4079999999999</v>
      </c>
      <c r="BB58" s="750">
        <v>3292.8330000000001</v>
      </c>
      <c r="BC58" s="750">
        <v>3116.7449999999999</v>
      </c>
      <c r="BD58" s="1013">
        <f>SUM(AZ58:BC58)</f>
        <v>12398.716</v>
      </c>
      <c r="BE58" s="750">
        <v>3138.7440000000001</v>
      </c>
      <c r="BF58" s="1014">
        <v>3288.4789999999998</v>
      </c>
      <c r="BG58" s="750">
        <v>3269.1280000000002</v>
      </c>
      <c r="BH58" s="750">
        <v>3076.3540000000003</v>
      </c>
      <c r="BI58" s="1013">
        <f>SUM(BE58:BH58)</f>
        <v>12772.705000000002</v>
      </c>
      <c r="BJ58" s="750">
        <v>3040.8959999999997</v>
      </c>
      <c r="BK58" s="1014">
        <v>3214.288</v>
      </c>
      <c r="BL58" s="750">
        <v>3212.85</v>
      </c>
      <c r="BM58" s="750">
        <v>3057.6219999999994</v>
      </c>
      <c r="BN58" s="1013">
        <f>SUM(BJ58:BM58)</f>
        <v>12525.655999999999</v>
      </c>
      <c r="BO58" s="750">
        <v>3076.7060000000001</v>
      </c>
      <c r="BP58" s="1014">
        <v>3305.3609999999999</v>
      </c>
      <c r="BQ58" s="750">
        <v>3301.7379999999998</v>
      </c>
      <c r="BR58" s="750">
        <v>3121.2219999999998</v>
      </c>
      <c r="BS58" s="1013">
        <f>SUM(BO58:BR58)</f>
        <v>12805.027</v>
      </c>
      <c r="BT58" s="750">
        <v>3132.2659999999996</v>
      </c>
      <c r="BU58" s="1014">
        <v>3271.45</v>
      </c>
      <c r="BV58" s="750">
        <v>3410.4859999999999</v>
      </c>
      <c r="BW58" s="750">
        <v>3328.4830000000002</v>
      </c>
      <c r="BX58" s="1013">
        <f>SUM(BT58:BW58)</f>
        <v>13142.684999999999</v>
      </c>
      <c r="BY58" s="750">
        <v>3400.69</v>
      </c>
      <c r="BZ58" s="1014">
        <v>3624.2910000000002</v>
      </c>
      <c r="CA58" s="750">
        <v>3689.0050000000001</v>
      </c>
      <c r="CB58" s="750">
        <v>3485.7939999999999</v>
      </c>
      <c r="CC58" s="1013">
        <f>SUM(BY58:CB58)</f>
        <v>14199.78</v>
      </c>
      <c r="CD58" s="750">
        <f>(CD61*CD$64)/1000</f>
        <v>3485.3879999999999</v>
      </c>
      <c r="CE58" s="750">
        <f>(CE61*CE$64)/1000</f>
        <v>3766.9119999999998</v>
      </c>
      <c r="CF58" s="750">
        <f>(CF61*CF$64)/1000</f>
        <v>3900.48</v>
      </c>
      <c r="CG58" s="750">
        <f>(CG61*CG$64)/1000</f>
        <v>3660.7930000000001</v>
      </c>
      <c r="CH58" s="1013">
        <f>SUM(CD58:CG58)</f>
        <v>14813.572999999999</v>
      </c>
      <c r="CI58" s="750">
        <f t="shared" ref="CI58:DK58" si="206">(CI61*CI$64)/1000</f>
        <v>3699.2</v>
      </c>
      <c r="CJ58" s="750">
        <f t="shared" si="206"/>
        <v>3749.1035000000002</v>
      </c>
      <c r="CK58" s="750">
        <f t="shared" si="206"/>
        <v>3635.9375</v>
      </c>
      <c r="CL58" s="750">
        <f t="shared" si="206"/>
        <v>3460.652</v>
      </c>
      <c r="CM58" s="1013">
        <f>SUM(CI58:CL58)</f>
        <v>14544.893</v>
      </c>
      <c r="CN58" s="750">
        <f t="shared" si="206"/>
        <v>3661.3760000000002</v>
      </c>
      <c r="CO58" s="750">
        <f t="shared" si="206"/>
        <v>3931.4119999999998</v>
      </c>
      <c r="CP58" s="750">
        <f t="shared" si="206"/>
        <v>3911.922</v>
      </c>
      <c r="CQ58" s="750">
        <f t="shared" si="206"/>
        <v>3760.1714999999999</v>
      </c>
      <c r="CR58" s="1013">
        <f>SUM(CN58:CQ58)</f>
        <v>15264.881500000001</v>
      </c>
      <c r="CS58" s="750">
        <f t="shared" si="206"/>
        <v>3724.2114999999999</v>
      </c>
      <c r="CT58" s="750">
        <f t="shared" si="206"/>
        <v>3926.08</v>
      </c>
      <c r="CU58" s="750">
        <f t="shared" si="206"/>
        <v>3866.3679999999999</v>
      </c>
      <c r="CV58" s="750">
        <f t="shared" si="206"/>
        <v>3337.92</v>
      </c>
      <c r="CW58" s="1013">
        <f>SUM(CS58:CV58)</f>
        <v>14854.5795</v>
      </c>
      <c r="CX58" s="750">
        <f t="shared" si="206"/>
        <v>3196.0625</v>
      </c>
      <c r="CY58" s="750">
        <f t="shared" si="206"/>
        <v>3684.3335000000002</v>
      </c>
      <c r="CZ58" s="750">
        <f t="shared" si="206"/>
        <v>4040.192</v>
      </c>
      <c r="DA58" s="750">
        <f t="shared" si="206"/>
        <v>3888.645</v>
      </c>
      <c r="DB58" s="1013">
        <f>SUM(CX58:DA58)</f>
        <v>14809.233</v>
      </c>
      <c r="DC58" s="750">
        <f t="shared" si="206"/>
        <v>3976.1819999999998</v>
      </c>
      <c r="DD58" s="750">
        <f t="shared" si="206"/>
        <v>4367.0855000000001</v>
      </c>
      <c r="DE58" s="750">
        <f t="shared" si="206"/>
        <v>4086.5279999999998</v>
      </c>
      <c r="DF58" s="750">
        <f t="shared" si="206"/>
        <v>3645.6039999999998</v>
      </c>
      <c r="DG58" s="1013">
        <f>SUM(DC58:DF58)</f>
        <v>16075.3995</v>
      </c>
      <c r="DH58" s="750">
        <f t="shared" si="206"/>
        <v>3710.4</v>
      </c>
      <c r="DI58" s="750">
        <f t="shared" si="206"/>
        <v>3926.0145000000002</v>
      </c>
      <c r="DJ58" s="750">
        <f t="shared" si="206"/>
        <v>3921.92</v>
      </c>
      <c r="DK58" s="750">
        <f t="shared" si="206"/>
        <v>3627.58</v>
      </c>
      <c r="DL58" s="1013">
        <f>SUM(DH58:DK58)</f>
        <v>15185.914500000001</v>
      </c>
      <c r="DM58" s="750">
        <f>(DM61*DM$64)/1000</f>
        <v>3750.9119999999998</v>
      </c>
      <c r="DN58" s="750">
        <f>(DN61*DN$64)/1000</f>
        <v>3877.6909999999998</v>
      </c>
      <c r="DO58" s="750">
        <f>(DO61*DO$64)/1000</f>
        <v>3752.721</v>
      </c>
      <c r="DP58" s="750">
        <f>(DP61*DP$64)/1000</f>
        <v>3522.3510000000001</v>
      </c>
      <c r="DQ58" s="1013">
        <f>SUM(DM58:DP58)</f>
        <v>14903.674999999999</v>
      </c>
      <c r="DR58" s="750">
        <f>(DR61*DR$64)/1000</f>
        <v>3596.3125</v>
      </c>
      <c r="DS58" s="750">
        <f>(DS61*DS$64)/1000</f>
        <v>3859.2640000000001</v>
      </c>
      <c r="DT58" s="750">
        <f>(DT61*DT$64)/1000</f>
        <v>3788.3465000000001</v>
      </c>
      <c r="DU58" s="750">
        <f>(DU61*DU$64)/1000</f>
        <v>3515.7089999999998</v>
      </c>
      <c r="DV58" s="1013">
        <f>SUM(DR58:DU58)</f>
        <v>14759.632000000001</v>
      </c>
      <c r="DW58" s="750">
        <f>(DW61*DW$64)/1000</f>
        <v>3514.3290000000002</v>
      </c>
      <c r="DX58" s="750">
        <f>(DX61*DX$64)/1000</f>
        <v>3792.855</v>
      </c>
      <c r="DY58" s="750">
        <f>(DY61*DY$64)/1000</f>
        <v>3792.1280000000002</v>
      </c>
      <c r="DZ58" s="750">
        <f>(DZ61*DZ$64)/1000</f>
        <v>3532.0219999999999</v>
      </c>
      <c r="EA58" s="1013">
        <f>SUM(DW58:DZ58)</f>
        <v>14631.333999999999</v>
      </c>
      <c r="EB58" s="750">
        <f>(EB61*EB$64)/1000</f>
        <v>3518.125</v>
      </c>
      <c r="EC58" s="750">
        <f>(EC61*EC$64)/1000</f>
        <v>3726.7514999999999</v>
      </c>
      <c r="ED58" s="750">
        <f>(ED61*ED$64)/1000</f>
        <v>3698.88</v>
      </c>
      <c r="EE58" s="750">
        <f>(EE61*EE$64)/1000</f>
        <v>3418.5340799999999</v>
      </c>
      <c r="EF58" s="1013">
        <f>SUM(EB58:EE58)</f>
        <v>14362.290579999999</v>
      </c>
      <c r="EG58" s="750">
        <f>(EG61*EG$64)/1000</f>
        <v>3397.6945000000001</v>
      </c>
      <c r="EH58" s="750">
        <f>(EH61*EH$64)/1000</f>
        <v>3530.6239999999998</v>
      </c>
      <c r="EI58" s="750">
        <f>(EI61*EI$64)/1000</f>
        <v>3507.3919999999998</v>
      </c>
      <c r="EJ58" s="750">
        <f>(EJ61*EJ$64)/1000</f>
        <v>3271.114</v>
      </c>
      <c r="EK58" s="1013">
        <f>SUM(EG58:EJ58)</f>
        <v>13706.824499999999</v>
      </c>
      <c r="EL58" s="750">
        <f>(EL61*EL$64)/1000</f>
        <v>3456.2559999999999</v>
      </c>
      <c r="EM58" s="750">
        <f>(EM61*EM$64)/1000</f>
        <v>3614.8009999999999</v>
      </c>
      <c r="EN58" s="750">
        <f>(EN61*EN$64)/1000</f>
        <v>3487.375</v>
      </c>
      <c r="EO58" s="750">
        <f>(EO61*EO$64)/1000</f>
        <v>3254.3555000000001</v>
      </c>
      <c r="EP58" s="1013">
        <f>SUM(EL58:EO58)</f>
        <v>13812.7875</v>
      </c>
      <c r="EQ58" s="750">
        <f>(EQ61*EQ$64)/1000</f>
        <v>3343.5226499999999</v>
      </c>
      <c r="ER58" s="750">
        <f>(ER61*ER$64)/1000</f>
        <v>3533.9660800000001</v>
      </c>
      <c r="ES58" s="750">
        <f>(ES61*ES$64)/1000</f>
        <v>3462.5448900000001</v>
      </c>
      <c r="ET58" s="750">
        <f>(ET61*ET$64)/1000</f>
        <v>3275.0650349999996</v>
      </c>
      <c r="EU58" s="1013">
        <f>SUM(EQ58:ET58)</f>
        <v>13615.098655</v>
      </c>
      <c r="EV58" s="750">
        <f>(EV61*EV$64)/1000</f>
        <v>3443.8283295000001</v>
      </c>
      <c r="EW58" s="750">
        <f>(EW61*EW$64)/1000</f>
        <v>3639.9850624000001</v>
      </c>
      <c r="EX58" s="750">
        <f>(EX61*EX$64)/1000</f>
        <v>3566.4212366999996</v>
      </c>
      <c r="EY58" s="750">
        <f>(EY61*EY$64)/1000</f>
        <v>3373.3169860499997</v>
      </c>
      <c r="EZ58" s="1013">
        <f t="shared" ref="EZ58:FE58" si="207">(EZ61*EZ$64)/1000</f>
        <v>13751.249641549999</v>
      </c>
      <c r="FA58" s="750">
        <f t="shared" si="207"/>
        <v>3547.1431793850002</v>
      </c>
      <c r="FB58" s="750">
        <f t="shared" si="207"/>
        <v>3749.1846142720001</v>
      </c>
      <c r="FC58" s="750">
        <f t="shared" si="207"/>
        <v>3673.4138738010001</v>
      </c>
      <c r="FD58" s="750">
        <f t="shared" si="207"/>
        <v>3474.5164956314998</v>
      </c>
      <c r="FE58" s="1013">
        <f t="shared" si="207"/>
        <v>14095.030882588748</v>
      </c>
      <c r="FF58" s="712"/>
      <c r="FG58" s="690"/>
      <c r="FH58" s="1018"/>
      <c r="FI58" s="1018"/>
      <c r="FJ58" s="1018"/>
      <c r="FK58" s="1018"/>
      <c r="FL58" s="690"/>
      <c r="FM58" s="747"/>
      <c r="FN58" s="747"/>
      <c r="FO58" s="748"/>
      <c r="FP58" s="748"/>
      <c r="FQ58" s="748"/>
      <c r="FR58" s="748"/>
      <c r="FS58" s="748"/>
      <c r="FT58" s="748"/>
      <c r="FU58" s="690"/>
      <c r="FV58"/>
      <c r="FW58"/>
      <c r="FX58"/>
      <c r="FY58"/>
      <c r="FZ58"/>
      <c r="GA58"/>
      <c r="GB58" s="961"/>
    </row>
    <row r="59" spans="1:184" s="532" customFormat="1" ht="12.75" customHeight="1">
      <c r="A59" s="1019" t="s">
        <v>85</v>
      </c>
      <c r="B59" s="992"/>
      <c r="C59" s="993"/>
      <c r="D59" s="993"/>
      <c r="E59" s="993"/>
      <c r="F59" s="754"/>
      <c r="G59" s="743"/>
      <c r="H59" s="743"/>
      <c r="I59" s="743"/>
      <c r="J59" s="743"/>
      <c r="K59" s="754"/>
      <c r="L59" s="743">
        <f t="shared" ref="L59:BW59" si="208">L58/G58-1</f>
        <v>-5.440817984832047E-2</v>
      </c>
      <c r="M59" s="743">
        <f t="shared" si="208"/>
        <v>-3.5940925387291545E-2</v>
      </c>
      <c r="N59" s="743">
        <f t="shared" si="208"/>
        <v>4.7536884889729736E-2</v>
      </c>
      <c r="O59" s="743">
        <f t="shared" si="208"/>
        <v>0.11822143905329963</v>
      </c>
      <c r="P59" s="754">
        <f t="shared" si="208"/>
        <v>1.7410995019747411E-2</v>
      </c>
      <c r="Q59" s="743">
        <f t="shared" si="208"/>
        <v>0.16856657357346583</v>
      </c>
      <c r="R59" s="743">
        <f t="shared" si="208"/>
        <v>0.12971712555585158</v>
      </c>
      <c r="S59" s="743">
        <f t="shared" si="208"/>
        <v>8.4602920651776437E-2</v>
      </c>
      <c r="T59" s="743">
        <f t="shared" si="208"/>
        <v>6.901924448080643E-2</v>
      </c>
      <c r="U59" s="754">
        <f t="shared" si="208"/>
        <v>0.11085202781644576</v>
      </c>
      <c r="V59" s="743">
        <f t="shared" si="208"/>
        <v>5.5656590093905667E-2</v>
      </c>
      <c r="W59" s="743">
        <f t="shared" si="208"/>
        <v>7.5359393689872656E-2</v>
      </c>
      <c r="X59" s="743">
        <f t="shared" si="208"/>
        <v>0.11449442499485163</v>
      </c>
      <c r="Y59" s="743">
        <f t="shared" si="208"/>
        <v>0.17026686108126321</v>
      </c>
      <c r="Z59" s="754">
        <f t="shared" si="208"/>
        <v>0.1044402620608964</v>
      </c>
      <c r="AA59" s="743">
        <f t="shared" si="208"/>
        <v>0.1815371144923601</v>
      </c>
      <c r="AB59" s="743">
        <f t="shared" si="208"/>
        <v>0.26035656780128957</v>
      </c>
      <c r="AC59" s="743">
        <f t="shared" si="208"/>
        <v>0.13428000796140105</v>
      </c>
      <c r="AD59" s="743">
        <f t="shared" si="208"/>
        <v>9.4952168039047269E-2</v>
      </c>
      <c r="AE59" s="754">
        <f t="shared" si="208"/>
        <v>0.1655784734350656</v>
      </c>
      <c r="AF59" s="743">
        <f t="shared" si="208"/>
        <v>0.10602206777960888</v>
      </c>
      <c r="AG59" s="743">
        <f t="shared" si="208"/>
        <v>3.8311831290976484E-2</v>
      </c>
      <c r="AH59" s="743">
        <f t="shared" si="208"/>
        <v>0.11017954985934275</v>
      </c>
      <c r="AI59" s="743">
        <f t="shared" si="208"/>
        <v>0.14885779076455741</v>
      </c>
      <c r="AJ59" s="754">
        <f t="shared" si="208"/>
        <v>9.9786421078445597E-2</v>
      </c>
      <c r="AK59" s="743">
        <f t="shared" si="208"/>
        <v>9.3577709963931222E-2</v>
      </c>
      <c r="AL59" s="743">
        <f t="shared" si="208"/>
        <v>7.3736663798759539E-2</v>
      </c>
      <c r="AM59" s="743">
        <f t="shared" si="208"/>
        <v>9.0684105294182693E-2</v>
      </c>
      <c r="AN59" s="743">
        <f t="shared" si="208"/>
        <v>4.9921308964514521E-2</v>
      </c>
      <c r="AO59" s="754">
        <f t="shared" si="208"/>
        <v>7.6576033705928248E-2</v>
      </c>
      <c r="AP59" s="743">
        <f t="shared" si="208"/>
        <v>5.9610811634184913E-2</v>
      </c>
      <c r="AQ59" s="743">
        <f t="shared" si="208"/>
        <v>0.10006384506929833</v>
      </c>
      <c r="AR59" s="743">
        <f t="shared" si="208"/>
        <v>0.1447486318485891</v>
      </c>
      <c r="AS59" s="743">
        <f t="shared" si="208"/>
        <v>9.9823374606907933E-2</v>
      </c>
      <c r="AT59" s="754">
        <f t="shared" si="208"/>
        <v>0.10207555031249194</v>
      </c>
      <c r="AU59" s="743">
        <f t="shared" si="208"/>
        <v>8.6228563054280061E-2</v>
      </c>
      <c r="AV59" s="743">
        <f t="shared" si="208"/>
        <v>7.0573212934617935E-2</v>
      </c>
      <c r="AW59" s="743">
        <f t="shared" si="208"/>
        <v>3.7420246085799747E-3</v>
      </c>
      <c r="AX59" s="743">
        <f t="shared" si="208"/>
        <v>4.5427473454564327E-2</v>
      </c>
      <c r="AY59" s="754">
        <f t="shared" si="208"/>
        <v>4.9678562748042498E-2</v>
      </c>
      <c r="AZ59" s="743">
        <f t="shared" si="208"/>
        <v>6.0483743486696939E-2</v>
      </c>
      <c r="BA59" s="743">
        <f t="shared" si="208"/>
        <v>6.2470096287387866E-2</v>
      </c>
      <c r="BB59" s="743">
        <f t="shared" si="208"/>
        <v>0.10157262234081177</v>
      </c>
      <c r="BC59" s="743">
        <f t="shared" si="208"/>
        <v>7.8094387500968532E-2</v>
      </c>
      <c r="BD59" s="754">
        <f t="shared" si="208"/>
        <v>7.6065673534557066E-2</v>
      </c>
      <c r="BE59" s="743">
        <f t="shared" si="208"/>
        <v>8.8054687960398503E-2</v>
      </c>
      <c r="BF59" s="743">
        <f t="shared" si="208"/>
        <v>5.9293430502691535E-2</v>
      </c>
      <c r="BG59" s="743">
        <f t="shared" si="208"/>
        <v>-7.198968183324217E-3</v>
      </c>
      <c r="BH59" s="743">
        <f t="shared" si="208"/>
        <v>-1.2959353428015352E-2</v>
      </c>
      <c r="BI59" s="754">
        <f t="shared" si="208"/>
        <v>3.0163526610336167E-2</v>
      </c>
      <c r="BJ59" s="743">
        <f t="shared" si="208"/>
        <v>-3.1174253140746844E-2</v>
      </c>
      <c r="BK59" s="743">
        <f t="shared" si="208"/>
        <v>-2.2560886050967621E-2</v>
      </c>
      <c r="BL59" s="743">
        <f t="shared" si="208"/>
        <v>-1.7214988217041483E-2</v>
      </c>
      <c r="BM59" s="743">
        <f t="shared" si="208"/>
        <v>-6.0890261653895328E-3</v>
      </c>
      <c r="BN59" s="754">
        <f t="shared" si="208"/>
        <v>-1.9341948318700175E-2</v>
      </c>
      <c r="BO59" s="743">
        <f t="shared" si="208"/>
        <v>1.1776134402492033E-2</v>
      </c>
      <c r="BP59" s="743">
        <f t="shared" si="208"/>
        <v>2.8333802073740699E-2</v>
      </c>
      <c r="BQ59" s="743">
        <f t="shared" si="208"/>
        <v>2.7666402104050913E-2</v>
      </c>
      <c r="BR59" s="743">
        <f t="shared" si="208"/>
        <v>2.0800478280180057E-2</v>
      </c>
      <c r="BS59" s="754">
        <f t="shared" si="208"/>
        <v>2.230390168786367E-2</v>
      </c>
      <c r="BT59" s="743">
        <f t="shared" si="208"/>
        <v>1.805827401123139E-2</v>
      </c>
      <c r="BU59" s="743">
        <f t="shared" si="208"/>
        <v>-1.025939375457019E-2</v>
      </c>
      <c r="BV59" s="743">
        <f t="shared" si="208"/>
        <v>3.2936592788404218E-2</v>
      </c>
      <c r="BW59" s="743">
        <f t="shared" si="208"/>
        <v>6.6403799537488872E-2</v>
      </c>
      <c r="BX59" s="754">
        <f t="shared" ref="BX59:CV59" si="209">BX58/BS58-1</f>
        <v>2.6369175168470926E-2</v>
      </c>
      <c r="BY59" s="743">
        <f t="shared" si="209"/>
        <v>8.5696425527078679E-2</v>
      </c>
      <c r="BZ59" s="743">
        <f t="shared" si="209"/>
        <v>0.10785462103960031</v>
      </c>
      <c r="CA59" s="743">
        <f t="shared" si="209"/>
        <v>8.1665486971651546E-2</v>
      </c>
      <c r="CB59" s="743">
        <f t="shared" si="209"/>
        <v>4.7262071039569475E-2</v>
      </c>
      <c r="CC59" s="754">
        <f>IF(ISERROR(CC58/BX58-1)," ",(CC58/BX58-1))</f>
        <v>8.0432194791247191E-2</v>
      </c>
      <c r="CD59" s="743">
        <f t="shared" si="209"/>
        <v>2.4906121992889663E-2</v>
      </c>
      <c r="CE59" s="743">
        <f t="shared" si="209"/>
        <v>3.9351420733048093E-2</v>
      </c>
      <c r="CF59" s="743">
        <f t="shared" si="209"/>
        <v>5.732575586099764E-2</v>
      </c>
      <c r="CG59" s="743">
        <f t="shared" si="209"/>
        <v>5.0203483051494135E-2</v>
      </c>
      <c r="CH59" s="754">
        <f>IF(ISERROR(CH58/CC58-1)," ",(CH58/CC58-1))</f>
        <v>4.3225528846221328E-2</v>
      </c>
      <c r="CI59" s="743">
        <f t="shared" si="209"/>
        <v>6.1345250514433403E-2</v>
      </c>
      <c r="CJ59" s="743">
        <f t="shared" si="209"/>
        <v>-4.7276124316150137E-3</v>
      </c>
      <c r="CK59" s="743">
        <f t="shared" si="209"/>
        <v>-6.7823062802526923E-2</v>
      </c>
      <c r="CL59" s="743">
        <f t="shared" si="209"/>
        <v>-5.4671487844300426E-2</v>
      </c>
      <c r="CM59" s="754">
        <f>IF(ISERROR(CM58/CH58-1)," ",(CM58/CH58-1))</f>
        <v>-1.8137420323914966E-2</v>
      </c>
      <c r="CN59" s="743">
        <f t="shared" si="209"/>
        <v>-1.0224913494809584E-2</v>
      </c>
      <c r="CO59" s="743">
        <f t="shared" si="209"/>
        <v>4.8627225148625497E-2</v>
      </c>
      <c r="CP59" s="743">
        <f t="shared" si="209"/>
        <v>7.5904632574129716E-2</v>
      </c>
      <c r="CQ59" s="743">
        <f t="shared" si="209"/>
        <v>8.6550020054024568E-2</v>
      </c>
      <c r="CR59" s="754">
        <f>IF(ISERROR(CR58/CM58-1)," ",(CR58/CM58-1))</f>
        <v>4.9501120427630552E-2</v>
      </c>
      <c r="CS59" s="743">
        <f t="shared" si="209"/>
        <v>1.7161717343424865E-2</v>
      </c>
      <c r="CT59" s="743">
        <f t="shared" si="209"/>
        <v>-1.3562557167755562E-3</v>
      </c>
      <c r="CU59" s="743">
        <f t="shared" si="209"/>
        <v>-1.1644915210477169E-2</v>
      </c>
      <c r="CV59" s="743">
        <f t="shared" si="209"/>
        <v>-0.11229580884808044</v>
      </c>
      <c r="CW59" s="754">
        <f t="shared" ref="CW59:DB59" si="210">IF(ISERROR(CW58/CR58-1)," ",(CW58/CR58-1))</f>
        <v>-2.6878819858509928E-2</v>
      </c>
      <c r="CX59" s="743">
        <f t="shared" si="210"/>
        <v>-0.14181498553452188</v>
      </c>
      <c r="CY59" s="743">
        <f t="shared" si="210"/>
        <v>-6.1574522169695944E-2</v>
      </c>
      <c r="CZ59" s="743">
        <f t="shared" si="210"/>
        <v>4.4957955373104763E-2</v>
      </c>
      <c r="DA59" s="743">
        <f t="shared" si="210"/>
        <v>0.16499047310900194</v>
      </c>
      <c r="DB59" s="754">
        <f t="shared" si="210"/>
        <v>-3.0526949618465693E-3</v>
      </c>
      <c r="DC59" s="743">
        <f>DC58/CX58-1</f>
        <v>0.24408768601990727</v>
      </c>
      <c r="DD59" s="743">
        <f>DD58/CY58-1</f>
        <v>0.18531221454301017</v>
      </c>
      <c r="DE59" s="743">
        <f>DE58/CZ58-1</f>
        <v>1.1468761880623513E-2</v>
      </c>
      <c r="DF59" s="743">
        <f>DF58/DA58-1</f>
        <v>-6.2500176796801976E-2</v>
      </c>
      <c r="DG59" s="754">
        <f>IF(ISERROR(DG58/DB58-1)," ",(DG58/DB58-1))</f>
        <v>8.5498452215587273E-2</v>
      </c>
      <c r="DH59" s="743">
        <f>DH58/DC58-1</f>
        <v>-6.6843519738281509E-2</v>
      </c>
      <c r="DI59" s="743">
        <f>DI58/DD58-1</f>
        <v>-0.10099893853692576</v>
      </c>
      <c r="DJ59" s="743">
        <f>DJ58/DE58-1</f>
        <v>-4.0280649000814295E-2</v>
      </c>
      <c r="DK59" s="743">
        <f>DK58/DF58-1</f>
        <v>-4.9440367083204428E-3</v>
      </c>
      <c r="DL59" s="754">
        <f>IF(ISERROR(DL58/DG58-1)," ",(DL58/DG58-1))</f>
        <v>-5.5332061887482076E-2</v>
      </c>
      <c r="DM59" s="743">
        <f>DM58/DH58-1</f>
        <v>1.0918499353169464E-2</v>
      </c>
      <c r="DN59" s="743">
        <f>DN58/DI58-1</f>
        <v>-1.2308538340854436E-2</v>
      </c>
      <c r="DO59" s="743">
        <f>DO58/DJ58-1</f>
        <v>-4.3141879487597956E-2</v>
      </c>
      <c r="DP59" s="743">
        <f>DP58/DK58-1</f>
        <v>-2.9008043930113137E-2</v>
      </c>
      <c r="DQ59" s="754">
        <f>IF(ISERROR(DQ58/DL58-1)," ",(DQ58/DL58-1))</f>
        <v>-1.858561102790357E-2</v>
      </c>
      <c r="DR59" s="743">
        <f>DR58/DM58-1</f>
        <v>-4.1216509478228192E-2</v>
      </c>
      <c r="DS59" s="743">
        <f>DS58/DN58-1</f>
        <v>-4.7520547666123347E-3</v>
      </c>
      <c r="DT59" s="743">
        <f>DT58/DO58-1</f>
        <v>9.4932450347362529E-3</v>
      </c>
      <c r="DU59" s="743">
        <f>DU58/DP58-1</f>
        <v>-1.8856723818836407E-3</v>
      </c>
      <c r="DV59" s="754">
        <f>IF(ISERROR(DV58/DQ58-1)," ",(DV58/DQ58-1))</f>
        <v>-9.6649316359889159E-3</v>
      </c>
      <c r="DW59" s="743">
        <f>DW58/DR58-1</f>
        <v>-2.2796545072209295E-2</v>
      </c>
      <c r="DX59" s="743">
        <f>DX58/DS58-1</f>
        <v>-1.7207685195933742E-2</v>
      </c>
      <c r="DY59" s="743">
        <f>DY58/DT58-1</f>
        <v>9.9819274715229334E-4</v>
      </c>
      <c r="DZ59" s="743">
        <f>DZ58/DU58-1</f>
        <v>4.6400313564063378E-3</v>
      </c>
      <c r="EA59" s="754">
        <f>IF(ISERROR(EA58/DV58-1)," ",(EA58/DV58-1))</f>
        <v>-8.69249314617071E-3</v>
      </c>
      <c r="EB59" s="743">
        <f>EB58/DW58-1</f>
        <v>1.0801492973480098E-3</v>
      </c>
      <c r="EC59" s="743">
        <f>EC58/DX58-1</f>
        <v>-1.7428427925665568E-2</v>
      </c>
      <c r="ED59" s="743">
        <f>ED58/DY58-1</f>
        <v>-2.4589887261189491E-2</v>
      </c>
      <c r="EE59" s="743">
        <f>EE58/DZ58-1</f>
        <v>-3.2131147540983562E-2</v>
      </c>
      <c r="EF59" s="754">
        <f>IF(ISERROR(EF58/EA58-1)," ",(EF58/EA58-1))</f>
        <v>-1.8388167476731776E-2</v>
      </c>
      <c r="EG59" s="743">
        <f>EG58/EB58-1</f>
        <v>-3.4231444306271119E-2</v>
      </c>
      <c r="EH59" s="743">
        <f>EH58/EC58-1</f>
        <v>-5.2626932598001219E-2</v>
      </c>
      <c r="EI59" s="743">
        <f>EI58/ED58-1</f>
        <v>-5.1769184185483264E-2</v>
      </c>
      <c r="EJ59" s="743">
        <f>EJ58/EE58-1</f>
        <v>-4.3123770759658453E-2</v>
      </c>
      <c r="EK59" s="754">
        <f>IF(ISERROR(EK58/EF58-1)," ",(EK58/EF58-1))</f>
        <v>-4.5637990427011665E-2</v>
      </c>
      <c r="EL59" s="743">
        <f>EL58/EG58-1</f>
        <v>1.7235657885074751E-2</v>
      </c>
      <c r="EM59" s="743">
        <f>EM58/EH58-1</f>
        <v>2.3841961081100704E-2</v>
      </c>
      <c r="EN59" s="743">
        <f>EN58/EI58-1</f>
        <v>-5.7070894841523279E-3</v>
      </c>
      <c r="EO59" s="743">
        <f>EO58/EJ58-1</f>
        <v>-5.1231782200191756E-3</v>
      </c>
      <c r="EP59" s="754">
        <f>IF(ISERROR(EP58/EK58-1)," ",(EP58/EK58-1))</f>
        <v>7.730674599357501E-3</v>
      </c>
      <c r="EQ59" s="743">
        <f>EQ58/EL58-1</f>
        <v>-3.2617187499999978E-2</v>
      </c>
      <c r="ER59" s="743">
        <f>ER58/EM58-1</f>
        <v>-2.2362204724409418E-2</v>
      </c>
      <c r="ES59" s="743">
        <f>ES58/EN58-1</f>
        <v>-7.1200000000000152E-3</v>
      </c>
      <c r="ET59" s="743">
        <f>ET58/EO58-1</f>
        <v>6.3636363636361271E-3</v>
      </c>
      <c r="EU59" s="754">
        <f>IF(ISERROR(EU58/EP58-1)," ",(EU58/EP58-1))</f>
        <v>-1.4312016672956118E-2</v>
      </c>
      <c r="EV59" s="743">
        <f>EV58/EQ58-1</f>
        <v>3.0000000000000027E-2</v>
      </c>
      <c r="EW59" s="743">
        <f>EW58/ER58-1</f>
        <v>3.0000000000000027E-2</v>
      </c>
      <c r="EX59" s="743">
        <f>EX58/ES58-1</f>
        <v>2.9999999999999805E-2</v>
      </c>
      <c r="EY59" s="743">
        <f>EY58/ET58-1</f>
        <v>3.0000000000000027E-2</v>
      </c>
      <c r="EZ59" s="754">
        <f>IF(ISERROR(EZ58/EU58-1)," ",(EZ58/EU58-1))</f>
        <v>1.0000000000000009E-2</v>
      </c>
      <c r="FA59" s="743">
        <f>FA58/EV58-1</f>
        <v>3.0000000000000027E-2</v>
      </c>
      <c r="FB59" s="743">
        <f>FB58/EW58-1</f>
        <v>3.0000000000000027E-2</v>
      </c>
      <c r="FC59" s="743">
        <f>FC58/EX58-1</f>
        <v>3.0000000000000249E-2</v>
      </c>
      <c r="FD59" s="743">
        <f>FD58/EY58-1</f>
        <v>3.0000000000000027E-2</v>
      </c>
      <c r="FE59" s="754">
        <f>IF(ISERROR(FE58/EZ58-1)," ",(FE58/EZ58-1))</f>
        <v>2.4999999999999911E-2</v>
      </c>
      <c r="FF59" s="712"/>
      <c r="FG59" s="690"/>
      <c r="FH59" s="754"/>
      <c r="FI59" s="754"/>
      <c r="FJ59" s="754"/>
      <c r="FK59" s="754"/>
      <c r="FL59" s="690"/>
      <c r="FM59" s="752"/>
      <c r="FN59" s="747"/>
      <c r="FO59" s="748"/>
      <c r="FP59" s="748"/>
      <c r="FQ59" s="748"/>
      <c r="FR59" s="748"/>
      <c r="FS59" s="748"/>
      <c r="FT59" s="748"/>
      <c r="FU59" s="690"/>
      <c r="FV59"/>
      <c r="FW59"/>
      <c r="FX59"/>
      <c r="FY59"/>
      <c r="FZ59"/>
      <c r="GA59"/>
      <c r="GB59" s="725"/>
    </row>
    <row r="60" spans="1:184" s="950" customFormat="1" ht="12.75" customHeight="1">
      <c r="A60" s="1019" t="s">
        <v>290</v>
      </c>
      <c r="B60" s="1022" t="str">
        <f>_xll.ThomsonONEAddinShim.SpreadsheetFormulas.TF(sedol,$O60,"dataDir=across",trSdate,trEdate,Currency_ISOcode)</f>
        <v>N/A</v>
      </c>
      <c r="C60" s="954"/>
      <c r="D60" s="954"/>
      <c r="E60" s="954"/>
      <c r="F60" s="754"/>
      <c r="G60" s="743"/>
      <c r="H60" s="954"/>
      <c r="I60" s="743"/>
      <c r="J60" s="743"/>
      <c r="K60" s="754"/>
      <c r="L60" s="743">
        <f>IF(ISERROR(L58/J58-1)," ",(L58/J58-1))</f>
        <v>-1.4888455990470617E-2</v>
      </c>
      <c r="M60" s="954">
        <f>IF(ISERROR(M58/L58-1)," ",(M58/L58-1))</f>
        <v>8.4148644777829462E-2</v>
      </c>
      <c r="N60" s="743">
        <f>IF(ISERROR(N58/M58-1)," ",(N58/M58-1))</f>
        <v>7.8146361534084496E-2</v>
      </c>
      <c r="O60" s="743">
        <f>IF(ISERROR(O58/N58-1)," ",(O58/N58-1))</f>
        <v>-2.8873392687457922E-2</v>
      </c>
      <c r="P60" s="754">
        <f>P59</f>
        <v>1.7410995019747411E-2</v>
      </c>
      <c r="Q60" s="743">
        <f>IF(ISERROR(Q58/O58-1)," ",(Q58/O58-1))</f>
        <v>2.9463737115857924E-2</v>
      </c>
      <c r="R60" s="954">
        <f>IF(ISERROR(R58/Q58-1)," ",(R58/Q58-1))</f>
        <v>4.810570347593579E-2</v>
      </c>
      <c r="S60" s="743">
        <f>IF(ISERROR(S58/R58-1)," ",(S58/R58-1))</f>
        <v>3.5091587227729093E-2</v>
      </c>
      <c r="T60" s="743">
        <f>IF(ISERROR(T58/S58-1)," ",(T58/S58-1))</f>
        <v>-4.2826630578682634E-2</v>
      </c>
      <c r="U60" s="754">
        <f>U59</f>
        <v>0.11085202781644576</v>
      </c>
      <c r="V60" s="743">
        <f>IF(ISERROR(V58/T58-1)," ",(V58/T58-1))</f>
        <v>1.6595523382617383E-2</v>
      </c>
      <c r="W60" s="954">
        <f>IF(ISERROR(W58/V58-1)," ",(W58/V58-1))</f>
        <v>6.7667577116645061E-2</v>
      </c>
      <c r="X60" s="743">
        <f>IF(ISERROR(X58/W58-1)," ",(X58/W58-1))</f>
        <v>7.2761171840443062E-2</v>
      </c>
      <c r="Y60" s="743">
        <f>IF(ISERROR(Y58/X58-1)," ",(Y58/X58-1))</f>
        <v>5.0730173445561189E-3</v>
      </c>
      <c r="Z60" s="754">
        <f>Z59</f>
        <v>0.1044402620608964</v>
      </c>
      <c r="AA60" s="743">
        <f>IF(ISERROR(AA58/Y58-1)," ",(AA58/Y58-1))</f>
        <v>2.638584518539222E-2</v>
      </c>
      <c r="AB60" s="954">
        <f>IF(ISERROR(AB58/AA58-1)," ",(AB58/AA58-1))</f>
        <v>0.13889087912875242</v>
      </c>
      <c r="AC60" s="743">
        <f>IF(ISERROR(AC58/AB58-1)," ",(AC58/AB58-1))</f>
        <v>-3.4549760264585228E-2</v>
      </c>
      <c r="AD60" s="743">
        <f>IF(ISERROR(AD58/AC58-1)," ",(AD58/AC58-1))</f>
        <v>-2.9774948289118974E-2</v>
      </c>
      <c r="AE60" s="754">
        <f>AE59</f>
        <v>0.1655784734350656</v>
      </c>
      <c r="AF60" s="743">
        <f>IF(ISERROR(AF58/AD58-1)," ",(AF58/AD58-1))</f>
        <v>3.6762543577324669E-2</v>
      </c>
      <c r="AG60" s="954">
        <f>IF(ISERROR(AG58/AF58-1)," ",(AG58/AF58-1))</f>
        <v>6.916842692184022E-2</v>
      </c>
      <c r="AH60" s="743">
        <f>IF(ISERROR(AH58/AG58-1)," ",(AH58/AG58-1))</f>
        <v>3.2274775515574117E-2</v>
      </c>
      <c r="AI60" s="743">
        <f>IF(ISERROR(AI58/AH58-1)," ",(AI58/AH58-1))</f>
        <v>4.0273301685433971E-3</v>
      </c>
      <c r="AJ60" s="754">
        <f>AJ59</f>
        <v>9.9786421078445597E-2</v>
      </c>
      <c r="AK60" s="743">
        <f>IF(ISERROR(AK58/AI58-1)," ",(AK58/AI58-1))</f>
        <v>-1.3123802357515757E-2</v>
      </c>
      <c r="AL60" s="954">
        <f>IF(ISERROR(AL58/AK58-1)," ",(AL58/AK58-1))</f>
        <v>4.9770244311113876E-2</v>
      </c>
      <c r="AM60" s="743">
        <f>IF(ISERROR(AM58/AL58-1)," ",(AM58/AL58-1))</f>
        <v>4.8567798707459753E-2</v>
      </c>
      <c r="AN60" s="743">
        <f>IF(ISERROR(AN58/AM58-1)," ",(AN58/AM58-1))</f>
        <v>-3.3496790124785458E-2</v>
      </c>
      <c r="AO60" s="754">
        <f>AO59</f>
        <v>7.6576033705928248E-2</v>
      </c>
      <c r="AP60" s="743">
        <f>IF(ISERROR(AP58/AN58-1)," ",(AP58/AN58-1))</f>
        <v>-4.0161297442969923E-3</v>
      </c>
      <c r="AQ60" s="954">
        <f>IF(ISERROR(AQ58/AP58-1)," ",(AQ58/AP58-1))</f>
        <v>8.9847591886315525E-2</v>
      </c>
      <c r="AR60" s="743">
        <f>IF(ISERROR(AR58/AQ58-1)," ",(AR58/AQ58-1))</f>
        <v>9.1160807030464364E-2</v>
      </c>
      <c r="AS60" s="743">
        <f>IF(ISERROR(AS58/AR58-1)," ",(AS58/AR58-1))</f>
        <v>-7.1426868502286855E-2</v>
      </c>
      <c r="AT60" s="754">
        <f>AT59</f>
        <v>0.10207555031249194</v>
      </c>
      <c r="AU60" s="743">
        <f>IF(ISERROR(AU58/AS58-1)," ",(AU58/AS58-1))</f>
        <v>-1.6327391114262735E-2</v>
      </c>
      <c r="AV60" s="954">
        <f>IF(ISERROR(AV58/AU58-1)," ",(AV58/AU58-1))</f>
        <v>7.4140082243892014E-2</v>
      </c>
      <c r="AW60" s="743">
        <f>IF(ISERROR(AW58/AV58-1)," ",(AW58/AV58-1))</f>
        <v>2.3044425537274371E-2</v>
      </c>
      <c r="AX60" s="743">
        <f>IF(ISERROR(AX58/AW58-1)," ",(AX58/AW58-1))</f>
        <v>-3.2863186974756764E-2</v>
      </c>
      <c r="AY60" s="754">
        <f>AY59</f>
        <v>4.9678562748042498E-2</v>
      </c>
      <c r="AZ60" s="743">
        <f>IF(ISERROR(AZ58/AX58-1)," ",(AZ58/AX58-1))</f>
        <v>-2.1605160333396656E-3</v>
      </c>
      <c r="BA60" s="954">
        <f>IF(ISERROR(BA58/AZ58-1)," ",(BA58/AZ58-1))</f>
        <v>7.6152014226634757E-2</v>
      </c>
      <c r="BB60" s="743">
        <f>IF(ISERROR(BB58/BA58-1)," ",(BB58/BA58-1))</f>
        <v>6.0695952336162096E-2</v>
      </c>
      <c r="BC60" s="743">
        <f>IF(ISERROR(BC58/BB58-1)," ",(BC58/BB58-1))</f>
        <v>-5.3476140454131849E-2</v>
      </c>
      <c r="BD60" s="754">
        <f>BD59</f>
        <v>7.6065673534557066E-2</v>
      </c>
      <c r="BE60" s="743">
        <f>IF(ISERROR(BE58/BC58-1)," ",(BE58/BC58-1))</f>
        <v>7.0583252720386458E-3</v>
      </c>
      <c r="BF60" s="954">
        <f>IF(ISERROR(BF58/BE58-1)," ",(BF58/BE58-1))</f>
        <v>4.7705387887639006E-2</v>
      </c>
      <c r="BG60" s="743">
        <f>IF(ISERROR(BG58/BF58-1)," ",(BG58/BF58-1))</f>
        <v>-5.8844833736203528E-3</v>
      </c>
      <c r="BH60" s="743">
        <f>IF(ISERROR(BH58/BG58-1)," ",(BH58/BG58-1))</f>
        <v>-5.896801838288368E-2</v>
      </c>
      <c r="BI60" s="754">
        <f>BI59</f>
        <v>3.0163526610336167E-2</v>
      </c>
      <c r="BJ60" s="743">
        <f>IF(ISERROR(BJ58/BH58-1)," ",(BJ58/BH58-1))</f>
        <v>-1.1525981730321155E-2</v>
      </c>
      <c r="BK60" s="954">
        <f>IF(ISERROR(BK58/BJ58-1)," ",(BK58/BJ58-1))</f>
        <v>5.702003619985696E-2</v>
      </c>
      <c r="BL60" s="743">
        <f>IF(ISERROR(BL58/BK58-1)," ",(BL58/BK58-1))</f>
        <v>-4.4737745964273934E-4</v>
      </c>
      <c r="BM60" s="743">
        <f>IF(ISERROR(BM58/BL58-1)," ",(BM58/BL58-1))</f>
        <v>-4.8314736137697212E-2</v>
      </c>
      <c r="BN60" s="754"/>
      <c r="BO60" s="743">
        <f>IF(ISERROR(BO58/BM58-1)," ",(BO58/BM58-1))</f>
        <v>6.2414516902353778E-3</v>
      </c>
      <c r="BP60" s="954">
        <f>IF(ISERROR(BP58/BO58-1)," ",(BP58/BO58-1))</f>
        <v>7.4318118143234857E-2</v>
      </c>
      <c r="BQ60" s="743">
        <f>IF(ISERROR(BQ58/BP58-1)," ",(BQ58/BP58-1))</f>
        <v>-1.0960981266494585E-3</v>
      </c>
      <c r="BR60" s="743">
        <f>IF(ISERROR(BR58/BQ58-1)," ",(BR58/BQ58-1))</f>
        <v>-5.4673023722657588E-2</v>
      </c>
      <c r="BS60" s="754"/>
      <c r="BT60" s="743">
        <f>IF(ISERROR(BT58/BR58-1)," ",(BT58/BR58-1))</f>
        <v>3.5383577329648475E-3</v>
      </c>
      <c r="BU60" s="954">
        <f>IF(ISERROR(BU58/BT58-1)," ",(BU58/BT58-1))</f>
        <v>4.443556198611498E-2</v>
      </c>
      <c r="BV60" s="743">
        <f>IF(ISERROR(BV58/BU58-1)," ",(BV58/BU58-1))</f>
        <v>4.2499808953216478E-2</v>
      </c>
      <c r="BW60" s="743">
        <f>IF(ISERROR(BW58/BV58-1)," ",(BW58/BV58-1))</f>
        <v>-2.4044373734417812E-2</v>
      </c>
      <c r="BX60" s="754">
        <f>BX59</f>
        <v>2.6369175168470926E-2</v>
      </c>
      <c r="BY60" s="743">
        <f>IF(ISERROR(BY58/BW58-1)," ",(BY58/BW58-1))</f>
        <v>2.1693666454057237E-2</v>
      </c>
      <c r="BZ60" s="954">
        <f>IF(ISERROR(BZ58/BY58-1)," ",(BZ58/BY58-1))</f>
        <v>6.5751656281519466E-2</v>
      </c>
      <c r="CA60" s="743">
        <f>IF(ISERROR(CA58/BZ58-1)," ",(CA58/BZ58-1))</f>
        <v>1.7855630246025989E-2</v>
      </c>
      <c r="CB60" s="743">
        <f>IF(ISERROR(CB58/CA58-1)," ",(CB58/CA58-1))</f>
        <v>-5.508558540853159E-2</v>
      </c>
      <c r="CC60" s="754">
        <f>CC59</f>
        <v>8.0432194791247191E-2</v>
      </c>
      <c r="CD60" s="743">
        <f>IF(ISERROR(CD58/CB58-1)," ",(CD58/CB58-1))</f>
        <v>-1.1647274623804993E-4</v>
      </c>
      <c r="CE60" s="743">
        <f>IF(ISERROR(CE58/CD58-1)," ",(CE58/CD58-1))</f>
        <v>8.0772642816237417E-2</v>
      </c>
      <c r="CF60" s="743">
        <f>IF(ISERROR(CF58/CE58-1)," ",(CF58/CE58-1))</f>
        <v>3.5458221482211449E-2</v>
      </c>
      <c r="CG60" s="743">
        <f>IF(ISERROR(CG58/CF58-1)," ",(CG58/CF58-1))</f>
        <v>-6.1450641972270015E-2</v>
      </c>
      <c r="CH60" s="754">
        <f>CH59</f>
        <v>4.3225528846221328E-2</v>
      </c>
      <c r="CI60" s="743">
        <f>IF(ISERROR(CI58/CG58-1)," ",(CI58/CG58-1))</f>
        <v>1.0491442701075826E-2</v>
      </c>
      <c r="CJ60" s="743">
        <f>IF(ISERROR(CJ58/CI58-1)," ",(CJ58/CI58-1))</f>
        <v>1.3490349264706047E-2</v>
      </c>
      <c r="CK60" s="743">
        <f>IF(ISERROR(CK58/CJ58-1)," ",(CK58/CJ58-1))</f>
        <v>-3.0184816183388974E-2</v>
      </c>
      <c r="CL60" s="743">
        <f>IF(ISERROR(CL58/CK58-1)," ",(CL58/CK58-1))</f>
        <v>-4.8209162011173201E-2</v>
      </c>
      <c r="CM60" s="754">
        <f>CM59</f>
        <v>-1.8137420323914966E-2</v>
      </c>
      <c r="CN60" s="743">
        <f>IF(ISERROR(CN58/CL58-1)," ",(CN58/CL58-1))</f>
        <v>5.8001786946506151E-2</v>
      </c>
      <c r="CO60" s="743">
        <f>IF(ISERROR(CO58/CN58-1)," ",(CO58/CN58-1))</f>
        <v>7.3752600115366329E-2</v>
      </c>
      <c r="CP60" s="743">
        <f>IF(ISERROR(CP58/CO58-1)," ",(CP58/CO58-1))</f>
        <v>-4.957506361581987E-3</v>
      </c>
      <c r="CQ60" s="743">
        <f>IF(ISERROR(CQ58/CP58-1)," ",(CQ58/CP58-1))</f>
        <v>-3.8791801063518205E-2</v>
      </c>
      <c r="CR60" s="754">
        <f>CR59</f>
        <v>4.9501120427630552E-2</v>
      </c>
      <c r="CS60" s="743">
        <f>IF(ISERROR(CS58/CQ58-1)," ",(CS58/CQ58-1))</f>
        <v>-9.5633935845745865E-3</v>
      </c>
      <c r="CT60" s="743">
        <f>IF(ISERROR(CT58/CS58-1)," ",(CT58/CS58-1))</f>
        <v>5.4204359768504018E-2</v>
      </c>
      <c r="CU60" s="743">
        <f>IF(ISERROR(CU58/CT58-1)," ",(CU58/CT58-1))</f>
        <v>-1.5209063493357267E-2</v>
      </c>
      <c r="CV60" s="743">
        <f>IF(ISERROR(CV58/CU58-1)," ",(CV58/CU58-1))</f>
        <v>-0.13667814341521545</v>
      </c>
      <c r="CW60" s="754">
        <f>CW59</f>
        <v>-2.6878819858509928E-2</v>
      </c>
      <c r="CX60" s="743">
        <f>IF(ISERROR(CX58/CV58-1)," ",(CX58/CV58-1))</f>
        <v>-4.2498771690154369E-2</v>
      </c>
      <c r="CY60" s="743">
        <f>IF(ISERROR(CY58/CX58-1)," ",(CY58/CX58-1))</f>
        <v>0.15277266949566859</v>
      </c>
      <c r="CZ60" s="743">
        <f>IF(ISERROR(CZ58/CY58-1)," ",(CZ58/CY58-1))</f>
        <v>9.6586940351626627E-2</v>
      </c>
      <c r="DA60" s="743">
        <f>IF(ISERROR(DA58/CZ58-1)," ",(DA58/CZ58-1))</f>
        <v>-3.7509851016981344E-2</v>
      </c>
      <c r="DB60" s="754">
        <f>DB59</f>
        <v>-3.0526949618465693E-3</v>
      </c>
      <c r="DC60" s="743">
        <f>IF(ISERROR(DC58/DA58-1)," ",(DC58/DA58-1))</f>
        <v>2.2510926042361712E-2</v>
      </c>
      <c r="DD60" s="743">
        <f>IF(ISERROR(DD58/DC58-1)," ",(DD58/DC58-1))</f>
        <v>9.8311269453963623E-2</v>
      </c>
      <c r="DE60" s="743">
        <f>IF(ISERROR(DE58/DD58-1)," ",(DE58/DD58-1))</f>
        <v>-6.4243647164682338E-2</v>
      </c>
      <c r="DF60" s="743">
        <f>IF(ISERROR(DF58/DE58-1)," ",(DF58/DE58-1))</f>
        <v>-0.10789697268683829</v>
      </c>
      <c r="DG60" s="754">
        <f>DG59</f>
        <v>8.5498452215587273E-2</v>
      </c>
      <c r="DH60" s="743">
        <f>IF(ISERROR(DH58/DF58-1)," ",(DH58/DF58-1))</f>
        <v>1.7773735161580984E-2</v>
      </c>
      <c r="DI60" s="743">
        <f>IF(ISERROR(DI58/DH58-1)," ",(DI58/DH58-1))</f>
        <v>5.8110850582147489E-2</v>
      </c>
      <c r="DJ60" s="743">
        <f>IF(ISERROR(DJ58/DI58-1)," ",(DJ58/DI58-1))</f>
        <v>-1.0429151497021172E-3</v>
      </c>
      <c r="DK60" s="743">
        <f>IF(ISERROR(DK58/DJ58-1)," ",(DK58/DJ58-1))</f>
        <v>-7.504997552219328E-2</v>
      </c>
      <c r="DL60" s="754"/>
      <c r="DM60" s="743">
        <f>IF(ISERROR(DM58/DK58-1)," ",(DM58/DK58-1))</f>
        <v>3.3998423191218263E-2</v>
      </c>
      <c r="DN60" s="743">
        <f>IF(ISERROR(DN58/DM58-1)," ",(DN58/DM58-1))</f>
        <v>3.3799513291700833E-2</v>
      </c>
      <c r="DO60" s="743">
        <f>IF(ISERROR(DO58/DN58-1)," ",(DO58/DN58-1))</f>
        <v>-3.2227941834457652E-2</v>
      </c>
      <c r="DP60" s="743">
        <f>IF(ISERROR(DP58/DO58-1)," ",(DP58/DO58-1))</f>
        <v>-6.1387457261011358E-2</v>
      </c>
      <c r="DQ60" s="754"/>
      <c r="DR60" s="743">
        <f>IF(ISERROR(DR58/DP58-1)," ",(DR58/DP58-1))</f>
        <v>2.0997765412930081E-2</v>
      </c>
      <c r="DS60" s="743">
        <f>IF(ISERROR(DS58/DR58-1)," ",(DS58/DR58-1))</f>
        <v>7.3116977459550592E-2</v>
      </c>
      <c r="DT60" s="743">
        <f>IF(ISERROR(DT58/DS58-1)," ",(DT58/DS58-1))</f>
        <v>-1.8375913127477106E-2</v>
      </c>
      <c r="DU60" s="743">
        <f>IF(ISERROR(DU58/DT58-1)," ",(DU58/DT58-1))</f>
        <v>-7.1967413751619635E-2</v>
      </c>
      <c r="DV60" s="754"/>
      <c r="DW60" s="743">
        <f>IF(ISERROR(DW58/DU58-1)," ",(DW58/DU58-1))</f>
        <v>-3.9252395462752165E-4</v>
      </c>
      <c r="DX60" s="743">
        <f>IF(ISERROR(DX58/DW58-1)," ",(DX58/DW58-1))</f>
        <v>7.9254389671541858E-2</v>
      </c>
      <c r="DY60" s="743">
        <f>IF(ISERROR(DY58/DX58-1)," ",(DY58/DX58-1))</f>
        <v>-1.9167619115412204E-4</v>
      </c>
      <c r="DZ60" s="743">
        <f>IF(ISERROR(DZ58/DY58-1)," ",(DZ58/DY58-1))</f>
        <v>-6.8591039121042363E-2</v>
      </c>
      <c r="EA60" s="754"/>
      <c r="EB60" s="743">
        <f>IF(ISERROR(EB58/DZ58-1)," ",(EB58/DZ58-1))</f>
        <v>-3.9345734539592003E-3</v>
      </c>
      <c r="EC60" s="743">
        <f>IF(ISERROR(EC58/EB58-1)," ",(EC58/EB58-1))</f>
        <v>5.9300479658909167E-2</v>
      </c>
      <c r="ED60" s="743">
        <f>IF(ISERROR(ED58/EC58-1)," ",(ED58/EC58-1))</f>
        <v>-7.4787653536866339E-3</v>
      </c>
      <c r="EE60" s="743">
        <f>IF(ISERROR(EE58/ED58-1)," ",(EE58/ED58-1))</f>
        <v>-7.5792110044121563E-2</v>
      </c>
      <c r="EF60" s="754"/>
      <c r="EG60" s="743">
        <f>IF(ISERROR(EG58/EE58-1)," ",(EG58/EE58-1))</f>
        <v>-6.0960574071561302E-3</v>
      </c>
      <c r="EH60" s="743">
        <f>IF(ISERROR(EH58/EG58-1)," ",(EH58/EG58-1))</f>
        <v>3.9123440909710983E-2</v>
      </c>
      <c r="EI60" s="743">
        <f>IF(ISERROR(EI58/EH58-1)," ",(EI58/EH58-1))</f>
        <v>-6.5801399412681594E-3</v>
      </c>
      <c r="EJ60" s="743">
        <f>IF(ISERROR(EJ58/EI58-1)," ",(EJ58/EI58-1))</f>
        <v>-6.7365723591774063E-2</v>
      </c>
      <c r="EK60" s="754"/>
      <c r="EL60" s="743">
        <f>IF(ISERROR(EL58/EJ58-1)," ",(EL58/EJ58-1))</f>
        <v>5.6599066862237146E-2</v>
      </c>
      <c r="EM60" s="743">
        <f>IF(ISERROR(EM58/EL58-1)," ",(EM58/EL58-1))</f>
        <v>4.5871891433967971E-2</v>
      </c>
      <c r="EN60" s="743">
        <f>IF(ISERROR(EN58/EM58-1)," ",(EN58/EM58-1))</f>
        <v>-3.525117980215231E-2</v>
      </c>
      <c r="EO60" s="743">
        <f>IF(ISERROR(EO58/EN58-1)," ",(EO58/EN58-1))</f>
        <v>-6.6818022151331591E-2</v>
      </c>
      <c r="EP60" s="754"/>
      <c r="EQ60" s="743">
        <f>IF(ISERROR(EQ58/EO58-1)," ",(EQ58/EO58-1))</f>
        <v>2.7399326840598537E-2</v>
      </c>
      <c r="ER60" s="743">
        <f>IF(ISERROR(ER58/EQ58-1)," ",(ER58/EQ58-1))</f>
        <v>5.695891726649438E-2</v>
      </c>
      <c r="ES60" s="743">
        <f>IF(ISERROR(ES58/ER58-1)," ",(ES58/ER58-1))</f>
        <v>-2.020992516147746E-2</v>
      </c>
      <c r="ET60" s="743">
        <f>IF(ISERROR(ET58/ES58-1)," ",(ET58/ES58-1))</f>
        <v>-5.4145104527439258E-2</v>
      </c>
      <c r="EU60" s="754"/>
      <c r="EV60" s="743">
        <f>IF(ISERROR(EV58/ET58-1)," ",(EV58/ET58-1))</f>
        <v>5.1529753667930001E-2</v>
      </c>
      <c r="EW60" s="743">
        <f>IF(ISERROR(EW58/EV58-1)," ",(EW58/EV58-1))</f>
        <v>5.695891726649438E-2</v>
      </c>
      <c r="EX60" s="743">
        <f>IF(ISERROR(EX58/EW58-1)," ",(EX58/EW58-1))</f>
        <v>-2.0209925161477682E-2</v>
      </c>
      <c r="EY60" s="743">
        <f>IF(ISERROR(EY58/EX58-1)," ",(EY58/EX58-1))</f>
        <v>-5.4145104527439036E-2</v>
      </c>
      <c r="EZ60" s="754"/>
      <c r="FA60" s="743">
        <f>IF(ISERROR(FA58/EY58-1)," ",(FA58/EY58-1))</f>
        <v>5.1529753667930001E-2</v>
      </c>
      <c r="FB60" s="743">
        <f>IF(ISERROR(FB58/FA58-1)," ",(FB58/FA58-1))</f>
        <v>5.695891726649438E-2</v>
      </c>
      <c r="FC60" s="743">
        <f>IF(ISERROR(FC58/FB58-1)," ",(FC58/FB58-1))</f>
        <v>-2.020992516147746E-2</v>
      </c>
      <c r="FD60" s="743">
        <f>IF(ISERROR(FD58/FC58-1)," ",(FD58/FC58-1))</f>
        <v>-5.4145104527439147E-2</v>
      </c>
      <c r="FE60" s="754"/>
      <c r="FF60" s="721"/>
      <c r="FG60" s="690"/>
      <c r="FH60" s="955">
        <f>AVERAGE(DH60,DM60,DC60,DR60,DW60,EB60,EG60,EL60)</f>
        <v>1.7682095231823167E-2</v>
      </c>
      <c r="FI60" s="955">
        <f t="shared" ref="FI60" si="211">AVERAGE(DI60,DN60,DD60,DS60,DX60,EC60,EH60,EM60)</f>
        <v>6.0861101557686564E-2</v>
      </c>
      <c r="FJ60" s="955">
        <f t="shared" ref="FJ60" si="212">AVERAGE(DJ60,DO60,DE60,DT60,DY60,ED60,EI60,EN60)</f>
        <v>-2.0674022320572555E-2</v>
      </c>
      <c r="FK60" s="955">
        <f t="shared" ref="FK60" si="213">AVERAGE(DK60,DP60,DF60,DU60,DZ60,EE60,EJ60,EO60)</f>
        <v>-7.4358589266241518E-2</v>
      </c>
      <c r="FL60" s="690"/>
      <c r="FM60" s="708"/>
      <c r="FN60" s="708"/>
      <c r="FO60" s="723"/>
      <c r="FP60" s="723"/>
      <c r="FQ60" s="723"/>
      <c r="FR60" s="723"/>
      <c r="FS60" s="723"/>
      <c r="FT60" s="723"/>
      <c r="FU60" s="690"/>
      <c r="FV60"/>
      <c r="FW60"/>
      <c r="FX60"/>
      <c r="FY60"/>
      <c r="FZ60"/>
      <c r="GA60"/>
      <c r="GB60" s="1023"/>
    </row>
    <row r="61" spans="1:184" s="532" customFormat="1" ht="12.75" customHeight="1">
      <c r="A61" s="1010" t="s">
        <v>301</v>
      </c>
      <c r="B61" s="1024"/>
      <c r="C61" s="1014"/>
      <c r="D61" s="1014"/>
      <c r="E61" s="1014"/>
      <c r="F61" s="1013"/>
      <c r="G61" s="750">
        <v>22326.425196850392</v>
      </c>
      <c r="H61" s="750">
        <v>23741.496062992126</v>
      </c>
      <c r="I61" s="750">
        <v>23743.968253968254</v>
      </c>
      <c r="J61" s="750">
        <v>22127.691056910568</v>
      </c>
      <c r="K61" s="1013">
        <f>((G61*G$64)+(H61*H$64)+(I61*I$64)+(J61*J$64))/K$64</f>
        <v>22990.202783300199</v>
      </c>
      <c r="L61" s="750">
        <v>21622.451612903227</v>
      </c>
      <c r="M61" s="750">
        <v>22709.390625</v>
      </c>
      <c r="N61" s="750">
        <v>24676.834645669293</v>
      </c>
      <c r="O61" s="750">
        <v>24743.658536585364</v>
      </c>
      <c r="P61" s="1013">
        <f>((L61*L$64)+(M61*M$64)+(N61*N$64)+(O61*O$64))/P$64</f>
        <v>23437.079681274899</v>
      </c>
      <c r="Q61" s="750">
        <v>24670.409448818897</v>
      </c>
      <c r="R61" s="750">
        <v>25857.196850393702</v>
      </c>
      <c r="S61" s="750">
        <v>26555.46875</v>
      </c>
      <c r="T61" s="750">
        <v>26451.447154471545</v>
      </c>
      <c r="U61" s="1013">
        <f>((Q61*Q$64)+(R61*R$64)+(S61*S$64)+(T61*T$64))/U$64</f>
        <v>25880.463366336633</v>
      </c>
      <c r="V61" s="750">
        <v>26460.175999999999</v>
      </c>
      <c r="W61" s="750">
        <v>27805.779527559054</v>
      </c>
      <c r="X61" s="750">
        <v>29595.921875</v>
      </c>
      <c r="Y61" s="750">
        <v>30705.612903225807</v>
      </c>
      <c r="Z61" s="1013">
        <f>((V61*V$64)+(W61*W$64)+(X61*X$64)+(Y61*Y$64))/Z$64</f>
        <v>28640.138888888891</v>
      </c>
      <c r="AA61" s="750">
        <v>30771.338582677166</v>
      </c>
      <c r="AB61" s="750">
        <v>35239.42992874109</v>
      </c>
      <c r="AC61" s="750">
        <v>33570.0625</v>
      </c>
      <c r="AD61" s="750">
        <v>34454.760330578516</v>
      </c>
      <c r="AE61" s="1013">
        <f>((AA61*AA$64)+(AB61*AB$64)+(AC61*AC$64)+(AD61*AD$64))/AE$64</f>
        <v>33495.309575950625</v>
      </c>
      <c r="AF61" s="750">
        <v>34033.779527559054</v>
      </c>
      <c r="AG61" s="750">
        <v>36387.842519685037</v>
      </c>
      <c r="AH61" s="750">
        <v>37860.365079365081</v>
      </c>
      <c r="AI61" s="750">
        <v>39259.163934426229</v>
      </c>
      <c r="AJ61" s="1013">
        <f>((AF61*AF$64)+(AG61*AG$64)+(AH61*AH$64)+(AI61*AI$64))/AJ$64</f>
        <v>36859.701195219124</v>
      </c>
      <c r="AK61" s="750">
        <v>36927.8125</v>
      </c>
      <c r="AL61" s="750">
        <v>39070.960629921261</v>
      </c>
      <c r="AM61" s="750">
        <v>40968.551181102361</v>
      </c>
      <c r="AN61" s="750">
        <v>40554.209677419356</v>
      </c>
      <c r="AO61" s="1013">
        <f>((AK61*AK$64)+(AL61*AL$64)+(AM61*AM$64)+(AN61*AN$64))/AO$64</f>
        <v>39368.577075098816</v>
      </c>
      <c r="AP61" s="750">
        <v>40068.207999999999</v>
      </c>
      <c r="AQ61" s="750">
        <v>42644.765625</v>
      </c>
      <c r="AR61" s="750">
        <v>46532.296875</v>
      </c>
      <c r="AS61" s="750">
        <v>44965.08943089431</v>
      </c>
      <c r="AT61" s="1013">
        <f>((AP61*AP$64)+(AQ61*AQ$64)+(AR61*AR$64)+(AS61*AS$64))/AT$64</f>
        <v>43559.317460317463</v>
      </c>
      <c r="AU61" s="750">
        <v>43523.232000000004</v>
      </c>
      <c r="AV61" s="750">
        <v>46013.826771653541</v>
      </c>
      <c r="AW61" s="750">
        <v>46706.421875</v>
      </c>
      <c r="AX61" s="750">
        <v>46628.645161290326</v>
      </c>
      <c r="AY61" s="1013">
        <f>((AU61*AU$64)+(AV61*AV$64)+(AW61*AW$64)+(AX61*AX$64))/AY$64</f>
        <v>45723.281746031746</v>
      </c>
      <c r="AZ61" s="750">
        <v>45789.365079365081</v>
      </c>
      <c r="BA61" s="750">
        <v>48888.314960629919</v>
      </c>
      <c r="BB61" s="750">
        <v>51450.515625</v>
      </c>
      <c r="BC61" s="750">
        <v>51094.180327868853</v>
      </c>
      <c r="BD61" s="1013">
        <f>((AZ61*AZ$64)+(BA61*BA$64)+(BB61*BB$64)+(BC61*BC$64))/BD$64</f>
        <v>49299.06958250497</v>
      </c>
      <c r="BE61" s="750">
        <v>48288.369230769233</v>
      </c>
      <c r="BF61" s="750">
        <v>51787.07086614173</v>
      </c>
      <c r="BG61" s="750">
        <v>52306.048000000003</v>
      </c>
      <c r="BH61" s="750">
        <v>50432.032786885247</v>
      </c>
      <c r="BI61" s="1013">
        <f>((BE61*BE$64)+(BF61*BF$64)+(BG61*BG$64)+(BH61*BH$64))/BI$64</f>
        <v>50685.3373015873</v>
      </c>
      <c r="BJ61" s="750">
        <v>47514</v>
      </c>
      <c r="BK61" s="750">
        <v>50618.708661417324</v>
      </c>
      <c r="BL61" s="750">
        <v>50997.619047619046</v>
      </c>
      <c r="BM61" s="750">
        <v>49717.430894308942</v>
      </c>
      <c r="BN61" s="1013">
        <f>((BJ61*BJ$64)+(BK61*BK$64)+(BL61*BL$64)+(BM61*BM$64))/BN$64</f>
        <v>49704.984126984127</v>
      </c>
      <c r="BO61" s="750">
        <v>49227.296000000002</v>
      </c>
      <c r="BP61" s="750">
        <v>51646.265625</v>
      </c>
      <c r="BQ61" s="750">
        <v>51995.874015748028</v>
      </c>
      <c r="BR61" s="750">
        <v>50342.290322580644</v>
      </c>
      <c r="BS61" s="1013">
        <f>((BO61*BO$64)+(BP61*BP$64)+(BQ61*BQ$64)+(BR61*BR$64))/BS$64</f>
        <v>50813.599206349209</v>
      </c>
      <c r="BT61" s="750">
        <v>49718.507936507936</v>
      </c>
      <c r="BU61" s="750">
        <v>51518.897637795279</v>
      </c>
      <c r="BV61" s="750">
        <v>53288.84375</v>
      </c>
      <c r="BW61" s="750">
        <v>54565.295081967211</v>
      </c>
      <c r="BX61" s="1013">
        <f>((BT61*BT$64)+(BU61*BU$64)+(BV61*BV$64)+(BW61*BW$64))/BX$64</f>
        <v>52257.19681908549</v>
      </c>
      <c r="BY61" s="750">
        <v>53554.173228346459</v>
      </c>
      <c r="BZ61" s="750">
        <v>57075.448818897639</v>
      </c>
      <c r="CA61" s="750">
        <v>57640.703125</v>
      </c>
      <c r="CB61" s="750">
        <v>57144.163934426229</v>
      </c>
      <c r="CC61" s="1013">
        <f>CC58*1000/CC64</f>
        <v>56348.333333333336</v>
      </c>
      <c r="CD61" s="750">
        <v>54888</v>
      </c>
      <c r="CE61" s="750">
        <v>58858</v>
      </c>
      <c r="CF61" s="750">
        <v>60945</v>
      </c>
      <c r="CG61" s="750">
        <v>60013</v>
      </c>
      <c r="CH61" s="1013">
        <f>CH58*1000/CH64</f>
        <v>58667.615841584149</v>
      </c>
      <c r="CI61" s="750">
        <v>57800</v>
      </c>
      <c r="CJ61" s="750">
        <v>59041</v>
      </c>
      <c r="CK61" s="750">
        <v>58175</v>
      </c>
      <c r="CL61" s="750">
        <v>56732</v>
      </c>
      <c r="CM61" s="1013">
        <f>CM58*1000/CM64</f>
        <v>57947.780876494027</v>
      </c>
      <c r="CN61" s="750">
        <v>57209</v>
      </c>
      <c r="CO61" s="750">
        <v>61912</v>
      </c>
      <c r="CP61" s="750">
        <v>62094</v>
      </c>
      <c r="CQ61" s="750">
        <v>61141</v>
      </c>
      <c r="CR61" s="1013">
        <f>CR58*1000/CR64</f>
        <v>60574.926587301597</v>
      </c>
      <c r="CS61" s="750">
        <v>58649</v>
      </c>
      <c r="CT61" s="750">
        <v>61345</v>
      </c>
      <c r="CU61" s="750">
        <v>60412</v>
      </c>
      <c r="CV61" s="750">
        <v>54720</v>
      </c>
      <c r="CW61" s="1013">
        <f>CW58*1000/CW64</f>
        <v>58830.017821782181</v>
      </c>
      <c r="CX61" s="750">
        <v>51137</v>
      </c>
      <c r="CY61" s="750">
        <v>58021</v>
      </c>
      <c r="CZ61" s="750">
        <v>63128</v>
      </c>
      <c r="DA61" s="750">
        <v>63230</v>
      </c>
      <c r="DB61" s="1013">
        <f>DB58*1000/DB64</f>
        <v>58883.630218687875</v>
      </c>
      <c r="DC61" s="750">
        <v>63114</v>
      </c>
      <c r="DD61" s="750">
        <v>68773</v>
      </c>
      <c r="DE61" s="750">
        <v>63852</v>
      </c>
      <c r="DF61" s="750">
        <v>59764</v>
      </c>
      <c r="DG61" s="1013">
        <f>DG58*1000/DG64</f>
        <v>63918.089463220676</v>
      </c>
      <c r="DH61" s="750">
        <v>57975</v>
      </c>
      <c r="DI61" s="750">
        <v>61827</v>
      </c>
      <c r="DJ61" s="750">
        <v>61280</v>
      </c>
      <c r="DK61" s="750">
        <v>59960</v>
      </c>
      <c r="DL61" s="1013">
        <f>DL58*1000/DL64</f>
        <v>60261.565476190473</v>
      </c>
      <c r="DM61" s="750">
        <v>58608</v>
      </c>
      <c r="DN61" s="750">
        <v>61066</v>
      </c>
      <c r="DO61" s="750">
        <v>59567</v>
      </c>
      <c r="DP61" s="750">
        <v>57274</v>
      </c>
      <c r="DQ61" s="1013">
        <f>DQ58*1000/DQ64</f>
        <v>59141.567460317463</v>
      </c>
      <c r="DR61" s="750">
        <v>57541</v>
      </c>
      <c r="DS61" s="750">
        <v>60301</v>
      </c>
      <c r="DT61" s="750">
        <v>59659</v>
      </c>
      <c r="DU61" s="750">
        <v>57166</v>
      </c>
      <c r="DV61" s="1013">
        <f>DV58*1000/DV64</f>
        <v>58686.409542743546</v>
      </c>
      <c r="DW61" s="750">
        <v>55783</v>
      </c>
      <c r="DX61" s="750">
        <v>59730</v>
      </c>
      <c r="DY61" s="750">
        <v>59252</v>
      </c>
      <c r="DZ61" s="750">
        <v>57902</v>
      </c>
      <c r="EA61" s="1013">
        <f>EA58*1000/EA64</f>
        <v>58176.278330019872</v>
      </c>
      <c r="EB61" s="750">
        <v>56290</v>
      </c>
      <c r="EC61" s="750">
        <v>58689</v>
      </c>
      <c r="ED61" s="750">
        <v>57795</v>
      </c>
      <c r="EE61" s="750">
        <f>DZ61*(1+EE62)</f>
        <v>55585.919999999998</v>
      </c>
      <c r="EF61" s="1013">
        <f>EF58*1000/EF64</f>
        <v>57106.523180914504</v>
      </c>
      <c r="EG61" s="750">
        <v>53507</v>
      </c>
      <c r="EH61" s="750">
        <v>55166</v>
      </c>
      <c r="EI61" s="750">
        <v>54803</v>
      </c>
      <c r="EJ61" s="750">
        <v>54068</v>
      </c>
      <c r="EK61" s="1013">
        <f>EK58*1000/EK64</f>
        <v>54392.16071428571</v>
      </c>
      <c r="EL61" s="750">
        <v>54004</v>
      </c>
      <c r="EM61" s="750">
        <v>56926</v>
      </c>
      <c r="EN61" s="750">
        <v>55798</v>
      </c>
      <c r="EO61" s="750">
        <v>53791</v>
      </c>
      <c r="EP61" s="1013">
        <f>EP58*1000/EP64</f>
        <v>55140.86826347305</v>
      </c>
      <c r="EQ61" s="750">
        <f t="shared" ref="EQ61:ER61" si="214">EL61*(1+EQ62)</f>
        <v>52653.9</v>
      </c>
      <c r="ER61" s="750">
        <f t="shared" si="214"/>
        <v>55218.22</v>
      </c>
      <c r="ES61" s="750">
        <f t="shared" ref="ES61" si="215">EN61*(1+ES62)</f>
        <v>54961.03</v>
      </c>
      <c r="ET61" s="750">
        <f t="shared" ref="ET61" si="216">EO61*(1+ET62)</f>
        <v>53253.09</v>
      </c>
      <c r="EU61" s="1013">
        <f>EU58*1000/EU64</f>
        <v>54028.16926587301</v>
      </c>
      <c r="EV61" s="750">
        <f t="shared" ref="EV61" si="217">EQ61*(1+EV62)</f>
        <v>54233.517</v>
      </c>
      <c r="EW61" s="750">
        <f t="shared" ref="EW61" si="218">ER61*(1+EW62)</f>
        <v>56874.766600000003</v>
      </c>
      <c r="EX61" s="750">
        <f t="shared" ref="EX61" si="219">ES61*(1+EX62)</f>
        <v>56609.8609</v>
      </c>
      <c r="EY61" s="750">
        <f t="shared" ref="EY61" si="220">ET61*(1+EY62)</f>
        <v>54850.682699999998</v>
      </c>
      <c r="EZ61" s="1013">
        <f t="shared" ref="EZ61" si="221">EU61*(1+EZ62)</f>
        <v>54568.450958531743</v>
      </c>
      <c r="FA61" s="750">
        <f t="shared" ref="FA61" si="222">EV61*(1+FA62)</f>
        <v>55860.522510000003</v>
      </c>
      <c r="FB61" s="750">
        <f t="shared" ref="FB61" si="223">EW61*(1+FB62)</f>
        <v>58581.009598000004</v>
      </c>
      <c r="FC61" s="750">
        <f t="shared" ref="FC61" si="224">EX61*(1+FC62)</f>
        <v>58308.156727000001</v>
      </c>
      <c r="FD61" s="750">
        <f t="shared" ref="FD61" si="225">EY61*(1+FD62)</f>
        <v>56496.203180999997</v>
      </c>
      <c r="FE61" s="1013">
        <f t="shared" ref="FE61" si="226">EZ61*(1+FE62)</f>
        <v>55932.662232495029</v>
      </c>
      <c r="FF61" s="1003"/>
      <c r="FG61" s="690"/>
      <c r="FH61" s="754"/>
      <c r="FI61" s="754"/>
      <c r="FJ61" s="754"/>
      <c r="FK61" s="754"/>
      <c r="FL61" s="690"/>
      <c r="FM61" s="1000"/>
      <c r="FN61" s="1000"/>
      <c r="FO61" s="1025"/>
      <c r="FP61" s="1025"/>
      <c r="FQ61" s="1025"/>
      <c r="FR61" s="1025"/>
      <c r="FS61" s="1025"/>
      <c r="FT61" s="1025"/>
      <c r="FU61" s="690"/>
      <c r="FV61"/>
      <c r="FW61"/>
      <c r="FX61"/>
      <c r="FY61"/>
      <c r="FZ61"/>
      <c r="GA61"/>
      <c r="GB61" s="725"/>
    </row>
    <row r="62" spans="1:184" s="532" customFormat="1" ht="12.75" customHeight="1">
      <c r="A62" s="1026" t="s">
        <v>85</v>
      </c>
      <c r="B62" s="992"/>
      <c r="C62" s="993"/>
      <c r="D62" s="993"/>
      <c r="E62" s="993"/>
      <c r="F62" s="754"/>
      <c r="G62" s="743"/>
      <c r="H62" s="743"/>
      <c r="I62" s="743"/>
      <c r="J62" s="743"/>
      <c r="K62" s="754"/>
      <c r="L62" s="743">
        <f t="shared" ref="L62:BW62" si="227">L61/G61-1</f>
        <v>-3.1530958393037989E-2</v>
      </c>
      <c r="M62" s="743">
        <f t="shared" si="227"/>
        <v>-4.3472636907703421E-2</v>
      </c>
      <c r="N62" s="743">
        <f t="shared" si="227"/>
        <v>3.9288562961464102E-2</v>
      </c>
      <c r="O62" s="743">
        <f t="shared" si="227"/>
        <v>0.11822143905329963</v>
      </c>
      <c r="P62" s="754">
        <f t="shared" si="227"/>
        <v>1.943771014926865E-2</v>
      </c>
      <c r="Q62" s="743">
        <f t="shared" si="227"/>
        <v>0.14096263876464388</v>
      </c>
      <c r="R62" s="743">
        <f t="shared" si="227"/>
        <v>0.13861253599329904</v>
      </c>
      <c r="S62" s="743">
        <f t="shared" si="227"/>
        <v>7.612946033418444E-2</v>
      </c>
      <c r="T62" s="743">
        <f t="shared" si="227"/>
        <v>6.901924448080643E-2</v>
      </c>
      <c r="U62" s="754">
        <f t="shared" si="227"/>
        <v>0.10425290685912025</v>
      </c>
      <c r="V62" s="743">
        <f t="shared" si="227"/>
        <v>7.2547095535408168E-2</v>
      </c>
      <c r="W62" s="743">
        <f t="shared" si="227"/>
        <v>7.5359393689872656E-2</v>
      </c>
      <c r="X62" s="743">
        <f t="shared" si="227"/>
        <v>0.11449442499485163</v>
      </c>
      <c r="Y62" s="743">
        <f t="shared" si="227"/>
        <v>0.16082922510480135</v>
      </c>
      <c r="Z62" s="754">
        <f t="shared" si="227"/>
        <v>0.1066316117872077</v>
      </c>
      <c r="AA62" s="743">
        <f t="shared" si="227"/>
        <v>0.16293023079956703</v>
      </c>
      <c r="AB62" s="743">
        <f t="shared" si="227"/>
        <v>0.26734191694983211</v>
      </c>
      <c r="AC62" s="743">
        <f t="shared" si="227"/>
        <v>0.13428000796140083</v>
      </c>
      <c r="AD62" s="743">
        <f t="shared" si="227"/>
        <v>0.12209974245323862</v>
      </c>
      <c r="AE62" s="754">
        <f t="shared" si="227"/>
        <v>0.1695232940698248</v>
      </c>
      <c r="AF62" s="743">
        <f t="shared" si="227"/>
        <v>0.10602206777960865</v>
      </c>
      <c r="AG62" s="743">
        <f t="shared" si="227"/>
        <v>3.2588852693309578E-2</v>
      </c>
      <c r="AH62" s="743">
        <f t="shared" si="227"/>
        <v>0.12780144747615774</v>
      </c>
      <c r="AI62" s="743">
        <f t="shared" si="227"/>
        <v>0.139440923627143</v>
      </c>
      <c r="AJ62" s="754">
        <f t="shared" si="227"/>
        <v>0.1004436639595685</v>
      </c>
      <c r="AK62" s="743">
        <f t="shared" si="227"/>
        <v>8.5034134104837955E-2</v>
      </c>
      <c r="AL62" s="743">
        <f t="shared" si="227"/>
        <v>7.3736663798759539E-2</v>
      </c>
      <c r="AM62" s="743">
        <f t="shared" si="227"/>
        <v>8.209604147296834E-2</v>
      </c>
      <c r="AN62" s="743">
        <f t="shared" si="227"/>
        <v>3.2987094303796649E-2</v>
      </c>
      <c r="AO62" s="754">
        <f t="shared" si="227"/>
        <v>6.80655512260393E-2</v>
      </c>
      <c r="AP62" s="743">
        <f t="shared" si="227"/>
        <v>8.504147111340532E-2</v>
      </c>
      <c r="AQ62" s="743">
        <f t="shared" si="227"/>
        <v>9.1469596279694532E-2</v>
      </c>
      <c r="AR62" s="743">
        <f t="shared" si="227"/>
        <v>0.13580528316227203</v>
      </c>
      <c r="AS62" s="743">
        <f t="shared" si="227"/>
        <v>0.10876502805899668</v>
      </c>
      <c r="AT62" s="754">
        <f t="shared" si="227"/>
        <v>0.10644886598833536</v>
      </c>
      <c r="AU62" s="743">
        <f t="shared" si="227"/>
        <v>8.6228563054280061E-2</v>
      </c>
      <c r="AV62" s="743">
        <f t="shared" si="227"/>
        <v>7.9002923272685655E-2</v>
      </c>
      <c r="AW62" s="743">
        <f t="shared" si="227"/>
        <v>3.7420246085799747E-3</v>
      </c>
      <c r="AX62" s="743">
        <f t="shared" si="227"/>
        <v>3.6996606733156634E-2</v>
      </c>
      <c r="AY62" s="754">
        <f t="shared" si="227"/>
        <v>4.9678562748042498E-2</v>
      </c>
      <c r="AZ62" s="743">
        <f t="shared" si="227"/>
        <v>5.2067205839977149E-2</v>
      </c>
      <c r="BA62" s="743">
        <f t="shared" si="227"/>
        <v>6.2470096287387866E-2</v>
      </c>
      <c r="BB62" s="743">
        <f t="shared" si="227"/>
        <v>0.10157262234081177</v>
      </c>
      <c r="BC62" s="743">
        <f t="shared" si="227"/>
        <v>9.5768065984590978E-2</v>
      </c>
      <c r="BD62" s="754">
        <f t="shared" si="227"/>
        <v>7.8204969108184308E-2</v>
      </c>
      <c r="BE62" s="743">
        <f t="shared" si="227"/>
        <v>5.4576082177001606E-2</v>
      </c>
      <c r="BF62" s="743">
        <f t="shared" si="227"/>
        <v>5.9293430502691757E-2</v>
      </c>
      <c r="BG62" s="743">
        <f t="shared" si="227"/>
        <v>1.6628256580276002E-2</v>
      </c>
      <c r="BH62" s="743">
        <f t="shared" si="227"/>
        <v>-1.2959353428015463E-2</v>
      </c>
      <c r="BI62" s="754">
        <f t="shared" si="227"/>
        <v>2.8119551359125028E-2</v>
      </c>
      <c r="BJ62" s="743">
        <f t="shared" si="227"/>
        <v>-1.6036350846070913E-2</v>
      </c>
      <c r="BK62" s="743">
        <f t="shared" si="227"/>
        <v>-2.2560886050967621E-2</v>
      </c>
      <c r="BL62" s="743">
        <f t="shared" si="227"/>
        <v>-2.5014869262937944E-2</v>
      </c>
      <c r="BM62" s="743">
        <f t="shared" si="227"/>
        <v>-1.4169603188434965E-2</v>
      </c>
      <c r="BN62" s="754">
        <f t="shared" si="227"/>
        <v>-1.9341948318699842E-2</v>
      </c>
      <c r="BO62" s="743">
        <f t="shared" si="227"/>
        <v>3.6058761628151803E-2</v>
      </c>
      <c r="BP62" s="743">
        <f t="shared" si="227"/>
        <v>2.0299944245039558E-2</v>
      </c>
      <c r="BQ62" s="743">
        <f t="shared" si="227"/>
        <v>1.9574540670160623E-2</v>
      </c>
      <c r="BR62" s="743">
        <f t="shared" si="227"/>
        <v>1.2568216358565421E-2</v>
      </c>
      <c r="BS62" s="754">
        <f t="shared" si="227"/>
        <v>2.230390168786367E-2</v>
      </c>
      <c r="BT62" s="743">
        <f t="shared" si="227"/>
        <v>9.9784464397136841E-3</v>
      </c>
      <c r="BU62" s="743">
        <f t="shared" si="227"/>
        <v>-2.4661606345274256E-3</v>
      </c>
      <c r="BV62" s="743">
        <f t="shared" si="227"/>
        <v>2.4866775657244933E-2</v>
      </c>
      <c r="BW62" s="743">
        <f t="shared" si="227"/>
        <v>8.3885829038103488E-2</v>
      </c>
      <c r="BX62" s="754">
        <f t="shared" ref="BX62:DF62" si="228">BX61/BS61-1</f>
        <v>2.8409670546539534E-2</v>
      </c>
      <c r="BY62" s="743">
        <f t="shared" si="228"/>
        <v>7.7147634774896723E-2</v>
      </c>
      <c r="BZ62" s="743">
        <f t="shared" si="228"/>
        <v>0.10785462103960008</v>
      </c>
      <c r="CA62" s="743">
        <f t="shared" si="228"/>
        <v>8.1665486971651546E-2</v>
      </c>
      <c r="CB62" s="743">
        <f t="shared" si="228"/>
        <v>4.7262071039569697E-2</v>
      </c>
      <c r="CC62" s="754">
        <f t="shared" si="228"/>
        <v>7.8288480119042214E-2</v>
      </c>
      <c r="CD62" s="743">
        <f t="shared" si="228"/>
        <v>2.4906121992889663E-2</v>
      </c>
      <c r="CE62" s="743">
        <f t="shared" si="228"/>
        <v>3.1231487758571319E-2</v>
      </c>
      <c r="CF62" s="743">
        <f t="shared" si="228"/>
        <v>5.732575586099764E-2</v>
      </c>
      <c r="CG62" s="743">
        <f t="shared" si="228"/>
        <v>5.0203483051494135E-2</v>
      </c>
      <c r="CH62" s="754">
        <f t="shared" si="228"/>
        <v>4.1159735719793256E-2</v>
      </c>
      <c r="CI62" s="743">
        <f t="shared" si="228"/>
        <v>5.3053490744789489E-2</v>
      </c>
      <c r="CJ62" s="743">
        <f t="shared" si="228"/>
        <v>3.1091780216792042E-3</v>
      </c>
      <c r="CK62" s="743">
        <f t="shared" si="228"/>
        <v>-4.5450816309787534E-2</v>
      </c>
      <c r="CL62" s="743">
        <f t="shared" si="228"/>
        <v>-5.4671487844300426E-2</v>
      </c>
      <c r="CM62" s="754">
        <f t="shared" si="228"/>
        <v>-1.2269715664496084E-2</v>
      </c>
      <c r="CN62" s="743">
        <f t="shared" si="228"/>
        <v>-1.0224913494809695E-2</v>
      </c>
      <c r="CO62" s="743">
        <f t="shared" si="228"/>
        <v>4.8627225148625497E-2</v>
      </c>
      <c r="CP62" s="743">
        <f t="shared" si="228"/>
        <v>6.7365706918779633E-2</v>
      </c>
      <c r="CQ62" s="743">
        <f t="shared" si="228"/>
        <v>7.7716280053585329E-2</v>
      </c>
      <c r="CR62" s="754">
        <f t="shared" si="228"/>
        <v>4.5336433441806712E-2</v>
      </c>
      <c r="CS62" s="743">
        <f t="shared" si="228"/>
        <v>2.517086472408181E-2</v>
      </c>
      <c r="CT62" s="743">
        <f t="shared" si="228"/>
        <v>-9.1581599689882776E-3</v>
      </c>
      <c r="CU62" s="743">
        <f t="shared" si="228"/>
        <v>-2.7087963410313387E-2</v>
      </c>
      <c r="CV62" s="743">
        <f t="shared" si="228"/>
        <v>-0.10501954498617949</v>
      </c>
      <c r="CW62" s="754">
        <f t="shared" si="228"/>
        <v>-2.8805792492453519E-2</v>
      </c>
      <c r="CX62" s="743">
        <f>IF(ISERROR(CX61/CS61-1)," ",(CX61/CS61-1))</f>
        <v>-0.12808402530307417</v>
      </c>
      <c r="CY62" s="743">
        <f>IF(ISERROR(CY61/CT61-1)," ",(CY61/CT61-1))</f>
        <v>-5.4185345178906164E-2</v>
      </c>
      <c r="CZ62" s="743">
        <f>IF(ISERROR(CZ61/CU61-1)," ",(CZ61/CU61-1))</f>
        <v>4.4957955373104763E-2</v>
      </c>
      <c r="DA62" s="743">
        <f>IF(ISERROR(DA61/CV61-1)," ",(DA61/CV61-1))</f>
        <v>0.1555190058479532</v>
      </c>
      <c r="DB62" s="754">
        <f>IF(ISERROR(DB61/CW61-1)," ",(DB61/CW61-1))</f>
        <v>9.1131022717183541E-4</v>
      </c>
      <c r="DC62" s="743">
        <f t="shared" si="228"/>
        <v>0.23421397422609846</v>
      </c>
      <c r="DD62" s="743">
        <f t="shared" si="228"/>
        <v>0.18531221454301039</v>
      </c>
      <c r="DE62" s="743">
        <f t="shared" si="228"/>
        <v>1.1468761880623513E-2</v>
      </c>
      <c r="DF62" s="743">
        <f t="shared" si="228"/>
        <v>-5.4815752016447838E-2</v>
      </c>
      <c r="DG62" s="754">
        <f>IF(ISERROR(DG61/DB61-1)," ",(DG61/DB61-1))</f>
        <v>8.5498452215587273E-2</v>
      </c>
      <c r="DH62" s="743">
        <f>DH61/DC61-1</f>
        <v>-8.142408974237092E-2</v>
      </c>
      <c r="DI62" s="743">
        <f>DI61/DD61-1</f>
        <v>-0.10099893853692588</v>
      </c>
      <c r="DJ62" s="743">
        <f>DJ61/DE61-1</f>
        <v>-4.0280649000814406E-2</v>
      </c>
      <c r="DK62" s="743">
        <f>DK61/DF61-1</f>
        <v>3.2795662940900971E-3</v>
      </c>
      <c r="DL62" s="754">
        <f>IF(ISERROR(DL61/DG61-1)," ",(DL61/DG61-1))</f>
        <v>-5.7206403034530839E-2</v>
      </c>
      <c r="DM62" s="743">
        <f>DM61/DH61-1</f>
        <v>1.0918499353169464E-2</v>
      </c>
      <c r="DN62" s="743">
        <f>DN61/DI61-1</f>
        <v>-1.2308538340854325E-2</v>
      </c>
      <c r="DO62" s="743">
        <f>DO61/DJ61-1</f>
        <v>-2.79536553524804E-2</v>
      </c>
      <c r="DP62" s="743">
        <f>DP61/DK61-1</f>
        <v>-4.4796531020680486E-2</v>
      </c>
      <c r="DQ62" s="754">
        <f>IF(ISERROR(DQ61/DL61-1)," ",(DQ61/DL61-1))</f>
        <v>-1.8585611027903459E-2</v>
      </c>
      <c r="DR62" s="743">
        <f>DR61/DM61-1</f>
        <v>-1.8205705705705677E-2</v>
      </c>
      <c r="DS62" s="743">
        <f>DS61/DN61-1</f>
        <v>-1.2527429338748286E-2</v>
      </c>
      <c r="DT62" s="743">
        <f>DT61/DO61-1</f>
        <v>1.5444793258012623E-3</v>
      </c>
      <c r="DU62" s="743">
        <f>DU61/DP61-1</f>
        <v>-1.8856723818835297E-3</v>
      </c>
      <c r="DV62" s="754">
        <f>IF(ISERROR(DV61/DQ61-1)," ",(DV61/DQ61-1))</f>
        <v>-7.6960746412295666E-3</v>
      </c>
      <c r="DW62" s="743">
        <f>DW61/DR61-1</f>
        <v>-3.055212804782681E-2</v>
      </c>
      <c r="DX62" s="743">
        <f>DX61/DS61-1</f>
        <v>-9.4691630321221965E-3</v>
      </c>
      <c r="DY62" s="743">
        <f>DY61/DT61-1</f>
        <v>-6.8221056336847941E-3</v>
      </c>
      <c r="DZ62" s="743">
        <f>DZ61/DU61-1</f>
        <v>1.2874785711786796E-2</v>
      </c>
      <c r="EA62" s="754">
        <f>IF(ISERROR(EA61/DV61-1)," ",(EA61/DV61-1))</f>
        <v>-8.692493146170821E-3</v>
      </c>
      <c r="EB62" s="743">
        <f>EB61/DW61-1</f>
        <v>9.0887904917269502E-3</v>
      </c>
      <c r="EC62" s="743">
        <f>EC61/DX61-1</f>
        <v>-1.7428427925665457E-2</v>
      </c>
      <c r="ED62" s="743">
        <f>ED61/DY61-1</f>
        <v>-2.4589887261189491E-2</v>
      </c>
      <c r="EE62" s="983">
        <v>-0.04</v>
      </c>
      <c r="EF62" s="754">
        <f>IF(ISERROR(EF61/EA61-1)," ",(EF61/EA61-1))</f>
        <v>-1.8388167476731776E-2</v>
      </c>
      <c r="EG62" s="743">
        <f>EG61/EB61-1</f>
        <v>-4.9440397939243153E-2</v>
      </c>
      <c r="EH62" s="743">
        <f>EH61/EC61-1</f>
        <v>-6.0028284687079325E-2</v>
      </c>
      <c r="EI62" s="743">
        <f>EI61/ED61-1</f>
        <v>-5.1769184185483152E-2</v>
      </c>
      <c r="EJ62" s="743">
        <f>EJ61/EE61-1</f>
        <v>-2.7307634739156983E-2</v>
      </c>
      <c r="EK62" s="754">
        <f>IF(ISERROR(EK61/EF61-1)," ",(EK61/EF61-1))</f>
        <v>-4.7531565842831025E-2</v>
      </c>
      <c r="EL62" s="743">
        <f>EL61/EG61-1</f>
        <v>9.288504307847667E-3</v>
      </c>
      <c r="EM62" s="743">
        <f>EM61/EH61-1</f>
        <v>3.1903708806148678E-2</v>
      </c>
      <c r="EN62" s="743">
        <f>EN61/EI61-1</f>
        <v>1.8155940368228096E-2</v>
      </c>
      <c r="EO62" s="743">
        <f>EO61/EJ61-1</f>
        <v>-5.1231782200192866E-3</v>
      </c>
      <c r="EP62" s="754">
        <f>IF(ISERROR(EP61/EK61-1)," ",(EP61/EK61-1))</f>
        <v>1.3764990016120082E-2</v>
      </c>
      <c r="EQ62" s="983">
        <v>-2.5000000000000001E-2</v>
      </c>
      <c r="ER62" s="983">
        <v>-0.03</v>
      </c>
      <c r="ES62" s="983">
        <v>-1.4999999999999999E-2</v>
      </c>
      <c r="ET62" s="983">
        <v>-0.01</v>
      </c>
      <c r="EU62" s="754">
        <f>IF(ISERROR(EU61/EP61-1)," ",(EU61/EP61-1))</f>
        <v>-2.0179207049902836E-2</v>
      </c>
      <c r="EV62" s="983">
        <v>0.03</v>
      </c>
      <c r="EW62" s="983">
        <v>0.03</v>
      </c>
      <c r="EX62" s="983">
        <v>0.03</v>
      </c>
      <c r="EY62" s="983">
        <v>0.03</v>
      </c>
      <c r="EZ62" s="2384">
        <v>0.01</v>
      </c>
      <c r="FA62" s="2385">
        <v>0.03</v>
      </c>
      <c r="FB62" s="2385">
        <v>0.03</v>
      </c>
      <c r="FC62" s="2385">
        <v>0.03</v>
      </c>
      <c r="FD62" s="2385">
        <v>0.03</v>
      </c>
      <c r="FE62" s="2384">
        <v>2.5000000000000001E-2</v>
      </c>
      <c r="FF62" s="712"/>
      <c r="FG62" s="690"/>
      <c r="FH62" s="754"/>
      <c r="FI62" s="754"/>
      <c r="FJ62" s="754"/>
      <c r="FK62" s="754"/>
      <c r="FL62" s="690"/>
      <c r="FM62" s="1234" t="s">
        <v>557</v>
      </c>
      <c r="FN62" s="747"/>
      <c r="FO62" s="748"/>
      <c r="FP62" s="748"/>
      <c r="FQ62" s="748"/>
      <c r="FR62" s="748"/>
      <c r="FS62" s="748"/>
      <c r="FT62" s="748"/>
      <c r="FU62" s="690"/>
      <c r="FV62"/>
      <c r="FW62"/>
      <c r="FX62"/>
      <c r="FY62"/>
      <c r="FZ62"/>
      <c r="GA62"/>
      <c r="GB62" s="725"/>
    </row>
    <row r="63" spans="1:184" s="950" customFormat="1" ht="12.75" customHeight="1">
      <c r="A63" s="1026" t="s">
        <v>290</v>
      </c>
      <c r="B63" s="1022"/>
      <c r="C63" s="954"/>
      <c r="D63" s="954"/>
      <c r="E63" s="954"/>
      <c r="F63" s="754"/>
      <c r="G63" s="743"/>
      <c r="H63" s="954"/>
      <c r="I63" s="743"/>
      <c r="J63" s="743"/>
      <c r="K63" s="754"/>
      <c r="L63" s="743">
        <f>IF(ISERROR(L61/J61-1)," ",(L61/J61-1))</f>
        <v>-2.2832903926031323E-2</v>
      </c>
      <c r="M63" s="954">
        <f>IF(ISERROR(M61/L61-1)," ",(M61/L61-1))</f>
        <v>5.026899962852216E-2</v>
      </c>
      <c r="N63" s="743">
        <f>IF(ISERROR(N61/M61-1)," ",(N61/M61-1))</f>
        <v>8.6635702963486771E-2</v>
      </c>
      <c r="O63" s="743">
        <f>IF(ISERROR(O61/N61-1)," ",(O61/N61-1))</f>
        <v>2.7079603958768406E-3</v>
      </c>
      <c r="P63" s="754">
        <f>P62</f>
        <v>1.943771014926865E-2</v>
      </c>
      <c r="Q63" s="743">
        <f>IF(ISERROR(Q61/O61-1)," ",(Q61/O61-1))</f>
        <v>-2.9603175964525441E-3</v>
      </c>
      <c r="R63" s="954">
        <f>IF(ISERROR(R61/Q61-1)," ",(R61/Q61-1))</f>
        <v>4.810570347593579E-2</v>
      </c>
      <c r="S63" s="743">
        <f>IF(ISERROR(S61/R61-1)," ",(S61/R61-1))</f>
        <v>2.7004934202512487E-2</v>
      </c>
      <c r="T63" s="743">
        <f>IF(ISERROR(T61/S61-1)," ",(T61/S61-1))</f>
        <v>-3.9171440168404015E-3</v>
      </c>
      <c r="U63" s="754">
        <f>U62</f>
        <v>0.10425290685912025</v>
      </c>
      <c r="V63" s="743">
        <f>IF(ISERROR(V61/T61-1)," ",(V61/T61-1))</f>
        <v>3.2999500849539842E-4</v>
      </c>
      <c r="W63" s="954">
        <f>IF(ISERROR(W61/V61-1)," ",(W61/V61-1))</f>
        <v>5.0853914484886742E-2</v>
      </c>
      <c r="X63" s="743">
        <f>IF(ISERROR(X61/W61-1)," ",(X61/W61-1))</f>
        <v>6.4380225185439954E-2</v>
      </c>
      <c r="Y63" s="743">
        <f>IF(ISERROR(Y61/X61-1)," ",(Y61/X61-1))</f>
        <v>3.7494727581477205E-2</v>
      </c>
      <c r="Z63" s="754">
        <f>Z62</f>
        <v>0.1066316117872077</v>
      </c>
      <c r="AA63" s="743">
        <f>IF(ISERROR(AA61/Y61-1)," ",(AA61/Y61-1))</f>
        <v>2.1405102597529257E-3</v>
      </c>
      <c r="AB63" s="954">
        <f>IF(ISERROR(AB61/AA61-1)," ",(AB61/AA61-1))</f>
        <v>0.14520302176842104</v>
      </c>
      <c r="AC63" s="743">
        <f>IF(ISERROR(AC61/AB61-1)," ",(AC61/AB61-1))</f>
        <v>-4.7372146261071113E-2</v>
      </c>
      <c r="AD63" s="743">
        <f>IF(ISERROR(AD61/AC61-1)," ",(AD61/AC61-1))</f>
        <v>2.6353773710683814E-2</v>
      </c>
      <c r="AE63" s="754">
        <f>AE62</f>
        <v>0.1695232940698248</v>
      </c>
      <c r="AF63" s="743">
        <f>IF(ISERROR(AF61/AD61-1)," ",(AF61/AD61-1))</f>
        <v>-1.2218363993257597E-2</v>
      </c>
      <c r="AG63" s="954">
        <f>IF(ISERROR(AG61/AF61-1)," ",(AG61/AF61-1))</f>
        <v>6.9168426921839998E-2</v>
      </c>
      <c r="AH63" s="743">
        <f>IF(ISERROR(AH61/AG61-1)," ",(AH61/AG61-1))</f>
        <v>4.0467432464110553E-2</v>
      </c>
      <c r="AI63" s="743">
        <f>IF(ISERROR(AI61/AH61-1)," ",(AI61/AH61-1))</f>
        <v>3.6946259026528372E-2</v>
      </c>
      <c r="AJ63" s="754">
        <f>AJ62</f>
        <v>0.1004436639595685</v>
      </c>
      <c r="AK63" s="743">
        <f>IF(ISERROR(AK61/AI61-1)," ",(AK61/AI61-1))</f>
        <v>-5.9383624122007261E-2</v>
      </c>
      <c r="AL63" s="954">
        <f>IF(ISERROR(AL61/AK61-1)," ",(AL61/AK61-1))</f>
        <v>5.8036151746634346E-2</v>
      </c>
      <c r="AM63" s="743">
        <f>IF(ISERROR(AM61/AL61-1)," ",(AM61/AL61-1))</f>
        <v>4.8567798707459753E-2</v>
      </c>
      <c r="AN63" s="743">
        <f>IF(ISERROR(AN61/AM61-1)," ",(AN61/AM61-1))</f>
        <v>-1.0113647950385163E-2</v>
      </c>
      <c r="AO63" s="754">
        <f>AO62</f>
        <v>6.80655512260393E-2</v>
      </c>
      <c r="AP63" s="743">
        <f>IF(ISERROR(AP61/AN61-1)," ",(AP61/AN61-1))</f>
        <v>-1.1984000706342535E-2</v>
      </c>
      <c r="AQ63" s="954">
        <f>IF(ISERROR(AQ61/AP61-1)," ",(AQ61/AP61-1))</f>
        <v>6.4304288951479993E-2</v>
      </c>
      <c r="AR63" s="743">
        <f>IF(ISERROR(AR61/AQ61-1)," ",(AR61/AQ61-1))</f>
        <v>9.1160807030464142E-2</v>
      </c>
      <c r="AS63" s="743">
        <f>IF(ISERROR(AS61/AR61-1)," ",(AS61/AR61-1))</f>
        <v>-3.3679993238152184E-2</v>
      </c>
      <c r="AT63" s="754">
        <f>AT62</f>
        <v>0.10644886598833536</v>
      </c>
      <c r="AU63" s="743">
        <f>IF(ISERROR(AU61/AS61-1)," ",(AU61/AS61-1))</f>
        <v>-3.2066152856434549E-2</v>
      </c>
      <c r="AV63" s="954">
        <f>IF(ISERROR(AV61/AU61-1)," ",(AV61/AU61-1))</f>
        <v>5.7224490397531635E-2</v>
      </c>
      <c r="AW63" s="743">
        <f>IF(ISERROR(AW61/AV61-1)," ",(AW61/AV61-1))</f>
        <v>1.505189096276438E-2</v>
      </c>
      <c r="AX63" s="743">
        <f>IF(ISERROR(AX61/AW61-1)," ",(AX61/AW61-1))</f>
        <v>-1.6652252642651577E-3</v>
      </c>
      <c r="AY63" s="754">
        <f>AY62</f>
        <v>4.9678562748042498E-2</v>
      </c>
      <c r="AZ63" s="743">
        <f>IF(ISERROR(AZ61/AX61-1)," ",(AZ61/AX61-1))</f>
        <v>-1.7999238001064399E-2</v>
      </c>
      <c r="BA63" s="954">
        <f>IF(ISERROR(BA61/AZ61-1)," ",(BA61/AZ61-1))</f>
        <v>6.7678376319338263E-2</v>
      </c>
      <c r="BB63" s="743">
        <f>IF(ISERROR(BB61/BA61-1)," ",(BB61/BA61-1))</f>
        <v>5.2409265208535727E-2</v>
      </c>
      <c r="BC63" s="743">
        <f>IF(ISERROR(BC61/BB61-1)," ",(BC61/BB61-1))</f>
        <v>-6.9257867059743239E-3</v>
      </c>
      <c r="BD63" s="754">
        <f>BD62</f>
        <v>7.8204969108184308E-2</v>
      </c>
      <c r="BE63" s="743">
        <f>IF(ISERROR(BE61/BC61-1)," ",(BE61/BC61-1))</f>
        <v>-5.4914494744702225E-2</v>
      </c>
      <c r="BF63" s="954">
        <f>IF(ISERROR(BF61/BE61-1)," ",(BF61/BE61-1))</f>
        <v>7.245433405821311E-2</v>
      </c>
      <c r="BG63" s="743">
        <f>IF(ISERROR(BG61/BF61-1)," ",(BG61/BF61-1))</f>
        <v>1.0021364892401685E-2</v>
      </c>
      <c r="BH63" s="743">
        <f>IF(ISERROR(BH61/BG61-1)," ",(BH61/BG61-1))</f>
        <v>-3.5827887687380877E-2</v>
      </c>
      <c r="BI63" s="754">
        <f>BI62</f>
        <v>2.8119551359125028E-2</v>
      </c>
      <c r="BJ63" s="743">
        <f>IF(ISERROR(BJ61/BH61-1)," ",(BJ61/BH61-1))</f>
        <v>-5.7860701336712284E-2</v>
      </c>
      <c r="BK63" s="954">
        <f>IF(ISERROR(BK61/BJ61-1)," ",(BK61/BJ61-1))</f>
        <v>6.5343028610879372E-2</v>
      </c>
      <c r="BL63" s="743">
        <f>IF(ISERROR(BL61/BK61-1)," ",(BL61/BK61-1))</f>
        <v>7.4855798621060732E-3</v>
      </c>
      <c r="BM63" s="743">
        <f>IF(ISERROR(BM61/BL61-1)," ",(BM61/BL61-1))</f>
        <v>-2.5102900433738418E-2</v>
      </c>
      <c r="BN63" s="754"/>
      <c r="BO63" s="743">
        <f>IF(ISERROR(BO61/BM61-1)," ",(BO61/BM61-1))</f>
        <v>-9.8584115368085534E-3</v>
      </c>
      <c r="BP63" s="954">
        <f>IF(ISERROR(BP61/BO61-1)," ",(BP61/BO61-1))</f>
        <v>4.9138787249252802E-2</v>
      </c>
      <c r="BQ63" s="743">
        <f>IF(ISERROR(BQ61/BP61-1)," ",(BQ61/BP61-1))</f>
        <v>6.769286927471363E-3</v>
      </c>
      <c r="BR63" s="743">
        <f>IF(ISERROR(BR61/BQ61-1)," ",(BR61/BQ61-1))</f>
        <v>-3.1802209780463775E-2</v>
      </c>
      <c r="BS63" s="754"/>
      <c r="BT63" s="743">
        <f>IF(ISERROR(BT61/BR61-1)," ",(BT61/BR61-1))</f>
        <v>-1.239082254851076E-2</v>
      </c>
      <c r="BU63" s="954">
        <f>IF(ISERROR(BU61/BT61-1)," ",(BU61/BT61-1))</f>
        <v>3.6211659923232054E-2</v>
      </c>
      <c r="BV63" s="743">
        <f>IF(ISERROR(BV61/BU61-1)," ",(BV61/BU61-1))</f>
        <v>3.4355279195769306E-2</v>
      </c>
      <c r="BW63" s="743">
        <f>IF(ISERROR(BW61/BV61-1)," ",(BW61/BV61-1))</f>
        <v>2.39534439507747E-2</v>
      </c>
      <c r="BX63" s="754">
        <f>BX62</f>
        <v>2.8409670546539534E-2</v>
      </c>
      <c r="BY63" s="743">
        <f>IF(ISERROR(BY61/BW61-1)," ",(BY61/BW61-1))</f>
        <v>-1.8530493642559098E-2</v>
      </c>
      <c r="BZ63" s="954">
        <f>IF(ISERROR(BZ61/BY61-1)," ",(BZ61/BY61-1))</f>
        <v>6.5751656281519244E-2</v>
      </c>
      <c r="CA63" s="743">
        <f>IF(ISERROR(CA61/BZ61-1)," ",(CA61/BZ61-1))</f>
        <v>9.903633134728862E-3</v>
      </c>
      <c r="CB63" s="743">
        <f>IF(ISERROR(CB61/CA61-1)," ",(CB61/CA61-1))</f>
        <v>-8.614384690918353E-3</v>
      </c>
      <c r="CC63" s="754">
        <f>CC62</f>
        <v>7.8288480119042214E-2</v>
      </c>
      <c r="CD63" s="743">
        <f>IF(ISERROR(CD61/CB61-1)," ",(CD61/CB61-1))</f>
        <v>-3.9481965945205033E-2</v>
      </c>
      <c r="CE63" s="743">
        <f>IF(ISERROR(CE61/CD61-1)," ",(CE61/CD61-1))</f>
        <v>7.2329106544235522E-2</v>
      </c>
      <c r="CF63" s="743">
        <f>IF(ISERROR(CF61/CE61-1)," ",(CF61/CE61-1))</f>
        <v>3.5458221482211449E-2</v>
      </c>
      <c r="CG63" s="743">
        <f>IF(ISERROR(CG61/CF61-1)," ",(CG61/CF61-1))</f>
        <v>-1.529247682336532E-2</v>
      </c>
      <c r="CH63" s="754">
        <f>CH62</f>
        <v>4.1159735719793256E-2</v>
      </c>
      <c r="CI63" s="743">
        <f>IF(ISERROR(CI61/CG61-1)," ",(CI61/CG61-1))</f>
        <v>-3.687534367553702E-2</v>
      </c>
      <c r="CJ63" s="743">
        <f>IF(ISERROR(CJ61/CI61-1)," ",(CJ61/CI61-1))</f>
        <v>2.147058823529413E-2</v>
      </c>
      <c r="CK63" s="743">
        <f>IF(ISERROR(CK61/CJ61-1)," ",(CK61/CJ61-1))</f>
        <v>-1.4667773242323157E-2</v>
      </c>
      <c r="CL63" s="743">
        <f>IF(ISERROR(CL61/CK61-1)," ",(CL61/CK61-1))</f>
        <v>-2.4804469273743024E-2</v>
      </c>
      <c r="CM63" s="754">
        <f>CM62</f>
        <v>-1.2269715664496084E-2</v>
      </c>
      <c r="CN63" s="743">
        <f>IF(ISERROR(CN61/CL61-1)," ",(CN61/CL61-1))</f>
        <v>8.4079531833884946E-3</v>
      </c>
      <c r="CO63" s="743">
        <f>IF(ISERROR(CO61/CN61-1)," ",(CO61/CN61-1))</f>
        <v>8.2207344998164622E-2</v>
      </c>
      <c r="CP63" s="743">
        <f>IF(ISERROR(CP61/CO61-1)," ",(CP61/CO61-1))</f>
        <v>2.9396562863419629E-3</v>
      </c>
      <c r="CQ63" s="743">
        <f>IF(ISERROR(CQ61/CP61-1)," ",(CQ61/CP61-1))</f>
        <v>-1.5347698650433172E-2</v>
      </c>
      <c r="CR63" s="754">
        <f>CR62</f>
        <v>4.5336433441806712E-2</v>
      </c>
      <c r="CS63" s="743">
        <f>IF(ISERROR(CS61/CQ61-1)," ",(CS61/CQ61-1))</f>
        <v>-4.0758247329942265E-2</v>
      </c>
      <c r="CT63" s="743">
        <f>IF(ISERROR(CT61/CS61-1)," ",(CT61/CS61-1))</f>
        <v>4.5968388207812572E-2</v>
      </c>
      <c r="CU63" s="743">
        <f>IF(ISERROR(CU61/CT61-1)," ",(CU61/CT61-1))</f>
        <v>-1.5209063493357267E-2</v>
      </c>
      <c r="CV63" s="743">
        <f>IF(ISERROR(CV61/CU61-1)," ",(CV61/CU61-1))</f>
        <v>-9.4219691452029353E-2</v>
      </c>
      <c r="CW63" s="754">
        <f>CW62</f>
        <v>-2.8805792492453519E-2</v>
      </c>
      <c r="CX63" s="743">
        <f>IF(ISERROR(CX61/CV61-1)," ",(CX61/CV61-1))</f>
        <v>-6.5478801169590595E-2</v>
      </c>
      <c r="CY63" s="743">
        <f>IF(ISERROR(CY61/CX61-1)," ",(CY61/CX61-1))</f>
        <v>0.13461876918865001</v>
      </c>
      <c r="CZ63" s="743">
        <f>IF(ISERROR(CZ61/CY61-1)," ",(CZ61/CY61-1))</f>
        <v>8.8019854880129644E-2</v>
      </c>
      <c r="DA63" s="743">
        <f>IF(ISERROR(DA61/CZ61-1)," ",(DA61/CZ61-1))</f>
        <v>1.6157647953365384E-3</v>
      </c>
      <c r="DB63" s="754">
        <f>DB62</f>
        <v>9.1131022717183541E-4</v>
      </c>
      <c r="DC63" s="743">
        <f>IF(ISERROR(DC61/DA61-1)," ",(DC61/DA61-1))</f>
        <v>-1.8345721967421014E-3</v>
      </c>
      <c r="DD63" s="743">
        <f>IF(ISERROR(DD61/DC61-1)," ",(DD61/DC61-1))</f>
        <v>8.9663149222042549E-2</v>
      </c>
      <c r="DE63" s="743">
        <f>IF(ISERROR(DE61/DD61-1)," ",(DE61/DD61-1))</f>
        <v>-7.1554243671208217E-2</v>
      </c>
      <c r="DF63" s="743">
        <f>IF(ISERROR(DF61/DE61-1)," ",(DF61/DE61-1))</f>
        <v>-6.4023053310781175E-2</v>
      </c>
      <c r="DG63" s="754">
        <f>DG62</f>
        <v>8.5498452215587273E-2</v>
      </c>
      <c r="DH63" s="743">
        <f>IF(ISERROR(DH61/DF61-1)," ",(DH61/DF61-1))</f>
        <v>-2.9934408674118229E-2</v>
      </c>
      <c r="DI63" s="743">
        <f>IF(ISERROR(DI61/DH61-1)," ",(DI61/DH61-1))</f>
        <v>6.6442432082794323E-2</v>
      </c>
      <c r="DJ63" s="743">
        <f>IF(ISERROR(DJ61/DI61-1)," ",(DJ61/DI61-1))</f>
        <v>-8.8472673750950026E-3</v>
      </c>
      <c r="DK63" s="743">
        <f>IF(ISERROR(DK61/DJ61-1)," ",(DK61/DJ61-1))</f>
        <v>-2.1540469973890364E-2</v>
      </c>
      <c r="DL63" s="754"/>
      <c r="DM63" s="743">
        <f>IF(ISERROR(DM61/DK61-1)," ",(DM61/DK61-1))</f>
        <v>-2.2548365577051421E-2</v>
      </c>
      <c r="DN63" s="743">
        <f>IF(ISERROR(DN61/DM61-1)," ",(DN61/DM61-1))</f>
        <v>4.1939666939666997E-2</v>
      </c>
      <c r="DO63" s="743">
        <f>IF(ISERROR(DO61/DN61-1)," ",(DO61/DN61-1))</f>
        <v>-2.4547211214096198E-2</v>
      </c>
      <c r="DP63" s="743">
        <f>IF(ISERROR(DP61/DO61-1)," ",(DP61/DO61-1))</f>
        <v>-3.8494468413718952E-2</v>
      </c>
      <c r="DQ63" s="754"/>
      <c r="DR63" s="743">
        <f>IF(ISERROR(DR61/DP61-1)," ",(DR61/DP61-1))</f>
        <v>4.6618011663233094E-3</v>
      </c>
      <c r="DS63" s="743">
        <f>IF(ISERROR(DS61/DR61-1)," ",(DS61/DR61-1))</f>
        <v>4.7965798300342311E-2</v>
      </c>
      <c r="DT63" s="743">
        <f>IF(ISERROR(DT61/DS61-1)," ",(DT61/DS61-1))</f>
        <v>-1.0646589608795831E-2</v>
      </c>
      <c r="DU63" s="743">
        <f>IF(ISERROR(DU61/DT61-1)," ",(DU61/DT61-1))</f>
        <v>-4.178749224760725E-2</v>
      </c>
      <c r="DV63" s="754"/>
      <c r="DW63" s="743">
        <f>IF(ISERROR(DW61/DU61-1)," ",(DW61/DU61-1))</f>
        <v>-2.4192701955707885E-2</v>
      </c>
      <c r="DX63" s="743">
        <f>IF(ISERROR(DX61/DW61-1)," ",(DX61/DW61-1))</f>
        <v>7.0756323611135929E-2</v>
      </c>
      <c r="DY63" s="743">
        <f>IF(ISERROR(DY61/DX61-1)," ",(DY61/DX61-1))</f>
        <v>-8.0026787209107608E-3</v>
      </c>
      <c r="DZ63" s="743">
        <f>IF(ISERROR(DZ61/DY61-1)," ",(DZ61/DY61-1))</f>
        <v>-2.2784041045028069E-2</v>
      </c>
      <c r="EA63" s="754"/>
      <c r="EB63" s="743">
        <f>IF(ISERROR(EB61/DZ61-1)," ",(EB61/DZ61-1))</f>
        <v>-2.7840143691064245E-2</v>
      </c>
      <c r="EC63" s="743">
        <f>IF(ISERROR(EC61/EB61-1)," ",(EC61/EB61-1))</f>
        <v>4.2618582341445999E-2</v>
      </c>
      <c r="ED63" s="743">
        <f>IF(ISERROR(ED61/EC61-1)," ",(ED61/EC61-1))</f>
        <v>-1.5232837499360996E-2</v>
      </c>
      <c r="EE63" s="743">
        <f>IF(ISERROR(EE61/ED61-1)," ",(EE61/ED61-1))</f>
        <v>-3.8222683623150844E-2</v>
      </c>
      <c r="EF63" s="754"/>
      <c r="EG63" s="743">
        <f>IF(ISERROR(EG61/EE61-1)," ",(EG61/EE61-1))</f>
        <v>-3.7400118591182752E-2</v>
      </c>
      <c r="EH63" s="743">
        <f>IF(ISERROR(EH61/EG61-1)," ",(EH61/EG61-1))</f>
        <v>3.10052890276038E-2</v>
      </c>
      <c r="EI63" s="743">
        <f>IF(ISERROR(EI61/EH61-1)," ",(EI61/EH61-1))</f>
        <v>-6.5801399412681594E-3</v>
      </c>
      <c r="EJ63" s="743">
        <f>IF(ISERROR(EJ61/EI61-1)," ",(EJ61/EI61-1))</f>
        <v>-1.3411674543364449E-2</v>
      </c>
      <c r="EK63" s="754"/>
      <c r="EL63" s="743">
        <f>IF(ISERROR(EL61/EJ61-1)," ",(EL61/EJ61-1))</f>
        <v>-1.1836946067914633E-3</v>
      </c>
      <c r="EM63" s="743">
        <f>IF(ISERROR(EM61/EL61-1)," ",(EM61/EL61-1))</f>
        <v>5.4107103177542415E-2</v>
      </c>
      <c r="EN63" s="743">
        <f>IF(ISERROR(EN61/EM61-1)," ",(EN61/EM61-1))</f>
        <v>-1.9815198678986734E-2</v>
      </c>
      <c r="EO63" s="743">
        <f>IF(ISERROR(EO61/EN61-1)," ",(EO61/EN61-1))</f>
        <v>-3.5969031148069819E-2</v>
      </c>
      <c r="EP63" s="754"/>
      <c r="EQ63" s="743">
        <f>IF(ISERROR(EQ61/EO61-1)," ",(EQ61/EO61-1))</f>
        <v>-2.1139224033760229E-2</v>
      </c>
      <c r="ER63" s="743">
        <f>IF(ISERROR(ER61/EQ61-1)," ",(ER61/EQ61-1))</f>
        <v>4.8701425725349967E-2</v>
      </c>
      <c r="ES63" s="743">
        <f>IF(ISERROR(ES61/ER61-1)," ",(ES61/ER61-1))</f>
        <v>-4.6577017513422803E-3</v>
      </c>
      <c r="ET63" s="743">
        <f>IF(ISERROR(ET61/ES61-1)," ",(ET61/ES61-1))</f>
        <v>-3.1075472930547354E-2</v>
      </c>
      <c r="EU63" s="754"/>
      <c r="EV63" s="743">
        <f>IF(ISERROR(EV61/ET61-1)," ",(EV61/ET61-1))</f>
        <v>1.8410706308310099E-2</v>
      </c>
      <c r="EW63" s="743">
        <f>IF(ISERROR(EW61/EV61-1)," ",(EW61/EV61-1))</f>
        <v>4.8701425725349967E-2</v>
      </c>
      <c r="EX63" s="743">
        <f>IF(ISERROR(EX61/EW61-1)," ",(EX61/EW61-1))</f>
        <v>-4.6577017513422803E-3</v>
      </c>
      <c r="EY63" s="743">
        <f>IF(ISERROR(EY61/EX61-1)," ",(EY61/EX61-1))</f>
        <v>-3.1075472930547354E-2</v>
      </c>
      <c r="EZ63" s="754"/>
      <c r="FA63" s="743">
        <f>IF(ISERROR(FA61/EY61-1)," ",(FA61/EY61-1))</f>
        <v>1.8410706308310099E-2</v>
      </c>
      <c r="FB63" s="743">
        <f>IF(ISERROR(FB61/FA61-1)," ",(FB61/FA61-1))</f>
        <v>4.8701425725349967E-2</v>
      </c>
      <c r="FC63" s="743">
        <f>IF(ISERROR(FC61/FB61-1)," ",(FC61/FB61-1))</f>
        <v>-4.6577017513422803E-3</v>
      </c>
      <c r="FD63" s="743">
        <f>IF(ISERROR(FD61/FC61-1)," ",(FD61/FC61-1))</f>
        <v>-3.1075472930547354E-2</v>
      </c>
      <c r="FE63" s="754"/>
      <c r="FF63" s="721"/>
      <c r="FG63" s="690"/>
      <c r="FH63" s="955">
        <f>AVERAGE(DH63,DM63,DC63,DR63,DW63,EB63,EG63,EL63)</f>
        <v>-1.7534025515791848E-2</v>
      </c>
      <c r="FI63" s="955">
        <f t="shared" ref="FI63" si="229">AVERAGE(DI63,DN63,DD63,DS63,DX63,EC63,EH63,EM63)</f>
        <v>5.556229308782179E-2</v>
      </c>
      <c r="FJ63" s="955">
        <f t="shared" ref="FJ63" si="230">AVERAGE(DJ63,DO63,DE63,DT63,DY63,ED63,EI63,EN63)</f>
        <v>-2.0653270838715238E-2</v>
      </c>
      <c r="FK63" s="955">
        <f t="shared" ref="FK63" si="231">AVERAGE(DK63,DP63,DF63,DU63,DZ63,EE63,EJ63,EO63)</f>
        <v>-3.4529114288201365E-2</v>
      </c>
      <c r="FL63" s="690"/>
      <c r="FM63" s="708"/>
      <c r="FN63" s="708"/>
      <c r="FO63" s="723"/>
      <c r="FP63" s="723"/>
      <c r="FQ63" s="723"/>
      <c r="FR63" s="723"/>
      <c r="FS63" s="723"/>
      <c r="FT63" s="723"/>
      <c r="FU63" s="690"/>
      <c r="FV63"/>
      <c r="FW63"/>
      <c r="FX63"/>
      <c r="FY63"/>
      <c r="FZ63"/>
      <c r="GA63"/>
      <c r="GB63" s="1023"/>
    </row>
    <row r="64" spans="1:184" s="1037" customFormat="1" ht="12.75" customHeight="1">
      <c r="A64" s="1027" t="s">
        <v>302</v>
      </c>
      <c r="B64" s="1028"/>
      <c r="C64" s="1029"/>
      <c r="D64" s="1029"/>
      <c r="E64" s="1029"/>
      <c r="F64" s="1030"/>
      <c r="G64" s="1031">
        <v>63.5</v>
      </c>
      <c r="H64" s="1031">
        <v>63.5</v>
      </c>
      <c r="I64" s="1031">
        <v>63</v>
      </c>
      <c r="J64" s="1031">
        <v>61.5</v>
      </c>
      <c r="K64" s="1030">
        <v>251.5</v>
      </c>
      <c r="L64" s="1031">
        <v>62</v>
      </c>
      <c r="M64" s="1031">
        <v>64</v>
      </c>
      <c r="N64" s="1031">
        <v>63.5</v>
      </c>
      <c r="O64" s="1031">
        <v>61.5</v>
      </c>
      <c r="P64" s="1030">
        <v>251</v>
      </c>
      <c r="Q64" s="1031">
        <v>63.5</v>
      </c>
      <c r="R64" s="1031">
        <v>63.5</v>
      </c>
      <c r="S64" s="1031">
        <v>64</v>
      </c>
      <c r="T64" s="1031">
        <v>61.5</v>
      </c>
      <c r="U64" s="1030">
        <v>252.5</v>
      </c>
      <c r="V64" s="1031">
        <v>62.5</v>
      </c>
      <c r="W64" s="1031">
        <v>63.5</v>
      </c>
      <c r="X64" s="1031">
        <v>64</v>
      </c>
      <c r="Y64" s="1031">
        <v>62</v>
      </c>
      <c r="Z64" s="1030">
        <v>252</v>
      </c>
      <c r="AA64" s="1031">
        <v>63.5</v>
      </c>
      <c r="AB64" s="1031">
        <v>63.15</v>
      </c>
      <c r="AC64" s="1031">
        <v>64</v>
      </c>
      <c r="AD64" s="1031">
        <v>60.5</v>
      </c>
      <c r="AE64" s="1030">
        <v>251.15</v>
      </c>
      <c r="AF64" s="1031">
        <v>63.5</v>
      </c>
      <c r="AG64" s="1031">
        <v>63.5</v>
      </c>
      <c r="AH64" s="1031">
        <v>63</v>
      </c>
      <c r="AI64" s="1031">
        <v>61</v>
      </c>
      <c r="AJ64" s="1030">
        <v>251</v>
      </c>
      <c r="AK64" s="1031">
        <v>64</v>
      </c>
      <c r="AL64" s="1031">
        <v>63.5</v>
      </c>
      <c r="AM64" s="1031">
        <v>63.5</v>
      </c>
      <c r="AN64" s="1031">
        <v>62</v>
      </c>
      <c r="AO64" s="1030">
        <v>253</v>
      </c>
      <c r="AP64" s="1031">
        <v>62.5</v>
      </c>
      <c r="AQ64" s="1031">
        <v>64</v>
      </c>
      <c r="AR64" s="1031">
        <v>64</v>
      </c>
      <c r="AS64" s="1031">
        <v>61.5</v>
      </c>
      <c r="AT64" s="1030">
        <v>252</v>
      </c>
      <c r="AU64" s="1031">
        <v>62.5</v>
      </c>
      <c r="AV64" s="1031">
        <v>63.5</v>
      </c>
      <c r="AW64" s="1031">
        <v>64</v>
      </c>
      <c r="AX64" s="1031">
        <v>62</v>
      </c>
      <c r="AY64" s="1030">
        <v>252</v>
      </c>
      <c r="AZ64" s="1031">
        <v>63</v>
      </c>
      <c r="BA64" s="1031">
        <v>63.5</v>
      </c>
      <c r="BB64" s="1031">
        <v>64</v>
      </c>
      <c r="BC64" s="1031">
        <v>61</v>
      </c>
      <c r="BD64" s="1030">
        <v>251.5</v>
      </c>
      <c r="BE64" s="1031">
        <v>65</v>
      </c>
      <c r="BF64" s="1031">
        <v>63.5</v>
      </c>
      <c r="BG64" s="1031">
        <v>62.5</v>
      </c>
      <c r="BH64" s="1031">
        <v>61</v>
      </c>
      <c r="BI64" s="1030">
        <v>252</v>
      </c>
      <c r="BJ64" s="1031">
        <v>64</v>
      </c>
      <c r="BK64" s="1031">
        <v>63.5</v>
      </c>
      <c r="BL64" s="1031">
        <v>63</v>
      </c>
      <c r="BM64" s="1031">
        <v>61.5</v>
      </c>
      <c r="BN64" s="1030">
        <v>252</v>
      </c>
      <c r="BO64" s="1031">
        <v>62.5</v>
      </c>
      <c r="BP64" s="1031">
        <v>64</v>
      </c>
      <c r="BQ64" s="1031">
        <v>63.5</v>
      </c>
      <c r="BR64" s="1031">
        <v>62</v>
      </c>
      <c r="BS64" s="1030">
        <v>252</v>
      </c>
      <c r="BT64" s="1031">
        <v>63</v>
      </c>
      <c r="BU64" s="1031">
        <v>63.5</v>
      </c>
      <c r="BV64" s="1031">
        <v>64</v>
      </c>
      <c r="BW64" s="1031">
        <v>61</v>
      </c>
      <c r="BX64" s="1030">
        <v>251.5</v>
      </c>
      <c r="BY64" s="1031">
        <v>63.5</v>
      </c>
      <c r="BZ64" s="1031">
        <v>63.5</v>
      </c>
      <c r="CA64" s="1031">
        <v>64</v>
      </c>
      <c r="CB64" s="1031">
        <v>61</v>
      </c>
      <c r="CC64" s="1030">
        <v>252</v>
      </c>
      <c r="CD64" s="1031">
        <v>63.5</v>
      </c>
      <c r="CE64" s="1031">
        <v>64</v>
      </c>
      <c r="CF64" s="1031">
        <v>64</v>
      </c>
      <c r="CG64" s="1031">
        <v>61</v>
      </c>
      <c r="CH64" s="1030">
        <v>252.5</v>
      </c>
      <c r="CI64" s="1031">
        <v>64</v>
      </c>
      <c r="CJ64" s="1031">
        <v>63.5</v>
      </c>
      <c r="CK64" s="1031">
        <v>62.5</v>
      </c>
      <c r="CL64" s="1031">
        <v>61</v>
      </c>
      <c r="CM64" s="1030">
        <v>251</v>
      </c>
      <c r="CN64" s="1031">
        <v>64</v>
      </c>
      <c r="CO64" s="1031">
        <v>63.5</v>
      </c>
      <c r="CP64" s="1031">
        <v>63</v>
      </c>
      <c r="CQ64" s="1031">
        <v>61.5</v>
      </c>
      <c r="CR64" s="1030">
        <v>252</v>
      </c>
      <c r="CS64" s="1031">
        <v>63.5</v>
      </c>
      <c r="CT64" s="1031">
        <v>64</v>
      </c>
      <c r="CU64" s="1031">
        <v>64</v>
      </c>
      <c r="CV64" s="1031">
        <v>61</v>
      </c>
      <c r="CW64" s="1030">
        <v>252.5</v>
      </c>
      <c r="CX64" s="1031">
        <v>62.5</v>
      </c>
      <c r="CY64" s="1031">
        <v>63.5</v>
      </c>
      <c r="CZ64" s="1031">
        <v>64</v>
      </c>
      <c r="DA64" s="1031">
        <v>61.5</v>
      </c>
      <c r="DB64" s="1030">
        <v>251.5</v>
      </c>
      <c r="DC64" s="1031">
        <v>63</v>
      </c>
      <c r="DD64" s="1031">
        <v>63.5</v>
      </c>
      <c r="DE64" s="1031">
        <v>64</v>
      </c>
      <c r="DF64" s="1031">
        <v>61</v>
      </c>
      <c r="DG64" s="1030">
        <f>SUM(DC64:DF64)</f>
        <v>251.5</v>
      </c>
      <c r="DH64" s="1031">
        <v>64</v>
      </c>
      <c r="DI64" s="1031">
        <v>63.5</v>
      </c>
      <c r="DJ64" s="1031">
        <v>64</v>
      </c>
      <c r="DK64" s="1031">
        <v>60.5</v>
      </c>
      <c r="DL64" s="1030">
        <f>SUM(DH64:DK64)</f>
        <v>252</v>
      </c>
      <c r="DM64" s="1031">
        <v>64</v>
      </c>
      <c r="DN64" s="1031">
        <v>63.5</v>
      </c>
      <c r="DO64" s="1031">
        <v>63</v>
      </c>
      <c r="DP64" s="1031">
        <v>61.5</v>
      </c>
      <c r="DQ64" s="1030">
        <f>SUM(DM64:DP64)</f>
        <v>252</v>
      </c>
      <c r="DR64" s="1031">
        <v>62.5</v>
      </c>
      <c r="DS64" s="1031">
        <v>64</v>
      </c>
      <c r="DT64" s="1031">
        <v>63.5</v>
      </c>
      <c r="DU64" s="1031">
        <v>61.5</v>
      </c>
      <c r="DV64" s="1030">
        <f>SUM(DR64:DU64)</f>
        <v>251.5</v>
      </c>
      <c r="DW64" s="1031">
        <v>63</v>
      </c>
      <c r="DX64" s="1031">
        <v>63.5</v>
      </c>
      <c r="DY64" s="1031">
        <v>64</v>
      </c>
      <c r="DZ64" s="1031">
        <v>61</v>
      </c>
      <c r="EA64" s="1030">
        <f>SUM(DW64:DZ64)</f>
        <v>251.5</v>
      </c>
      <c r="EB64" s="1031">
        <v>62.5</v>
      </c>
      <c r="EC64" s="1031">
        <v>63.5</v>
      </c>
      <c r="ED64" s="1031">
        <v>64</v>
      </c>
      <c r="EE64" s="1032">
        <v>61.5</v>
      </c>
      <c r="EF64" s="1030">
        <f>SUM(EB64:EE64)</f>
        <v>251.5</v>
      </c>
      <c r="EG64" s="1031">
        <v>63.5</v>
      </c>
      <c r="EH64" s="1031">
        <v>64</v>
      </c>
      <c r="EI64" s="1031">
        <v>64</v>
      </c>
      <c r="EJ64" s="1031">
        <v>60.5</v>
      </c>
      <c r="EK64" s="1030">
        <f>SUM(EG64:EJ64)</f>
        <v>252</v>
      </c>
      <c r="EL64" s="1031">
        <v>64</v>
      </c>
      <c r="EM64" s="1031">
        <v>63.5</v>
      </c>
      <c r="EN64" s="1031">
        <v>62.5</v>
      </c>
      <c r="EO64" s="1031">
        <v>60.5</v>
      </c>
      <c r="EP64" s="1030">
        <f>SUM(EL64:EO64)</f>
        <v>250.5</v>
      </c>
      <c r="EQ64" s="1732">
        <v>63.5</v>
      </c>
      <c r="ER64" s="1732">
        <v>64</v>
      </c>
      <c r="ES64" s="1732">
        <v>63</v>
      </c>
      <c r="ET64" s="1732">
        <v>61.5</v>
      </c>
      <c r="EU64" s="1030">
        <f>SUM(EQ64:ET64)</f>
        <v>252</v>
      </c>
      <c r="EV64" s="1732">
        <v>63.5</v>
      </c>
      <c r="EW64" s="1732">
        <v>64</v>
      </c>
      <c r="EX64" s="1732">
        <v>63</v>
      </c>
      <c r="EY64" s="1732">
        <v>61.5</v>
      </c>
      <c r="EZ64" s="1030">
        <f>SUM(EV64:EY64)</f>
        <v>252</v>
      </c>
      <c r="FA64" s="1732">
        <v>63.5</v>
      </c>
      <c r="FB64" s="1732">
        <v>64</v>
      </c>
      <c r="FC64" s="1732">
        <v>63</v>
      </c>
      <c r="FD64" s="1732">
        <v>61.5</v>
      </c>
      <c r="FE64" s="1030">
        <f>SUM(FA64:FD64)</f>
        <v>252</v>
      </c>
      <c r="FF64" s="875"/>
      <c r="FG64" s="690"/>
      <c r="FH64" s="1033"/>
      <c r="FI64" s="1033"/>
      <c r="FJ64" s="1033"/>
      <c r="FK64" s="1033"/>
      <c r="FL64" s="690"/>
      <c r="FM64" s="1034"/>
      <c r="FN64" s="1034"/>
      <c r="FO64" s="1035"/>
      <c r="FP64" s="1035"/>
      <c r="FQ64" s="1035" t="s">
        <v>614</v>
      </c>
      <c r="FR64" s="1035"/>
      <c r="FS64" s="1035"/>
      <c r="FT64" s="1035"/>
      <c r="FU64" s="690"/>
      <c r="FV64"/>
      <c r="FW64"/>
      <c r="FX64"/>
      <c r="FY64"/>
      <c r="FZ64"/>
      <c r="GA64"/>
      <c r="GB64" s="1036"/>
    </row>
    <row r="65" spans="1:272" s="811" customFormat="1" ht="12.75" customHeight="1">
      <c r="A65" s="962" t="s">
        <v>303</v>
      </c>
      <c r="B65" s="963"/>
      <c r="C65" s="963"/>
      <c r="D65" s="963"/>
      <c r="E65" s="963"/>
      <c r="F65" s="777"/>
      <c r="G65" s="776"/>
      <c r="H65" s="776"/>
      <c r="I65" s="776"/>
      <c r="J65" s="776"/>
      <c r="K65" s="777"/>
      <c r="L65" s="776"/>
      <c r="M65" s="776"/>
      <c r="N65" s="776"/>
      <c r="O65" s="776"/>
      <c r="P65" s="777"/>
      <c r="Q65" s="776"/>
      <c r="R65" s="776"/>
      <c r="S65" s="776"/>
      <c r="T65" s="776"/>
      <c r="U65" s="777"/>
      <c r="V65" s="776"/>
      <c r="W65" s="776"/>
      <c r="X65" s="776"/>
      <c r="Y65" s="776"/>
      <c r="Z65" s="777"/>
      <c r="AA65" s="776"/>
      <c r="AB65" s="776"/>
      <c r="AC65" s="776"/>
      <c r="AD65" s="776"/>
      <c r="AE65" s="777"/>
      <c r="AF65" s="776"/>
      <c r="AG65" s="776"/>
      <c r="AH65" s="776"/>
      <c r="AI65" s="776"/>
      <c r="AJ65" s="777"/>
      <c r="AK65" s="776"/>
      <c r="AL65" s="776"/>
      <c r="AM65" s="776"/>
      <c r="AN65" s="776"/>
      <c r="AO65" s="777"/>
      <c r="AP65" s="776"/>
      <c r="AQ65" s="776"/>
      <c r="AR65" s="776"/>
      <c r="AS65" s="776"/>
      <c r="AT65" s="777"/>
      <c r="AU65" s="776"/>
      <c r="AV65" s="776"/>
      <c r="AW65" s="776"/>
      <c r="AX65" s="776"/>
      <c r="AY65" s="777"/>
      <c r="AZ65" s="776"/>
      <c r="BA65" s="776"/>
      <c r="BB65" s="776"/>
      <c r="BC65" s="776"/>
      <c r="BD65" s="777"/>
      <c r="BE65" s="776"/>
      <c r="BF65" s="776"/>
      <c r="BG65" s="776"/>
      <c r="BH65" s="776"/>
      <c r="BI65" s="777"/>
      <c r="BJ65" s="776"/>
      <c r="BK65" s="776"/>
      <c r="BL65" s="776"/>
      <c r="BM65" s="776"/>
      <c r="BN65" s="777">
        <f t="shared" ref="BN65:DY65" si="232">BN40-BN36</f>
        <v>23.378831999999875</v>
      </c>
      <c r="BO65" s="776">
        <f t="shared" si="232"/>
        <v>7.0071439999999825</v>
      </c>
      <c r="BP65" s="776">
        <f t="shared" si="232"/>
        <v>2.3661110000000463</v>
      </c>
      <c r="BQ65" s="776">
        <f t="shared" si="232"/>
        <v>-3.8249789999998711</v>
      </c>
      <c r="BR65" s="776">
        <f t="shared" si="232"/>
        <v>-12.926086000000055</v>
      </c>
      <c r="BS65" s="777">
        <f t="shared" si="232"/>
        <v>-7.3778099999997266</v>
      </c>
      <c r="BT65" s="776">
        <f t="shared" si="232"/>
        <v>11.123528999999735</v>
      </c>
      <c r="BU65" s="776">
        <f t="shared" si="232"/>
        <v>5.4976629999997613</v>
      </c>
      <c r="BV65" s="776">
        <f t="shared" si="232"/>
        <v>5.4914529999999786</v>
      </c>
      <c r="BW65" s="776">
        <f t="shared" si="232"/>
        <v>-1.8192219999999679</v>
      </c>
      <c r="BX65" s="777">
        <f t="shared" si="232"/>
        <v>20.293422999999621</v>
      </c>
      <c r="BY65" s="776">
        <f t="shared" si="232"/>
        <v>2.1787589999999</v>
      </c>
      <c r="BZ65" s="776">
        <f t="shared" si="232"/>
        <v>-4.3177870000000667</v>
      </c>
      <c r="CA65" s="776">
        <f t="shared" si="232"/>
        <v>-1.0110000000000809</v>
      </c>
      <c r="CB65" s="776">
        <f t="shared" si="232"/>
        <v>-2.8450000000000273</v>
      </c>
      <c r="CC65" s="777">
        <f t="shared" si="232"/>
        <v>-5.9950279999998202</v>
      </c>
      <c r="CD65" s="776">
        <f t="shared" si="232"/>
        <v>4.8589178999999376</v>
      </c>
      <c r="CE65" s="776">
        <f t="shared" si="232"/>
        <v>-1.6661600000001044</v>
      </c>
      <c r="CF65" s="776">
        <f t="shared" si="232"/>
        <v>2.6031136000001425</v>
      </c>
      <c r="CG65" s="776">
        <f t="shared" si="232"/>
        <v>-0.57686079999996309</v>
      </c>
      <c r="CH65" s="777">
        <f t="shared" si="232"/>
        <v>5.2190107000001262</v>
      </c>
      <c r="CI65" s="778">
        <f t="shared" si="232"/>
        <v>5.737880000000132</v>
      </c>
      <c r="CJ65" s="778">
        <f t="shared" si="232"/>
        <v>1.5933760000000348</v>
      </c>
      <c r="CK65" s="778">
        <f t="shared" si="232"/>
        <v>11.008924999999977</v>
      </c>
      <c r="CL65" s="778">
        <f t="shared" si="232"/>
        <v>8.158697200000006</v>
      </c>
      <c r="CM65" s="777">
        <f t="shared" si="232"/>
        <v>26.498878200000036</v>
      </c>
      <c r="CN65" s="778">
        <f t="shared" si="232"/>
        <v>23.033084800000097</v>
      </c>
      <c r="CO65" s="778">
        <f t="shared" si="232"/>
        <v>22.608060349999846</v>
      </c>
      <c r="CP65" s="778">
        <f t="shared" si="232"/>
        <v>22.445480099999827</v>
      </c>
      <c r="CQ65" s="778">
        <f t="shared" si="232"/>
        <v>13.534289300000069</v>
      </c>
      <c r="CR65" s="777">
        <f t="shared" si="232"/>
        <v>81.620914549999725</v>
      </c>
      <c r="CS65" s="778">
        <f t="shared" si="232"/>
        <v>34.700900799999772</v>
      </c>
      <c r="CT65" s="778">
        <f t="shared" si="232"/>
        <v>39.642751999999859</v>
      </c>
      <c r="CU65" s="778">
        <f t="shared" si="232"/>
        <v>38.436640000000125</v>
      </c>
      <c r="CV65" s="778">
        <f t="shared" si="232"/>
        <v>30.306571200000008</v>
      </c>
      <c r="CW65" s="777">
        <f t="shared" si="232"/>
        <v>143.08686399999942</v>
      </c>
      <c r="CX65" s="778">
        <f t="shared" si="232"/>
        <v>24.445711974999767</v>
      </c>
      <c r="CY65" s="778">
        <f t="shared" si="232"/>
        <v>19.865231406299927</v>
      </c>
      <c r="CZ65" s="776">
        <f t="shared" si="232"/>
        <v>27.448042047999934</v>
      </c>
      <c r="DA65" s="776">
        <f t="shared" si="232"/>
        <v>15.827665814999932</v>
      </c>
      <c r="DB65" s="777">
        <f t="shared" si="232"/>
        <v>87.586651244299446</v>
      </c>
      <c r="DC65" s="778">
        <f t="shared" si="232"/>
        <v>24.795580194999843</v>
      </c>
      <c r="DD65" s="778">
        <f t="shared" si="232"/>
        <v>28.815436121799848</v>
      </c>
      <c r="DE65" s="776">
        <f t="shared" si="232"/>
        <v>22.591656447999867</v>
      </c>
      <c r="DF65" s="776">
        <f t="shared" si="232"/>
        <v>16.990620209999975</v>
      </c>
      <c r="DG65" s="777">
        <f t="shared" si="232"/>
        <v>93.193292974799533</v>
      </c>
      <c r="DH65" s="778">
        <f t="shared" si="232"/>
        <v>28.96684816000004</v>
      </c>
      <c r="DI65" s="778">
        <f t="shared" si="232"/>
        <v>23.60955394875009</v>
      </c>
      <c r="DJ65" s="778">
        <f t="shared" si="232"/>
        <v>24.026725120000151</v>
      </c>
      <c r="DK65" s="778">
        <f t="shared" si="232"/>
        <v>19.916262848000088</v>
      </c>
      <c r="DL65" s="777">
        <f>DL40-DL36</f>
        <v>96.519390076749914</v>
      </c>
      <c r="DM65" s="778">
        <f t="shared" si="232"/>
        <v>26.717557619199965</v>
      </c>
      <c r="DN65" s="778">
        <f t="shared" si="232"/>
        <v>21.223622573799844</v>
      </c>
      <c r="DO65" s="778">
        <f t="shared" si="232"/>
        <v>23.290325721899876</v>
      </c>
      <c r="DP65" s="778">
        <f t="shared" si="232"/>
        <v>16.402508204000014</v>
      </c>
      <c r="DQ65" s="777">
        <f t="shared" si="232"/>
        <v>87.634014118900268</v>
      </c>
      <c r="DR65" s="780">
        <f t="shared" si="232"/>
        <v>28.814336187500089</v>
      </c>
      <c r="DS65" s="780">
        <f t="shared" si="232"/>
        <v>25.482678489600175</v>
      </c>
      <c r="DT65" s="778">
        <f t="shared" si="232"/>
        <v>21.468006367899989</v>
      </c>
      <c r="DU65" s="778">
        <f t="shared" si="232"/>
        <v>10.232669992799742</v>
      </c>
      <c r="DV65" s="777">
        <f t="shared" si="232"/>
        <v>85.997691037799996</v>
      </c>
      <c r="DW65" s="780">
        <f t="shared" si="232"/>
        <v>26.535560489799991</v>
      </c>
      <c r="DX65" s="780">
        <f t="shared" si="232"/>
        <v>25.472689964999859</v>
      </c>
      <c r="DY65" s="778">
        <f t="shared" si="232"/>
        <v>24.518206131199918</v>
      </c>
      <c r="DZ65" s="778">
        <f t="shared" ref="DZ65:EA65" si="233">DZ40-DZ36</f>
        <v>18.042227374400113</v>
      </c>
      <c r="EA65" s="777">
        <f t="shared" si="233"/>
        <v>94.56868396039954</v>
      </c>
      <c r="EB65" s="780">
        <f>EB40-EB36</f>
        <v>29.982386625000117</v>
      </c>
      <c r="EC65" s="780">
        <f>EC40-EC36</f>
        <v>23.290794024799993</v>
      </c>
      <c r="ED65" s="778">
        <f t="shared" ref="ED65" si="234">ED40-ED36</f>
        <v>22.486649557503824</v>
      </c>
      <c r="EE65" s="1038">
        <v>18</v>
      </c>
      <c r="EF65" s="777">
        <f>EF40-EF36</f>
        <v>93.759830207303821</v>
      </c>
      <c r="EG65" s="778">
        <f>EG40-EG36</f>
        <v>32.510894829007952</v>
      </c>
      <c r="EH65" s="778">
        <f t="shared" ref="EH65:EI65" si="235">EH40-EH36</f>
        <v>33.480463210517996</v>
      </c>
      <c r="EI65" s="778">
        <f t="shared" si="235"/>
        <v>30.113969319741386</v>
      </c>
      <c r="EJ65" s="778">
        <f>EJ40-EJ36</f>
        <v>18.877344677714973</v>
      </c>
      <c r="EK65" s="777">
        <f>EK40-EK36</f>
        <v>114.98267203698197</v>
      </c>
      <c r="EL65" s="778">
        <f>EL40-EL36</f>
        <v>41.543099087202791</v>
      </c>
      <c r="EM65" s="778">
        <f t="shared" ref="EM65:EO65" si="236">EM40-EM36</f>
        <v>32.683467019677664</v>
      </c>
      <c r="EN65" s="778">
        <f t="shared" si="236"/>
        <v>45.68400998652487</v>
      </c>
      <c r="EO65" s="778">
        <f t="shared" si="236"/>
        <v>55.396762682472513</v>
      </c>
      <c r="EP65" s="777">
        <f>EP40-EP36</f>
        <v>175.30733877587772</v>
      </c>
      <c r="EQ65" s="1038">
        <v>40</v>
      </c>
      <c r="ER65" s="1038">
        <v>35</v>
      </c>
      <c r="ES65" s="1038">
        <v>45</v>
      </c>
      <c r="ET65" s="1038">
        <v>20</v>
      </c>
      <c r="EU65" s="777">
        <f>EU40-EU36</f>
        <v>140</v>
      </c>
      <c r="EV65" s="1038">
        <f>+ET65</f>
        <v>20</v>
      </c>
      <c r="EW65" s="1038">
        <f>+EV65</f>
        <v>20</v>
      </c>
      <c r="EX65" s="1038">
        <f t="shared" ref="EX65:EY65" si="237">+EW65</f>
        <v>20</v>
      </c>
      <c r="EY65" s="1038">
        <f t="shared" si="237"/>
        <v>20</v>
      </c>
      <c r="EZ65" s="2389">
        <f>+EU65</f>
        <v>140</v>
      </c>
      <c r="FA65" s="2390">
        <f>+EY65</f>
        <v>20</v>
      </c>
      <c r="FB65" s="2390">
        <f>+FA65</f>
        <v>20</v>
      </c>
      <c r="FC65" s="2390">
        <f t="shared" ref="FC65:FD65" si="238">+FB65</f>
        <v>20</v>
      </c>
      <c r="FD65" s="2390">
        <f t="shared" si="238"/>
        <v>20</v>
      </c>
      <c r="FE65" s="2389">
        <f>+EZ65</f>
        <v>140</v>
      </c>
      <c r="FF65" s="778"/>
      <c r="FG65" s="690"/>
      <c r="FH65" s="754"/>
      <c r="FI65" s="754"/>
      <c r="FJ65" s="754"/>
      <c r="FK65" s="754"/>
      <c r="FL65" s="690"/>
      <c r="FM65" s="940"/>
      <c r="FN65" s="940"/>
      <c r="FO65" s="719"/>
      <c r="FP65" s="719"/>
      <c r="FQ65" s="719"/>
      <c r="FR65" s="719"/>
      <c r="FS65" s="719"/>
      <c r="FT65" s="719"/>
      <c r="FU65" s="690"/>
      <c r="FV65"/>
      <c r="FW65"/>
      <c r="FX65"/>
      <c r="FY65"/>
      <c r="FZ65"/>
      <c r="GA65"/>
      <c r="GB65" s="964"/>
      <c r="GC65" s="965"/>
      <c r="GD65" s="965"/>
      <c r="GE65" s="965"/>
      <c r="GF65" s="965"/>
      <c r="GG65" s="965"/>
      <c r="GH65" s="965"/>
      <c r="GI65" s="965"/>
      <c r="GJ65" s="965"/>
      <c r="GK65" s="965"/>
      <c r="GL65" s="965"/>
      <c r="GM65" s="965"/>
      <c r="GN65" s="965"/>
      <c r="GO65" s="965"/>
      <c r="GP65" s="965"/>
      <c r="GQ65" s="965"/>
      <c r="GR65" s="965"/>
      <c r="GS65" s="965"/>
      <c r="GT65" s="965"/>
      <c r="GU65" s="965"/>
      <c r="GV65" s="965"/>
      <c r="GW65" s="965"/>
      <c r="GX65" s="965"/>
      <c r="GY65" s="965"/>
      <c r="GZ65" s="965"/>
      <c r="HA65" s="965"/>
      <c r="HB65" s="965"/>
      <c r="HC65" s="965"/>
      <c r="HD65" s="965"/>
      <c r="HE65" s="965"/>
      <c r="HF65" s="965"/>
      <c r="HG65" s="965"/>
      <c r="HH65" s="965"/>
      <c r="HI65" s="965"/>
      <c r="HJ65" s="965"/>
      <c r="HK65" s="965"/>
      <c r="HL65" s="965"/>
      <c r="HM65" s="965"/>
      <c r="HN65" s="965"/>
      <c r="HO65" s="965"/>
      <c r="HP65" s="965"/>
      <c r="HQ65" s="965"/>
      <c r="HR65" s="965"/>
      <c r="HS65" s="965"/>
      <c r="HT65" s="965"/>
      <c r="HU65" s="965"/>
      <c r="HV65" s="965"/>
      <c r="HW65" s="965"/>
      <c r="HX65" s="965"/>
      <c r="HY65" s="965"/>
      <c r="HZ65" s="965"/>
      <c r="IA65" s="965"/>
      <c r="IB65" s="965"/>
      <c r="IC65" s="965"/>
      <c r="ID65" s="965"/>
      <c r="IE65" s="965"/>
      <c r="IF65" s="965"/>
      <c r="IG65" s="965"/>
      <c r="IH65" s="965"/>
      <c r="II65" s="965"/>
      <c r="IJ65" s="965"/>
      <c r="IK65" s="965"/>
      <c r="IL65" s="965"/>
      <c r="IM65" s="965"/>
      <c r="IN65" s="965"/>
      <c r="IO65" s="965"/>
      <c r="IP65" s="965"/>
      <c r="IQ65" s="965"/>
      <c r="IR65" s="965"/>
      <c r="IS65" s="965"/>
      <c r="IT65" s="965"/>
      <c r="IU65" s="965"/>
      <c r="IV65" s="965"/>
      <c r="IW65" s="965"/>
      <c r="IX65" s="965"/>
      <c r="IY65" s="965"/>
      <c r="IZ65" s="965"/>
      <c r="JA65" s="965"/>
      <c r="JB65" s="965"/>
      <c r="JC65" s="965"/>
      <c r="JD65" s="965"/>
      <c r="JE65" s="965"/>
      <c r="JF65" s="965"/>
      <c r="JG65" s="965"/>
      <c r="JH65" s="965"/>
      <c r="JI65" s="965"/>
      <c r="JJ65" s="965"/>
      <c r="JK65" s="965"/>
      <c r="JL65" s="965"/>
    </row>
    <row r="66" spans="1:272" s="799" customFormat="1" ht="12.75" customHeight="1">
      <c r="A66" s="58" t="s">
        <v>304</v>
      </c>
      <c r="B66" s="790"/>
      <c r="C66" s="721"/>
      <c r="D66" s="721"/>
      <c r="E66" s="721"/>
      <c r="F66" s="741"/>
      <c r="G66" s="721"/>
      <c r="H66" s="721"/>
      <c r="I66" s="721"/>
      <c r="J66" s="721"/>
      <c r="K66" s="741"/>
      <c r="L66" s="721"/>
      <c r="M66" s="721"/>
      <c r="N66" s="721"/>
      <c r="O66" s="721"/>
      <c r="P66" s="741"/>
      <c r="Q66" s="721"/>
      <c r="R66" s="721"/>
      <c r="S66" s="721"/>
      <c r="T66" s="721"/>
      <c r="U66" s="741"/>
      <c r="V66" s="721"/>
      <c r="W66" s="721"/>
      <c r="X66" s="721"/>
      <c r="Y66" s="721"/>
      <c r="Z66" s="741"/>
      <c r="AA66" s="721"/>
      <c r="AB66" s="721"/>
      <c r="AC66" s="721"/>
      <c r="AD66" s="721"/>
      <c r="AE66" s="741"/>
      <c r="AF66" s="721"/>
      <c r="AG66" s="721"/>
      <c r="AH66" s="721"/>
      <c r="AI66" s="721"/>
      <c r="AJ66" s="741"/>
      <c r="AK66" s="721"/>
      <c r="AL66" s="721"/>
      <c r="AM66" s="721"/>
      <c r="AN66" s="721"/>
      <c r="AO66" s="741"/>
      <c r="AP66" s="721"/>
      <c r="AQ66" s="721"/>
      <c r="AR66" s="721"/>
      <c r="AS66" s="721"/>
      <c r="AT66" s="741"/>
      <c r="AU66" s="721"/>
      <c r="AV66" s="721"/>
      <c r="AW66" s="721"/>
      <c r="AX66" s="721"/>
      <c r="AY66" s="741"/>
      <c r="AZ66" s="721"/>
      <c r="BA66" s="721"/>
      <c r="BB66" s="721"/>
      <c r="BC66" s="721"/>
      <c r="BD66" s="741"/>
      <c r="BE66" s="721"/>
      <c r="BF66" s="721"/>
      <c r="BG66" s="721"/>
      <c r="BH66" s="721"/>
      <c r="BI66" s="741"/>
      <c r="BJ66" s="721"/>
      <c r="BK66" s="721"/>
      <c r="BL66" s="721"/>
      <c r="BM66" s="721"/>
      <c r="BN66" s="741">
        <f t="shared" ref="BN66:DY66" si="239">BN65/BN36</f>
        <v>1.2225421256875769E-2</v>
      </c>
      <c r="BO66" s="721">
        <f t="shared" si="239"/>
        <v>1.5409426672032439E-2</v>
      </c>
      <c r="BP66" s="721">
        <f t="shared" si="239"/>
        <v>4.6949627754144033E-3</v>
      </c>
      <c r="BQ66" s="721">
        <f t="shared" si="239"/>
        <v>-7.2485479136382824E-3</v>
      </c>
      <c r="BR66" s="721">
        <f t="shared" si="239"/>
        <v>-2.461694303251459E-2</v>
      </c>
      <c r="BS66" s="741">
        <f t="shared" si="239"/>
        <v>-3.6678570025904982E-3</v>
      </c>
      <c r="BT66" s="721">
        <f t="shared" si="239"/>
        <v>2.1943491735332873E-2</v>
      </c>
      <c r="BU66" s="721">
        <f t="shared" si="239"/>
        <v>1.0397451730587291E-2</v>
      </c>
      <c r="BV66" s="721">
        <f t="shared" si="239"/>
        <v>9.8164558206548271E-3</v>
      </c>
      <c r="BW66" s="721">
        <f t="shared" si="239"/>
        <v>-3.2405960259001719E-3</v>
      </c>
      <c r="BX66" s="741">
        <f t="shared" si="239"/>
        <v>9.4104998641293749E-3</v>
      </c>
      <c r="BY66" s="721">
        <f t="shared" si="239"/>
        <v>3.7631378956566267E-3</v>
      </c>
      <c r="BZ66" s="721">
        <f t="shared" si="239"/>
        <v>-6.740254793575472E-3</v>
      </c>
      <c r="CA66" s="721">
        <f t="shared" si="239"/>
        <v>-1.5165492878519767E-3</v>
      </c>
      <c r="CB66" s="721">
        <f t="shared" si="239"/>
        <v>-4.3819252130894463E-3</v>
      </c>
      <c r="CC66" s="741">
        <f t="shared" si="239"/>
        <v>-2.3644604519706455E-3</v>
      </c>
      <c r="CD66" s="721">
        <f t="shared" si="239"/>
        <v>7.5492174099484454E-3</v>
      </c>
      <c r="CE66" s="721">
        <f t="shared" si="239"/>
        <v>-2.3211066687100069E-3</v>
      </c>
      <c r="CF66" s="721">
        <f t="shared" si="239"/>
        <v>3.4611729979126733E-3</v>
      </c>
      <c r="CG66" s="721">
        <f t="shared" si="239"/>
        <v>-7.8943192346268322E-4</v>
      </c>
      <c r="CH66" s="741">
        <f t="shared" si="239"/>
        <v>1.8349138850908635E-3</v>
      </c>
      <c r="CI66" s="721">
        <f t="shared" si="239"/>
        <v>7.9884389361706918E-3</v>
      </c>
      <c r="CJ66" s="721">
        <f t="shared" si="239"/>
        <v>2.0645014168233808E-3</v>
      </c>
      <c r="CK66" s="721">
        <f t="shared" si="239"/>
        <v>1.4831569133851447E-2</v>
      </c>
      <c r="CL66" s="721">
        <f t="shared" si="239"/>
        <v>1.1946328406638307E-2</v>
      </c>
      <c r="CM66" s="741">
        <f t="shared" si="239"/>
        <v>9.089654266366971E-3</v>
      </c>
      <c r="CN66" s="721">
        <f t="shared" si="239"/>
        <v>3.323782977237387E-2</v>
      </c>
      <c r="CO66" s="721">
        <f t="shared" si="239"/>
        <v>2.9866560387545388E-2</v>
      </c>
      <c r="CP66" s="721">
        <f t="shared" si="239"/>
        <v>2.9776400004775563E-2</v>
      </c>
      <c r="CQ66" s="721">
        <f t="shared" si="239"/>
        <v>1.8021474176740982E-2</v>
      </c>
      <c r="CR66" s="741">
        <f t="shared" si="239"/>
        <v>2.7623562462158385E-2</v>
      </c>
      <c r="CS66" s="721">
        <f t="shared" si="239"/>
        <v>4.5989051444111195E-2</v>
      </c>
      <c r="CT66" s="721">
        <f t="shared" si="239"/>
        <v>4.7344804853580301E-2</v>
      </c>
      <c r="CU66" s="721">
        <f t="shared" si="239"/>
        <v>4.6592803425185743E-2</v>
      </c>
      <c r="CV66" s="721">
        <f t="shared" si="239"/>
        <v>4.6326155915622141E-2</v>
      </c>
      <c r="CW66" s="741">
        <f t="shared" si="239"/>
        <v>4.6592694597714243E-2</v>
      </c>
      <c r="CX66" s="721">
        <f t="shared" si="239"/>
        <v>4.2602079023726751E-2</v>
      </c>
      <c r="CY66" s="721">
        <f t="shared" si="239"/>
        <v>3.0592534070738423E-2</v>
      </c>
      <c r="CZ66" s="721">
        <f t="shared" si="239"/>
        <v>3.8963292466985211E-2</v>
      </c>
      <c r="DA66" s="721">
        <f t="shared" si="239"/>
        <v>2.2728946868457008E-2</v>
      </c>
      <c r="DB66" s="741">
        <f t="shared" si="239"/>
        <v>3.3379199091268845E-2</v>
      </c>
      <c r="DC66" s="721">
        <f t="shared" si="239"/>
        <v>3.420065874899806E-2</v>
      </c>
      <c r="DD66" s="721">
        <f t="shared" si="239"/>
        <v>3.5271322665964694E-2</v>
      </c>
      <c r="DE66" s="721">
        <f t="shared" si="239"/>
        <v>2.8343093709774787E-2</v>
      </c>
      <c r="DF66" s="721">
        <f t="shared" si="239"/>
        <v>2.3084517240067461E-2</v>
      </c>
      <c r="DG66" s="741">
        <f t="shared" si="239"/>
        <v>3.0306131181269569E-2</v>
      </c>
      <c r="DH66" s="721">
        <f t="shared" si="239"/>
        <v>3.7729974249128342E-2</v>
      </c>
      <c r="DI66" s="721">
        <f t="shared" si="239"/>
        <v>2.8112334711887885E-2</v>
      </c>
      <c r="DJ66" s="721">
        <f t="shared" si="239"/>
        <v>2.849131402822264E-2</v>
      </c>
      <c r="DK66" s="721">
        <f t="shared" si="239"/>
        <v>2.5012983380576496E-2</v>
      </c>
      <c r="DL66" s="741">
        <f t="shared" si="239"/>
        <v>2.9724733455580587E-2</v>
      </c>
      <c r="DM66" s="721">
        <f t="shared" si="239"/>
        <v>3.2149273890886995E-2</v>
      </c>
      <c r="DN66" s="721">
        <f t="shared" si="239"/>
        <v>2.4158272937107973E-2</v>
      </c>
      <c r="DO66" s="721">
        <f t="shared" si="239"/>
        <v>2.7136172655299551E-2</v>
      </c>
      <c r="DP66" s="721">
        <f t="shared" si="239"/>
        <v>1.9887878862538802E-2</v>
      </c>
      <c r="DQ66" s="741">
        <f t="shared" si="239"/>
        <v>2.5830960750675966E-2</v>
      </c>
      <c r="DR66" s="743">
        <f>DR65/DR36</f>
        <v>3.4819435272302461E-2</v>
      </c>
      <c r="DS66" s="743">
        <f t="shared" si="239"/>
        <v>2.8559220520131323E-2</v>
      </c>
      <c r="DT66" s="721">
        <f t="shared" si="239"/>
        <v>2.3873128579800576E-2</v>
      </c>
      <c r="DU66" s="721">
        <f t="shared" si="239"/>
        <v>1.2080575174343142E-2</v>
      </c>
      <c r="DV66" s="741">
        <f t="shared" si="239"/>
        <v>2.4811081918525144E-2</v>
      </c>
      <c r="DW66" s="743">
        <f t="shared" si="239"/>
        <v>3.1290938248192554E-2</v>
      </c>
      <c r="DX66" s="743">
        <f t="shared" si="239"/>
        <v>2.7084113463752755E-2</v>
      </c>
      <c r="DY66" s="721">
        <f t="shared" si="239"/>
        <v>2.5909384629496081E-2</v>
      </c>
      <c r="DZ66" s="721">
        <f t="shared" ref="DZ66:EG66" si="240">DZ65/DZ36</f>
        <v>2.0108832164809777E-2</v>
      </c>
      <c r="EA66" s="741">
        <f t="shared" si="240"/>
        <v>2.6037167275475392E-2</v>
      </c>
      <c r="EB66" s="743">
        <f>EB65/EB36</f>
        <v>3.5042036139044469E-2</v>
      </c>
      <c r="EC66" s="743">
        <f>EC65/EC36</f>
        <v>2.5401506833633975E-2</v>
      </c>
      <c r="ED66" s="721">
        <f t="shared" ref="ED66" si="241">ED65/ED36</f>
        <v>2.4830664264028073E-2</v>
      </c>
      <c r="EE66" s="721">
        <f t="shared" si="240"/>
        <v>2.115564695525133E-2</v>
      </c>
      <c r="EF66" s="741">
        <f t="shared" si="240"/>
        <v>2.656872621925644E-2</v>
      </c>
      <c r="EG66" s="721">
        <f t="shared" si="240"/>
        <v>3.9647432718302379E-2</v>
      </c>
      <c r="EH66" s="721">
        <f t="shared" ref="EH66" si="242">EH65/EH36</f>
        <v>3.8638734230257356E-2</v>
      </c>
      <c r="EI66" s="721">
        <f t="shared" ref="EI66" si="243">EI65/EI36</f>
        <v>3.4475065048358768E-2</v>
      </c>
      <c r="EJ66" s="721">
        <f t="shared" ref="EJ66:EN66" si="244">EJ65/EJ36</f>
        <v>2.2345341711310338E-2</v>
      </c>
      <c r="EK66" s="741">
        <f t="shared" si="244"/>
        <v>3.3770756589809083E-2</v>
      </c>
      <c r="EL66" s="721">
        <f t="shared" si="244"/>
        <v>4.7794637698116413E-2</v>
      </c>
      <c r="EM66" s="721">
        <f t="shared" si="244"/>
        <v>3.4989259201025226E-2</v>
      </c>
      <c r="EN66" s="721">
        <f t="shared" si="244"/>
        <v>4.9867929250654808E-2</v>
      </c>
      <c r="EO66" s="721">
        <f t="shared" ref="EO66" si="245">EO65/EO36</f>
        <v>6.3267202698118447E-2</v>
      </c>
      <c r="EP66" s="741">
        <f t="shared" ref="EP66:ET66" si="246">EP65/EP36</f>
        <v>4.87642110642219E-2</v>
      </c>
      <c r="EQ66" s="721">
        <f t="shared" si="246"/>
        <v>4.4106227071932479E-2</v>
      </c>
      <c r="ER66" s="721">
        <f t="shared" si="246"/>
        <v>3.5688357696515849E-2</v>
      </c>
      <c r="ES66" s="721">
        <f t="shared" si="246"/>
        <v>4.6957032663916813E-2</v>
      </c>
      <c r="ET66" s="721">
        <f t="shared" si="246"/>
        <v>2.1107467369367878E-2</v>
      </c>
      <c r="EU66" s="741">
        <f t="shared" ref="EU66:EY66" si="247">EU65/EU36</f>
        <v>3.6905541304521082E-2</v>
      </c>
      <c r="EV66" s="721">
        <f t="shared" si="247"/>
        <v>2.022112846023999E-2</v>
      </c>
      <c r="EW66" s="721">
        <f t="shared" si="247"/>
        <v>1.8799701309812965E-2</v>
      </c>
      <c r="EX66" s="721">
        <f t="shared" si="247"/>
        <v>1.9036259923058383E-2</v>
      </c>
      <c r="EY66" s="721">
        <f t="shared" si="247"/>
        <v>1.9852635849181587E-2</v>
      </c>
      <c r="EZ66" s="741">
        <f t="shared" ref="EZ66:FE66" si="248">EZ65/EZ36</f>
        <v>3.4808833625884709E-2</v>
      </c>
      <c r="FA66" s="721">
        <f t="shared" si="248"/>
        <v>-1</v>
      </c>
      <c r="FB66" s="721">
        <f t="shared" si="248"/>
        <v>-1</v>
      </c>
      <c r="FC66" s="721">
        <f t="shared" si="248"/>
        <v>-1</v>
      </c>
      <c r="FD66" s="721">
        <f t="shared" si="248"/>
        <v>-1</v>
      </c>
      <c r="FE66" s="741">
        <f t="shared" si="248"/>
        <v>3.2876549061048158E-2</v>
      </c>
      <c r="FF66" s="721"/>
      <c r="FG66" s="690"/>
      <c r="FH66" s="754"/>
      <c r="FI66" s="754"/>
      <c r="FJ66" s="754"/>
      <c r="FK66" s="754"/>
      <c r="FL66" s="690"/>
      <c r="FM66" s="708"/>
      <c r="FN66" s="708"/>
      <c r="FO66" s="723"/>
      <c r="FP66" s="723"/>
      <c r="FQ66" s="723"/>
      <c r="FR66" s="723"/>
      <c r="FS66" s="723"/>
      <c r="FT66" s="723"/>
      <c r="FU66" s="690"/>
      <c r="FV66"/>
      <c r="FW66"/>
      <c r="FX66"/>
      <c r="FY66"/>
      <c r="FZ66"/>
      <c r="GA66"/>
      <c r="GB66" s="949"/>
      <c r="GC66" s="950"/>
      <c r="GD66" s="950"/>
      <c r="GE66" s="950"/>
      <c r="GF66" s="950"/>
      <c r="GG66" s="950"/>
      <c r="GH66" s="950"/>
      <c r="GI66" s="950"/>
      <c r="GJ66" s="950"/>
      <c r="GK66" s="950"/>
      <c r="GL66" s="950"/>
      <c r="GM66" s="950"/>
      <c r="GN66" s="950"/>
      <c r="GO66" s="950"/>
      <c r="GP66" s="950"/>
      <c r="GQ66" s="950"/>
      <c r="GR66" s="950"/>
      <c r="GS66" s="950"/>
      <c r="GT66" s="950"/>
      <c r="GU66" s="950"/>
      <c r="GV66" s="950"/>
      <c r="GW66" s="950"/>
      <c r="GX66" s="950"/>
      <c r="GY66" s="950"/>
      <c r="GZ66" s="950"/>
      <c r="HA66" s="950"/>
      <c r="HB66" s="950"/>
      <c r="HC66" s="950"/>
      <c r="HD66" s="950"/>
      <c r="HE66" s="950"/>
      <c r="HF66" s="950"/>
      <c r="HG66" s="950"/>
      <c r="HH66" s="950"/>
      <c r="HI66" s="950"/>
      <c r="HJ66" s="950"/>
      <c r="HK66" s="950"/>
      <c r="HL66" s="950"/>
      <c r="HM66" s="950"/>
      <c r="HN66" s="950"/>
      <c r="HO66" s="950"/>
      <c r="HP66" s="950"/>
      <c r="HQ66" s="950"/>
      <c r="HR66" s="950"/>
      <c r="HS66" s="950"/>
      <c r="HT66" s="950"/>
      <c r="HU66" s="950"/>
      <c r="HV66" s="950"/>
      <c r="HW66" s="950"/>
      <c r="HX66" s="950"/>
      <c r="HY66" s="950"/>
      <c r="HZ66" s="950"/>
      <c r="IA66" s="950"/>
      <c r="IB66" s="950"/>
      <c r="IC66" s="950"/>
      <c r="ID66" s="950"/>
      <c r="IE66" s="950"/>
      <c r="IF66" s="950"/>
      <c r="IG66" s="950"/>
      <c r="IH66" s="950"/>
      <c r="II66" s="950"/>
      <c r="IJ66" s="950"/>
      <c r="IK66" s="950"/>
      <c r="IL66" s="950"/>
      <c r="IM66" s="950"/>
      <c r="IN66" s="950"/>
      <c r="IO66" s="950"/>
      <c r="IP66" s="950"/>
      <c r="IQ66" s="950"/>
      <c r="IR66" s="950"/>
      <c r="IS66" s="950"/>
      <c r="IT66" s="950"/>
      <c r="IU66" s="950"/>
      <c r="IV66" s="950"/>
      <c r="IW66" s="950"/>
      <c r="IX66" s="950"/>
      <c r="IY66" s="950"/>
      <c r="IZ66" s="950"/>
      <c r="JA66" s="950"/>
      <c r="JB66" s="950"/>
      <c r="JC66" s="950"/>
      <c r="JD66" s="950"/>
      <c r="JE66" s="950"/>
      <c r="JF66" s="950"/>
      <c r="JG66" s="950"/>
      <c r="JH66" s="950"/>
      <c r="JI66" s="950"/>
      <c r="JJ66" s="950"/>
      <c r="JK66" s="950"/>
      <c r="JL66" s="950"/>
    </row>
    <row r="67" spans="1:272" s="799" customFormat="1" ht="12.75" customHeight="1">
      <c r="A67" s="58" t="s">
        <v>291</v>
      </c>
      <c r="B67" s="790"/>
      <c r="C67" s="721"/>
      <c r="D67" s="721"/>
      <c r="E67" s="721"/>
      <c r="F67" s="741"/>
      <c r="G67" s="721"/>
      <c r="H67" s="721"/>
      <c r="I67" s="721"/>
      <c r="J67" s="721"/>
      <c r="K67" s="741"/>
      <c r="L67" s="721"/>
      <c r="M67" s="721"/>
      <c r="N67" s="721"/>
      <c r="O67" s="721"/>
      <c r="P67" s="741"/>
      <c r="Q67" s="721"/>
      <c r="R67" s="721"/>
      <c r="S67" s="721"/>
      <c r="T67" s="721"/>
      <c r="U67" s="741"/>
      <c r="V67" s="721"/>
      <c r="W67" s="721"/>
      <c r="X67" s="721"/>
      <c r="Y67" s="721"/>
      <c r="Z67" s="741"/>
      <c r="AA67" s="721"/>
      <c r="AB67" s="721"/>
      <c r="AC67" s="721"/>
      <c r="AD67" s="721"/>
      <c r="AE67" s="741"/>
      <c r="AF67" s="721"/>
      <c r="AG67" s="721"/>
      <c r="AH67" s="721"/>
      <c r="AI67" s="721"/>
      <c r="AJ67" s="741"/>
      <c r="AK67" s="721"/>
      <c r="AL67" s="721"/>
      <c r="AM67" s="721"/>
      <c r="AN67" s="721"/>
      <c r="AO67" s="741"/>
      <c r="AP67" s="721"/>
      <c r="AQ67" s="721"/>
      <c r="AR67" s="721"/>
      <c r="AS67" s="721"/>
      <c r="AT67" s="741"/>
      <c r="AU67" s="721"/>
      <c r="AV67" s="721"/>
      <c r="AW67" s="721"/>
      <c r="AX67" s="721"/>
      <c r="AY67" s="741"/>
      <c r="AZ67" s="721"/>
      <c r="BA67" s="721"/>
      <c r="BB67" s="721"/>
      <c r="BC67" s="721"/>
      <c r="BD67" s="741"/>
      <c r="BE67" s="721"/>
      <c r="BF67" s="721"/>
      <c r="BG67" s="721"/>
      <c r="BH67" s="721"/>
      <c r="BI67" s="741"/>
      <c r="BJ67" s="721"/>
      <c r="BK67" s="721"/>
      <c r="BL67" s="721"/>
      <c r="BM67" s="721"/>
      <c r="BN67" s="741"/>
      <c r="BO67" s="721"/>
      <c r="BP67" s="721"/>
      <c r="BQ67" s="721"/>
      <c r="BR67" s="721"/>
      <c r="BS67" s="741"/>
      <c r="BT67" s="721"/>
      <c r="BU67" s="721"/>
      <c r="BV67" s="721"/>
      <c r="BW67" s="721"/>
      <c r="BX67" s="741"/>
      <c r="BY67" s="721"/>
      <c r="BZ67" s="721"/>
      <c r="CA67" s="721"/>
      <c r="CB67" s="721"/>
      <c r="CC67" s="741"/>
      <c r="CD67" s="721"/>
      <c r="CE67" s="721"/>
      <c r="CF67" s="721"/>
      <c r="CG67" s="721"/>
      <c r="CH67" s="741"/>
      <c r="CI67" s="721">
        <f>CI65/CM65</f>
        <v>0.21653293987366318</v>
      </c>
      <c r="CJ67" s="721">
        <f>CJ65/CM65</f>
        <v>6.0129941651644432E-2</v>
      </c>
      <c r="CK67" s="721">
        <f>CK65/CM65</f>
        <v>0.41544871888199258</v>
      </c>
      <c r="CL67" s="721">
        <f>CL65/CM65</f>
        <v>0.30788839959270409</v>
      </c>
      <c r="CM67" s="741"/>
      <c r="CN67" s="721">
        <f>CN65/CR65</f>
        <v>0.28219586765216143</v>
      </c>
      <c r="CO67" s="721">
        <f>CO65/CR65</f>
        <v>0.27698856934702065</v>
      </c>
      <c r="CP67" s="721">
        <f>CP65/CR65</f>
        <v>0.27499667485654145</v>
      </c>
      <c r="CQ67" s="721">
        <f>CQ65/CR65</f>
        <v>0.16581888814427789</v>
      </c>
      <c r="CR67" s="741"/>
      <c r="CS67" s="721">
        <f>CS65/CW65</f>
        <v>0.2425163277042672</v>
      </c>
      <c r="CT67" s="721">
        <f>CT65/CW65</f>
        <v>0.27705374827419532</v>
      </c>
      <c r="CU67" s="721">
        <f>CU65/CW65</f>
        <v>0.26862451887966654</v>
      </c>
      <c r="CV67" s="721">
        <f>CV65/CW65</f>
        <v>0.21180540514187332</v>
      </c>
      <c r="CW67" s="741"/>
      <c r="CX67" s="721">
        <f>CX65/DB65</f>
        <v>0.27910316957791909</v>
      </c>
      <c r="CY67" s="721">
        <f>CY65/DB65</f>
        <v>0.2268066095013862</v>
      </c>
      <c r="CZ67" s="721">
        <f>CZ65/DB65</f>
        <v>0.31338156737424511</v>
      </c>
      <c r="DA67" s="721">
        <f>DA65/DB65</f>
        <v>0.18070865354645091</v>
      </c>
      <c r="DB67" s="741"/>
      <c r="DC67" s="721">
        <f>DC65/DG65</f>
        <v>0.26606614492852865</v>
      </c>
      <c r="DD67" s="721">
        <f>DD65/DG65</f>
        <v>0.30920075041872219</v>
      </c>
      <c r="DE67" s="721">
        <f>DE65/DG65</f>
        <v>0.24241719255600178</v>
      </c>
      <c r="DF67" s="721">
        <f>DF65/DG65</f>
        <v>0.18231591209674736</v>
      </c>
      <c r="DG67" s="741"/>
      <c r="DH67" s="721">
        <f>DH65/DL65</f>
        <v>0.3001142893357106</v>
      </c>
      <c r="DI67" s="721">
        <f>DI65/DL65</f>
        <v>0.24460943992679954</v>
      </c>
      <c r="DJ67" s="721">
        <f>DJ65/DL65</f>
        <v>0.24893158878122493</v>
      </c>
      <c r="DK67" s="721">
        <f>DK65/DL65</f>
        <v>0.20634468195626962</v>
      </c>
      <c r="DL67" s="741"/>
      <c r="DM67" s="721">
        <f>DM65/DQ65</f>
        <v>0.30487656976376842</v>
      </c>
      <c r="DN67" s="721">
        <f>DN65/DQ65</f>
        <v>0.24218475881983462</v>
      </c>
      <c r="DO67" s="721">
        <f>DO65/DQ65</f>
        <v>0.26576810335653434</v>
      </c>
      <c r="DP67" s="721">
        <f>DP65/DQ65</f>
        <v>0.1871705680598561</v>
      </c>
      <c r="DQ67" s="741"/>
      <c r="DR67" s="721">
        <f>DR65/DV65</f>
        <v>0.33505941659334604</v>
      </c>
      <c r="DS67" s="721">
        <f>DS65/DV65</f>
        <v>0.29631817066343502</v>
      </c>
      <c r="DT67" s="721">
        <f>DT65/DV65</f>
        <v>0.24963468331334382</v>
      </c>
      <c r="DU67" s="721">
        <f>DU65/DV65</f>
        <v>0.11898772942987512</v>
      </c>
      <c r="DV67" s="741"/>
      <c r="DW67" s="721">
        <f>DW65/EA65</f>
        <v>0.28059564095141376</v>
      </c>
      <c r="DX67" s="721">
        <f>DX65/EA65</f>
        <v>0.26935650257823723</v>
      </c>
      <c r="DY67" s="721">
        <f>DY65/EA65</f>
        <v>0.25926348030249496</v>
      </c>
      <c r="DZ67" s="721">
        <f>DZ65/EA65</f>
        <v>0.19078437616785765</v>
      </c>
      <c r="EA67" s="741"/>
      <c r="EB67" s="721">
        <f>EB65/EF65</f>
        <v>0.31977859344144283</v>
      </c>
      <c r="EC67" s="721">
        <f>EC65/EF65</f>
        <v>0.24840908919420865</v>
      </c>
      <c r="ED67" s="721">
        <f>ED65/EF65</f>
        <v>0.23983244751814975</v>
      </c>
      <c r="EE67" s="721">
        <f>EE65/EF65</f>
        <v>0.19197986984620002</v>
      </c>
      <c r="EF67" s="741"/>
      <c r="EG67" s="721">
        <f>EG65/EK65</f>
        <v>0.28274603688590094</v>
      </c>
      <c r="EH67" s="721">
        <f>EH65/EK65</f>
        <v>0.29117833685191841</v>
      </c>
      <c r="EI67" s="721">
        <f>EI65/EK65</f>
        <v>0.26190006534250487</v>
      </c>
      <c r="EJ67" s="721">
        <f>EJ65/EK65</f>
        <v>0.16417556091967872</v>
      </c>
      <c r="EK67" s="741"/>
      <c r="EL67" s="721">
        <f>EL65/EP65</f>
        <v>0.23697296061469342</v>
      </c>
      <c r="EM67" s="721">
        <f>EM65/EP65</f>
        <v>0.18643524708034018</v>
      </c>
      <c r="EN67" s="721">
        <f>EN65/EP65</f>
        <v>0.26059382513888796</v>
      </c>
      <c r="EO67" s="721">
        <f>EO65/EP65</f>
        <v>0.31599796716607909</v>
      </c>
      <c r="EP67" s="741"/>
      <c r="EQ67" s="721">
        <f>EQ65/EU65</f>
        <v>0.2857142857142857</v>
      </c>
      <c r="ER67" s="721">
        <f>ER65/EU65</f>
        <v>0.25</v>
      </c>
      <c r="ES67" s="721">
        <f>ES65/EU65</f>
        <v>0.32142857142857145</v>
      </c>
      <c r="ET67" s="721">
        <f>ET65/EU65</f>
        <v>0.14285714285714285</v>
      </c>
      <c r="EU67" s="741"/>
      <c r="EV67" s="721">
        <f>EV65/EZ65</f>
        <v>0.14285714285714285</v>
      </c>
      <c r="EW67" s="721">
        <f>EW65/EZ65</f>
        <v>0.14285714285714285</v>
      </c>
      <c r="EX67" s="721">
        <f>EX65/EZ65</f>
        <v>0.14285714285714285</v>
      </c>
      <c r="EY67" s="721">
        <f>EY65/EZ65</f>
        <v>0.14285714285714285</v>
      </c>
      <c r="EZ67" s="741"/>
      <c r="FA67" s="721">
        <f>FA65/FE65</f>
        <v>0.14285714285714285</v>
      </c>
      <c r="FB67" s="721">
        <f>FB65/FE65</f>
        <v>0.14285714285714285</v>
      </c>
      <c r="FC67" s="721">
        <f>FC65/FE65</f>
        <v>0.14285714285714285</v>
      </c>
      <c r="FD67" s="721">
        <f>FD65/FE65</f>
        <v>0.14285714285714285</v>
      </c>
      <c r="FE67" s="741"/>
      <c r="FF67" s="721"/>
      <c r="FG67" s="690"/>
      <c r="FH67" s="955">
        <f>AVERAGE(CI67,CN67,DH67,DM67,DC67,CS67,CX67,CD67,BY67,BT67,DR67,DW67,EB67)</f>
        <v>0.2826838959822221</v>
      </c>
      <c r="FI67" s="955">
        <f>AVERAGE(CJ67,CO67,DI67,DN67,DD67,CT67,CY67,CE67,BZ67,BU67,DS67,DX67,EC67)</f>
        <v>0.24510575803754836</v>
      </c>
      <c r="FJ67" s="955">
        <f>AVERAGE(CK67,CP67,DJ67,DO67,DE67,CU67,CZ67,CF67,CA67,BV67,DT67,DY67,ED67)</f>
        <v>0.27782989758201948</v>
      </c>
      <c r="FK67" s="955">
        <f>AVERAGE(CL67,CQ67,DK67,DP67,DF67,CV67,DA67,CG67,CB67,BW67,DU67,DZ67,EE67)</f>
        <v>0.19438044839821123</v>
      </c>
      <c r="FL67" s="690"/>
      <c r="FM67" s="708"/>
      <c r="FN67" s="708"/>
      <c r="FO67" s="723"/>
      <c r="FP67" s="723"/>
      <c r="FQ67" s="723"/>
      <c r="FR67" s="723"/>
      <c r="FS67" s="723"/>
      <c r="FT67" s="723"/>
      <c r="FU67" s="690"/>
      <c r="FV67"/>
      <c r="FW67"/>
      <c r="FX67"/>
      <c r="FY67"/>
      <c r="FZ67"/>
      <c r="GA67"/>
      <c r="GB67" s="949"/>
      <c r="GC67" s="950"/>
      <c r="GD67" s="950"/>
      <c r="GE67" s="950"/>
      <c r="GF67" s="950"/>
      <c r="GG67" s="950"/>
      <c r="GH67" s="950"/>
      <c r="GI67" s="950"/>
      <c r="GJ67" s="950"/>
      <c r="GK67" s="950"/>
      <c r="GL67" s="950"/>
      <c r="GM67" s="950"/>
      <c r="GN67" s="950"/>
      <c r="GO67" s="950"/>
      <c r="GP67" s="950"/>
      <c r="GQ67" s="950"/>
      <c r="GR67" s="950"/>
      <c r="GS67" s="950"/>
      <c r="GT67" s="950"/>
      <c r="GU67" s="950"/>
      <c r="GV67" s="950"/>
      <c r="GW67" s="950"/>
      <c r="GX67" s="950"/>
      <c r="GY67" s="950"/>
      <c r="GZ67" s="950"/>
      <c r="HA67" s="950"/>
      <c r="HB67" s="950"/>
      <c r="HC67" s="950"/>
      <c r="HD67" s="950"/>
      <c r="HE67" s="950"/>
      <c r="HF67" s="950"/>
      <c r="HG67" s="950"/>
      <c r="HH67" s="950"/>
      <c r="HI67" s="950"/>
      <c r="HJ67" s="950"/>
      <c r="HK67" s="950"/>
      <c r="HL67" s="950"/>
      <c r="HM67" s="950"/>
      <c r="HN67" s="950"/>
      <c r="HO67" s="950"/>
      <c r="HP67" s="950"/>
      <c r="HQ67" s="950"/>
      <c r="HR67" s="950"/>
      <c r="HS67" s="950"/>
      <c r="HT67" s="950"/>
      <c r="HU67" s="950"/>
      <c r="HV67" s="950"/>
      <c r="HW67" s="950"/>
      <c r="HX67" s="950"/>
      <c r="HY67" s="950"/>
      <c r="HZ67" s="950"/>
      <c r="IA67" s="950"/>
      <c r="IB67" s="950"/>
      <c r="IC67" s="950"/>
      <c r="ID67" s="950"/>
      <c r="IE67" s="950"/>
      <c r="IF67" s="950"/>
      <c r="IG67" s="950"/>
      <c r="IH67" s="950"/>
      <c r="II67" s="950"/>
      <c r="IJ67" s="950"/>
      <c r="IK67" s="950"/>
      <c r="IL67" s="950"/>
      <c r="IM67" s="950"/>
      <c r="IN67" s="950"/>
      <c r="IO67" s="950"/>
      <c r="IP67" s="950"/>
      <c r="IQ67" s="950"/>
      <c r="IR67" s="950"/>
      <c r="IS67" s="950"/>
      <c r="IT67" s="950"/>
      <c r="IU67" s="950"/>
      <c r="IV67" s="950"/>
      <c r="IW67" s="950"/>
      <c r="IX67" s="950"/>
      <c r="IY67" s="950"/>
      <c r="IZ67" s="950"/>
      <c r="JA67" s="950"/>
      <c r="JB67" s="950"/>
      <c r="JC67" s="950"/>
      <c r="JD67" s="950"/>
      <c r="JE67" s="950"/>
      <c r="JF67" s="950"/>
      <c r="JG67" s="950"/>
      <c r="JH67" s="950"/>
      <c r="JI67" s="950"/>
      <c r="JJ67" s="950"/>
      <c r="JK67" s="950"/>
      <c r="JL67" s="950"/>
    </row>
    <row r="68" spans="1:272" s="1051" customFormat="1" ht="12.75" customHeight="1">
      <c r="A68" s="1043" t="s">
        <v>305</v>
      </c>
      <c r="B68" s="1044"/>
      <c r="C68" s="1044"/>
      <c r="D68" s="1044"/>
      <c r="E68" s="1044"/>
      <c r="F68" s="1045"/>
      <c r="G68" s="1046"/>
      <c r="H68" s="1046"/>
      <c r="I68" s="1046"/>
      <c r="J68" s="1046"/>
      <c r="K68" s="1045"/>
      <c r="L68" s="1046"/>
      <c r="M68" s="1046"/>
      <c r="N68" s="1046"/>
      <c r="O68" s="1046"/>
      <c r="P68" s="1045"/>
      <c r="Q68" s="1046"/>
      <c r="R68" s="1046"/>
      <c r="S68" s="1046"/>
      <c r="T68" s="1046"/>
      <c r="U68" s="1045"/>
      <c r="V68" s="1046"/>
      <c r="W68" s="1046"/>
      <c r="X68" s="1046"/>
      <c r="Y68" s="1046"/>
      <c r="Z68" s="1045"/>
      <c r="AA68" s="1046"/>
      <c r="AB68" s="1046"/>
      <c r="AC68" s="1046"/>
      <c r="AD68" s="1046"/>
      <c r="AE68" s="1045"/>
      <c r="AF68" s="1046"/>
      <c r="AG68" s="1046"/>
      <c r="AH68" s="1046"/>
      <c r="AI68" s="1046"/>
      <c r="AJ68" s="1045"/>
      <c r="AK68" s="1046"/>
      <c r="AL68" s="1046"/>
      <c r="AM68" s="1046"/>
      <c r="AN68" s="1046"/>
      <c r="AO68" s="1045"/>
      <c r="AP68" s="1046"/>
      <c r="AQ68" s="1046"/>
      <c r="AR68" s="1046"/>
      <c r="AS68" s="1046"/>
      <c r="AT68" s="1045"/>
      <c r="AU68" s="1046"/>
      <c r="AV68" s="1046"/>
      <c r="AW68" s="1046"/>
      <c r="AX68" s="1046"/>
      <c r="AY68" s="1045"/>
      <c r="AZ68" s="1047"/>
      <c r="BA68" s="1046"/>
      <c r="BB68" s="1046"/>
      <c r="BC68" s="1046"/>
      <c r="BD68" s="1045"/>
      <c r="BE68" s="1047">
        <f t="shared" ref="BE68:DP68" si="249">BE40-BE42</f>
        <v>12.528858175199616</v>
      </c>
      <c r="BF68" s="1047">
        <f t="shared" si="249"/>
        <v>13.382977012498259</v>
      </c>
      <c r="BG68" s="1047">
        <f t="shared" si="249"/>
        <v>16.29159897889889</v>
      </c>
      <c r="BH68" s="1047">
        <f t="shared" si="249"/>
        <v>21.100186004799866</v>
      </c>
      <c r="BI68" s="1045">
        <f t="shared" si="249"/>
        <v>63.30362017139646</v>
      </c>
      <c r="BJ68" s="1047">
        <f t="shared" si="249"/>
        <v>14.937684382000043</v>
      </c>
      <c r="BK68" s="1047">
        <f t="shared" si="249"/>
        <v>14.383629608799879</v>
      </c>
      <c r="BL68" s="1047">
        <f t="shared" si="249"/>
        <v>12.297136026000089</v>
      </c>
      <c r="BM68" s="1047">
        <f t="shared" si="249"/>
        <v>7.0479828386999088</v>
      </c>
      <c r="BN68" s="1045">
        <f t="shared" si="249"/>
        <v>48.666432855500034</v>
      </c>
      <c r="BO68" s="1047">
        <f t="shared" si="249"/>
        <v>2.5651383799999508</v>
      </c>
      <c r="BP68" s="1047">
        <f t="shared" si="249"/>
        <v>10.816918549799993</v>
      </c>
      <c r="BQ68" s="1047">
        <f t="shared" si="249"/>
        <v>13.087928713599979</v>
      </c>
      <c r="BR68" s="1047">
        <f t="shared" si="249"/>
        <v>17.77178179840007</v>
      </c>
      <c r="BS68" s="1045">
        <f t="shared" si="249"/>
        <v>44.241767441799993</v>
      </c>
      <c r="BT68" s="1047">
        <f t="shared" si="249"/>
        <v>25.326180672399971</v>
      </c>
      <c r="BU68" s="1047">
        <f t="shared" si="249"/>
        <v>21.771518365999896</v>
      </c>
      <c r="BV68" s="1047">
        <f t="shared" si="249"/>
        <v>21.116070096899875</v>
      </c>
      <c r="BW68" s="1047">
        <f t="shared" si="249"/>
        <v>21.822017840099988</v>
      </c>
      <c r="BX68" s="1045">
        <f t="shared" si="249"/>
        <v>90.035786975400242</v>
      </c>
      <c r="BY68" s="1047">
        <f t="shared" si="249"/>
        <v>28.535239274400055</v>
      </c>
      <c r="BZ68" s="1047">
        <f t="shared" si="249"/>
        <v>38.573068628999977</v>
      </c>
      <c r="CA68" s="1047">
        <f t="shared" si="249"/>
        <v>45.81985700000007</v>
      </c>
      <c r="CB68" s="1047">
        <f t="shared" si="249"/>
        <v>57.65308959999993</v>
      </c>
      <c r="CC68" s="1045">
        <f t="shared" si="249"/>
        <v>170.58125450340049</v>
      </c>
      <c r="CD68" s="1047">
        <f t="shared" si="249"/>
        <v>55.199165699999867</v>
      </c>
      <c r="CE68" s="1047">
        <f t="shared" si="249"/>
        <v>70.322111999999947</v>
      </c>
      <c r="CF68" s="1047">
        <f t="shared" si="249"/>
        <v>84.456979200000092</v>
      </c>
      <c r="CG68" s="1047">
        <f t="shared" si="249"/>
        <v>88.701905600000032</v>
      </c>
      <c r="CH68" s="1045">
        <f t="shared" si="249"/>
        <v>298.68016249999982</v>
      </c>
      <c r="CI68" s="1047">
        <f t="shared" si="249"/>
        <v>82.323200000000156</v>
      </c>
      <c r="CJ68" s="1047">
        <f t="shared" si="249"/>
        <v>99.74978145</v>
      </c>
      <c r="CK68" s="1047">
        <f t="shared" si="249"/>
        <v>105.06830000000002</v>
      </c>
      <c r="CL68" s="1047">
        <f t="shared" si="249"/>
        <v>80.407759999999939</v>
      </c>
      <c r="CM68" s="1045">
        <f t="shared" si="249"/>
        <v>367.54904144999955</v>
      </c>
      <c r="CN68" s="1047">
        <f t="shared" si="249"/>
        <v>81.672659200000112</v>
      </c>
      <c r="CO68" s="1047">
        <f t="shared" si="249"/>
        <v>100.02813370000001</v>
      </c>
      <c r="CP68" s="1047">
        <f t="shared" si="249"/>
        <v>102.3621731999998</v>
      </c>
      <c r="CQ68" s="1047">
        <f t="shared" si="249"/>
        <v>113.95049025000003</v>
      </c>
      <c r="CR68" s="1045">
        <f t="shared" si="249"/>
        <v>398.01345635000007</v>
      </c>
      <c r="CS68" s="1047">
        <f t="shared" si="249"/>
        <v>127.21429979999982</v>
      </c>
      <c r="CT68" s="1047">
        <f t="shared" si="249"/>
        <v>171.05721599999993</v>
      </c>
      <c r="CU68" s="1047">
        <f t="shared" si="249"/>
        <v>169.87676160000001</v>
      </c>
      <c r="CV68" s="1047">
        <f t="shared" si="249"/>
        <v>97.224337600000126</v>
      </c>
      <c r="CW68" s="1045">
        <f t="shared" si="249"/>
        <v>565.37261499999977</v>
      </c>
      <c r="CX68" s="1047">
        <f t="shared" si="249"/>
        <v>52.217269124999802</v>
      </c>
      <c r="CY68" s="1047">
        <f t="shared" si="249"/>
        <v>60.916770089000011</v>
      </c>
      <c r="CZ68" s="1047">
        <f t="shared" si="249"/>
        <v>79.032215807999933</v>
      </c>
      <c r="DA68" s="1047">
        <f t="shared" si="249"/>
        <v>82.26817361999997</v>
      </c>
      <c r="DB68" s="1045">
        <f t="shared" si="249"/>
        <v>274.4344286419996</v>
      </c>
      <c r="DC68" s="1047">
        <f t="shared" si="249"/>
        <v>90.746413694999887</v>
      </c>
      <c r="DD68" s="1047">
        <f t="shared" si="249"/>
        <v>110.63661747409992</v>
      </c>
      <c r="DE68" s="1047">
        <f t="shared" si="249"/>
        <v>103.99192127999993</v>
      </c>
      <c r="DF68" s="1047">
        <f t="shared" si="249"/>
        <v>100.55851793400006</v>
      </c>
      <c r="DG68" s="1045">
        <f t="shared" si="249"/>
        <v>405.93347038310003</v>
      </c>
      <c r="DH68" s="1047">
        <f t="shared" si="249"/>
        <v>122.72147999999993</v>
      </c>
      <c r="DI68" s="1047">
        <f t="shared" si="249"/>
        <v>148.45988270880002</v>
      </c>
      <c r="DJ68" s="1047">
        <f t="shared" si="249"/>
        <v>145.64638208000019</v>
      </c>
      <c r="DK68" s="1047">
        <f t="shared" si="249"/>
        <v>135.5532328920001</v>
      </c>
      <c r="DL68" s="1045">
        <f t="shared" si="249"/>
        <v>552.38097768079979</v>
      </c>
      <c r="DM68" s="1047">
        <f t="shared" si="249"/>
        <v>145.94948628480017</v>
      </c>
      <c r="DN68" s="1047">
        <f t="shared" si="249"/>
        <v>154.55468126339997</v>
      </c>
      <c r="DO68" s="1047">
        <f t="shared" si="249"/>
        <v>148.49516996999989</v>
      </c>
      <c r="DP68" s="1047">
        <f t="shared" si="249"/>
        <v>145.44139514100004</v>
      </c>
      <c r="DQ68" s="1045">
        <f t="shared" ref="DQ68:EB68" si="250">DQ40-DQ42</f>
        <v>594.44073265920042</v>
      </c>
      <c r="DR68" s="1047">
        <f t="shared" si="250"/>
        <v>147.28266286250005</v>
      </c>
      <c r="DS68" s="1047">
        <f t="shared" si="250"/>
        <v>153.47636853120014</v>
      </c>
      <c r="DT68" s="1047">
        <f t="shared" si="250"/>
        <v>155.80673601735009</v>
      </c>
      <c r="DU68" s="1047">
        <f t="shared" si="250"/>
        <v>143.65784644529992</v>
      </c>
      <c r="DV68" s="1045">
        <f t="shared" si="250"/>
        <v>600.22361385635031</v>
      </c>
      <c r="DW68" s="1047">
        <f t="shared" si="250"/>
        <v>149.96660998409993</v>
      </c>
      <c r="DX68" s="1047">
        <f t="shared" si="250"/>
        <v>165.75914206499999</v>
      </c>
      <c r="DY68" s="1047">
        <f t="shared" si="250"/>
        <v>163.65610967039993</v>
      </c>
      <c r="DZ68" s="1047">
        <f t="shared" si="250"/>
        <v>145.01210804080006</v>
      </c>
      <c r="EA68" s="1045">
        <f t="shared" si="250"/>
        <v>624.39396976030002</v>
      </c>
      <c r="EB68" s="1047">
        <f t="shared" si="250"/>
        <v>115.80119524999998</v>
      </c>
      <c r="EC68" s="1047">
        <f>EC40-EC42</f>
        <v>121.42948947479999</v>
      </c>
      <c r="ED68" s="1047">
        <f t="shared" ref="ED68" si="251">ED40-ED42</f>
        <v>112.62654019891181</v>
      </c>
      <c r="EE68" s="1047">
        <f>+EE42*EE73*EE74</f>
        <v>97.890055570410013</v>
      </c>
      <c r="EF68" s="1045">
        <f>EF40-EF42</f>
        <v>447.7472804941217</v>
      </c>
      <c r="EG68" s="1047">
        <f>+EG42*EG73*EG74</f>
        <v>81.864037263372339</v>
      </c>
      <c r="EH68" s="1047">
        <f>+EH42*EH73*EH74</f>
        <v>94.057279914517906</v>
      </c>
      <c r="EI68" s="1047">
        <f>+EI42*EI73*EI74</f>
        <v>96.794171182522177</v>
      </c>
      <c r="EJ68" s="1047">
        <f>+EJ42*EJ73*EJ74</f>
        <v>96.458526854048344</v>
      </c>
      <c r="EK68" s="1045">
        <f>EK40-EK42</f>
        <v>369.17401521446072</v>
      </c>
      <c r="EL68" s="1047">
        <f t="shared" ref="EL68:EO68" si="252">+EL42*EL73*EL74</f>
        <v>105.97291204694825</v>
      </c>
      <c r="EM68" s="1047">
        <f t="shared" si="252"/>
        <v>112.94160402668197</v>
      </c>
      <c r="EN68" s="1047">
        <f t="shared" si="252"/>
        <v>114.85956719166813</v>
      </c>
      <c r="EO68" s="1047">
        <f t="shared" si="252"/>
        <v>121.21796795624688</v>
      </c>
      <c r="EP68" s="1045">
        <f>EP40-EP42</f>
        <v>454.9920512215449</v>
      </c>
      <c r="EQ68" s="1047">
        <f t="shared" ref="EQ68:ET68" si="253">+EQ42*EQ73*EQ74</f>
        <v>120.96865431826465</v>
      </c>
      <c r="ER68" s="1047">
        <f t="shared" si="253"/>
        <v>130.12774738896914</v>
      </c>
      <c r="ES68" s="1047">
        <f t="shared" si="253"/>
        <v>128.54052331318456</v>
      </c>
      <c r="ET68" s="1047">
        <f t="shared" si="253"/>
        <v>123.95517351357839</v>
      </c>
      <c r="EU68" s="1045">
        <f>EU40-EU42</f>
        <v>503.59209853399625</v>
      </c>
      <c r="EV68" s="1047">
        <f t="shared" ref="EV68:FE68" si="254">+EV42*EV73*EV74</f>
        <v>128.36618121960586</v>
      </c>
      <c r="EW68" s="1047">
        <f t="shared" si="254"/>
        <v>134.93521207452284</v>
      </c>
      <c r="EX68" s="1047">
        <f t="shared" si="254"/>
        <v>133.28934928527778</v>
      </c>
      <c r="EY68" s="1047">
        <f t="shared" si="254"/>
        <v>127.91064307870643</v>
      </c>
      <c r="EZ68" s="1045">
        <f t="shared" si="254"/>
        <v>533.20968382483045</v>
      </c>
      <c r="FA68" s="1047">
        <f t="shared" si="254"/>
        <v>0</v>
      </c>
      <c r="FB68" s="1047">
        <f t="shared" si="254"/>
        <v>0</v>
      </c>
      <c r="FC68" s="1047">
        <f t="shared" si="254"/>
        <v>0</v>
      </c>
      <c r="FD68" s="1047">
        <f t="shared" si="254"/>
        <v>0</v>
      </c>
      <c r="FE68" s="1045">
        <f t="shared" si="254"/>
        <v>547.58011481171934</v>
      </c>
      <c r="FF68" s="807"/>
      <c r="FG68" s="690"/>
      <c r="FH68" s="754"/>
      <c r="FI68" s="754"/>
      <c r="FJ68" s="754"/>
      <c r="FK68" s="754"/>
      <c r="FL68" s="690"/>
      <c r="FM68" s="809"/>
      <c r="FN68" s="809"/>
      <c r="FO68" s="810"/>
      <c r="FP68" s="810"/>
      <c r="FQ68" s="810"/>
      <c r="FR68" s="810"/>
      <c r="FS68" s="810"/>
      <c r="FT68" s="810"/>
      <c r="FU68" s="690"/>
      <c r="FV68"/>
      <c r="FW68"/>
      <c r="FX68"/>
      <c r="FY68"/>
      <c r="FZ68"/>
      <c r="GA68"/>
      <c r="GB68" s="1049"/>
      <c r="GC68" s="1050"/>
      <c r="GD68" s="1050"/>
      <c r="GE68" s="1050"/>
      <c r="GF68" s="1050"/>
      <c r="GG68" s="1050"/>
      <c r="GH68" s="1050"/>
      <c r="GI68" s="1050"/>
      <c r="GJ68" s="1050"/>
      <c r="GK68" s="1050"/>
      <c r="GL68" s="1050"/>
      <c r="GM68" s="1050"/>
      <c r="GN68" s="1050"/>
      <c r="GO68" s="1050"/>
      <c r="GP68" s="1050"/>
      <c r="GQ68" s="1050"/>
      <c r="GR68" s="1050"/>
      <c r="GS68" s="1050"/>
      <c r="GT68" s="1050"/>
      <c r="GU68" s="1050"/>
      <c r="GV68" s="1050"/>
      <c r="GW68" s="1050"/>
      <c r="GX68" s="1050"/>
      <c r="GY68" s="1050"/>
      <c r="GZ68" s="1050"/>
      <c r="HA68" s="1050"/>
      <c r="HB68" s="1050"/>
      <c r="HC68" s="1050"/>
      <c r="HD68" s="1050"/>
      <c r="HE68" s="1050"/>
      <c r="HF68" s="1050"/>
      <c r="HG68" s="1050"/>
      <c r="HH68" s="1050"/>
      <c r="HI68" s="1050"/>
      <c r="HJ68" s="1050"/>
      <c r="HK68" s="1050"/>
      <c r="HL68" s="1050"/>
      <c r="HM68" s="1050"/>
      <c r="HN68" s="1050"/>
      <c r="HO68" s="1050"/>
      <c r="HP68" s="1050"/>
      <c r="HQ68" s="1050"/>
      <c r="HR68" s="1050"/>
      <c r="HS68" s="1050"/>
      <c r="HT68" s="1050"/>
      <c r="HU68" s="1050"/>
      <c r="HV68" s="1050"/>
      <c r="HW68" s="1050"/>
      <c r="HX68" s="1050"/>
      <c r="HY68" s="1050"/>
      <c r="HZ68" s="1050"/>
      <c r="IA68" s="1050"/>
      <c r="IB68" s="1050"/>
      <c r="IC68" s="1050"/>
      <c r="ID68" s="1050"/>
      <c r="IE68" s="1050"/>
      <c r="IF68" s="1050"/>
      <c r="IG68" s="1050"/>
      <c r="IH68" s="1050"/>
      <c r="II68" s="1050"/>
      <c r="IJ68" s="1050"/>
      <c r="IK68" s="1050"/>
      <c r="IL68" s="1050"/>
      <c r="IM68" s="1050"/>
      <c r="IN68" s="1050"/>
      <c r="IO68" s="1050"/>
      <c r="IP68" s="1050"/>
      <c r="IQ68" s="1050"/>
      <c r="IR68" s="1050"/>
      <c r="IS68" s="1050"/>
      <c r="IT68" s="1050"/>
      <c r="IU68" s="1050"/>
      <c r="IV68" s="1050"/>
      <c r="IW68" s="1050"/>
      <c r="IX68" s="1050"/>
      <c r="IY68" s="1050"/>
      <c r="IZ68" s="1050"/>
      <c r="JA68" s="1050"/>
      <c r="JB68" s="1050"/>
      <c r="JC68" s="1050"/>
      <c r="JD68" s="1050"/>
      <c r="JE68" s="1050"/>
      <c r="JF68" s="1050"/>
      <c r="JG68" s="1050"/>
      <c r="JH68" s="1050"/>
      <c r="JI68" s="1050"/>
      <c r="JJ68" s="1050"/>
      <c r="JK68" s="1050"/>
      <c r="JL68" s="1050"/>
    </row>
    <row r="69" spans="1:272" s="799" customFormat="1" ht="12.75" customHeight="1">
      <c r="A69" s="58" t="s">
        <v>85</v>
      </c>
      <c r="B69" s="790"/>
      <c r="C69" s="721"/>
      <c r="D69" s="721"/>
      <c r="E69" s="721"/>
      <c r="F69" s="741"/>
      <c r="G69" s="721"/>
      <c r="H69" s="721"/>
      <c r="I69" s="721"/>
      <c r="J69" s="721"/>
      <c r="K69" s="741"/>
      <c r="L69" s="721"/>
      <c r="M69" s="721"/>
      <c r="N69" s="721"/>
      <c r="O69" s="721"/>
      <c r="P69" s="741"/>
      <c r="Q69" s="721"/>
      <c r="R69" s="721"/>
      <c r="S69" s="721"/>
      <c r="T69" s="721"/>
      <c r="U69" s="741"/>
      <c r="V69" s="721"/>
      <c r="W69" s="721"/>
      <c r="X69" s="721"/>
      <c r="Y69" s="721"/>
      <c r="Z69" s="741"/>
      <c r="AA69" s="721"/>
      <c r="AB69" s="721"/>
      <c r="AC69" s="721"/>
      <c r="AD69" s="721"/>
      <c r="AE69" s="741"/>
      <c r="AF69" s="721"/>
      <c r="AG69" s="721"/>
      <c r="AH69" s="721"/>
      <c r="AI69" s="721"/>
      <c r="AJ69" s="741"/>
      <c r="AK69" s="721"/>
      <c r="AL69" s="721"/>
      <c r="AM69" s="721"/>
      <c r="AN69" s="721"/>
      <c r="AO69" s="741"/>
      <c r="AP69" s="721"/>
      <c r="AQ69" s="721"/>
      <c r="AR69" s="721"/>
      <c r="AS69" s="721"/>
      <c r="AT69" s="741"/>
      <c r="AU69" s="721"/>
      <c r="AV69" s="721"/>
      <c r="AW69" s="721"/>
      <c r="AX69" s="721"/>
      <c r="AY69" s="741"/>
      <c r="AZ69" s="721"/>
      <c r="BA69" s="721"/>
      <c r="BB69" s="721"/>
      <c r="BC69" s="721"/>
      <c r="BD69" s="741"/>
      <c r="BE69" s="721"/>
      <c r="BF69" s="721"/>
      <c r="BG69" s="721"/>
      <c r="BH69" s="721"/>
      <c r="BI69" s="741"/>
      <c r="BJ69" s="721">
        <f t="shared" ref="BJ69:DU69" si="255">BJ68/BE68-1</f>
        <v>0.19226222957560513</v>
      </c>
      <c r="BK69" s="721">
        <f t="shared" si="255"/>
        <v>7.4770553320619104E-2</v>
      </c>
      <c r="BL69" s="721">
        <f t="shared" si="255"/>
        <v>-0.24518544546011012</v>
      </c>
      <c r="BM69" s="721">
        <f t="shared" si="255"/>
        <v>-0.6659753218717297</v>
      </c>
      <c r="BN69" s="741"/>
      <c r="BO69" s="721">
        <f>BO68/BJ68-1</f>
        <v>-0.82827737456476513</v>
      </c>
      <c r="BP69" s="721">
        <f>BP68/BK68-1</f>
        <v>-0.24797016858789089</v>
      </c>
      <c r="BQ69" s="721">
        <f>BQ68/BL68-1</f>
        <v>6.4307061898632334E-2</v>
      </c>
      <c r="BR69" s="721">
        <f>BR68/BM68-1</f>
        <v>1.5215415821980498</v>
      </c>
      <c r="BS69" s="741">
        <f t="shared" si="255"/>
        <v>-9.0918219275238799E-2</v>
      </c>
      <c r="BT69" s="721">
        <f t="shared" si="255"/>
        <v>8.8732219945188522</v>
      </c>
      <c r="BU69" s="721">
        <f t="shared" si="255"/>
        <v>1.0127283260723505</v>
      </c>
      <c r="BV69" s="721">
        <f t="shared" si="255"/>
        <v>0.61340045158999557</v>
      </c>
      <c r="BW69" s="721">
        <f t="shared" si="255"/>
        <v>0.22790264294515183</v>
      </c>
      <c r="BX69" s="741">
        <f t="shared" si="255"/>
        <v>1.0350856708842442</v>
      </c>
      <c r="BY69" s="721">
        <f t="shared" si="255"/>
        <v>0.12670914116542087</v>
      </c>
      <c r="BZ69" s="721">
        <f t="shared" si="255"/>
        <v>0.77172156670701919</v>
      </c>
      <c r="CA69" s="721">
        <f t="shared" si="255"/>
        <v>1.1699045698246211</v>
      </c>
      <c r="CB69" s="721">
        <f t="shared" si="255"/>
        <v>1.6419687685369322</v>
      </c>
      <c r="CC69" s="741">
        <f t="shared" si="255"/>
        <v>0.89459391908249808</v>
      </c>
      <c r="CD69" s="721">
        <f t="shared" si="255"/>
        <v>0.9344209862477284</v>
      </c>
      <c r="CE69" s="721">
        <f t="shared" si="255"/>
        <v>0.82308834892981331</v>
      </c>
      <c r="CF69" s="721">
        <f t="shared" si="255"/>
        <v>0.84323969409158051</v>
      </c>
      <c r="CG69" s="721">
        <f t="shared" si="255"/>
        <v>0.53854556998451186</v>
      </c>
      <c r="CH69" s="741">
        <f t="shared" si="255"/>
        <v>0.75095536358624759</v>
      </c>
      <c r="CI69" s="721">
        <f t="shared" si="255"/>
        <v>0.49138485982588609</v>
      </c>
      <c r="CJ69" s="721">
        <f t="shared" si="255"/>
        <v>0.41846964792525099</v>
      </c>
      <c r="CK69" s="721">
        <f t="shared" si="255"/>
        <v>0.24404520496986826</v>
      </c>
      <c r="CL69" s="721">
        <f t="shared" si="255"/>
        <v>-9.3505833317746534E-2</v>
      </c>
      <c r="CM69" s="741">
        <f t="shared" si="255"/>
        <v>0.23057734525639861</v>
      </c>
      <c r="CN69" s="721">
        <f t="shared" si="255"/>
        <v>-7.9022778512016778E-3</v>
      </c>
      <c r="CO69" s="721">
        <f t="shared" si="255"/>
        <v>2.7905048608005689E-3</v>
      </c>
      <c r="CP69" s="721">
        <f t="shared" si="255"/>
        <v>-2.5755882602080948E-2</v>
      </c>
      <c r="CQ69" s="721">
        <f t="shared" si="255"/>
        <v>0.41715787443898589</v>
      </c>
      <c r="CR69" s="741">
        <f t="shared" si="255"/>
        <v>8.2885306352090682E-2</v>
      </c>
      <c r="CS69" s="721">
        <f t="shared" si="255"/>
        <v>0.55761182562303113</v>
      </c>
      <c r="CT69" s="721">
        <f t="shared" si="255"/>
        <v>0.71009104811479551</v>
      </c>
      <c r="CU69" s="721">
        <f t="shared" si="255"/>
        <v>0.65956579749520539</v>
      </c>
      <c r="CV69" s="721">
        <f t="shared" si="255"/>
        <v>-0.14678438515976366</v>
      </c>
      <c r="CW69" s="741">
        <f t="shared" si="255"/>
        <v>0.42048618201197074</v>
      </c>
      <c r="CX69" s="721">
        <f t="shared" si="255"/>
        <v>-0.58953302256827045</v>
      </c>
      <c r="CY69" s="721">
        <f t="shared" si="255"/>
        <v>-0.64388073468353402</v>
      </c>
      <c r="CZ69" s="721">
        <f t="shared" si="255"/>
        <v>-0.53476735096885708</v>
      </c>
      <c r="DA69" s="721">
        <f t="shared" si="255"/>
        <v>-0.15383148241680733</v>
      </c>
      <c r="DB69" s="741">
        <f t="shared" si="255"/>
        <v>-0.51459546967622449</v>
      </c>
      <c r="DC69" s="721">
        <f t="shared" si="255"/>
        <v>0.73786211373420296</v>
      </c>
      <c r="DD69" s="721">
        <f t="shared" si="255"/>
        <v>0.8161930994118487</v>
      </c>
      <c r="DE69" s="721">
        <f t="shared" si="255"/>
        <v>0.31581685034159812</v>
      </c>
      <c r="DF69" s="721">
        <f t="shared" si="255"/>
        <v>0.22232588264915099</v>
      </c>
      <c r="DG69" s="741">
        <f t="shared" si="255"/>
        <v>0.47916379293882705</v>
      </c>
      <c r="DH69" s="721">
        <f t="shared" si="255"/>
        <v>0.35235625302470619</v>
      </c>
      <c r="DI69" s="721">
        <f t="shared" si="255"/>
        <v>0.3418693204675618</v>
      </c>
      <c r="DJ69" s="721">
        <f t="shared" si="255"/>
        <v>0.40055477663351335</v>
      </c>
      <c r="DK69" s="721">
        <f t="shared" si="255"/>
        <v>0.3480034876903042</v>
      </c>
      <c r="DL69" s="741">
        <f t="shared" si="255"/>
        <v>0.36076726356042976</v>
      </c>
      <c r="DM69" s="721">
        <f t="shared" si="255"/>
        <v>0.18927417013549919</v>
      </c>
      <c r="DN69" s="721">
        <f t="shared" si="255"/>
        <v>4.1053505117976785E-2</v>
      </c>
      <c r="DO69" s="721">
        <f t="shared" si="255"/>
        <v>1.955962001469369E-2</v>
      </c>
      <c r="DP69" s="721">
        <f t="shared" si="255"/>
        <v>7.2946709112265751E-2</v>
      </c>
      <c r="DQ69" s="741">
        <f t="shared" si="255"/>
        <v>7.6142656387246932E-2</v>
      </c>
      <c r="DR69" s="721">
        <f>DR68/DM68-1</f>
        <v>9.1345068190125112E-3</v>
      </c>
      <c r="DS69" s="721">
        <f t="shared" si="255"/>
        <v>-6.976901141946712E-3</v>
      </c>
      <c r="DT69" s="721">
        <f t="shared" si="255"/>
        <v>4.9237736478751071E-2</v>
      </c>
      <c r="DU69" s="721">
        <f t="shared" si="255"/>
        <v>-1.2263005961755447E-2</v>
      </c>
      <c r="DV69" s="741">
        <f t="shared" ref="DV69:EF69" si="256">DV68/DQ68-1</f>
        <v>9.7282721042355469E-3</v>
      </c>
      <c r="DW69" s="721">
        <f t="shared" si="256"/>
        <v>1.822310290591056E-2</v>
      </c>
      <c r="DX69" s="721">
        <f t="shared" si="256"/>
        <v>8.0030389377520939E-2</v>
      </c>
      <c r="DY69" s="721">
        <f t="shared" si="256"/>
        <v>5.0378910781981645E-2</v>
      </c>
      <c r="DZ69" s="721">
        <f t="shared" si="256"/>
        <v>9.4269935754311973E-3</v>
      </c>
      <c r="EA69" s="741">
        <f t="shared" si="256"/>
        <v>4.0268918692916156E-2</v>
      </c>
      <c r="EB69" s="721">
        <f t="shared" si="256"/>
        <v>-0.22782014434894748</v>
      </c>
      <c r="EC69" s="721">
        <f>EC68/DX68-1</f>
        <v>-0.26743413387610793</v>
      </c>
      <c r="ED69" s="721">
        <f t="shared" si="256"/>
        <v>-0.3118097428459019</v>
      </c>
      <c r="EE69" s="721">
        <f t="shared" si="256"/>
        <v>-0.32495253746074748</v>
      </c>
      <c r="EF69" s="741">
        <f t="shared" si="256"/>
        <v>-0.28290902510476135</v>
      </c>
      <c r="EG69" s="721">
        <f t="shared" ref="EG69:EJ69" si="257">EG68/EB68-1</f>
        <v>-0.29306396979203586</v>
      </c>
      <c r="EH69" s="721">
        <f t="shared" si="257"/>
        <v>-0.22541649214429571</v>
      </c>
      <c r="EI69" s="721">
        <f t="shared" si="257"/>
        <v>-0.14057405109335508</v>
      </c>
      <c r="EJ69" s="721">
        <f t="shared" si="257"/>
        <v>-1.462384210551404E-2</v>
      </c>
      <c r="EK69" s="741">
        <f t="shared" ref="EK69" si="258">EK68/EF68-1</f>
        <v>-0.17548574542529805</v>
      </c>
      <c r="EL69" s="721">
        <f t="shared" ref="EL69" si="259">EL68/EG68-1</f>
        <v>0.2944989715815387</v>
      </c>
      <c r="EM69" s="721">
        <f t="shared" ref="EM69" si="260">EM68/EH68-1</f>
        <v>0.20077472078000458</v>
      </c>
      <c r="EN69" s="721">
        <f t="shared" ref="EN69" si="261">EN68/EI68-1</f>
        <v>0.18663723020139833</v>
      </c>
      <c r="EO69" s="721">
        <f t="shared" ref="EO69:EP69" si="262">EO68/EJ68-1</f>
        <v>0.25668483554245136</v>
      </c>
      <c r="EP69" s="741">
        <f t="shared" si="262"/>
        <v>0.23245957860070598</v>
      </c>
      <c r="EQ69" s="721">
        <f t="shared" ref="EQ69" si="263">EQ68/EL68-1</f>
        <v>0.14150542795948629</v>
      </c>
      <c r="ER69" s="721">
        <f t="shared" ref="ER69" si="264">ER68/EM68-1</f>
        <v>0.15216840163016476</v>
      </c>
      <c r="ES69" s="721">
        <f t="shared" ref="ES69" si="265">ES68/EN68-1</f>
        <v>0.11911028794568579</v>
      </c>
      <c r="ET69" s="721">
        <f t="shared" ref="ET69" si="266">ET68/EO68-1</f>
        <v>2.2580856645934677E-2</v>
      </c>
      <c r="EU69" s="741">
        <f t="shared" ref="EU69" si="267">EU68/EP68-1</f>
        <v>0.10681515684059062</v>
      </c>
      <c r="EV69" s="721">
        <f t="shared" ref="EV69" si="268">EV68/EQ68-1</f>
        <v>6.1152427817197541E-2</v>
      </c>
      <c r="EW69" s="721">
        <f t="shared" ref="EW69" si="269">EW68/ER68-1</f>
        <v>3.6944193548387183E-2</v>
      </c>
      <c r="EX69" s="721">
        <f t="shared" ref="EX69" si="270">EX68/ES68-1</f>
        <v>3.6944193548386739E-2</v>
      </c>
      <c r="EY69" s="721">
        <f t="shared" ref="EY69" si="271">EY68/ET68-1</f>
        <v>3.1910483870967621E-2</v>
      </c>
      <c r="EZ69" s="741">
        <f t="shared" ref="EZ69" si="272">EZ68/EU68-1</f>
        <v>5.8812648921723998E-2</v>
      </c>
      <c r="FA69" s="721">
        <f t="shared" ref="FA69" si="273">FA68/EV68-1</f>
        <v>-1</v>
      </c>
      <c r="FB69" s="721">
        <f t="shared" ref="FB69" si="274">FB68/EW68-1</f>
        <v>-1</v>
      </c>
      <c r="FC69" s="721">
        <f t="shared" ref="FC69" si="275">FC68/EX68-1</f>
        <v>-1</v>
      </c>
      <c r="FD69" s="721">
        <f t="shared" ref="FD69" si="276">FD68/EY68-1</f>
        <v>-1</v>
      </c>
      <c r="FE69" s="741">
        <f t="shared" ref="FE69" si="277">FE68/EZ68-1</f>
        <v>2.6950806451613296E-2</v>
      </c>
      <c r="FF69" s="721"/>
      <c r="FG69" s="690"/>
      <c r="FH69" s="754"/>
      <c r="FI69" s="754"/>
      <c r="FJ69" s="754"/>
      <c r="FK69" s="754"/>
      <c r="FL69" s="690"/>
      <c r="FM69" s="708"/>
      <c r="FN69" s="708"/>
      <c r="FO69" s="723" t="s">
        <v>306</v>
      </c>
      <c r="FP69" s="723">
        <f>+RSQ(CX70:EJ70,CX71:EJ71)</f>
        <v>0.98349474878045218</v>
      </c>
      <c r="FQ69" s="723"/>
      <c r="FR69" s="723"/>
      <c r="FS69" s="723"/>
      <c r="FT69" s="723"/>
      <c r="FU69" s="690"/>
      <c r="FV69"/>
      <c r="FW69"/>
      <c r="FX69"/>
      <c r="FY69"/>
      <c r="FZ69"/>
      <c r="GA69"/>
      <c r="GB69" s="949"/>
      <c r="GC69" s="950"/>
      <c r="GD69" s="950"/>
      <c r="GE69" s="950"/>
      <c r="GF69" s="950"/>
      <c r="GG69" s="950"/>
      <c r="GH69" s="950"/>
      <c r="GI69" s="950"/>
      <c r="GJ69" s="950"/>
      <c r="GK69" s="950"/>
      <c r="GL69" s="950"/>
      <c r="GM69" s="950"/>
      <c r="GN69" s="950"/>
      <c r="GO69" s="950"/>
      <c r="GP69" s="950"/>
      <c r="GQ69" s="950"/>
      <c r="GR69" s="950"/>
      <c r="GS69" s="950"/>
      <c r="GT69" s="950"/>
      <c r="GU69" s="950"/>
      <c r="GV69" s="950"/>
      <c r="GW69" s="950"/>
      <c r="GX69" s="950"/>
      <c r="GY69" s="950"/>
      <c r="GZ69" s="950"/>
      <c r="HA69" s="950"/>
      <c r="HB69" s="950"/>
      <c r="HC69" s="950"/>
      <c r="HD69" s="950"/>
      <c r="HE69" s="950"/>
      <c r="HF69" s="950"/>
      <c r="HG69" s="950"/>
      <c r="HH69" s="950"/>
      <c r="HI69" s="950"/>
      <c r="HJ69" s="950"/>
      <c r="HK69" s="950"/>
      <c r="HL69" s="950"/>
      <c r="HM69" s="950"/>
      <c r="HN69" s="950"/>
      <c r="HO69" s="950"/>
      <c r="HP69" s="950"/>
      <c r="HQ69" s="950"/>
      <c r="HR69" s="950"/>
      <c r="HS69" s="950"/>
      <c r="HT69" s="950"/>
      <c r="HU69" s="950"/>
      <c r="HV69" s="950"/>
      <c r="HW69" s="950"/>
      <c r="HX69" s="950"/>
      <c r="HY69" s="950"/>
      <c r="HZ69" s="950"/>
      <c r="IA69" s="950"/>
      <c r="IB69" s="950"/>
      <c r="IC69" s="950"/>
      <c r="ID69" s="950"/>
      <c r="IE69" s="950"/>
      <c r="IF69" s="950"/>
      <c r="IG69" s="950"/>
      <c r="IH69" s="950"/>
      <c r="II69" s="950"/>
      <c r="IJ69" s="950"/>
      <c r="IK69" s="950"/>
      <c r="IL69" s="950"/>
      <c r="IM69" s="950"/>
      <c r="IN69" s="950"/>
      <c r="IO69" s="950"/>
      <c r="IP69" s="950"/>
      <c r="IQ69" s="950"/>
      <c r="IR69" s="950"/>
      <c r="IS69" s="950"/>
      <c r="IT69" s="950"/>
      <c r="IU69" s="950"/>
      <c r="IV69" s="950"/>
      <c r="IW69" s="950"/>
      <c r="IX69" s="950"/>
      <c r="IY69" s="950"/>
      <c r="IZ69" s="950"/>
      <c r="JA69" s="950"/>
      <c r="JB69" s="950"/>
      <c r="JC69" s="950"/>
      <c r="JD69" s="950"/>
      <c r="JE69" s="950"/>
      <c r="JF69" s="950"/>
      <c r="JG69" s="950"/>
      <c r="JH69" s="950"/>
      <c r="JI69" s="950"/>
      <c r="JJ69" s="950"/>
      <c r="JK69" s="950"/>
      <c r="JL69" s="950"/>
    </row>
    <row r="70" spans="1:272" s="950" customFormat="1" ht="12.75" customHeight="1">
      <c r="A70" s="1052" t="s">
        <v>307</v>
      </c>
      <c r="B70" s="1053"/>
      <c r="C70" s="743"/>
      <c r="D70" s="743"/>
      <c r="E70" s="743"/>
      <c r="F70" s="754"/>
      <c r="G70" s="743"/>
      <c r="H70" s="743"/>
      <c r="I70" s="743"/>
      <c r="J70" s="743"/>
      <c r="K70" s="754"/>
      <c r="L70" s="743"/>
      <c r="M70" s="743"/>
      <c r="N70" s="743"/>
      <c r="O70" s="743"/>
      <c r="P70" s="754"/>
      <c r="Q70" s="743"/>
      <c r="R70" s="743"/>
      <c r="S70" s="743"/>
      <c r="T70" s="743"/>
      <c r="U70" s="754"/>
      <c r="V70" s="743"/>
      <c r="W70" s="743"/>
      <c r="X70" s="743"/>
      <c r="Y70" s="743"/>
      <c r="Z70" s="754"/>
      <c r="AA70" s="743"/>
      <c r="AB70" s="743"/>
      <c r="AC70" s="743"/>
      <c r="AD70" s="743"/>
      <c r="AE70" s="754"/>
      <c r="AF70" s="743"/>
      <c r="AG70" s="743"/>
      <c r="AH70" s="743"/>
      <c r="AI70" s="743"/>
      <c r="AJ70" s="754"/>
      <c r="AK70" s="743"/>
      <c r="AL70" s="743"/>
      <c r="AM70" s="743"/>
      <c r="AN70" s="743"/>
      <c r="AO70" s="754"/>
      <c r="AP70" s="743"/>
      <c r="AQ70" s="743"/>
      <c r="AR70" s="743"/>
      <c r="AS70" s="743"/>
      <c r="AT70" s="754"/>
      <c r="AU70" s="743"/>
      <c r="AV70" s="743"/>
      <c r="AW70" s="743"/>
      <c r="AX70" s="743"/>
      <c r="AY70" s="754"/>
      <c r="AZ70" s="743"/>
      <c r="BA70" s="743"/>
      <c r="BB70" s="743"/>
      <c r="BC70" s="743"/>
      <c r="BD70" s="754"/>
      <c r="BE70" s="743">
        <f t="shared" ref="BE70:DP70" si="278">BE68/BE42</f>
        <v>2.5997272771914794E-2</v>
      </c>
      <c r="BF70" s="743">
        <f t="shared" si="278"/>
        <v>2.6851339351509171E-2</v>
      </c>
      <c r="BG70" s="743">
        <f t="shared" si="278"/>
        <v>3.2648210991932484E-2</v>
      </c>
      <c r="BH70" s="743">
        <f t="shared" si="278"/>
        <v>4.3980426973938121E-2</v>
      </c>
      <c r="BI70" s="754">
        <f t="shared" si="278"/>
        <v>3.2312484252774817E-2</v>
      </c>
      <c r="BJ70" s="743">
        <f t="shared" si="278"/>
        <v>3.2078374442227803E-2</v>
      </c>
      <c r="BK70" s="743">
        <f t="shared" si="278"/>
        <v>2.9957982154643344E-2</v>
      </c>
      <c r="BL70" s="743">
        <f t="shared" si="278"/>
        <v>2.5454179343332321E-2</v>
      </c>
      <c r="BM70" s="743">
        <f t="shared" si="278"/>
        <v>1.5384317394316057E-2</v>
      </c>
      <c r="BN70" s="754">
        <f t="shared" si="278"/>
        <v>2.5790025337000446E-2</v>
      </c>
      <c r="BO70" s="743">
        <f t="shared" si="278"/>
        <v>5.5864311460042462E-3</v>
      </c>
      <c r="BP70" s="743">
        <f t="shared" si="278"/>
        <v>2.1829552464795867E-2</v>
      </c>
      <c r="BQ70" s="743">
        <f t="shared" si="278"/>
        <v>2.5623612599043444E-2</v>
      </c>
      <c r="BR70" s="743">
        <f t="shared" si="278"/>
        <v>3.5946805354820151E-2</v>
      </c>
      <c r="BS70" s="754">
        <f t="shared" si="278"/>
        <v>2.2573972439306964E-2</v>
      </c>
      <c r="BT70" s="743">
        <f t="shared" si="278"/>
        <v>5.1401345948953167E-2</v>
      </c>
      <c r="BU70" s="743">
        <f t="shared" si="278"/>
        <v>4.2482906006566679E-2</v>
      </c>
      <c r="BV70" s="743">
        <f t="shared" si="278"/>
        <v>3.8831410822291572E-2</v>
      </c>
      <c r="BW70" s="743">
        <f t="shared" si="278"/>
        <v>4.0580699315992314E-2</v>
      </c>
      <c r="BX70" s="754">
        <f t="shared" si="278"/>
        <v>4.3146962741518899E-2</v>
      </c>
      <c r="BY70" s="743">
        <f t="shared" si="278"/>
        <v>5.1636508535902223E-2</v>
      </c>
      <c r="BZ70" s="743">
        <f t="shared" si="278"/>
        <v>6.4535171659633184E-2</v>
      </c>
      <c r="CA70" s="743">
        <f t="shared" si="278"/>
        <v>7.3925155657508262E-2</v>
      </c>
      <c r="CB70" s="743">
        <f t="shared" si="278"/>
        <v>9.7922919990987095E-2</v>
      </c>
      <c r="CC70" s="754">
        <f t="shared" si="278"/>
        <v>7.2313968188680647E-2</v>
      </c>
      <c r="CD70" s="743">
        <f t="shared" si="278"/>
        <v>9.3038821954484374E-2</v>
      </c>
      <c r="CE70" s="743">
        <f t="shared" si="278"/>
        <v>0.10888443553774207</v>
      </c>
      <c r="CF70" s="743">
        <f t="shared" si="278"/>
        <v>0.12601078167115914</v>
      </c>
      <c r="CG70" s="743">
        <f t="shared" si="278"/>
        <v>0.13828337874659405</v>
      </c>
      <c r="CH70" s="754">
        <f t="shared" si="278"/>
        <v>0.11709182940173728</v>
      </c>
      <c r="CI70" s="743">
        <f t="shared" si="278"/>
        <v>0.12829169480081051</v>
      </c>
      <c r="CJ70" s="743">
        <f t="shared" si="278"/>
        <v>0.14807566862361382</v>
      </c>
      <c r="CK70" s="743">
        <f t="shared" si="278"/>
        <v>0.16209150326797389</v>
      </c>
      <c r="CL70" s="743">
        <f t="shared" si="278"/>
        <v>0.13166556945358776</v>
      </c>
      <c r="CM70" s="754">
        <f t="shared" si="278"/>
        <v>0.14278025177980497</v>
      </c>
      <c r="CN70" s="743">
        <f t="shared" si="278"/>
        <v>0.12875250166777871</v>
      </c>
      <c r="CO70" s="743">
        <f t="shared" si="278"/>
        <v>0.14719783929777183</v>
      </c>
      <c r="CP70" s="743">
        <f t="shared" si="278"/>
        <v>0.15189873417721489</v>
      </c>
      <c r="CQ70" s="743">
        <f t="shared" si="278"/>
        <v>0.17514871116986122</v>
      </c>
      <c r="CR70" s="754">
        <f t="shared" si="278"/>
        <v>0.15085613176488177</v>
      </c>
      <c r="CS70" s="743">
        <f t="shared" si="278"/>
        <v>0.19215686274509777</v>
      </c>
      <c r="CT70" s="743">
        <f t="shared" si="278"/>
        <v>0.24232309746328429</v>
      </c>
      <c r="CU70" s="743">
        <f t="shared" si="278"/>
        <v>0.24495289367429338</v>
      </c>
      <c r="CV70" s="743">
        <f t="shared" si="278"/>
        <v>0.16554959785522813</v>
      </c>
      <c r="CW70" s="754">
        <f t="shared" si="278"/>
        <v>0.21345051224599504</v>
      </c>
      <c r="CX70" s="743">
        <f t="shared" si="278"/>
        <v>9.5628415300546082E-2</v>
      </c>
      <c r="CY70" s="743">
        <f t="shared" si="278"/>
        <v>0.10014306151645209</v>
      </c>
      <c r="CZ70" s="743">
        <f t="shared" si="278"/>
        <v>0.12105263157894727</v>
      </c>
      <c r="DA70" s="743">
        <f t="shared" si="278"/>
        <v>0.13059984813971143</v>
      </c>
      <c r="DB70" s="754">
        <f t="shared" si="278"/>
        <v>0.11260505796581105</v>
      </c>
      <c r="DC70" s="743">
        <f t="shared" si="278"/>
        <v>0.13769230769230753</v>
      </c>
      <c r="DD70" s="743">
        <f t="shared" si="278"/>
        <v>0.15049656226126804</v>
      </c>
      <c r="DE70" s="743">
        <f t="shared" si="278"/>
        <v>0.1453055141579731</v>
      </c>
      <c r="DF70" s="743">
        <f t="shared" si="278"/>
        <v>0.15412445730824903</v>
      </c>
      <c r="DG70" s="754">
        <f t="shared" si="278"/>
        <v>0.14695361458463635</v>
      </c>
      <c r="DH70" s="743">
        <f t="shared" si="278"/>
        <v>0.18208302986161676</v>
      </c>
      <c r="DI70" s="743">
        <f t="shared" si="278"/>
        <v>0.20764239365537132</v>
      </c>
      <c r="DJ70" s="743">
        <f t="shared" si="278"/>
        <v>0.20181564245810085</v>
      </c>
      <c r="DK70" s="743">
        <f t="shared" si="278"/>
        <v>0.19916724496877183</v>
      </c>
      <c r="DL70" s="754">
        <f t="shared" si="278"/>
        <v>0.19789767507639067</v>
      </c>
      <c r="DM70" s="743">
        <f t="shared" si="278"/>
        <v>0.20503848845346426</v>
      </c>
      <c r="DN70" s="743">
        <f t="shared" si="278"/>
        <v>0.20740223463687149</v>
      </c>
      <c r="DO70" s="743">
        <f t="shared" si="278"/>
        <v>0.20256583389601607</v>
      </c>
      <c r="DP70" s="743">
        <f t="shared" si="278"/>
        <v>0.20905459387483363</v>
      </c>
      <c r="DQ70" s="754">
        <f t="shared" ref="DQ70:EG70" si="279">DQ68/DQ42</f>
        <v>0.20598895992798147</v>
      </c>
      <c r="DR70" s="743">
        <f t="shared" si="279"/>
        <v>0.20771312584573756</v>
      </c>
      <c r="DS70" s="743">
        <f t="shared" si="279"/>
        <v>0.20081135902636935</v>
      </c>
      <c r="DT70" s="743">
        <f t="shared" si="279"/>
        <v>0.20369149637442335</v>
      </c>
      <c r="DU70" s="743">
        <f t="shared" si="279"/>
        <v>0.20131147540983602</v>
      </c>
      <c r="DV70" s="754">
        <f t="shared" si="279"/>
        <v>0.20333645615041424</v>
      </c>
      <c r="DW70" s="743">
        <f t="shared" si="279"/>
        <v>0.20696584058941717</v>
      </c>
      <c r="DX70" s="743">
        <f t="shared" si="279"/>
        <v>0.20714285714285716</v>
      </c>
      <c r="DY70" s="743">
        <f t="shared" si="279"/>
        <v>0.20275344180225272</v>
      </c>
      <c r="DZ70" s="743">
        <f t="shared" si="279"/>
        <v>0.18826405867970666</v>
      </c>
      <c r="EA70" s="754">
        <f t="shared" si="279"/>
        <v>0.20127199290958001</v>
      </c>
      <c r="EB70" s="743">
        <f>EB68/EB42</f>
        <v>0.15043156596794077</v>
      </c>
      <c r="EC70" s="743">
        <f>EC68/EC42</f>
        <v>0.14830769230769231</v>
      </c>
      <c r="ED70" s="743">
        <f t="shared" ref="ED70" si="280">ED68/ED42</f>
        <v>0.13811410135990501</v>
      </c>
      <c r="EE70" s="743">
        <f t="shared" si="279"/>
        <v>0.12697384615384616</v>
      </c>
      <c r="EF70" s="754">
        <f t="shared" si="279"/>
        <v>0.14102422194932659</v>
      </c>
      <c r="EG70" s="743">
        <f t="shared" si="279"/>
        <v>0.10622769230769233</v>
      </c>
      <c r="EH70" s="743">
        <f t="shared" ref="EH70" si="281">EH68/EH42</f>
        <v>0.11670749999999998</v>
      </c>
      <c r="EI70" s="743">
        <f t="shared" ref="EI70" si="282">EI68/EI42</f>
        <v>0.11996999999999998</v>
      </c>
      <c r="EJ70" s="743">
        <f t="shared" ref="EJ70:EK70" si="283">EJ68/EJ42</f>
        <v>0.1257249230769231</v>
      </c>
      <c r="EK70" s="754">
        <f t="shared" si="283"/>
        <v>0.11717545891173398</v>
      </c>
      <c r="EL70" s="743">
        <f t="shared" ref="EL70:EP70" si="284">EL68/EL42</f>
        <v>0.13168096153846154</v>
      </c>
      <c r="EM70" s="743">
        <f t="shared" si="284"/>
        <v>0.13227461538461538</v>
      </c>
      <c r="EN70" s="743">
        <f t="shared" si="284"/>
        <v>0.13561961538461534</v>
      </c>
      <c r="EO70" s="743">
        <f t="shared" si="284"/>
        <v>0.14969269230769236</v>
      </c>
      <c r="EP70" s="754">
        <f t="shared" si="284"/>
        <v>0.13723945138176796</v>
      </c>
      <c r="EQ70" s="743">
        <f t="shared" ref="EQ70:EU70" si="285">EQ68/EQ42</f>
        <v>0.14646307692307695</v>
      </c>
      <c r="ER70" s="743">
        <f t="shared" si="285"/>
        <v>0.14694000000000004</v>
      </c>
      <c r="ES70" s="743">
        <f t="shared" si="285"/>
        <v>0.14694000000000007</v>
      </c>
      <c r="ET70" s="743">
        <f t="shared" si="285"/>
        <v>0.14694000000000002</v>
      </c>
      <c r="EU70" s="754">
        <f t="shared" si="285"/>
        <v>0.14682515433898341</v>
      </c>
      <c r="EV70" s="743">
        <f t="shared" ref="EV70:EZ70" si="286">EV68/EV42</f>
        <v>0.14575500000000005</v>
      </c>
      <c r="EW70" s="743">
        <f t="shared" si="286"/>
        <v>0.14220000000000005</v>
      </c>
      <c r="EX70" s="743">
        <f t="shared" si="286"/>
        <v>0.14220000000000002</v>
      </c>
      <c r="EY70" s="743">
        <f t="shared" si="286"/>
        <v>0.14220000000000002</v>
      </c>
      <c r="EZ70" s="754">
        <f t="shared" si="286"/>
        <v>0.14694000000000002</v>
      </c>
      <c r="FA70" s="743" t="e">
        <f t="shared" ref="FA70:FE70" si="287">FA68/FA42</f>
        <v>#DIV/0!</v>
      </c>
      <c r="FB70" s="743" t="e">
        <f t="shared" si="287"/>
        <v>#DIV/0!</v>
      </c>
      <c r="FC70" s="743" t="e">
        <f t="shared" si="287"/>
        <v>#DIV/0!</v>
      </c>
      <c r="FD70" s="743" t="e">
        <f t="shared" si="287"/>
        <v>#DIV/0!</v>
      </c>
      <c r="FE70" s="754">
        <f t="shared" si="287"/>
        <v>0.14220000000000002</v>
      </c>
      <c r="FF70" s="721"/>
      <c r="FG70" s="690"/>
      <c r="FH70" s="754"/>
      <c r="FI70" s="754"/>
      <c r="FJ70" s="754"/>
      <c r="FK70" s="754"/>
      <c r="FL70" s="690"/>
      <c r="FM70" s="708"/>
      <c r="FN70" s="708"/>
      <c r="FO70" s="723" t="s">
        <v>308</v>
      </c>
      <c r="FP70" s="1054">
        <f>+SLOPE(CX70:EJ70,CX71:EJ71)</f>
        <v>5.7119216823515187E-2</v>
      </c>
      <c r="FQ70" s="723"/>
      <c r="FR70" s="723"/>
      <c r="FS70" s="723"/>
      <c r="FT70" s="723"/>
      <c r="FU70" s="690"/>
      <c r="FV70"/>
      <c r="FW70"/>
      <c r="FX70"/>
      <c r="FY70"/>
      <c r="FZ70"/>
      <c r="GA70"/>
      <c r="GB70" s="949"/>
    </row>
    <row r="71" spans="1:272" s="1067" customFormat="1" ht="12.75" customHeight="1">
      <c r="A71" s="1055" t="s">
        <v>309</v>
      </c>
      <c r="B71" s="1056"/>
      <c r="C71" s="1057"/>
      <c r="D71" s="1057"/>
      <c r="E71" s="1057"/>
      <c r="F71" s="1058"/>
      <c r="G71" s="1057"/>
      <c r="H71" s="1057"/>
      <c r="I71" s="1057"/>
      <c r="J71" s="1057"/>
      <c r="K71" s="1058"/>
      <c r="L71" s="1059"/>
      <c r="M71" s="1059"/>
      <c r="N71" s="1059"/>
      <c r="O71" s="1059"/>
      <c r="P71" s="1058"/>
      <c r="Q71" s="1059"/>
      <c r="R71" s="1059"/>
      <c r="S71" s="1059"/>
      <c r="T71" s="1059"/>
      <c r="U71" s="1058"/>
      <c r="V71" s="1059"/>
      <c r="W71" s="1059"/>
      <c r="X71" s="1059"/>
      <c r="Y71" s="1059"/>
      <c r="Z71" s="1058"/>
      <c r="AA71" s="1059"/>
      <c r="AB71" s="1059"/>
      <c r="AC71" s="1059"/>
      <c r="AD71" s="1059"/>
      <c r="AE71" s="1058">
        <v>1.1127666666666667</v>
      </c>
      <c r="AF71" s="1059">
        <v>1.0911500000000001</v>
      </c>
      <c r="AG71" s="1059">
        <v>1.1165433333333332</v>
      </c>
      <c r="AH71" s="1059">
        <v>1.1080166666666666</v>
      </c>
      <c r="AI71" s="1059">
        <v>1.1214166666666667</v>
      </c>
      <c r="AJ71" s="1058">
        <v>1.1092816666666667</v>
      </c>
      <c r="AK71" s="1059">
        <v>1.1574833333333334</v>
      </c>
      <c r="AL71" s="1059">
        <v>1.2498933333333333</v>
      </c>
      <c r="AM71" s="1059">
        <v>1.2136399999999998</v>
      </c>
      <c r="AN71" s="1059">
        <v>1.3181666666666667</v>
      </c>
      <c r="AO71" s="1058">
        <v>1.2347958333333333</v>
      </c>
      <c r="AP71" s="1059">
        <v>1.2667166666666667</v>
      </c>
      <c r="AQ71" s="1059">
        <v>1.1936000000000002</v>
      </c>
      <c r="AR71" s="1059">
        <v>1.1583666666666668</v>
      </c>
      <c r="AS71" s="1059">
        <v>1.18</v>
      </c>
      <c r="AT71" s="1058">
        <v>1.1996708333333335</v>
      </c>
      <c r="AU71" s="1059">
        <v>1.0888499999999999</v>
      </c>
      <c r="AV71" s="1059">
        <v>1.0589166666666665</v>
      </c>
      <c r="AW71" s="1059">
        <v>1.0200499999999999</v>
      </c>
      <c r="AX71" s="1059">
        <v>1.0112333333333332</v>
      </c>
      <c r="AY71" s="1058">
        <v>1.0447625</v>
      </c>
      <c r="AZ71" s="1059">
        <v>0.97409999999999997</v>
      </c>
      <c r="BA71" s="1059">
        <v>1.07555</v>
      </c>
      <c r="BB71" s="1059">
        <v>1.1694166666666665</v>
      </c>
      <c r="BC71" s="1059">
        <v>1.26105</v>
      </c>
      <c r="BD71" s="1058">
        <v>1.1200291666666666</v>
      </c>
      <c r="BE71" s="1059">
        <v>1.4260769230769232</v>
      </c>
      <c r="BF71" s="1059">
        <v>1.4207692307692308</v>
      </c>
      <c r="BG71" s="1059">
        <v>1.5062307692307693</v>
      </c>
      <c r="BH71" s="1059">
        <v>1.6099999999999999</v>
      </c>
      <c r="BI71" s="1058">
        <v>1.4907692307692306</v>
      </c>
      <c r="BJ71" s="1059">
        <v>1.4756923076923079</v>
      </c>
      <c r="BK71" s="1059">
        <v>1.463153846153846</v>
      </c>
      <c r="BL71" s="1059">
        <v>1.4163076923076923</v>
      </c>
      <c r="BM71" s="1059">
        <v>1.257857142857143</v>
      </c>
      <c r="BN71" s="1058">
        <v>1.4032527472527474</v>
      </c>
      <c r="BO71" s="1059">
        <v>1.17825</v>
      </c>
      <c r="BP71" s="1059">
        <v>1.3005384615384616</v>
      </c>
      <c r="BQ71" s="1059">
        <v>1.3471428571428574</v>
      </c>
      <c r="BR71" s="1059">
        <v>1.4360769230769228</v>
      </c>
      <c r="BS71" s="1058">
        <v>1.3155020604395604</v>
      </c>
      <c r="BT71" s="1059">
        <v>1.6236923076923075</v>
      </c>
      <c r="BU71" s="1059">
        <v>1.4657692307692307</v>
      </c>
      <c r="BV71" s="1059">
        <v>1.4629999999999996</v>
      </c>
      <c r="BW71" s="1059">
        <v>1.4848461538461537</v>
      </c>
      <c r="BX71" s="1058">
        <v>1.5093269230769228</v>
      </c>
      <c r="BY71" s="1059">
        <v>1.5906923076923076</v>
      </c>
      <c r="BZ71" s="1059">
        <v>1.7189230769230766</v>
      </c>
      <c r="CA71" s="1059">
        <v>1.8296153846153844</v>
      </c>
      <c r="CB71" s="1059">
        <v>2.1005384615384615</v>
      </c>
      <c r="CC71" s="1058">
        <v>1.8099423076923076</v>
      </c>
      <c r="CD71" s="1059">
        <v>2.058153846153846</v>
      </c>
      <c r="CE71" s="1059">
        <v>2.2553846153846155</v>
      </c>
      <c r="CF71" s="1059">
        <v>2.558846153846154</v>
      </c>
      <c r="CG71" s="1059">
        <v>2.7336923076923081</v>
      </c>
      <c r="CH71" s="1058">
        <v>2.4015192307692312</v>
      </c>
      <c r="CI71" s="1059">
        <v>2.497846153846154</v>
      </c>
      <c r="CJ71" s="1059">
        <v>2.8449999999999998</v>
      </c>
      <c r="CK71" s="1059">
        <v>2.9215384615384616</v>
      </c>
      <c r="CL71" s="1059">
        <v>2.5550000000000002</v>
      </c>
      <c r="CM71" s="1058">
        <v>2.7048461538461535</v>
      </c>
      <c r="CN71" s="1059">
        <v>2.5418461538461536</v>
      </c>
      <c r="CO71" s="1059">
        <v>2.8142307692307691</v>
      </c>
      <c r="CP71" s="1059">
        <v>2.8946923076923077</v>
      </c>
      <c r="CQ71" s="1059">
        <v>3.2612857142857137</v>
      </c>
      <c r="CR71" s="1058">
        <v>2.8780137362637364</v>
      </c>
      <c r="CS71" s="1059">
        <v>3.549461538461538</v>
      </c>
      <c r="CT71" s="1059">
        <v>4.4167692307692299</v>
      </c>
      <c r="CU71" s="1059">
        <v>4.3183846153846153</v>
      </c>
      <c r="CV71" s="1059">
        <v>2.9272307692307686</v>
      </c>
      <c r="CW71" s="1058">
        <v>3.8029615384615374</v>
      </c>
      <c r="CX71" s="1059">
        <v>2.1853846153846153</v>
      </c>
      <c r="CY71" s="1059">
        <v>2.340846153846154</v>
      </c>
      <c r="CZ71" s="1059">
        <v>2.6025384615384612</v>
      </c>
      <c r="DA71" s="1059">
        <v>2.7405384615384611</v>
      </c>
      <c r="DB71" s="1058">
        <v>2.4673269230769233</v>
      </c>
      <c r="DC71" s="1059">
        <v>2.8531538461538464</v>
      </c>
      <c r="DD71" s="1059">
        <v>3.0285384615384618</v>
      </c>
      <c r="DE71" s="1059">
        <v>2.940230769230769</v>
      </c>
      <c r="DF71" s="1059">
        <v>3.1443076923076916</v>
      </c>
      <c r="DG71" s="1058">
        <v>2.9915576923076923</v>
      </c>
      <c r="DH71" s="1059">
        <v>3.6071538461538464</v>
      </c>
      <c r="DI71" s="1059">
        <v>4.0171538461538461</v>
      </c>
      <c r="DJ71" s="1059">
        <v>3.8668461538461538</v>
      </c>
      <c r="DK71" s="1059">
        <v>3.8676923076923071</v>
      </c>
      <c r="DL71" s="1058">
        <v>3.8397115384615383</v>
      </c>
      <c r="DM71" s="1059">
        <v>3.9599230769230767</v>
      </c>
      <c r="DN71" s="1059">
        <v>3.9633076923076915</v>
      </c>
      <c r="DO71" s="1059">
        <v>3.9242307692307694</v>
      </c>
      <c r="DP71" s="1059">
        <v>4.0194999999999999</v>
      </c>
      <c r="DQ71" s="1058">
        <v>3.9667403846153846</v>
      </c>
      <c r="DR71" s="1059">
        <v>4.0289166666666665</v>
      </c>
      <c r="DS71" s="1059">
        <v>3.8867692307692314</v>
      </c>
      <c r="DT71" s="1059">
        <v>3.9108571428571426</v>
      </c>
      <c r="DU71" s="1059">
        <v>3.8694615384615383</v>
      </c>
      <c r="DV71" s="1058">
        <v>3.9240011446886447</v>
      </c>
      <c r="DW71" s="1059">
        <v>3.9623076923076925</v>
      </c>
      <c r="DX71" s="1059">
        <v>3.9353076923076924</v>
      </c>
      <c r="DY71" s="1059">
        <v>3.834461538461539</v>
      </c>
      <c r="DZ71" s="1059">
        <v>3.5664615384615379</v>
      </c>
      <c r="EA71" s="1058">
        <v>3.8246346153846158</v>
      </c>
      <c r="EB71" s="1059">
        <v>2.9157692307692296</v>
      </c>
      <c r="EC71" s="1059">
        <v>2.8495384615384611</v>
      </c>
      <c r="ED71" s="1059">
        <v>2.6266153846153846</v>
      </c>
      <c r="EE71" s="1059">
        <f>+Fuel!EM5</f>
        <v>2.4346153846153844</v>
      </c>
      <c r="EF71" s="1790">
        <f>+Fuel!EN5</f>
        <v>2.7066346153846146</v>
      </c>
      <c r="EG71" s="1790">
        <f>+Fuel!EO5</f>
        <v>2.0709230769230769</v>
      </c>
      <c r="EH71" s="1059">
        <f>+Fuel!EP5</f>
        <v>2.2976153846153853</v>
      </c>
      <c r="EI71" s="1059">
        <f>+Fuel!EQ5</f>
        <v>2.3806153846153846</v>
      </c>
      <c r="EJ71" s="1059">
        <f>+Fuel!ER5</f>
        <v>2.4666153846153844</v>
      </c>
      <c r="EK71" s="1790">
        <f>+Fuel!ES5</f>
        <v>2.3039423076923078</v>
      </c>
      <c r="EL71" s="1790">
        <f>+Fuel!ET5</f>
        <v>2.5680769230769234</v>
      </c>
      <c r="EM71" s="1059">
        <f>+Fuel!EU5</f>
        <v>2.5518461538461543</v>
      </c>
      <c r="EN71" s="1059">
        <f>+Fuel!EV5</f>
        <v>2.6154615384615383</v>
      </c>
      <c r="EO71" s="1059">
        <f>+Fuel!EW5</f>
        <v>2.8647692307692307</v>
      </c>
      <c r="EP71" s="1790">
        <f>+Fuel!EX5</f>
        <v>2.6500384615384616</v>
      </c>
      <c r="EQ71" s="1790">
        <f>+Fuel!EY5</f>
        <v>3.0173076923076922</v>
      </c>
      <c r="ER71" s="1059">
        <f>+Fuel!EZ5</f>
        <v>3.0099999999999989</v>
      </c>
      <c r="ES71" s="1059">
        <f>+Fuel!FA5</f>
        <v>3.0099999999999989</v>
      </c>
      <c r="ET71" s="1059">
        <f>+Fuel!FB5</f>
        <v>3.0099999999999989</v>
      </c>
      <c r="EU71" s="1790">
        <f>+Fuel!FC5</f>
        <v>3.0118269230769217</v>
      </c>
      <c r="EV71" s="1790">
        <f>+Fuel!FD5</f>
        <v>3.0099999999999993</v>
      </c>
      <c r="EW71" s="1059">
        <f>+Fuel!FE5</f>
        <v>3.0099999999999989</v>
      </c>
      <c r="EX71" s="1059">
        <f>+Fuel!FF5</f>
        <v>3.0099999999999989</v>
      </c>
      <c r="EY71" s="1059">
        <f>+Fuel!FG5</f>
        <v>3.0099999999999989</v>
      </c>
      <c r="EZ71" s="1790">
        <f>+Fuel!FH5</f>
        <v>3.0099999999999989</v>
      </c>
      <c r="FA71" s="1790">
        <f>+Fuel!FI5</f>
        <v>3.0099999999999989</v>
      </c>
      <c r="FB71" s="1059">
        <f>+Fuel!FJ5</f>
        <v>3.0099999999999989</v>
      </c>
      <c r="FC71" s="1059">
        <f>+Fuel!FK5</f>
        <v>3.0099999999999989</v>
      </c>
      <c r="FD71" s="1059">
        <f>+Fuel!FL5</f>
        <v>3.0099999999999989</v>
      </c>
      <c r="FE71" s="1790">
        <f>+Fuel!FM5</f>
        <v>3.0099999999999989</v>
      </c>
      <c r="FF71" s="1790"/>
      <c r="FG71" s="690"/>
      <c r="FH71" s="754"/>
      <c r="FI71" s="754"/>
      <c r="FJ71" s="754"/>
      <c r="FK71" s="754"/>
      <c r="FL71" s="690"/>
      <c r="FM71" s="1064"/>
      <c r="FN71" s="1064"/>
      <c r="FO71" s="1065" t="s">
        <v>310</v>
      </c>
      <c r="FP71" s="1054">
        <f>INTERCEPT(CX70:EJ70,CX71:EJ71)</f>
        <v>-2.0279711641698062E-2</v>
      </c>
      <c r="FQ71" s="1065"/>
      <c r="FR71" s="1065"/>
      <c r="FS71" s="1065"/>
      <c r="FT71" s="1065"/>
      <c r="FU71" s="690"/>
      <c r="FV71"/>
      <c r="FW71"/>
      <c r="FX71"/>
      <c r="FY71"/>
      <c r="FZ71"/>
      <c r="GA71"/>
      <c r="GB71" s="1066"/>
    </row>
    <row r="72" spans="1:272" s="799" customFormat="1" ht="12.75" customHeight="1">
      <c r="A72" s="58" t="s">
        <v>85</v>
      </c>
      <c r="B72" s="790"/>
      <c r="C72" s="721"/>
      <c r="D72" s="721"/>
      <c r="E72" s="721"/>
      <c r="F72" s="741"/>
      <c r="G72" s="721"/>
      <c r="H72" s="721"/>
      <c r="I72" s="721"/>
      <c r="J72" s="721"/>
      <c r="K72" s="741"/>
      <c r="L72" s="721"/>
      <c r="M72" s="721"/>
      <c r="N72" s="721"/>
      <c r="O72" s="721"/>
      <c r="P72" s="741"/>
      <c r="Q72" s="721"/>
      <c r="R72" s="721"/>
      <c r="S72" s="721"/>
      <c r="T72" s="721"/>
      <c r="U72" s="741"/>
      <c r="V72" s="721"/>
      <c r="W72" s="721"/>
      <c r="X72" s="721"/>
      <c r="Y72" s="721"/>
      <c r="Z72" s="741"/>
      <c r="AA72" s="721"/>
      <c r="AB72" s="721"/>
      <c r="AC72" s="721"/>
      <c r="AD72" s="721"/>
      <c r="AE72" s="741"/>
      <c r="AF72" s="721"/>
      <c r="AG72" s="721"/>
      <c r="AH72" s="721"/>
      <c r="AI72" s="721"/>
      <c r="AJ72" s="741"/>
      <c r="AK72" s="721"/>
      <c r="AL72" s="721"/>
      <c r="AM72" s="721"/>
      <c r="AN72" s="721"/>
      <c r="AO72" s="741"/>
      <c r="AP72" s="721"/>
      <c r="AQ72" s="721"/>
      <c r="AR72" s="721"/>
      <c r="AS72" s="721"/>
      <c r="AT72" s="741"/>
      <c r="AU72" s="721"/>
      <c r="AV72" s="721"/>
      <c r="AW72" s="721"/>
      <c r="AX72" s="721"/>
      <c r="AY72" s="741"/>
      <c r="AZ72" s="721"/>
      <c r="BA72" s="721"/>
      <c r="BB72" s="721"/>
      <c r="BC72" s="721"/>
      <c r="BD72" s="741"/>
      <c r="BE72" s="721"/>
      <c r="BF72" s="721"/>
      <c r="BG72" s="721"/>
      <c r="BH72" s="721"/>
      <c r="BI72" s="741"/>
      <c r="BJ72" s="721">
        <f>BJ71/BE71-1</f>
        <v>3.4791520578240531E-2</v>
      </c>
      <c r="BK72" s="721">
        <f>BK71/BF71-1</f>
        <v>2.983216025988078E-2</v>
      </c>
      <c r="BL72" s="721">
        <f>BL71/BG71-1</f>
        <v>-5.9700730299780402E-2</v>
      </c>
      <c r="BM72" s="721">
        <f>BM71/BH71-1</f>
        <v>-0.21872227151730239</v>
      </c>
      <c r="BN72" s="741"/>
      <c r="BO72" s="721">
        <f t="shared" ref="BO72:DZ72" si="288">BO71/BJ71-1</f>
        <v>-0.20156119683069229</v>
      </c>
      <c r="BP72" s="721">
        <f t="shared" si="288"/>
        <v>-0.11114031859523665</v>
      </c>
      <c r="BQ72" s="721">
        <f t="shared" si="288"/>
        <v>-4.8834610968002012E-2</v>
      </c>
      <c r="BR72" s="721">
        <f t="shared" si="288"/>
        <v>0.14168523129340804</v>
      </c>
      <c r="BS72" s="741">
        <f t="shared" si="288"/>
        <v>-6.2533771613833E-2</v>
      </c>
      <c r="BT72" s="721">
        <f t="shared" si="288"/>
        <v>0.37805415462958414</v>
      </c>
      <c r="BU72" s="721">
        <f t="shared" si="288"/>
        <v>0.12704796829715481</v>
      </c>
      <c r="BV72" s="721">
        <f t="shared" si="288"/>
        <v>8.6002120890773526E-2</v>
      </c>
      <c r="BW72" s="721">
        <f t="shared" si="288"/>
        <v>3.3960040709197115E-2</v>
      </c>
      <c r="BX72" s="741">
        <f t="shared" si="288"/>
        <v>0.14733907947859692</v>
      </c>
      <c r="BY72" s="721">
        <f t="shared" si="288"/>
        <v>-2.0324047754405883E-2</v>
      </c>
      <c r="BZ72" s="721">
        <f t="shared" si="288"/>
        <v>0.17271057465232209</v>
      </c>
      <c r="CA72" s="721">
        <f t="shared" si="288"/>
        <v>0.25059151374940858</v>
      </c>
      <c r="CB72" s="721">
        <f t="shared" si="288"/>
        <v>0.41465057244987835</v>
      </c>
      <c r="CC72" s="741">
        <f t="shared" si="288"/>
        <v>0.19917181627062508</v>
      </c>
      <c r="CD72" s="721">
        <f t="shared" si="288"/>
        <v>0.29387301126746945</v>
      </c>
      <c r="CE72" s="721">
        <f t="shared" si="288"/>
        <v>0.31209164951221724</v>
      </c>
      <c r="CF72" s="721">
        <f t="shared" si="288"/>
        <v>0.398570527643473</v>
      </c>
      <c r="CG72" s="721">
        <f t="shared" si="288"/>
        <v>0.3014245431574325</v>
      </c>
      <c r="CH72" s="741">
        <f t="shared" si="288"/>
        <v>0.32684849708341779</v>
      </c>
      <c r="CI72" s="721">
        <f t="shared" si="288"/>
        <v>0.21363432501121271</v>
      </c>
      <c r="CJ72" s="721">
        <f t="shared" si="288"/>
        <v>0.26142564802182799</v>
      </c>
      <c r="CK72" s="721">
        <f t="shared" si="288"/>
        <v>0.14174056816473768</v>
      </c>
      <c r="CL72" s="721">
        <f t="shared" si="288"/>
        <v>-6.5366649783330621E-2</v>
      </c>
      <c r="CM72" s="741">
        <f t="shared" si="288"/>
        <v>0.12630626446400073</v>
      </c>
      <c r="CN72" s="721">
        <f t="shared" si="288"/>
        <v>1.7615176151761336E-2</v>
      </c>
      <c r="CO72" s="721">
        <f t="shared" si="288"/>
        <v>-1.0815195349465956E-2</v>
      </c>
      <c r="CP72" s="721">
        <f t="shared" si="288"/>
        <v>-9.1890468667720215E-3</v>
      </c>
      <c r="CQ72" s="721">
        <f t="shared" si="288"/>
        <v>0.27643276488677637</v>
      </c>
      <c r="CR72" s="741">
        <f t="shared" si="288"/>
        <v>6.4021231733031314E-2</v>
      </c>
      <c r="CS72" s="721">
        <f t="shared" si="288"/>
        <v>0.39641084614453459</v>
      </c>
      <c r="CT72" s="721">
        <f t="shared" si="288"/>
        <v>0.56944102774361061</v>
      </c>
      <c r="CU72" s="721">
        <f t="shared" si="288"/>
        <v>0.49182854561398837</v>
      </c>
      <c r="CV72" s="721">
        <f t="shared" si="288"/>
        <v>-0.10243044440775395</v>
      </c>
      <c r="CW72" s="741">
        <f t="shared" si="288"/>
        <v>0.32138408185590417</v>
      </c>
      <c r="CX72" s="721">
        <f t="shared" si="288"/>
        <v>-0.38430531174826077</v>
      </c>
      <c r="CY72" s="721">
        <f t="shared" si="288"/>
        <v>-0.47000940471629093</v>
      </c>
      <c r="CZ72" s="721">
        <f t="shared" si="288"/>
        <v>-0.39733518587791028</v>
      </c>
      <c r="DA72" s="721">
        <f t="shared" si="288"/>
        <v>-6.3777789457087231E-2</v>
      </c>
      <c r="DB72" s="741">
        <f t="shared" si="288"/>
        <v>-0.35120907794532574</v>
      </c>
      <c r="DC72" s="721">
        <f t="shared" si="288"/>
        <v>0.3055614220344951</v>
      </c>
      <c r="DD72" s="721">
        <f t="shared" si="288"/>
        <v>0.29377936972166552</v>
      </c>
      <c r="DE72" s="721">
        <f t="shared" si="288"/>
        <v>0.12975497295539862</v>
      </c>
      <c r="DF72" s="721">
        <f t="shared" si="288"/>
        <v>0.14733207960254857</v>
      </c>
      <c r="DG72" s="741">
        <f t="shared" si="288"/>
        <v>0.21246911559535775</v>
      </c>
      <c r="DH72" s="721">
        <f t="shared" si="288"/>
        <v>0.26426896012509782</v>
      </c>
      <c r="DI72" s="721">
        <f t="shared" si="288"/>
        <v>0.32643316146402168</v>
      </c>
      <c r="DJ72" s="721">
        <f t="shared" si="288"/>
        <v>0.31515056379666695</v>
      </c>
      <c r="DK72" s="721">
        <f t="shared" si="288"/>
        <v>0.23006164986789313</v>
      </c>
      <c r="DL72" s="741">
        <f t="shared" si="288"/>
        <v>0.28351579123302106</v>
      </c>
      <c r="DM72" s="721">
        <f t="shared" si="288"/>
        <v>9.779711257543755E-2</v>
      </c>
      <c r="DN72" s="721">
        <f t="shared" si="288"/>
        <v>-1.3404055684277272E-2</v>
      </c>
      <c r="DO72" s="721">
        <f t="shared" si="288"/>
        <v>1.4840159939525366E-2</v>
      </c>
      <c r="DP72" s="721">
        <f t="shared" si="288"/>
        <v>3.9250198886237264E-2</v>
      </c>
      <c r="DQ72" s="741">
        <f t="shared" si="288"/>
        <v>3.3082913880750242E-2</v>
      </c>
      <c r="DR72" s="721">
        <f>DR71/DM71-1</f>
        <v>1.7422962114001184E-2</v>
      </c>
      <c r="DS72" s="721">
        <f t="shared" si="288"/>
        <v>-1.9311763678356852E-2</v>
      </c>
      <c r="DT72" s="721">
        <f t="shared" si="288"/>
        <v>-3.4079612438919771E-3</v>
      </c>
      <c r="DU72" s="721">
        <f t="shared" si="288"/>
        <v>-3.7327643124383969E-2</v>
      </c>
      <c r="DV72" s="741">
        <f t="shared" si="288"/>
        <v>-1.0774398065600654E-2</v>
      </c>
      <c r="DW72" s="721">
        <f t="shared" si="288"/>
        <v>-1.6532725759771827E-2</v>
      </c>
      <c r="DX72" s="721">
        <f t="shared" si="288"/>
        <v>1.2488125395820004E-2</v>
      </c>
      <c r="DY72" s="721">
        <f t="shared" si="288"/>
        <v>-1.9534235489816809E-2</v>
      </c>
      <c r="DZ72" s="721">
        <f t="shared" si="288"/>
        <v>-7.8305468858716254E-2</v>
      </c>
      <c r="EA72" s="741">
        <f t="shared" ref="EA72:EF72" si="289">EA71/DV71-1</f>
        <v>-2.5322757471293533E-2</v>
      </c>
      <c r="EB72" s="721">
        <f t="shared" si="289"/>
        <v>-0.26412347117064683</v>
      </c>
      <c r="EC72" s="721">
        <f>EC71/DX71-1</f>
        <v>-0.27590453292675787</v>
      </c>
      <c r="ED72" s="721">
        <f t="shared" ref="ED72" si="290">ED71/DY71-1</f>
        <v>-0.31499759268175265</v>
      </c>
      <c r="EE72" s="721">
        <f t="shared" si="289"/>
        <v>-0.31735829522905701</v>
      </c>
      <c r="EF72" s="741">
        <f t="shared" si="289"/>
        <v>-0.29231550525188454</v>
      </c>
      <c r="EG72" s="721">
        <f t="shared" ref="EG72:EJ72" si="291">EG71/EB71-1</f>
        <v>-0.28975069252077534</v>
      </c>
      <c r="EH72" s="721">
        <f t="shared" si="291"/>
        <v>-0.19368858654572907</v>
      </c>
      <c r="EI72" s="721">
        <f t="shared" si="291"/>
        <v>-9.3656650852222856E-2</v>
      </c>
      <c r="EJ72" s="721">
        <f t="shared" si="291"/>
        <v>1.3143759873617711E-2</v>
      </c>
      <c r="EK72" s="741">
        <f t="shared" ref="EK72" si="292">EK71/EF71-1</f>
        <v>-0.14877970798252127</v>
      </c>
      <c r="EL72" s="721">
        <f t="shared" ref="EL72" si="293">EL71/EG71-1</f>
        <v>0.24006388826981673</v>
      </c>
      <c r="EM72" s="721">
        <f t="shared" ref="EM72" si="294">EM71/EH71-1</f>
        <v>0.11064983762429259</v>
      </c>
      <c r="EN72" s="721">
        <f t="shared" ref="EN72" si="295">EN71/EI71-1</f>
        <v>9.864934729223207E-2</v>
      </c>
      <c r="EO72" s="721">
        <f t="shared" ref="EO72:EP72" si="296">EO71/EJ71-1</f>
        <v>0.16141707727811405</v>
      </c>
      <c r="EP72" s="741">
        <f t="shared" si="296"/>
        <v>0.1502191060473268</v>
      </c>
      <c r="EQ72" s="721">
        <f t="shared" ref="EQ72" si="297">EQ71/EL71-1</f>
        <v>0.17492886026658661</v>
      </c>
      <c r="ER72" s="721">
        <f t="shared" ref="ER72" si="298">ER71/EM71-1</f>
        <v>0.17953819256043824</v>
      </c>
      <c r="ES72" s="721">
        <f t="shared" ref="ES72" si="299">ES71/EN71-1</f>
        <v>0.15084850445575104</v>
      </c>
      <c r="ET72" s="721">
        <f t="shared" ref="ET72" si="300">ET71/EO71-1</f>
        <v>5.0695451372106293E-2</v>
      </c>
      <c r="EU72" s="741">
        <f t="shared" ref="EU72" si="301">EU71/EP71-1</f>
        <v>0.13652196629947255</v>
      </c>
      <c r="EV72" s="721">
        <f t="shared" ref="EV72" si="302">EV71/EQ71-1</f>
        <v>-2.4219247928618515E-3</v>
      </c>
      <c r="EW72" s="721">
        <f t="shared" ref="EW72" si="303">EW71/ER71-1</f>
        <v>0</v>
      </c>
      <c r="EX72" s="721">
        <f t="shared" ref="EX72" si="304">EX71/ES71-1</f>
        <v>0</v>
      </c>
      <c r="EY72" s="721">
        <f t="shared" ref="EY72" si="305">EY71/ET71-1</f>
        <v>0</v>
      </c>
      <c r="EZ72" s="741">
        <f t="shared" ref="EZ72" si="306">EZ71/EU71-1</f>
        <v>-6.0658302206040293E-4</v>
      </c>
      <c r="FA72" s="721">
        <f t="shared" ref="FA72" si="307">FA71/EV71-1</f>
        <v>0</v>
      </c>
      <c r="FB72" s="721">
        <f t="shared" ref="FB72" si="308">FB71/EW71-1</f>
        <v>0</v>
      </c>
      <c r="FC72" s="721">
        <f t="shared" ref="FC72" si="309">FC71/EX71-1</f>
        <v>0</v>
      </c>
      <c r="FD72" s="721">
        <f t="shared" ref="FD72" si="310">FD71/EY71-1</f>
        <v>0</v>
      </c>
      <c r="FE72" s="741">
        <f t="shared" ref="FE72" si="311">FE71/EZ71-1</f>
        <v>0</v>
      </c>
      <c r="FF72" s="721"/>
      <c r="FG72" s="690"/>
      <c r="FH72" s="754"/>
      <c r="FI72" s="754"/>
      <c r="FJ72" s="754"/>
      <c r="FK72" s="754"/>
      <c r="FL72" s="690"/>
      <c r="FM72" s="708"/>
      <c r="FN72" s="708"/>
      <c r="FO72" s="723"/>
      <c r="FP72" s="723"/>
      <c r="FQ72" s="723"/>
      <c r="FR72" s="723"/>
      <c r="FS72" s="723"/>
      <c r="FT72" s="723"/>
      <c r="FU72" s="690"/>
      <c r="FV72"/>
      <c r="FW72"/>
      <c r="FX72"/>
      <c r="FY72"/>
      <c r="FZ72"/>
      <c r="GA72"/>
      <c r="GB72" s="949"/>
      <c r="GC72" s="950"/>
      <c r="GD72" s="950"/>
      <c r="GE72" s="950"/>
      <c r="GF72" s="950"/>
      <c r="GG72" s="950"/>
      <c r="GH72" s="950"/>
      <c r="GI72" s="950"/>
      <c r="GJ72" s="950"/>
      <c r="GK72" s="950"/>
      <c r="GL72" s="950"/>
      <c r="GM72" s="950"/>
      <c r="GN72" s="950"/>
      <c r="GO72" s="950"/>
      <c r="GP72" s="950"/>
      <c r="GQ72" s="950"/>
      <c r="GR72" s="950"/>
      <c r="GS72" s="950"/>
      <c r="GT72" s="950"/>
      <c r="GU72" s="950"/>
      <c r="GV72" s="950"/>
      <c r="GW72" s="950"/>
      <c r="GX72" s="950"/>
      <c r="GY72" s="950"/>
      <c r="GZ72" s="950"/>
      <c r="HA72" s="950"/>
      <c r="HB72" s="950"/>
      <c r="HC72" s="950"/>
      <c r="HD72" s="950"/>
      <c r="HE72" s="950"/>
      <c r="HF72" s="950"/>
      <c r="HG72" s="950"/>
      <c r="HH72" s="950"/>
      <c r="HI72" s="950"/>
      <c r="HJ72" s="950"/>
      <c r="HK72" s="950"/>
      <c r="HL72" s="950"/>
      <c r="HM72" s="950"/>
      <c r="HN72" s="950"/>
      <c r="HO72" s="950"/>
      <c r="HP72" s="950"/>
      <c r="HQ72" s="950"/>
      <c r="HR72" s="950"/>
      <c r="HS72" s="950"/>
      <c r="HT72" s="950"/>
      <c r="HU72" s="950"/>
      <c r="HV72" s="950"/>
      <c r="HW72" s="950"/>
      <c r="HX72" s="950"/>
      <c r="HY72" s="950"/>
      <c r="HZ72" s="950"/>
      <c r="IA72" s="950"/>
      <c r="IB72" s="950"/>
      <c r="IC72" s="950"/>
      <c r="ID72" s="950"/>
      <c r="IE72" s="950"/>
      <c r="IF72" s="950"/>
      <c r="IG72" s="950"/>
      <c r="IH72" s="950"/>
      <c r="II72" s="950"/>
      <c r="IJ72" s="950"/>
      <c r="IK72" s="950"/>
      <c r="IL72" s="950"/>
      <c r="IM72" s="950"/>
      <c r="IN72" s="950"/>
      <c r="IO72" s="950"/>
      <c r="IP72" s="950"/>
      <c r="IQ72" s="950"/>
      <c r="IR72" s="950"/>
      <c r="IS72" s="950"/>
      <c r="IT72" s="950"/>
      <c r="IU72" s="950"/>
      <c r="IV72" s="950"/>
      <c r="IW72" s="950"/>
      <c r="IX72" s="950"/>
      <c r="IY72" s="950"/>
      <c r="IZ72" s="950"/>
      <c r="JA72" s="950"/>
      <c r="JB72" s="950"/>
      <c r="JC72" s="950"/>
      <c r="JD72" s="950"/>
      <c r="JE72" s="950"/>
      <c r="JF72" s="950"/>
      <c r="JG72" s="950"/>
      <c r="JH72" s="950"/>
      <c r="JI72" s="950"/>
      <c r="JJ72" s="950"/>
      <c r="JK72" s="950"/>
      <c r="JL72" s="950"/>
    </row>
    <row r="73" spans="1:272" s="799" customFormat="1" ht="12.75" customHeight="1">
      <c r="A73" s="1068" t="s">
        <v>311</v>
      </c>
      <c r="B73" s="790"/>
      <c r="C73" s="721"/>
      <c r="D73" s="721"/>
      <c r="E73" s="721"/>
      <c r="F73" s="741"/>
      <c r="G73" s="721"/>
      <c r="H73" s="721"/>
      <c r="I73" s="721"/>
      <c r="J73" s="721"/>
      <c r="K73" s="741"/>
      <c r="L73" s="721"/>
      <c r="M73" s="721"/>
      <c r="N73" s="721"/>
      <c r="O73" s="721"/>
      <c r="P73" s="741"/>
      <c r="Q73" s="721"/>
      <c r="R73" s="721"/>
      <c r="S73" s="721"/>
      <c r="T73" s="721"/>
      <c r="U73" s="741"/>
      <c r="V73" s="721"/>
      <c r="W73" s="721"/>
      <c r="X73" s="721"/>
      <c r="Y73" s="721"/>
      <c r="Z73" s="741"/>
      <c r="AA73" s="721"/>
      <c r="AB73" s="721"/>
      <c r="AC73" s="721"/>
      <c r="AD73" s="721"/>
      <c r="AE73" s="741"/>
      <c r="AF73" s="721"/>
      <c r="AG73" s="721"/>
      <c r="AH73" s="721"/>
      <c r="AI73" s="721"/>
      <c r="AJ73" s="741"/>
      <c r="AK73" s="721"/>
      <c r="AL73" s="721"/>
      <c r="AM73" s="721"/>
      <c r="AN73" s="721"/>
      <c r="AO73" s="741"/>
      <c r="AP73" s="721"/>
      <c r="AQ73" s="721"/>
      <c r="AR73" s="721"/>
      <c r="AS73" s="721"/>
      <c r="AT73" s="741"/>
      <c r="AU73" s="721"/>
      <c r="AV73" s="721"/>
      <c r="AW73" s="721"/>
      <c r="AX73" s="721"/>
      <c r="AY73" s="741"/>
      <c r="AZ73" s="721"/>
      <c r="BA73" s="721"/>
      <c r="BB73" s="721"/>
      <c r="BC73" s="721"/>
      <c r="BD73" s="741"/>
      <c r="BE73" s="721"/>
      <c r="BF73" s="721"/>
      <c r="BG73" s="721"/>
      <c r="BH73" s="721"/>
      <c r="BI73" s="741"/>
      <c r="BJ73" s="721">
        <v>3.6307692307692312E-2</v>
      </c>
      <c r="BK73" s="721">
        <v>3.3384615384615381E-2</v>
      </c>
      <c r="BL73" s="721">
        <v>2.8923076923076916E-2</v>
      </c>
      <c r="BM73" s="721">
        <v>1.5714285714285715E-2</v>
      </c>
      <c r="BN73" s="741">
        <v>0</v>
      </c>
      <c r="BO73" s="721">
        <v>6.1666666666666667E-3</v>
      </c>
      <c r="BP73" s="721">
        <v>2.5769230769230773E-2</v>
      </c>
      <c r="BQ73" s="721">
        <v>3.0428571428571423E-2</v>
      </c>
      <c r="BR73" s="721">
        <v>4.2384615384615382E-2</v>
      </c>
      <c r="BS73" s="741">
        <v>0</v>
      </c>
      <c r="BT73" s="721">
        <v>6.2692307692307686E-2</v>
      </c>
      <c r="BU73" s="721">
        <v>4.8615384615384616E-2</v>
      </c>
      <c r="BV73" s="721">
        <v>4.6153846153846149E-2</v>
      </c>
      <c r="BW73" s="721">
        <v>4.823076923076923E-2</v>
      </c>
      <c r="BX73" s="741">
        <v>0</v>
      </c>
      <c r="BY73" s="721">
        <v>6.130769230769232E-2</v>
      </c>
      <c r="BZ73" s="721">
        <v>7.7153846153846142E-2</v>
      </c>
      <c r="CA73" s="721">
        <v>8.9076923076923067E-2</v>
      </c>
      <c r="CB73" s="721">
        <v>0.11823076923076922</v>
      </c>
      <c r="CC73" s="741">
        <v>0</v>
      </c>
      <c r="CD73" s="721">
        <v>0.1123076923076923</v>
      </c>
      <c r="CE73" s="721">
        <v>0.13330769230769235</v>
      </c>
      <c r="CF73" s="721">
        <v>0.15476923076923074</v>
      </c>
      <c r="CG73" s="721">
        <v>0.1675384615384615</v>
      </c>
      <c r="CH73" s="741">
        <v>0</v>
      </c>
      <c r="CI73" s="721">
        <v>0.15730769230769232</v>
      </c>
      <c r="CJ73" s="721">
        <v>0.1823846153846154</v>
      </c>
      <c r="CK73" s="721">
        <v>0.20153846153846158</v>
      </c>
      <c r="CL73" s="721">
        <v>0.16399999999999998</v>
      </c>
      <c r="CM73" s="741">
        <v>0</v>
      </c>
      <c r="CN73" s="721">
        <v>0.16223076923076923</v>
      </c>
      <c r="CO73" s="721">
        <v>0.18884615384615386</v>
      </c>
      <c r="CP73" s="721">
        <v>0.19630769230769235</v>
      </c>
      <c r="CQ73" s="721">
        <v>0.23235714285714285</v>
      </c>
      <c r="CR73" s="741">
        <v>0</v>
      </c>
      <c r="CS73" s="721">
        <v>0.25869230769230767</v>
      </c>
      <c r="CT73" s="721">
        <v>0.34492307692307694</v>
      </c>
      <c r="CU73" s="721">
        <v>0.34561538461538466</v>
      </c>
      <c r="CV73" s="721">
        <v>0.21369230769230768</v>
      </c>
      <c r="CW73" s="741">
        <v>0</v>
      </c>
      <c r="CX73" s="721">
        <v>0.12784615384615389</v>
      </c>
      <c r="CY73" s="721">
        <v>0.13969230769230767</v>
      </c>
      <c r="CZ73" s="721">
        <v>0.16884615384615384</v>
      </c>
      <c r="DA73" s="721">
        <v>0.18169230769230771</v>
      </c>
      <c r="DB73" s="741">
        <v>0</v>
      </c>
      <c r="DC73" s="721">
        <v>0.19230769230769232</v>
      </c>
      <c r="DD73" s="721">
        <v>0.21123076923076922</v>
      </c>
      <c r="DE73" s="721">
        <v>0.20253846153846153</v>
      </c>
      <c r="DF73" s="721">
        <v>0.22038461538461543</v>
      </c>
      <c r="DG73" s="741">
        <v>0</v>
      </c>
      <c r="DH73" s="721">
        <v>0.26438461538461538</v>
      </c>
      <c r="DI73" s="721">
        <v>0.31061538461538457</v>
      </c>
      <c r="DJ73" s="721">
        <v>0.29599999999999993</v>
      </c>
      <c r="DK73" s="721">
        <v>0.29530769230769233</v>
      </c>
      <c r="DL73" s="741">
        <v>0</v>
      </c>
      <c r="DM73" s="721">
        <v>0.30192307692307696</v>
      </c>
      <c r="DN73" s="721">
        <v>0.30838461538461542</v>
      </c>
      <c r="DO73" s="721">
        <v>0.29776923076923079</v>
      </c>
      <c r="DP73" s="721">
        <v>0.31178571428571428</v>
      </c>
      <c r="DQ73" s="741">
        <v>0</v>
      </c>
      <c r="DR73" s="721">
        <v>0.31066666666666665</v>
      </c>
      <c r="DS73" s="721">
        <v>0.29853846153846153</v>
      </c>
      <c r="DT73" s="721">
        <v>0.29899999999999999</v>
      </c>
      <c r="DU73" s="721">
        <v>0.29569230769230764</v>
      </c>
      <c r="DV73" s="741">
        <v>0</v>
      </c>
      <c r="DW73" s="721">
        <v>0.30423076923076925</v>
      </c>
      <c r="DX73" s="721">
        <v>0.30246153846153845</v>
      </c>
      <c r="DY73" s="721">
        <v>0.29330769230769232</v>
      </c>
      <c r="DZ73" s="721">
        <v>0.27030769230769242</v>
      </c>
      <c r="EA73" s="741"/>
      <c r="EB73" s="721">
        <v>0.22642307692307698</v>
      </c>
      <c r="EC73" s="721">
        <v>0.22853846153846155</v>
      </c>
      <c r="ED73" s="721">
        <v>0.2185384615384616</v>
      </c>
      <c r="EE73" s="721">
        <f>+Fuel!EM15</f>
        <v>0.20815384615384616</v>
      </c>
      <c r="EF73" s="741"/>
      <c r="EG73" s="721">
        <f>+Fuel!EO15</f>
        <v>0.18969230769230772</v>
      </c>
      <c r="EH73" s="721">
        <f>+Fuel!EP15</f>
        <v>0.19949999999999998</v>
      </c>
      <c r="EI73" s="721">
        <f>+Fuel!EQ15</f>
        <v>0.20507692307692305</v>
      </c>
      <c r="EJ73" s="721">
        <f>+Fuel!ER15</f>
        <v>0.20815384615384616</v>
      </c>
      <c r="EK73" s="741"/>
      <c r="EL73" s="721">
        <f>+Fuel!ET15</f>
        <v>0.21411538461538462</v>
      </c>
      <c r="EM73" s="721">
        <f>+Fuel!EU15</f>
        <v>0.21334615384615382</v>
      </c>
      <c r="EN73" s="721">
        <f>+Fuel!EV15</f>
        <v>0.21526923076923071</v>
      </c>
      <c r="EO73" s="721">
        <f>+Fuel!EW15</f>
        <v>0.22853846153846161</v>
      </c>
      <c r="EP73" s="741"/>
      <c r="EQ73" s="721">
        <f>+Fuel!EY15</f>
        <v>0.23623076923076927</v>
      </c>
      <c r="ER73" s="721">
        <f>+Fuel!EZ15</f>
        <v>0.23700000000000007</v>
      </c>
      <c r="ES73" s="721">
        <f>+Fuel!FA15</f>
        <v>0.23700000000000007</v>
      </c>
      <c r="ET73" s="721">
        <f>+Fuel!FB15</f>
        <v>0.23700000000000007</v>
      </c>
      <c r="EU73" s="741"/>
      <c r="EV73" s="721">
        <f>+Fuel!FD15</f>
        <v>0.23700000000000007</v>
      </c>
      <c r="EW73" s="721">
        <f>+Fuel!FE15</f>
        <v>0.23700000000000007</v>
      </c>
      <c r="EX73" s="721">
        <f>+Fuel!FF15</f>
        <v>0.23700000000000007</v>
      </c>
      <c r="EY73" s="721">
        <f>+Fuel!FG15</f>
        <v>0.23700000000000007</v>
      </c>
      <c r="EZ73" s="741">
        <f>+Fuel!FH15</f>
        <v>0.23700000000000007</v>
      </c>
      <c r="FA73" s="721">
        <f>+Fuel!FI15</f>
        <v>0.23700000000000007</v>
      </c>
      <c r="FB73" s="721">
        <f>+Fuel!FJ15</f>
        <v>0.23700000000000007</v>
      </c>
      <c r="FC73" s="721">
        <f>+Fuel!FK15</f>
        <v>0.23700000000000007</v>
      </c>
      <c r="FD73" s="721">
        <f>+Fuel!FL15</f>
        <v>0.23700000000000007</v>
      </c>
      <c r="FE73" s="741">
        <f>+Fuel!FM15</f>
        <v>0.23700000000000007</v>
      </c>
      <c r="FF73" s="721"/>
      <c r="FG73" s="690"/>
      <c r="FH73" s="754"/>
      <c r="FI73" s="754"/>
      <c r="FJ73" s="754"/>
      <c r="FK73" s="754"/>
      <c r="FL73" s="690"/>
      <c r="FM73" s="708"/>
      <c r="FN73" s="708"/>
      <c r="FO73" s="723"/>
      <c r="FP73" s="723"/>
      <c r="FQ73" s="723"/>
      <c r="FR73" s="723"/>
      <c r="FS73" s="723"/>
      <c r="FT73" s="723"/>
      <c r="FU73" s="690"/>
      <c r="FV73"/>
      <c r="FW73"/>
      <c r="FX73"/>
      <c r="FY73"/>
      <c r="FZ73"/>
      <c r="GA73"/>
      <c r="GB73" s="949"/>
      <c r="GC73" s="950"/>
      <c r="GD73" s="950"/>
      <c r="GE73" s="950"/>
      <c r="GF73" s="950"/>
      <c r="GG73" s="950"/>
      <c r="GH73" s="950"/>
      <c r="GI73" s="950"/>
      <c r="GJ73" s="950"/>
      <c r="GK73" s="950"/>
      <c r="GL73" s="950"/>
      <c r="GM73" s="950"/>
      <c r="GN73" s="950"/>
      <c r="GO73" s="950"/>
      <c r="GP73" s="950"/>
      <c r="GQ73" s="950"/>
      <c r="GR73" s="950"/>
      <c r="GS73" s="950"/>
      <c r="GT73" s="950"/>
      <c r="GU73" s="950"/>
      <c r="GV73" s="950"/>
      <c r="GW73" s="950"/>
      <c r="GX73" s="950"/>
      <c r="GY73" s="950"/>
      <c r="GZ73" s="950"/>
      <c r="HA73" s="950"/>
      <c r="HB73" s="950"/>
      <c r="HC73" s="950"/>
      <c r="HD73" s="950"/>
      <c r="HE73" s="950"/>
      <c r="HF73" s="950"/>
      <c r="HG73" s="950"/>
      <c r="HH73" s="950"/>
      <c r="HI73" s="950"/>
      <c r="HJ73" s="950"/>
      <c r="HK73" s="950"/>
      <c r="HL73" s="950"/>
      <c r="HM73" s="950"/>
      <c r="HN73" s="950"/>
      <c r="HO73" s="950"/>
      <c r="HP73" s="950"/>
      <c r="HQ73" s="950"/>
      <c r="HR73" s="950"/>
      <c r="HS73" s="950"/>
      <c r="HT73" s="950"/>
      <c r="HU73" s="950"/>
      <c r="HV73" s="950"/>
      <c r="HW73" s="950"/>
      <c r="HX73" s="950"/>
      <c r="HY73" s="950"/>
      <c r="HZ73" s="950"/>
      <c r="IA73" s="950"/>
      <c r="IB73" s="950"/>
      <c r="IC73" s="950"/>
      <c r="ID73" s="950"/>
      <c r="IE73" s="950"/>
      <c r="IF73" s="950"/>
      <c r="IG73" s="950"/>
      <c r="IH73" s="950"/>
      <c r="II73" s="950"/>
      <c r="IJ73" s="950"/>
      <c r="IK73" s="950"/>
      <c r="IL73" s="950"/>
      <c r="IM73" s="950"/>
      <c r="IN73" s="950"/>
      <c r="IO73" s="950"/>
      <c r="IP73" s="950"/>
      <c r="IQ73" s="950"/>
      <c r="IR73" s="950"/>
      <c r="IS73" s="950"/>
      <c r="IT73" s="950"/>
      <c r="IU73" s="950"/>
      <c r="IV73" s="950"/>
      <c r="IW73" s="950"/>
      <c r="IX73" s="950"/>
      <c r="IY73" s="950"/>
      <c r="IZ73" s="950"/>
      <c r="JA73" s="950"/>
      <c r="JB73" s="950"/>
      <c r="JC73" s="950"/>
      <c r="JD73" s="950"/>
      <c r="JE73" s="950"/>
      <c r="JF73" s="950"/>
      <c r="JG73" s="950"/>
      <c r="JH73" s="950"/>
      <c r="JI73" s="950"/>
      <c r="JJ73" s="950"/>
      <c r="JK73" s="950"/>
      <c r="JL73" s="950"/>
    </row>
    <row r="74" spans="1:272" s="799" customFormat="1" ht="12.75" customHeight="1">
      <c r="A74" s="1068" t="s">
        <v>312</v>
      </c>
      <c r="B74" s="790"/>
      <c r="C74" s="721"/>
      <c r="D74" s="721"/>
      <c r="E74" s="721"/>
      <c r="F74" s="741"/>
      <c r="G74" s="721"/>
      <c r="H74" s="721"/>
      <c r="I74" s="721"/>
      <c r="J74" s="721"/>
      <c r="K74" s="741"/>
      <c r="L74" s="721"/>
      <c r="M74" s="721"/>
      <c r="N74" s="721"/>
      <c r="O74" s="721"/>
      <c r="P74" s="741"/>
      <c r="Q74" s="721"/>
      <c r="R74" s="721"/>
      <c r="S74" s="721"/>
      <c r="T74" s="721"/>
      <c r="U74" s="741"/>
      <c r="V74" s="721"/>
      <c r="W74" s="721"/>
      <c r="X74" s="721"/>
      <c r="Y74" s="721"/>
      <c r="Z74" s="741"/>
      <c r="AA74" s="721"/>
      <c r="AB74" s="721"/>
      <c r="AC74" s="721"/>
      <c r="AD74" s="721"/>
      <c r="AE74" s="741"/>
      <c r="AF74" s="721"/>
      <c r="AG74" s="721"/>
      <c r="AH74" s="721"/>
      <c r="AI74" s="721"/>
      <c r="AJ74" s="741"/>
      <c r="AK74" s="721"/>
      <c r="AL74" s="721"/>
      <c r="AM74" s="721"/>
      <c r="AN74" s="721"/>
      <c r="AO74" s="741"/>
      <c r="AP74" s="721"/>
      <c r="AQ74" s="721"/>
      <c r="AR74" s="721"/>
      <c r="AS74" s="721"/>
      <c r="AT74" s="741"/>
      <c r="AU74" s="721"/>
      <c r="AV74" s="721"/>
      <c r="AW74" s="721"/>
      <c r="AX74" s="721"/>
      <c r="AY74" s="741"/>
      <c r="AZ74" s="721"/>
      <c r="BA74" s="721"/>
      <c r="BB74" s="721"/>
      <c r="BC74" s="721"/>
      <c r="BD74" s="741"/>
      <c r="BE74" s="721"/>
      <c r="BF74" s="721"/>
      <c r="BG74" s="721"/>
      <c r="BH74" s="721"/>
      <c r="BI74" s="741"/>
      <c r="BJ74" s="721">
        <f>+BJ68/(BJ73*BJ42)</f>
        <v>0.88351455031559623</v>
      </c>
      <c r="BK74" s="721">
        <f>+BK68/(BK73*BK42)</f>
        <v>0.8973589124662753</v>
      </c>
      <c r="BL74" s="721">
        <f>+BL68/(BL73*BL42)</f>
        <v>0.88006471133861774</v>
      </c>
      <c r="BM74" s="721">
        <f>+BM68/(BM73*BM42)</f>
        <v>0.97900201600193071</v>
      </c>
      <c r="BN74" s="741"/>
      <c r="BO74" s="721">
        <f>+BO68/(BO73*BO42)</f>
        <v>0.90590775340609386</v>
      </c>
      <c r="BP74" s="721">
        <f>+BP68/(BP73*BP42)</f>
        <v>0.84711696132043657</v>
      </c>
      <c r="BQ74" s="721">
        <f>+BQ68/(BQ73*BQ42)</f>
        <v>0.84209055489814155</v>
      </c>
      <c r="BR74" s="721">
        <f>+BR68/(BR73*BR42)</f>
        <v>0.84810974521354265</v>
      </c>
      <c r="BS74" s="741"/>
      <c r="BT74" s="721">
        <f>+BT68/(BT73*BT42)</f>
        <v>0.81989876973790332</v>
      </c>
      <c r="BU74" s="721">
        <f>+BU68/(BU73*BU42)</f>
        <v>0.87385724380596008</v>
      </c>
      <c r="BV74" s="721">
        <f>+BV68/(BV73*BV42)</f>
        <v>0.84134723448298421</v>
      </c>
      <c r="BW74" s="721">
        <f>+BW68/(BW73*BW42)</f>
        <v>0.84138611021993637</v>
      </c>
      <c r="BX74" s="741"/>
      <c r="BY74" s="721">
        <f>+BY68/(BY73*BY42)</f>
        <v>0.84225170761195589</v>
      </c>
      <c r="BZ74" s="721">
        <f>+BZ68/(BZ73*BZ42)</f>
        <v>0.83644788791149705</v>
      </c>
      <c r="CA74" s="721">
        <f>+CA68/(CA73*CA42)</f>
        <v>0.82990243829672494</v>
      </c>
      <c r="CB74" s="721">
        <f>+CB68/(CB73*CB42)</f>
        <v>0.82823549764660542</v>
      </c>
      <c r="CC74" s="741"/>
      <c r="CD74" s="721">
        <f>+CD68/(CD73*CD42)</f>
        <v>0.82842786671801172</v>
      </c>
      <c r="CE74" s="721">
        <f>+CE68/(CE73*CE42)</f>
        <v>0.8167903415987573</v>
      </c>
      <c r="CF74" s="721">
        <f>+CF68/(CF73*CF42)</f>
        <v>0.81418497103631682</v>
      </c>
      <c r="CG74" s="721">
        <f>+CG68/(CG73*CG42)</f>
        <v>0.82538288508068092</v>
      </c>
      <c r="CH74" s="741"/>
      <c r="CI74" s="721">
        <f>+CI68/(CI73*CI42)</f>
        <v>0.81554622611762173</v>
      </c>
      <c r="CJ74" s="721">
        <f>+CJ68/(CJ73*CJ42)</f>
        <v>0.81188683766637681</v>
      </c>
      <c r="CK74" s="721">
        <f>+CK68/(CK73*CK42)</f>
        <v>0.80427081774185505</v>
      </c>
      <c r="CL74" s="721">
        <f>+CL68/(CL73*CL42)</f>
        <v>0.80283883813163281</v>
      </c>
      <c r="CM74" s="741"/>
      <c r="CN74" s="721">
        <f>+CN68/(CN73*CN42)</f>
        <v>0.79363799036563454</v>
      </c>
      <c r="CO74" s="721">
        <f>+CO68/(CO73*CO42)</f>
        <v>0.77945902683137824</v>
      </c>
      <c r="CP74" s="721">
        <f>+CP68/(CP73*CP42)</f>
        <v>0.77377881830085937</v>
      </c>
      <c r="CQ74" s="721">
        <f>+CQ68/(CQ73*CQ42)</f>
        <v>0.75379094877899089</v>
      </c>
      <c r="CR74" s="741"/>
      <c r="CS74" s="721">
        <f>+CS68/(CS73*CS42)</f>
        <v>0.742800837254318</v>
      </c>
      <c r="CT74" s="721">
        <f>+CT68/(CT73*CT42)</f>
        <v>0.70254243243146641</v>
      </c>
      <c r="CU74" s="721">
        <f>+CU68/(CU73*CU42)</f>
        <v>0.70874418378940873</v>
      </c>
      <c r="CV74" s="721">
        <f>+CV68/(CV73*CV42)</f>
        <v>0.77471014115117554</v>
      </c>
      <c r="CW74" s="741"/>
      <c r="CX74" s="721">
        <f>+CX68/(CX73*CX42)</f>
        <v>0.74799602822328437</v>
      </c>
      <c r="CY74" s="721">
        <f>+CY68/(CY73*CY42)</f>
        <v>0.71688314962217925</v>
      </c>
      <c r="CZ74" s="721">
        <f>+CZ68/(CZ73*CZ42)</f>
        <v>0.71694041481836657</v>
      </c>
      <c r="DA74" s="721">
        <f>+DA68/(DA73*DA42)</f>
        <v>0.71879679331763269</v>
      </c>
      <c r="DB74" s="741"/>
      <c r="DC74" s="721">
        <f>+DC68/(DC73*DC42)</f>
        <v>0.71599999999999908</v>
      </c>
      <c r="DD74" s="721">
        <f>+DD68/(DD73*DD42)</f>
        <v>0.71247462104751802</v>
      </c>
      <c r="DE74" s="721">
        <f>+DE68/(DE73*DE42)</f>
        <v>0.71742183215102562</v>
      </c>
      <c r="DF74" s="721">
        <f>+DF68/(DF73*DF42)</f>
        <v>0.69934308726256089</v>
      </c>
      <c r="DG74" s="741"/>
      <c r="DH74" s="721">
        <f>+DH68/(DH73*DH42)</f>
        <v>0.68870508821676402</v>
      </c>
      <c r="DI74" s="721">
        <f>+DI68/(DI73*DI42)</f>
        <v>0.66848715144126492</v>
      </c>
      <c r="DJ74" s="721">
        <f>+DJ68/(DJ73*DJ42)</f>
        <v>0.68180960289898951</v>
      </c>
      <c r="DK74" s="721">
        <f>+DK68/(DK73*DK42)</f>
        <v>0.67443974592186351</v>
      </c>
      <c r="DL74" s="741"/>
      <c r="DM74" s="721">
        <f>+DM68/(DM73*DM42)</f>
        <v>0.67910836940000896</v>
      </c>
      <c r="DN74" s="721">
        <f>+DN68/(DN73*DN42)</f>
        <v>0.67254403848324495</v>
      </c>
      <c r="DO74" s="721">
        <f>+DO68/(DO73*DO42)</f>
        <v>0.68027792318476066</v>
      </c>
      <c r="DP74" s="721">
        <f>+DP68/(DP73*DP42)</f>
        <v>0.6705072884874389</v>
      </c>
      <c r="DQ74" s="741"/>
      <c r="DR74" s="721">
        <f>+DR68/(DR73*DR42)</f>
        <v>0.66860448233606518</v>
      </c>
      <c r="DS74" s="721">
        <f>+DS68/(DS73*DS42)</f>
        <v>0.6726482008097916</v>
      </c>
      <c r="DT74" s="721">
        <f>+DT68/(DT73*DT42)</f>
        <v>0.68124246279071354</v>
      </c>
      <c r="DU74" s="721">
        <f>+DU68/(DU73*DU42)</f>
        <v>0.68081404274918544</v>
      </c>
      <c r="DV74" s="741"/>
      <c r="DW74" s="721">
        <f>+DW68/(DW73*DW42)</f>
        <v>0.68029226995257219</v>
      </c>
      <c r="DX74" s="721">
        <f>+DX68/(DX73*DX42)</f>
        <v>0.68485685220171488</v>
      </c>
      <c r="DY74" s="721">
        <f>+DY68/(DY73*DY42)</f>
        <v>0.69126534052695643</v>
      </c>
      <c r="DZ74" s="721">
        <f>+DZ68/(DZ73*DZ42)</f>
        <v>0.69648058134211321</v>
      </c>
      <c r="EA74" s="741"/>
      <c r="EB74" s="721">
        <f>+EB68/(EB73*EB42)</f>
        <v>0.66438265927746876</v>
      </c>
      <c r="EC74" s="721">
        <f>+EC68/(EC73*EC42)</f>
        <v>0.64893975092561429</v>
      </c>
      <c r="ED74" s="721">
        <f>+ED68/(ED73*ED42)</f>
        <v>0.63198990414599254</v>
      </c>
      <c r="EE74" s="1069">
        <v>0.61</v>
      </c>
      <c r="EF74" s="741"/>
      <c r="EG74" s="1069">
        <v>0.56000000000000005</v>
      </c>
      <c r="EH74" s="1069">
        <v>0.58499999999999996</v>
      </c>
      <c r="EI74" s="1069">
        <f>+EH74</f>
        <v>0.58499999999999996</v>
      </c>
      <c r="EJ74" s="1069">
        <v>0.60399999999999998</v>
      </c>
      <c r="EK74" s="741"/>
      <c r="EL74" s="1069">
        <v>0.61499999999999999</v>
      </c>
      <c r="EM74" s="1069">
        <v>0.62</v>
      </c>
      <c r="EN74" s="1069">
        <v>0.63</v>
      </c>
      <c r="EO74" s="1069">
        <v>0.65500000000000003</v>
      </c>
      <c r="EP74" s="741"/>
      <c r="EQ74" s="1069">
        <v>0.62</v>
      </c>
      <c r="ER74" s="1069">
        <v>0.62</v>
      </c>
      <c r="ES74" s="1069">
        <v>0.62</v>
      </c>
      <c r="ET74" s="1069">
        <v>0.62</v>
      </c>
      <c r="EU74" s="741"/>
      <c r="EV74" s="1069">
        <v>0.61499999999999999</v>
      </c>
      <c r="EW74" s="1069">
        <v>0.6</v>
      </c>
      <c r="EX74" s="1069">
        <v>0.6</v>
      </c>
      <c r="EY74" s="1069">
        <v>0.6</v>
      </c>
      <c r="EZ74" s="2392">
        <f>+ET74</f>
        <v>0.62</v>
      </c>
      <c r="FA74" s="1069">
        <v>0.61499999999999999</v>
      </c>
      <c r="FB74" s="1069">
        <v>0.6</v>
      </c>
      <c r="FC74" s="1069">
        <v>0.6</v>
      </c>
      <c r="FD74" s="1069">
        <v>0.6</v>
      </c>
      <c r="FE74" s="2392">
        <f>+EY74</f>
        <v>0.6</v>
      </c>
      <c r="FF74" s="721"/>
      <c r="FG74" s="690"/>
      <c r="FH74" s="754"/>
      <c r="FI74" s="754"/>
      <c r="FJ74" s="754"/>
      <c r="FK74" s="754"/>
      <c r="FL74" s="690"/>
      <c r="FM74" s="708"/>
      <c r="FN74" s="708"/>
      <c r="FO74" s="723"/>
      <c r="FP74" s="723"/>
      <c r="FQ74" s="723"/>
      <c r="FR74" s="723"/>
      <c r="FS74" s="723"/>
      <c r="FT74" s="723"/>
      <c r="FU74" s="690"/>
      <c r="FV74"/>
      <c r="FW74"/>
      <c r="FX74"/>
      <c r="FY74"/>
      <c r="FZ74"/>
      <c r="GA74"/>
      <c r="GB74" s="949"/>
      <c r="GC74" s="950"/>
      <c r="GD74" s="950"/>
      <c r="GE74" s="950"/>
      <c r="GF74" s="950"/>
      <c r="GG74" s="950"/>
      <c r="GH74" s="950"/>
      <c r="GI74" s="950"/>
      <c r="GJ74" s="950"/>
      <c r="GK74" s="950"/>
      <c r="GL74" s="950"/>
      <c r="GM74" s="950"/>
      <c r="GN74" s="950"/>
      <c r="GO74" s="950"/>
      <c r="GP74" s="950"/>
      <c r="GQ74" s="950"/>
      <c r="GR74" s="950"/>
      <c r="GS74" s="950"/>
      <c r="GT74" s="950"/>
      <c r="GU74" s="950"/>
      <c r="GV74" s="950"/>
      <c r="GW74" s="950"/>
      <c r="GX74" s="950"/>
      <c r="GY74" s="950"/>
      <c r="GZ74" s="950"/>
      <c r="HA74" s="950"/>
      <c r="HB74" s="950"/>
      <c r="HC74" s="950"/>
      <c r="HD74" s="950"/>
      <c r="HE74" s="950"/>
      <c r="HF74" s="950"/>
      <c r="HG74" s="950"/>
      <c r="HH74" s="950"/>
      <c r="HI74" s="950"/>
      <c r="HJ74" s="950"/>
      <c r="HK74" s="950"/>
      <c r="HL74" s="950"/>
      <c r="HM74" s="950"/>
      <c r="HN74" s="950"/>
      <c r="HO74" s="950"/>
      <c r="HP74" s="950"/>
      <c r="HQ74" s="950"/>
      <c r="HR74" s="950"/>
      <c r="HS74" s="950"/>
      <c r="HT74" s="950"/>
      <c r="HU74" s="950"/>
      <c r="HV74" s="950"/>
      <c r="HW74" s="950"/>
      <c r="HX74" s="950"/>
      <c r="HY74" s="950"/>
      <c r="HZ74" s="950"/>
      <c r="IA74" s="950"/>
      <c r="IB74" s="950"/>
      <c r="IC74" s="950"/>
      <c r="ID74" s="950"/>
      <c r="IE74" s="950"/>
      <c r="IF74" s="950"/>
      <c r="IG74" s="950"/>
      <c r="IH74" s="950"/>
      <c r="II74" s="950"/>
      <c r="IJ74" s="950"/>
      <c r="IK74" s="950"/>
      <c r="IL74" s="950"/>
      <c r="IM74" s="950"/>
      <c r="IN74" s="950"/>
      <c r="IO74" s="950"/>
      <c r="IP74" s="950"/>
      <c r="IQ74" s="950"/>
      <c r="IR74" s="950"/>
      <c r="IS74" s="950"/>
      <c r="IT74" s="950"/>
      <c r="IU74" s="950"/>
      <c r="IV74" s="950"/>
      <c r="IW74" s="950"/>
      <c r="IX74" s="950"/>
      <c r="IY74" s="950"/>
      <c r="IZ74" s="950"/>
      <c r="JA74" s="950"/>
      <c r="JB74" s="950"/>
      <c r="JC74" s="950"/>
      <c r="JD74" s="950"/>
      <c r="JE74" s="950"/>
      <c r="JF74" s="950"/>
      <c r="JG74" s="950"/>
      <c r="JH74" s="950"/>
      <c r="JI74" s="950"/>
      <c r="JJ74" s="950"/>
      <c r="JK74" s="950"/>
      <c r="JL74" s="950"/>
    </row>
    <row r="75" spans="1:272" s="945" customFormat="1" ht="12.75" hidden="1" customHeight="1" outlineLevel="1">
      <c r="A75" s="932" t="s">
        <v>313</v>
      </c>
      <c r="B75" s="933"/>
      <c r="C75" s="934"/>
      <c r="D75" s="934"/>
      <c r="E75" s="934"/>
      <c r="F75" s="718"/>
      <c r="G75" s="934"/>
      <c r="H75" s="934"/>
      <c r="I75" s="934"/>
      <c r="J75" s="934"/>
      <c r="K75" s="718"/>
      <c r="L75" s="719"/>
      <c r="M75" s="719"/>
      <c r="N75" s="719"/>
      <c r="O75" s="719"/>
      <c r="P75" s="718"/>
      <c r="Q75" s="719"/>
      <c r="R75" s="719"/>
      <c r="S75" s="719"/>
      <c r="T75" s="719"/>
      <c r="U75" s="718"/>
      <c r="V75" s="719"/>
      <c r="W75" s="719"/>
      <c r="X75" s="719"/>
      <c r="Y75" s="719"/>
      <c r="Z75" s="718"/>
      <c r="AA75" s="719"/>
      <c r="AB75" s="719"/>
      <c r="AC75" s="719"/>
      <c r="AD75" s="719"/>
      <c r="AE75" s="718"/>
      <c r="AF75" s="719"/>
      <c r="AG75" s="719"/>
      <c r="AH75" s="719"/>
      <c r="AI75" s="719"/>
      <c r="AJ75" s="718"/>
      <c r="AK75" s="719"/>
      <c r="AL75" s="719"/>
      <c r="AM75" s="719"/>
      <c r="AN75" s="719"/>
      <c r="AO75" s="718"/>
      <c r="AP75" s="719"/>
      <c r="AQ75" s="719"/>
      <c r="AR75" s="719"/>
      <c r="AS75" s="719"/>
      <c r="AT75" s="718"/>
      <c r="AU75" s="719"/>
      <c r="AV75" s="719"/>
      <c r="AW75" s="719"/>
      <c r="AX75" s="719"/>
      <c r="AY75" s="718"/>
      <c r="AZ75" s="719"/>
      <c r="BA75" s="719"/>
      <c r="BB75" s="719"/>
      <c r="BC75" s="719"/>
      <c r="BD75" s="718"/>
      <c r="BE75" s="719"/>
      <c r="BF75" s="719"/>
      <c r="BG75" s="719"/>
      <c r="BH75" s="719"/>
      <c r="BI75" s="718"/>
      <c r="BJ75" s="719"/>
      <c r="BK75" s="719"/>
      <c r="BL75" s="719"/>
      <c r="BM75" s="719"/>
      <c r="BN75" s="718"/>
      <c r="BO75" s="935"/>
      <c r="BP75" s="935"/>
      <c r="BQ75" s="935"/>
      <c r="BR75" s="935"/>
      <c r="BS75" s="718"/>
      <c r="BT75" s="935"/>
      <c r="BU75" s="935"/>
      <c r="BV75" s="935"/>
      <c r="BW75" s="935"/>
      <c r="BX75" s="718"/>
      <c r="BY75" s="935"/>
      <c r="BZ75" s="935"/>
      <c r="CA75" s="935"/>
      <c r="CB75" s="935"/>
      <c r="CC75" s="718"/>
      <c r="CD75" s="1070">
        <v>2.4430000000000001</v>
      </c>
      <c r="CE75" s="934">
        <v>5.5750000000000002</v>
      </c>
      <c r="CF75" s="934">
        <v>10.289</v>
      </c>
      <c r="CG75" s="934">
        <v>14.106</v>
      </c>
      <c r="CH75" s="718">
        <f>SUM(CD75:CG75)</f>
        <v>32.413000000000004</v>
      </c>
      <c r="CI75" s="1070">
        <v>15.817</v>
      </c>
      <c r="CJ75" s="934">
        <v>20.888000000000002</v>
      </c>
      <c r="CK75" s="934">
        <v>22.108000000000001</v>
      </c>
      <c r="CL75" s="934">
        <v>19.396000000000001</v>
      </c>
      <c r="CM75" s="718">
        <f>SUM(CI75:CL75)</f>
        <v>78.209000000000003</v>
      </c>
      <c r="CN75" s="935">
        <v>18.516999999999999</v>
      </c>
      <c r="CO75" s="935">
        <v>18.887</v>
      </c>
      <c r="CP75" s="935">
        <v>73.046000000000006</v>
      </c>
      <c r="CQ75" s="935">
        <f>CQ80+CQ103+CQ108</f>
        <v>149.28700000000001</v>
      </c>
      <c r="CR75" s="718">
        <f>SUM(CN75:CQ75)</f>
        <v>259.73700000000002</v>
      </c>
      <c r="CS75" s="935">
        <f t="shared" ref="CS75:DV75" si="312">CS80+CS103+CS108</f>
        <v>151.09199999999998</v>
      </c>
      <c r="CT75" s="935">
        <f t="shared" si="312"/>
        <v>181.58299999999997</v>
      </c>
      <c r="CU75" s="935">
        <f t="shared" si="312"/>
        <v>183.66200000000001</v>
      </c>
      <c r="CV75" s="935">
        <f t="shared" si="312"/>
        <v>149.38000000000002</v>
      </c>
      <c r="CW75" s="718">
        <f t="shared" si="312"/>
        <v>665.7170000000001</v>
      </c>
      <c r="CX75" s="935">
        <f t="shared" si="312"/>
        <v>134.78299999999999</v>
      </c>
      <c r="CY75" s="935">
        <f t="shared" si="312"/>
        <v>143.298</v>
      </c>
      <c r="CZ75" s="935">
        <f t="shared" si="312"/>
        <v>146.251</v>
      </c>
      <c r="DA75" s="935">
        <f t="shared" si="312"/>
        <v>139.739</v>
      </c>
      <c r="DB75" s="718">
        <f t="shared" si="312"/>
        <v>564.07100000000003</v>
      </c>
      <c r="DC75" s="935">
        <f t="shared" si="312"/>
        <v>140.61600000000001</v>
      </c>
      <c r="DD75" s="935">
        <f t="shared" si="312"/>
        <v>145.45400000000001</v>
      </c>
      <c r="DE75" s="935">
        <f t="shared" si="312"/>
        <v>140.6437</v>
      </c>
      <c r="DF75" s="935">
        <f t="shared" si="312"/>
        <v>143.01599999999999</v>
      </c>
      <c r="DG75" s="718">
        <f t="shared" si="312"/>
        <v>569.72969999999998</v>
      </c>
      <c r="DH75" s="935">
        <f t="shared" si="312"/>
        <v>145.215</v>
      </c>
      <c r="DI75" s="935">
        <f t="shared" si="312"/>
        <v>155.45100000000002</v>
      </c>
      <c r="DJ75" s="935">
        <f t="shared" si="312"/>
        <v>158.70499999999998</v>
      </c>
      <c r="DK75" s="935">
        <f t="shared" si="312"/>
        <v>155.643</v>
      </c>
      <c r="DL75" s="718">
        <f t="shared" si="312"/>
        <v>615.01400000000001</v>
      </c>
      <c r="DM75" s="935">
        <f t="shared" si="312"/>
        <v>157.32299999999998</v>
      </c>
      <c r="DN75" s="935">
        <f t="shared" si="312"/>
        <v>162.91999999999999</v>
      </c>
      <c r="DO75" s="935">
        <f t="shared" si="312"/>
        <v>160.09399999999999</v>
      </c>
      <c r="DP75" s="935">
        <f t="shared" si="312"/>
        <v>155.21899999999999</v>
      </c>
      <c r="DQ75" s="718">
        <f t="shared" si="312"/>
        <v>635.55599999999993</v>
      </c>
      <c r="DR75" s="935">
        <v>157.00299999999999</v>
      </c>
      <c r="DS75" s="935">
        <v>161.804</v>
      </c>
      <c r="DT75" s="935">
        <v>162.179</v>
      </c>
      <c r="DU75" s="935">
        <v>155.82400000000001</v>
      </c>
      <c r="DV75" s="718">
        <f t="shared" si="312"/>
        <v>636.80999999999995</v>
      </c>
      <c r="DW75" s="935">
        <v>156.01</v>
      </c>
      <c r="DX75" s="935">
        <v>164.06399999999999</v>
      </c>
      <c r="DY75" s="935">
        <v>159.18600000000001</v>
      </c>
      <c r="DZ75" s="935">
        <v>152.251</v>
      </c>
      <c r="EA75" s="718">
        <f t="shared" ref="EA75:EF75" si="313">EA80+EA103+EA108</f>
        <v>631.51100000000008</v>
      </c>
      <c r="EB75" s="935">
        <v>138.72499999999999</v>
      </c>
      <c r="EC75" s="935">
        <v>142.74799999999999</v>
      </c>
      <c r="ED75" s="1729">
        <v>144</v>
      </c>
      <c r="EE75" s="935">
        <f t="shared" si="313"/>
        <v>138.55929999999998</v>
      </c>
      <c r="EF75" s="718">
        <f t="shared" si="313"/>
        <v>564.03230000000008</v>
      </c>
      <c r="EG75" s="935">
        <v>128.80000000000001</v>
      </c>
      <c r="EH75" s="935">
        <v>133.4</v>
      </c>
      <c r="EI75" s="935">
        <v>131.80000000000001</v>
      </c>
      <c r="EJ75" s="935">
        <f t="shared" ref="EJ75:EK75" si="314">EJ80+EJ103+EJ108</f>
        <v>136.08912373999999</v>
      </c>
      <c r="EK75" s="718">
        <f t="shared" si="314"/>
        <v>530.73605798000006</v>
      </c>
      <c r="EL75" s="936"/>
      <c r="EM75" s="935"/>
      <c r="EN75" s="935"/>
      <c r="EO75" s="937"/>
      <c r="EP75" s="718">
        <f>EP80+EP103+EP108</f>
        <v>541.52079961469997</v>
      </c>
      <c r="EQ75" s="936"/>
      <c r="ER75" s="935"/>
      <c r="ES75" s="935"/>
      <c r="ET75" s="937"/>
      <c r="EU75" s="718">
        <f>EU80+EU103+EU108</f>
        <v>483.56571444349993</v>
      </c>
      <c r="EV75" s="936"/>
      <c r="EW75" s="935"/>
      <c r="EX75" s="935"/>
      <c r="EY75" s="937"/>
      <c r="EZ75" s="718">
        <f>EZ80+EZ103+EZ108</f>
        <v>490.45920016015236</v>
      </c>
      <c r="FA75" s="936"/>
      <c r="FB75" s="935"/>
      <c r="FC75" s="935"/>
      <c r="FD75" s="937"/>
      <c r="FE75" s="718">
        <f>FE80+FE103+FE108</f>
        <v>497.45608816255458</v>
      </c>
      <c r="FF75" s="938"/>
      <c r="FG75" s="690"/>
      <c r="FH75" s="754"/>
      <c r="FI75" s="754"/>
      <c r="FJ75" s="754"/>
      <c r="FK75" s="754"/>
      <c r="FL75" s="690"/>
      <c r="FM75" s="940"/>
      <c r="FN75" s="940"/>
      <c r="FO75" s="941"/>
      <c r="FP75" s="941"/>
      <c r="FQ75" s="941"/>
      <c r="FR75" s="941"/>
      <c r="FS75" s="941"/>
      <c r="FT75" s="941"/>
      <c r="FU75" s="690"/>
      <c r="FV75"/>
      <c r="FW75"/>
      <c r="FX75"/>
      <c r="FY75"/>
      <c r="FZ75"/>
      <c r="GA75"/>
      <c r="GB75" s="943"/>
      <c r="GC75" s="944"/>
      <c r="GD75" s="944"/>
      <c r="GE75" s="944"/>
      <c r="GF75" s="944"/>
      <c r="GG75" s="944"/>
      <c r="GH75" s="944"/>
      <c r="GI75" s="944"/>
      <c r="GJ75" s="944"/>
      <c r="GK75" s="944"/>
      <c r="GL75" s="944"/>
      <c r="GM75" s="944"/>
      <c r="GN75" s="944"/>
      <c r="GO75" s="944"/>
      <c r="GP75" s="944"/>
      <c r="GQ75" s="944"/>
      <c r="GR75" s="944"/>
      <c r="GS75" s="944"/>
      <c r="GT75" s="944"/>
      <c r="GU75" s="944"/>
      <c r="GV75" s="944"/>
      <c r="GW75" s="944"/>
      <c r="GX75" s="944"/>
      <c r="GY75" s="944"/>
      <c r="GZ75" s="944"/>
      <c r="HA75" s="944"/>
      <c r="HB75" s="944"/>
      <c r="HC75" s="944"/>
      <c r="HD75" s="944"/>
      <c r="HE75" s="944"/>
      <c r="HF75" s="944"/>
      <c r="HG75" s="944"/>
      <c r="HH75" s="944"/>
      <c r="HI75" s="944"/>
      <c r="HJ75" s="944"/>
      <c r="HK75" s="944"/>
      <c r="HL75" s="944"/>
      <c r="HM75" s="944"/>
      <c r="HN75" s="944"/>
      <c r="HO75" s="944"/>
      <c r="HP75" s="944"/>
      <c r="HQ75" s="944"/>
      <c r="HR75" s="944"/>
      <c r="HS75" s="944"/>
      <c r="HT75" s="944"/>
      <c r="HU75" s="944"/>
      <c r="HV75" s="944"/>
      <c r="HW75" s="944"/>
      <c r="HX75" s="944"/>
      <c r="HY75" s="944"/>
      <c r="HZ75" s="944"/>
      <c r="IA75" s="944"/>
      <c r="IB75" s="944"/>
      <c r="IC75" s="944"/>
      <c r="ID75" s="944"/>
      <c r="IE75" s="944"/>
      <c r="IF75" s="944"/>
      <c r="IG75" s="944"/>
      <c r="IH75" s="944"/>
      <c r="II75" s="944"/>
      <c r="IJ75" s="944"/>
      <c r="IK75" s="944"/>
      <c r="IL75" s="944"/>
      <c r="IM75" s="944"/>
      <c r="IN75" s="944"/>
      <c r="IO75" s="944"/>
      <c r="IP75" s="944"/>
      <c r="IQ75" s="944"/>
      <c r="IR75" s="944"/>
      <c r="IS75" s="944"/>
      <c r="IT75" s="944"/>
      <c r="IU75" s="944"/>
      <c r="IV75" s="944"/>
      <c r="IW75" s="944"/>
      <c r="IX75" s="944"/>
      <c r="IY75" s="944"/>
      <c r="IZ75" s="944"/>
      <c r="JA75" s="944"/>
      <c r="JB75" s="944"/>
      <c r="JC75" s="944"/>
      <c r="JD75" s="944"/>
      <c r="JE75" s="944"/>
      <c r="JF75" s="944"/>
      <c r="JG75" s="944"/>
      <c r="JH75" s="944"/>
      <c r="JI75" s="944"/>
      <c r="JJ75" s="944"/>
      <c r="JK75" s="944"/>
      <c r="JL75" s="944"/>
    </row>
    <row r="76" spans="1:272" s="749" customFormat="1" ht="12.75" hidden="1" customHeight="1" outlineLevel="1">
      <c r="A76" s="1068" t="s">
        <v>85</v>
      </c>
      <c r="B76" s="815"/>
      <c r="C76" s="815"/>
      <c r="D76" s="815"/>
      <c r="E76" s="815"/>
      <c r="F76" s="816"/>
      <c r="G76" s="817"/>
      <c r="H76" s="817"/>
      <c r="I76" s="817"/>
      <c r="J76" s="817"/>
      <c r="K76" s="816"/>
      <c r="L76" s="817"/>
      <c r="M76" s="817"/>
      <c r="N76" s="817"/>
      <c r="O76" s="817"/>
      <c r="P76" s="816"/>
      <c r="Q76" s="817"/>
      <c r="R76" s="817"/>
      <c r="S76" s="817"/>
      <c r="T76" s="817"/>
      <c r="U76" s="816"/>
      <c r="V76" s="817"/>
      <c r="W76" s="817"/>
      <c r="X76" s="817"/>
      <c r="Y76" s="817"/>
      <c r="Z76" s="816"/>
      <c r="AA76" s="817"/>
      <c r="AB76" s="817"/>
      <c r="AC76" s="817"/>
      <c r="AD76" s="817"/>
      <c r="AE76" s="816"/>
      <c r="AF76" s="817"/>
      <c r="AG76" s="817"/>
      <c r="AH76" s="817"/>
      <c r="AI76" s="817"/>
      <c r="AJ76" s="816"/>
      <c r="AK76" s="817"/>
      <c r="AL76" s="817"/>
      <c r="AM76" s="817"/>
      <c r="AN76" s="817"/>
      <c r="AO76" s="816"/>
      <c r="AP76" s="817"/>
      <c r="AQ76" s="817"/>
      <c r="AR76" s="817"/>
      <c r="AS76" s="817"/>
      <c r="AT76" s="816"/>
      <c r="AU76" s="817"/>
      <c r="AV76" s="817"/>
      <c r="AW76" s="817"/>
      <c r="AX76" s="817"/>
      <c r="AY76" s="816"/>
      <c r="AZ76" s="817"/>
      <c r="BA76" s="817"/>
      <c r="BB76" s="817"/>
      <c r="BC76" s="817"/>
      <c r="BD76" s="816"/>
      <c r="BE76" s="817"/>
      <c r="BF76" s="817"/>
      <c r="BG76" s="817"/>
      <c r="BH76" s="817"/>
      <c r="BI76" s="816"/>
      <c r="BJ76" s="817"/>
      <c r="BK76" s="817"/>
      <c r="BL76" s="817"/>
      <c r="BM76" s="817"/>
      <c r="BN76" s="816"/>
      <c r="BO76" s="817"/>
      <c r="BP76" s="817"/>
      <c r="BQ76" s="817"/>
      <c r="BR76" s="817"/>
      <c r="BS76" s="816"/>
      <c r="BT76" s="817"/>
      <c r="BU76" s="817"/>
      <c r="BV76" s="817"/>
      <c r="BW76" s="817"/>
      <c r="BX76" s="816"/>
      <c r="BY76" s="817"/>
      <c r="BZ76" s="817"/>
      <c r="CA76" s="817"/>
      <c r="CB76" s="817"/>
      <c r="CC76" s="816"/>
      <c r="CD76" s="817"/>
      <c r="CE76" s="817"/>
      <c r="CF76" s="817"/>
      <c r="CG76" s="817"/>
      <c r="CH76" s="816"/>
      <c r="CI76" s="817">
        <f t="shared" ref="CI76:EF76" si="315">CI75/CD75-1</f>
        <v>5.4744167007777325</v>
      </c>
      <c r="CJ76" s="817">
        <f t="shared" si="315"/>
        <v>2.7467264573991033</v>
      </c>
      <c r="CK76" s="817">
        <f t="shared" si="315"/>
        <v>1.1487024978131988</v>
      </c>
      <c r="CL76" s="817">
        <f t="shared" si="315"/>
        <v>0.37501772295477109</v>
      </c>
      <c r="CM76" s="816">
        <f t="shared" si="315"/>
        <v>1.4128898898590072</v>
      </c>
      <c r="CN76" s="817">
        <f t="shared" si="315"/>
        <v>0.17070240880065746</v>
      </c>
      <c r="CO76" s="817">
        <f t="shared" si="315"/>
        <v>-9.5796629643814635E-2</v>
      </c>
      <c r="CP76" s="817">
        <f t="shared" si="315"/>
        <v>2.3040528315541886</v>
      </c>
      <c r="CQ76" s="817">
        <f t="shared" si="315"/>
        <v>6.6967931532274694</v>
      </c>
      <c r="CR76" s="816">
        <f t="shared" si="315"/>
        <v>2.3210627932846606</v>
      </c>
      <c r="CS76" s="817">
        <f t="shared" si="315"/>
        <v>7.1596370902413984</v>
      </c>
      <c r="CT76" s="817">
        <f t="shared" si="315"/>
        <v>8.6141790649653185</v>
      </c>
      <c r="CU76" s="817">
        <f t="shared" si="315"/>
        <v>1.5143334337266925</v>
      </c>
      <c r="CV76" s="817">
        <f t="shared" si="315"/>
        <v>6.2296114196147556E-4</v>
      </c>
      <c r="CW76" s="816">
        <f t="shared" si="315"/>
        <v>1.5630426161848332</v>
      </c>
      <c r="CX76" s="817">
        <f t="shared" si="315"/>
        <v>-0.10794085722606095</v>
      </c>
      <c r="CY76" s="817">
        <f t="shared" si="315"/>
        <v>-0.21084022182693296</v>
      </c>
      <c r="CZ76" s="817">
        <f t="shared" si="315"/>
        <v>-0.20369483072165173</v>
      </c>
      <c r="DA76" s="817">
        <f t="shared" si="315"/>
        <v>-6.4540099076181634E-2</v>
      </c>
      <c r="DB76" s="816">
        <f t="shared" si="315"/>
        <v>-0.15268650192198796</v>
      </c>
      <c r="DC76" s="817">
        <f t="shared" si="315"/>
        <v>4.3276971131374298E-2</v>
      </c>
      <c r="DD76" s="817">
        <f t="shared" si="315"/>
        <v>1.5045569372915235E-2</v>
      </c>
      <c r="DE76" s="817">
        <f t="shared" si="315"/>
        <v>-3.8340250664952835E-2</v>
      </c>
      <c r="DF76" s="817">
        <f t="shared" si="315"/>
        <v>2.3450861964090075E-2</v>
      </c>
      <c r="DG76" s="816">
        <f t="shared" si="315"/>
        <v>1.0031893148202853E-2</v>
      </c>
      <c r="DH76" s="817">
        <f t="shared" si="315"/>
        <v>3.2706093189964092E-2</v>
      </c>
      <c r="DI76" s="817">
        <f t="shared" si="315"/>
        <v>6.872963273612287E-2</v>
      </c>
      <c r="DJ76" s="817">
        <f t="shared" si="315"/>
        <v>0.12841883425990641</v>
      </c>
      <c r="DK76" s="817">
        <f t="shared" si="315"/>
        <v>8.829082060748461E-2</v>
      </c>
      <c r="DL76" s="818">
        <f t="shared" si="315"/>
        <v>7.9483832420883083E-2</v>
      </c>
      <c r="DM76" s="817">
        <f t="shared" si="315"/>
        <v>8.3379816134696583E-2</v>
      </c>
      <c r="DN76" s="817">
        <f t="shared" si="315"/>
        <v>4.8047294645900962E-2</v>
      </c>
      <c r="DO76" s="817">
        <f t="shared" si="315"/>
        <v>8.7520872058222121E-3</v>
      </c>
      <c r="DP76" s="817">
        <f t="shared" si="315"/>
        <v>-2.7241829057522704E-3</v>
      </c>
      <c r="DQ76" s="818">
        <f t="shared" si="315"/>
        <v>3.3400865671350477E-2</v>
      </c>
      <c r="DR76" s="817">
        <f>DR75/DM75-1</f>
        <v>-2.0340318961625803E-3</v>
      </c>
      <c r="DS76" s="817">
        <f t="shared" si="315"/>
        <v>-6.8499877240362217E-3</v>
      </c>
      <c r="DT76" s="817">
        <f t="shared" si="315"/>
        <v>1.3023598635801603E-2</v>
      </c>
      <c r="DU76" s="817">
        <f t="shared" si="315"/>
        <v>3.8977187071171926E-3</v>
      </c>
      <c r="DV76" s="818">
        <f t="shared" si="315"/>
        <v>1.9730755433038372E-3</v>
      </c>
      <c r="DW76" s="817">
        <f t="shared" si="315"/>
        <v>-6.3247199098106499E-3</v>
      </c>
      <c r="DX76" s="817">
        <f t="shared" si="315"/>
        <v>1.3967516254233425E-2</v>
      </c>
      <c r="DY76" s="817">
        <f t="shared" si="315"/>
        <v>-1.8454917097774692E-2</v>
      </c>
      <c r="DZ76" s="817">
        <f t="shared" si="315"/>
        <v>-2.2929715576547993E-2</v>
      </c>
      <c r="EA76" s="818">
        <f t="shared" si="315"/>
        <v>-8.3211632983147821E-3</v>
      </c>
      <c r="EB76" s="817">
        <f t="shared" si="315"/>
        <v>-0.11079417986026541</v>
      </c>
      <c r="EC76" s="817">
        <f>EC75/DX75-1</f>
        <v>-0.12992490735322804</v>
      </c>
      <c r="ED76" s="817">
        <f t="shared" si="315"/>
        <v>-9.5397836493159027E-2</v>
      </c>
      <c r="EE76" s="817">
        <f t="shared" si="315"/>
        <v>-8.9928473376201357E-2</v>
      </c>
      <c r="EF76" s="818">
        <f t="shared" si="315"/>
        <v>-0.10685277057723463</v>
      </c>
      <c r="EG76" s="817">
        <f t="shared" ref="EG76:EJ76" si="316">EG75/EB75-1</f>
        <v>-7.1544422418453602E-2</v>
      </c>
      <c r="EH76" s="817">
        <f t="shared" si="316"/>
        <v>-6.5486031327934402E-2</v>
      </c>
      <c r="EI76" s="817">
        <f t="shared" si="316"/>
        <v>-8.4722222222222143E-2</v>
      </c>
      <c r="EJ76" s="817">
        <f t="shared" si="316"/>
        <v>-1.7827574619675435E-2</v>
      </c>
      <c r="EK76" s="818">
        <f t="shared" ref="EK76" si="317">EK75/EF75-1</f>
        <v>-5.9032509343879824E-2</v>
      </c>
      <c r="EL76" s="764"/>
      <c r="EM76" s="761"/>
      <c r="EN76" s="761"/>
      <c r="EO76" s="763"/>
      <c r="EP76" s="818">
        <f>EP75/EK75-1</f>
        <v>2.0320348452952386E-2</v>
      </c>
      <c r="EQ76" s="764"/>
      <c r="ER76" s="761"/>
      <c r="ES76" s="761"/>
      <c r="ET76" s="763"/>
      <c r="EU76" s="818">
        <f>EU75/EP75-1</f>
        <v>-0.1070228238923342</v>
      </c>
      <c r="EV76" s="764"/>
      <c r="EW76" s="761"/>
      <c r="EX76" s="761"/>
      <c r="EY76" s="763"/>
      <c r="EZ76" s="818">
        <f>EZ75/EU75-1</f>
        <v>1.4255530346243939E-2</v>
      </c>
      <c r="FA76" s="764"/>
      <c r="FB76" s="761"/>
      <c r="FC76" s="761"/>
      <c r="FD76" s="763"/>
      <c r="FE76" s="818">
        <f>FE75/EZ75-1</f>
        <v>1.4265993991177117E-2</v>
      </c>
      <c r="FF76" s="721"/>
      <c r="FG76" s="690"/>
      <c r="FH76" s="754"/>
      <c r="FI76" s="754"/>
      <c r="FJ76" s="754"/>
      <c r="FK76" s="754"/>
      <c r="FL76" s="690"/>
      <c r="FM76" s="708"/>
      <c r="FN76" s="940"/>
      <c r="FO76" s="723"/>
      <c r="FP76" s="723"/>
      <c r="FQ76" s="723"/>
      <c r="FR76" s="723"/>
      <c r="FS76" s="723"/>
      <c r="FT76" s="723"/>
      <c r="FU76" s="690"/>
      <c r="FV76"/>
      <c r="FW76"/>
      <c r="FX76"/>
      <c r="FY76"/>
      <c r="FZ76"/>
      <c r="GA76"/>
      <c r="GB76" s="725"/>
      <c r="GC76" s="532"/>
      <c r="GD76" s="532"/>
      <c r="GE76" s="532"/>
      <c r="GF76" s="532"/>
      <c r="GG76" s="532"/>
      <c r="GH76" s="532"/>
      <c r="GI76" s="532"/>
      <c r="GJ76" s="532"/>
      <c r="GK76" s="532"/>
      <c r="GL76" s="532"/>
      <c r="GM76" s="532"/>
      <c r="GN76" s="532"/>
      <c r="GO76" s="532"/>
      <c r="GP76" s="532"/>
      <c r="GQ76" s="532"/>
      <c r="GR76" s="532"/>
      <c r="GS76" s="532"/>
      <c r="GT76" s="532"/>
      <c r="GU76" s="532"/>
      <c r="GV76" s="532"/>
      <c r="GW76" s="532"/>
      <c r="GX76" s="532"/>
      <c r="GY76" s="532"/>
      <c r="GZ76" s="532"/>
      <c r="HA76" s="532"/>
      <c r="HB76" s="532"/>
      <c r="HC76" s="532"/>
      <c r="HD76" s="532"/>
      <c r="HE76" s="532"/>
      <c r="HF76" s="532"/>
      <c r="HG76" s="532"/>
      <c r="HH76" s="532"/>
      <c r="HI76" s="532"/>
      <c r="HJ76" s="532"/>
      <c r="HK76" s="532"/>
      <c r="HL76" s="532"/>
      <c r="HM76" s="532"/>
      <c r="HN76" s="532"/>
      <c r="HO76" s="532"/>
      <c r="HP76" s="532"/>
      <c r="HQ76" s="532"/>
      <c r="HR76" s="532"/>
      <c r="HS76" s="532"/>
      <c r="HT76" s="532"/>
      <c r="HU76" s="532"/>
      <c r="HV76" s="532"/>
      <c r="HW76" s="532"/>
      <c r="HX76" s="532"/>
      <c r="HY76" s="532"/>
      <c r="HZ76" s="532"/>
      <c r="IA76" s="532"/>
      <c r="IB76" s="532"/>
      <c r="IC76" s="532"/>
      <c r="ID76" s="532"/>
      <c r="IE76" s="532"/>
      <c r="IF76" s="532"/>
      <c r="IG76" s="532"/>
      <c r="IH76" s="532"/>
      <c r="II76" s="532"/>
      <c r="IJ76" s="532"/>
      <c r="IK76" s="532"/>
      <c r="IL76" s="532"/>
      <c r="IM76" s="532"/>
      <c r="IN76" s="532"/>
      <c r="IO76" s="532"/>
      <c r="IP76" s="532"/>
      <c r="IQ76" s="532"/>
      <c r="IR76" s="532"/>
      <c r="IS76" s="532"/>
      <c r="IT76" s="532"/>
      <c r="IU76" s="532"/>
      <c r="IV76" s="532"/>
      <c r="IW76" s="532"/>
      <c r="IX76" s="532"/>
      <c r="IY76" s="532"/>
      <c r="IZ76" s="532"/>
      <c r="JA76" s="532"/>
      <c r="JB76" s="532"/>
      <c r="JC76" s="532"/>
      <c r="JD76" s="532"/>
      <c r="JE76" s="532"/>
      <c r="JF76" s="532"/>
      <c r="JG76" s="532"/>
      <c r="JH76" s="532"/>
      <c r="JI76" s="532"/>
      <c r="JJ76" s="532"/>
      <c r="JK76" s="532"/>
      <c r="JL76" s="532"/>
    </row>
    <row r="77" spans="1:272" s="799" customFormat="1" ht="12.75" hidden="1" customHeight="1" outlineLevel="1">
      <c r="A77" s="58" t="s">
        <v>291</v>
      </c>
      <c r="B77" s="790"/>
      <c r="C77" s="721"/>
      <c r="D77" s="721"/>
      <c r="E77" s="721"/>
      <c r="F77" s="741"/>
      <c r="G77" s="721"/>
      <c r="H77" s="721"/>
      <c r="I77" s="721"/>
      <c r="J77" s="721"/>
      <c r="K77" s="741"/>
      <c r="L77" s="721"/>
      <c r="M77" s="721"/>
      <c r="N77" s="721"/>
      <c r="O77" s="721"/>
      <c r="P77" s="741"/>
      <c r="Q77" s="721"/>
      <c r="R77" s="721"/>
      <c r="S77" s="721"/>
      <c r="T77" s="721"/>
      <c r="U77" s="741"/>
      <c r="V77" s="721"/>
      <c r="W77" s="721"/>
      <c r="X77" s="721"/>
      <c r="Y77" s="721"/>
      <c r="Z77" s="741"/>
      <c r="AA77" s="721"/>
      <c r="AB77" s="721"/>
      <c r="AC77" s="721"/>
      <c r="AD77" s="721"/>
      <c r="AE77" s="741"/>
      <c r="AF77" s="721"/>
      <c r="AG77" s="721"/>
      <c r="AH77" s="721"/>
      <c r="AI77" s="721"/>
      <c r="AJ77" s="741"/>
      <c r="AK77" s="721"/>
      <c r="AL77" s="721"/>
      <c r="AM77" s="721"/>
      <c r="AN77" s="721"/>
      <c r="AO77" s="741"/>
      <c r="AP77" s="721"/>
      <c r="AQ77" s="721"/>
      <c r="AR77" s="721"/>
      <c r="AS77" s="721"/>
      <c r="AT77" s="741"/>
      <c r="AU77" s="721"/>
      <c r="AV77" s="721"/>
      <c r="AW77" s="721"/>
      <c r="AX77" s="721"/>
      <c r="AY77" s="741"/>
      <c r="AZ77" s="721"/>
      <c r="BA77" s="721"/>
      <c r="BB77" s="721"/>
      <c r="BC77" s="721"/>
      <c r="BD77" s="741"/>
      <c r="BE77" s="721"/>
      <c r="BF77" s="721"/>
      <c r="BG77" s="721"/>
      <c r="BH77" s="721"/>
      <c r="BI77" s="741"/>
      <c r="BJ77" s="721"/>
      <c r="BK77" s="721"/>
      <c r="BL77" s="721"/>
      <c r="BM77" s="721"/>
      <c r="BN77" s="741"/>
      <c r="BO77" s="721"/>
      <c r="BP77" s="721"/>
      <c r="BQ77" s="721"/>
      <c r="BR77" s="721"/>
      <c r="BS77" s="741"/>
      <c r="BT77" s="721"/>
      <c r="BU77" s="721"/>
      <c r="BV77" s="721"/>
      <c r="BW77" s="721"/>
      <c r="BX77" s="741"/>
      <c r="BY77" s="721"/>
      <c r="BZ77" s="721"/>
      <c r="CA77" s="721"/>
      <c r="CB77" s="721"/>
      <c r="CC77" s="741"/>
      <c r="CD77" s="721"/>
      <c r="CE77" s="721"/>
      <c r="CF77" s="721"/>
      <c r="CG77" s="721"/>
      <c r="CH77" s="741"/>
      <c r="CI77" s="721">
        <f>CI75/CM75</f>
        <v>0.2022401513892263</v>
      </c>
      <c r="CJ77" s="721">
        <f>CJ75/CM75</f>
        <v>0.26707923640501735</v>
      </c>
      <c r="CK77" s="721">
        <f>CK75/CM75</f>
        <v>0.28267846411538311</v>
      </c>
      <c r="CL77" s="721">
        <f>CL75/CM75</f>
        <v>0.24800214809037324</v>
      </c>
      <c r="CM77" s="741"/>
      <c r="CN77" s="721">
        <f>CN75/CR75</f>
        <v>7.1291344706376061E-2</v>
      </c>
      <c r="CO77" s="721">
        <f>CO75/CR75</f>
        <v>7.2715862584075419E-2</v>
      </c>
      <c r="CP77" s="721">
        <f>CP75/CR75</f>
        <v>0.28123062944439953</v>
      </c>
      <c r="CQ77" s="721">
        <f>CQ75/CR75</f>
        <v>0.57476216326514895</v>
      </c>
      <c r="CR77" s="741"/>
      <c r="CS77" s="721">
        <f>CS75/CW75</f>
        <v>0.22696130638093959</v>
      </c>
      <c r="CT77" s="721">
        <f>CT75/CW75</f>
        <v>0.27276305096610115</v>
      </c>
      <c r="CU77" s="721">
        <f>CU75/CW75</f>
        <v>0.27588599960643934</v>
      </c>
      <c r="CV77" s="721">
        <f>CV75/CW75</f>
        <v>0.22438964304651976</v>
      </c>
      <c r="CW77" s="741"/>
      <c r="CX77" s="721">
        <f>CX75/DB75</f>
        <v>0.23894687016350774</v>
      </c>
      <c r="CY77" s="721">
        <f>CY75/DB75</f>
        <v>0.25404248755919023</v>
      </c>
      <c r="CZ77" s="721">
        <f>CZ75/DB75</f>
        <v>0.25927764412635995</v>
      </c>
      <c r="DA77" s="721">
        <f>DA75/DB75</f>
        <v>0.24773299815094199</v>
      </c>
      <c r="DB77" s="741"/>
      <c r="DC77" s="721">
        <f>DC75/DG75</f>
        <v>0.24681177758505485</v>
      </c>
      <c r="DD77" s="721">
        <f>DD75/DG75</f>
        <v>0.25530352375872278</v>
      </c>
      <c r="DE77" s="721">
        <f>DE75/DG75</f>
        <v>0.24686039713218391</v>
      </c>
      <c r="DF77" s="721">
        <f>DF75/DG75</f>
        <v>0.25102430152403848</v>
      </c>
      <c r="DG77" s="741"/>
      <c r="DH77" s="721">
        <f>DH75/DL75</f>
        <v>0.23611657620802129</v>
      </c>
      <c r="DI77" s="721">
        <f>DI75/DL75</f>
        <v>0.25276009977008657</v>
      </c>
      <c r="DJ77" s="721">
        <f>DJ75/DL75</f>
        <v>0.25805103623657344</v>
      </c>
      <c r="DK77" s="721">
        <f>DK75/DL75</f>
        <v>0.25307228778531871</v>
      </c>
      <c r="DL77" s="741"/>
      <c r="DM77" s="721">
        <f>DM75/DQ75</f>
        <v>0.24753601570907993</v>
      </c>
      <c r="DN77" s="721">
        <f>DN75/DQ75</f>
        <v>0.25634247808218319</v>
      </c>
      <c r="DO77" s="721">
        <f>DO75/DQ75</f>
        <v>0.25189597769512051</v>
      </c>
      <c r="DP77" s="721">
        <f>DP75/DQ75</f>
        <v>0.24422552851361645</v>
      </c>
      <c r="DQ77" s="741"/>
      <c r="DR77" s="721">
        <f>DR75/DV75</f>
        <v>0.24654606554545311</v>
      </c>
      <c r="DS77" s="721">
        <f>DS75/DV75</f>
        <v>0.25408520594839906</v>
      </c>
      <c r="DT77" s="721">
        <f>DT75/DV75</f>
        <v>0.25467407861057462</v>
      </c>
      <c r="DU77" s="721">
        <f>DU75/DV75</f>
        <v>0.2446946498955733</v>
      </c>
      <c r="DV77" s="741"/>
      <c r="DW77" s="721">
        <f>DW75/EA75</f>
        <v>0.24704241097938115</v>
      </c>
      <c r="DX77" s="721">
        <f>DX75/EA75</f>
        <v>0.25979594971425674</v>
      </c>
      <c r="DY77" s="721">
        <f>DY75/EA75</f>
        <v>0.25207161870497902</v>
      </c>
      <c r="DZ77" s="721">
        <f>DZ75/EA75</f>
        <v>0.24109002060138301</v>
      </c>
      <c r="EA77" s="741"/>
      <c r="EB77" s="721">
        <f>EB75/EF75</f>
        <v>0.24595222649483012</v>
      </c>
      <c r="EC77" s="721">
        <f>EC75/EF75</f>
        <v>0.25308479673947748</v>
      </c>
      <c r="ED77" s="721">
        <f>ED75/EF75</f>
        <v>0.25530452777261159</v>
      </c>
      <c r="EE77" s="721">
        <f>EE75/EF75</f>
        <v>0.24565844899308065</v>
      </c>
      <c r="EF77" s="741"/>
      <c r="EG77" s="721">
        <f>EG75/EK75</f>
        <v>0.24268183414976044</v>
      </c>
      <c r="EH77" s="721">
        <f>EH75/EK75</f>
        <v>0.25134904251225187</v>
      </c>
      <c r="EI77" s="721">
        <f>EI75/EK75</f>
        <v>0.24833436134268963</v>
      </c>
      <c r="EJ77" s="721">
        <f>EJ75/EK75</f>
        <v>0.25641582420075232</v>
      </c>
      <c r="EK77" s="741"/>
      <c r="EL77" s="1041"/>
      <c r="EM77" s="721"/>
      <c r="EN77" s="721"/>
      <c r="EO77" s="1042"/>
      <c r="EP77" s="741"/>
      <c r="EQ77" s="1041"/>
      <c r="ER77" s="721"/>
      <c r="ES77" s="721"/>
      <c r="ET77" s="1042"/>
      <c r="EU77" s="741"/>
      <c r="EV77" s="1041"/>
      <c r="EW77" s="721"/>
      <c r="EX77" s="721"/>
      <c r="EY77" s="1042"/>
      <c r="EZ77" s="741"/>
      <c r="FA77" s="1041"/>
      <c r="FB77" s="721"/>
      <c r="FC77" s="721"/>
      <c r="FD77" s="1042"/>
      <c r="FE77" s="741"/>
      <c r="FF77" s="721"/>
      <c r="FG77" s="690"/>
      <c r="FH77" s="955">
        <f>AVERAGE(CI77,CN77,DH77,DM77,DC77,CS77,CX77,CD77,BY77,BT77,DR77,DW77)</f>
        <v>0.21816583540744888</v>
      </c>
      <c r="FI77" s="955">
        <f>AVERAGE(CJ77,CO77,DI77,DN77,DD77,CT77,CY77,CE77,BZ77,BU77,DS77,DX77)</f>
        <v>0.23832087719867026</v>
      </c>
      <c r="FJ77" s="955">
        <f>AVERAGE(CK77,CP77,DJ77,DO77,DE77,CU77,CZ77,CF77,CA77,BV77,DT77,DY77)</f>
        <v>0.26251398285244598</v>
      </c>
      <c r="FK77" s="955">
        <f>AVERAGE(CL77,CQ77,DK77,DP77,DF77,CV77,DA77,CG77,CB77,BW77,DU77,DZ77)</f>
        <v>0.2809993045414349</v>
      </c>
      <c r="FL77" s="690"/>
      <c r="FM77" s="708"/>
      <c r="FN77" s="708"/>
      <c r="FO77" s="723"/>
      <c r="FP77" s="723"/>
      <c r="FQ77" s="723"/>
      <c r="FR77" s="723"/>
      <c r="FS77" s="723"/>
      <c r="FT77" s="723"/>
      <c r="FU77" s="690"/>
      <c r="FV77"/>
      <c r="FW77"/>
      <c r="FX77"/>
      <c r="FY77"/>
      <c r="FZ77"/>
      <c r="GA77"/>
      <c r="GB77" s="949"/>
      <c r="GC77" s="950"/>
      <c r="GD77" s="950"/>
      <c r="GE77" s="950"/>
      <c r="GF77" s="950"/>
      <c r="GG77" s="950"/>
      <c r="GH77" s="950"/>
      <c r="GI77" s="950"/>
      <c r="GJ77" s="950"/>
      <c r="GK77" s="950"/>
      <c r="GL77" s="950"/>
      <c r="GM77" s="950"/>
      <c r="GN77" s="950"/>
      <c r="GO77" s="950"/>
      <c r="GP77" s="950"/>
      <c r="GQ77" s="950"/>
      <c r="GR77" s="950"/>
      <c r="GS77" s="950"/>
      <c r="GT77" s="950"/>
      <c r="GU77" s="950"/>
      <c r="GV77" s="950"/>
      <c r="GW77" s="950"/>
      <c r="GX77" s="950"/>
      <c r="GY77" s="950"/>
      <c r="GZ77" s="950"/>
      <c r="HA77" s="950"/>
      <c r="HB77" s="950"/>
      <c r="HC77" s="950"/>
      <c r="HD77" s="950"/>
      <c r="HE77" s="950"/>
      <c r="HF77" s="950"/>
      <c r="HG77" s="950"/>
      <c r="HH77" s="950"/>
      <c r="HI77" s="950"/>
      <c r="HJ77" s="950"/>
      <c r="HK77" s="950"/>
      <c r="HL77" s="950"/>
      <c r="HM77" s="950"/>
      <c r="HN77" s="950"/>
      <c r="HO77" s="950"/>
      <c r="HP77" s="950"/>
      <c r="HQ77" s="950"/>
      <c r="HR77" s="950"/>
      <c r="HS77" s="950"/>
      <c r="HT77" s="950"/>
      <c r="HU77" s="950"/>
      <c r="HV77" s="950"/>
      <c r="HW77" s="950"/>
      <c r="HX77" s="950"/>
      <c r="HY77" s="950"/>
      <c r="HZ77" s="950"/>
      <c r="IA77" s="950"/>
      <c r="IB77" s="950"/>
      <c r="IC77" s="950"/>
      <c r="ID77" s="950"/>
      <c r="IE77" s="950"/>
      <c r="IF77" s="950"/>
      <c r="IG77" s="950"/>
      <c r="IH77" s="950"/>
      <c r="II77" s="950"/>
      <c r="IJ77" s="950"/>
      <c r="IK77" s="950"/>
      <c r="IL77" s="950"/>
      <c r="IM77" s="950"/>
      <c r="IN77" s="950"/>
      <c r="IO77" s="950"/>
      <c r="IP77" s="950"/>
      <c r="IQ77" s="950"/>
      <c r="IR77" s="950"/>
      <c r="IS77" s="950"/>
      <c r="IT77" s="950"/>
      <c r="IU77" s="950"/>
      <c r="IV77" s="950"/>
      <c r="IW77" s="950"/>
      <c r="IX77" s="950"/>
      <c r="IY77" s="950"/>
      <c r="IZ77" s="950"/>
      <c r="JA77" s="950"/>
      <c r="JB77" s="950"/>
      <c r="JC77" s="950"/>
      <c r="JD77" s="950"/>
      <c r="JE77" s="950"/>
      <c r="JF77" s="950"/>
      <c r="JG77" s="950"/>
      <c r="JH77" s="950"/>
      <c r="JI77" s="950"/>
      <c r="JJ77" s="950"/>
      <c r="JK77" s="950"/>
      <c r="JL77" s="950"/>
    </row>
    <row r="78" spans="1:272" s="811" customFormat="1" ht="12.75" hidden="1" customHeight="1" outlineLevel="1">
      <c r="A78" s="1072" t="s">
        <v>314</v>
      </c>
      <c r="B78" s="1073"/>
      <c r="C78" s="1073"/>
      <c r="D78" s="1073"/>
      <c r="E78" s="1073"/>
      <c r="F78" s="1074"/>
      <c r="G78" s="1073"/>
      <c r="H78" s="1073"/>
      <c r="I78" s="1073"/>
      <c r="J78" s="1073"/>
      <c r="K78" s="1074"/>
      <c r="L78" s="778"/>
      <c r="M78" s="778"/>
      <c r="N78" s="778"/>
      <c r="O78" s="778"/>
      <c r="P78" s="1074"/>
      <c r="Q78" s="778"/>
      <c r="R78" s="778"/>
      <c r="S78" s="778"/>
      <c r="T78" s="778"/>
      <c r="U78" s="1074"/>
      <c r="V78" s="778"/>
      <c r="W78" s="778"/>
      <c r="X78" s="778"/>
      <c r="Y78" s="778"/>
      <c r="Z78" s="1074"/>
      <c r="AA78" s="778"/>
      <c r="AB78" s="778"/>
      <c r="AC78" s="778"/>
      <c r="AD78" s="778"/>
      <c r="AE78" s="1074"/>
      <c r="AF78" s="778"/>
      <c r="AG78" s="778"/>
      <c r="AH78" s="778"/>
      <c r="AI78" s="778"/>
      <c r="AJ78" s="1074"/>
      <c r="AK78" s="778"/>
      <c r="AL78" s="1075"/>
      <c r="AM78" s="1075"/>
      <c r="AN78" s="1075"/>
      <c r="AO78" s="1074"/>
      <c r="AP78" s="778"/>
      <c r="AQ78" s="1075"/>
      <c r="AR78" s="1075"/>
      <c r="AS78" s="1075"/>
      <c r="AT78" s="1074"/>
      <c r="AU78" s="778"/>
      <c r="AV78" s="1075"/>
      <c r="AW78" s="1075"/>
      <c r="AX78" s="1075"/>
      <c r="AY78" s="1074"/>
      <c r="AZ78" s="778"/>
      <c r="BA78" s="1075"/>
      <c r="BB78" s="1075"/>
      <c r="BC78" s="1075"/>
      <c r="BD78" s="1074"/>
      <c r="BE78" s="778"/>
      <c r="BF78" s="1075"/>
      <c r="BG78" s="1075"/>
      <c r="BH78" s="1075"/>
      <c r="BI78" s="1074"/>
      <c r="BJ78" s="778"/>
      <c r="BK78" s="1075"/>
      <c r="BL78" s="1075"/>
      <c r="BM78" s="1075"/>
      <c r="BN78" s="1074"/>
      <c r="BO78" s="778"/>
      <c r="BP78" s="1075"/>
      <c r="BQ78" s="1075"/>
      <c r="BR78" s="1075"/>
      <c r="BS78" s="1074"/>
      <c r="BT78" s="778"/>
      <c r="BU78" s="1075"/>
      <c r="BV78" s="1075"/>
      <c r="BW78" s="1075"/>
      <c r="BX78" s="1074"/>
      <c r="BY78" s="778"/>
      <c r="BZ78" s="1075"/>
      <c r="CA78" s="1075"/>
      <c r="CB78" s="1075"/>
      <c r="CC78" s="1074"/>
      <c r="CD78" s="1075"/>
      <c r="CE78" s="1075"/>
      <c r="CF78" s="1075"/>
      <c r="CG78" s="1075"/>
      <c r="CH78" s="1074"/>
      <c r="CI78" s="1075"/>
      <c r="CJ78" s="1075"/>
      <c r="CK78" s="1075"/>
      <c r="CL78" s="1075"/>
      <c r="CM78" s="1074"/>
      <c r="CN78" s="1075"/>
      <c r="CO78" s="1075"/>
      <c r="CP78" s="1075"/>
      <c r="CQ78" s="1075">
        <f>CQ80+CQ103</f>
        <v>145.48500000000001</v>
      </c>
      <c r="CR78" s="1074"/>
      <c r="CS78" s="1075">
        <f t="shared" ref="CS78:EF78" si="318">CS80+CS103</f>
        <v>147.43699999999998</v>
      </c>
      <c r="CT78" s="1075">
        <f t="shared" si="318"/>
        <v>178.15499999999997</v>
      </c>
      <c r="CU78" s="1075">
        <f t="shared" si="318"/>
        <v>180.59800000000001</v>
      </c>
      <c r="CV78" s="1075">
        <f t="shared" si="318"/>
        <v>146.28800000000001</v>
      </c>
      <c r="CW78" s="1074">
        <f t="shared" si="318"/>
        <v>652.47800000000007</v>
      </c>
      <c r="CX78" s="1075">
        <f t="shared" si="318"/>
        <v>132.28399999999999</v>
      </c>
      <c r="CY78" s="1075">
        <f t="shared" si="318"/>
        <v>140.25200000000001</v>
      </c>
      <c r="CZ78" s="1075">
        <f t="shared" si="318"/>
        <v>140.78700000000001</v>
      </c>
      <c r="DA78" s="1075">
        <f t="shared" si="318"/>
        <v>136.447</v>
      </c>
      <c r="DB78" s="1074">
        <f t="shared" si="318"/>
        <v>549.77</v>
      </c>
      <c r="DC78" s="1075">
        <f t="shared" si="318"/>
        <v>136.947</v>
      </c>
      <c r="DD78" s="1075">
        <f t="shared" si="318"/>
        <v>141.53700000000001</v>
      </c>
      <c r="DE78" s="1075">
        <f t="shared" si="318"/>
        <v>136.6567</v>
      </c>
      <c r="DF78" s="1075">
        <f t="shared" si="318"/>
        <v>138.77099999999999</v>
      </c>
      <c r="DG78" s="1074">
        <f t="shared" si="318"/>
        <v>553.9117</v>
      </c>
      <c r="DH78" s="1075">
        <f t="shared" si="318"/>
        <v>140.93</v>
      </c>
      <c r="DI78" s="1075">
        <f t="shared" si="318"/>
        <v>151.11700000000002</v>
      </c>
      <c r="DJ78" s="1075">
        <f t="shared" si="318"/>
        <v>154.22399999999999</v>
      </c>
      <c r="DK78" s="1075">
        <f t="shared" si="318"/>
        <v>151.499</v>
      </c>
      <c r="DL78" s="1074">
        <f t="shared" si="318"/>
        <v>597.77</v>
      </c>
      <c r="DM78" s="1075">
        <f t="shared" si="318"/>
        <v>152.65899999999999</v>
      </c>
      <c r="DN78" s="1075">
        <f t="shared" si="318"/>
        <v>158.18899999999999</v>
      </c>
      <c r="DO78" s="1075">
        <f t="shared" si="318"/>
        <v>155.03700000000001</v>
      </c>
      <c r="DP78" s="1075">
        <f t="shared" si="318"/>
        <v>150.51599999999999</v>
      </c>
      <c r="DQ78" s="1074">
        <f t="shared" si="318"/>
        <v>616.40099999999995</v>
      </c>
      <c r="DR78" s="1075">
        <f>DR80+DR103</f>
        <v>152.36199999999999</v>
      </c>
      <c r="DS78" s="1075">
        <f>DS80+DS103</f>
        <v>156.751</v>
      </c>
      <c r="DT78" s="1075">
        <f>DT80+DT103</f>
        <v>157.321</v>
      </c>
      <c r="DU78" s="1075">
        <f>DU80+DU103</f>
        <v>151.042</v>
      </c>
      <c r="DV78" s="1074">
        <f t="shared" si="318"/>
        <v>617.476</v>
      </c>
      <c r="DW78" s="1075">
        <f t="shared" si="318"/>
        <v>150.33499999999998</v>
      </c>
      <c r="DX78" s="1075">
        <f t="shared" si="318"/>
        <v>157.017</v>
      </c>
      <c r="DY78" s="1075">
        <f t="shared" ref="DY78:EC78" si="319">DY80+DY103</f>
        <v>153.428</v>
      </c>
      <c r="DZ78" s="1075">
        <f t="shared" si="319"/>
        <v>145.47800000000001</v>
      </c>
      <c r="EA78" s="1074">
        <f t="shared" si="319"/>
        <v>606.25800000000004</v>
      </c>
      <c r="EB78" s="1075">
        <f t="shared" si="319"/>
        <v>133.16499999999999</v>
      </c>
      <c r="EC78" s="1075">
        <f t="shared" si="319"/>
        <v>137.108</v>
      </c>
      <c r="ED78" s="1075">
        <f>+ED75-ED108</f>
        <v>138.36000000000001</v>
      </c>
      <c r="EE78" s="1075">
        <f t="shared" si="318"/>
        <v>132.91929999999999</v>
      </c>
      <c r="EF78" s="1074">
        <f t="shared" si="318"/>
        <v>541.55230000000006</v>
      </c>
      <c r="EG78" s="1075">
        <f>+EG75-EG108</f>
        <v>123.50000000000001</v>
      </c>
      <c r="EH78" s="1075">
        <f t="shared" ref="EH78" si="320">EH80+EH103</f>
        <v>126.64051379999999</v>
      </c>
      <c r="EI78" s="1075">
        <f t="shared" ref="EI78" si="321">EI80+EI103</f>
        <v>124.17904044000001</v>
      </c>
      <c r="EJ78" s="1075">
        <f t="shared" ref="EJ78:EK78" si="322">EJ80+EJ103</f>
        <v>130.78912373999998</v>
      </c>
      <c r="EK78" s="1074">
        <f t="shared" si="322"/>
        <v>509.53605798000001</v>
      </c>
      <c r="EL78" s="1039"/>
      <c r="EM78" s="778"/>
      <c r="EN78" s="778"/>
      <c r="EO78" s="1040"/>
      <c r="EP78" s="1074">
        <f>EP80+EP103</f>
        <v>517.52079961469997</v>
      </c>
      <c r="EQ78" s="1039"/>
      <c r="ER78" s="778"/>
      <c r="ES78" s="778"/>
      <c r="ET78" s="1040"/>
      <c r="EU78" s="1074">
        <f>EU80+EU103</f>
        <v>459.56571444349993</v>
      </c>
      <c r="EV78" s="1039"/>
      <c r="EW78" s="778"/>
      <c r="EX78" s="778"/>
      <c r="EY78" s="1040"/>
      <c r="EZ78" s="1074">
        <f>EZ80+EZ103</f>
        <v>466.45920016015236</v>
      </c>
      <c r="FA78" s="1039"/>
      <c r="FB78" s="778"/>
      <c r="FC78" s="778"/>
      <c r="FD78" s="1040"/>
      <c r="FE78" s="1074">
        <f>FE80+FE103</f>
        <v>473.45608816255458</v>
      </c>
      <c r="FF78" s="778"/>
      <c r="FG78" s="690"/>
      <c r="FH78" s="754"/>
      <c r="FI78" s="754"/>
      <c r="FJ78" s="754"/>
      <c r="FK78" s="754"/>
      <c r="FL78" s="690"/>
      <c r="FM78" s="940"/>
      <c r="FN78" s="940"/>
      <c r="FO78" s="719"/>
      <c r="FP78" s="719"/>
      <c r="FQ78" s="719"/>
      <c r="FR78" s="719"/>
      <c r="FS78" s="719"/>
      <c r="FT78" s="719"/>
      <c r="FU78" s="690"/>
      <c r="FV78"/>
      <c r="FW78"/>
      <c r="FX78"/>
      <c r="FY78"/>
      <c r="FZ78"/>
      <c r="GA78"/>
      <c r="GB78" s="964"/>
      <c r="GC78" s="965"/>
      <c r="GD78" s="965"/>
      <c r="GE78" s="965"/>
      <c r="GF78" s="965"/>
      <c r="GG78" s="965"/>
      <c r="GH78" s="965"/>
      <c r="GI78" s="965"/>
      <c r="GJ78" s="965"/>
      <c r="GK78" s="965"/>
      <c r="GL78" s="965"/>
      <c r="GM78" s="965"/>
      <c r="GN78" s="965"/>
      <c r="GO78" s="965"/>
      <c r="GP78" s="965"/>
      <c r="GQ78" s="965"/>
      <c r="GR78" s="965"/>
      <c r="GS78" s="965"/>
      <c r="GT78" s="965"/>
      <c r="GU78" s="965"/>
      <c r="GV78" s="965"/>
      <c r="GW78" s="965"/>
      <c r="GX78" s="965"/>
      <c r="GY78" s="965"/>
      <c r="GZ78" s="965"/>
      <c r="HA78" s="965"/>
      <c r="HB78" s="965"/>
      <c r="HC78" s="965"/>
      <c r="HD78" s="965"/>
      <c r="HE78" s="965"/>
      <c r="HF78" s="965"/>
      <c r="HG78" s="965"/>
      <c r="HH78" s="965"/>
      <c r="HI78" s="965"/>
      <c r="HJ78" s="965"/>
      <c r="HK78" s="965"/>
      <c r="HL78" s="965"/>
      <c r="HM78" s="965"/>
      <c r="HN78" s="965"/>
      <c r="HO78" s="965"/>
      <c r="HP78" s="965"/>
      <c r="HQ78" s="965"/>
      <c r="HR78" s="965"/>
      <c r="HS78" s="965"/>
      <c r="HT78" s="965"/>
      <c r="HU78" s="965"/>
      <c r="HV78" s="965"/>
      <c r="HW78" s="965"/>
      <c r="HX78" s="965"/>
      <c r="HY78" s="965"/>
      <c r="HZ78" s="965"/>
      <c r="IA78" s="965"/>
      <c r="IB78" s="965"/>
      <c r="IC78" s="965"/>
      <c r="ID78" s="965"/>
      <c r="IE78" s="965"/>
      <c r="IF78" s="965"/>
      <c r="IG78" s="965"/>
      <c r="IH78" s="965"/>
      <c r="II78" s="965"/>
      <c r="IJ78" s="965"/>
      <c r="IK78" s="965"/>
      <c r="IL78" s="965"/>
      <c r="IM78" s="965"/>
      <c r="IN78" s="965"/>
      <c r="IO78" s="965"/>
      <c r="IP78" s="965"/>
      <c r="IQ78" s="965"/>
      <c r="IR78" s="965"/>
      <c r="IS78" s="965"/>
      <c r="IT78" s="965"/>
      <c r="IU78" s="965"/>
      <c r="IV78" s="965"/>
      <c r="IW78" s="965"/>
      <c r="IX78" s="965"/>
      <c r="IY78" s="965"/>
      <c r="IZ78" s="965"/>
      <c r="JA78" s="965"/>
      <c r="JB78" s="965"/>
      <c r="JC78" s="965"/>
      <c r="JD78" s="965"/>
      <c r="JE78" s="965"/>
      <c r="JF78" s="965"/>
      <c r="JG78" s="965"/>
      <c r="JH78" s="965"/>
      <c r="JI78" s="965"/>
      <c r="JJ78" s="965"/>
      <c r="JK78" s="965"/>
      <c r="JL78" s="965"/>
    </row>
    <row r="79" spans="1:272" s="749" customFormat="1" ht="12.75" hidden="1" customHeight="1" outlineLevel="1">
      <c r="A79" s="1068" t="s">
        <v>85</v>
      </c>
      <c r="B79" s="815"/>
      <c r="C79" s="815"/>
      <c r="D79" s="815"/>
      <c r="E79" s="815"/>
      <c r="F79" s="816"/>
      <c r="G79" s="817"/>
      <c r="H79" s="817"/>
      <c r="I79" s="817"/>
      <c r="J79" s="817"/>
      <c r="K79" s="816"/>
      <c r="L79" s="817"/>
      <c r="M79" s="817"/>
      <c r="N79" s="817"/>
      <c r="O79" s="817"/>
      <c r="P79" s="816"/>
      <c r="Q79" s="817"/>
      <c r="R79" s="817"/>
      <c r="S79" s="817"/>
      <c r="T79" s="817"/>
      <c r="U79" s="816"/>
      <c r="V79" s="817"/>
      <c r="W79" s="817"/>
      <c r="X79" s="817"/>
      <c r="Y79" s="817"/>
      <c r="Z79" s="816"/>
      <c r="AA79" s="817"/>
      <c r="AB79" s="817"/>
      <c r="AC79" s="817"/>
      <c r="AD79" s="817"/>
      <c r="AE79" s="816"/>
      <c r="AF79" s="817"/>
      <c r="AG79" s="817"/>
      <c r="AH79" s="817"/>
      <c r="AI79" s="817"/>
      <c r="AJ79" s="816"/>
      <c r="AK79" s="817"/>
      <c r="AL79" s="817"/>
      <c r="AM79" s="817"/>
      <c r="AN79" s="817"/>
      <c r="AO79" s="816"/>
      <c r="AP79" s="817"/>
      <c r="AQ79" s="817"/>
      <c r="AR79" s="817"/>
      <c r="AS79" s="817"/>
      <c r="AT79" s="816"/>
      <c r="AU79" s="817"/>
      <c r="AV79" s="817"/>
      <c r="AW79" s="817"/>
      <c r="AX79" s="817"/>
      <c r="AY79" s="816"/>
      <c r="AZ79" s="817"/>
      <c r="BA79" s="817"/>
      <c r="BB79" s="817"/>
      <c r="BC79" s="817"/>
      <c r="BD79" s="816"/>
      <c r="BE79" s="817"/>
      <c r="BF79" s="817"/>
      <c r="BG79" s="817"/>
      <c r="BH79" s="817"/>
      <c r="BI79" s="816"/>
      <c r="BJ79" s="817"/>
      <c r="BK79" s="817"/>
      <c r="BL79" s="817"/>
      <c r="BM79" s="817"/>
      <c r="BN79" s="816"/>
      <c r="BO79" s="817"/>
      <c r="BP79" s="817"/>
      <c r="BQ79" s="817"/>
      <c r="BR79" s="817"/>
      <c r="BS79" s="816"/>
      <c r="BT79" s="817"/>
      <c r="BU79" s="817"/>
      <c r="BV79" s="817"/>
      <c r="BW79" s="817"/>
      <c r="BX79" s="816"/>
      <c r="BY79" s="817"/>
      <c r="BZ79" s="817"/>
      <c r="CA79" s="817"/>
      <c r="CB79" s="817"/>
      <c r="CC79" s="816"/>
      <c r="CD79" s="817"/>
      <c r="CE79" s="817"/>
      <c r="CF79" s="817"/>
      <c r="CG79" s="817"/>
      <c r="CH79" s="816"/>
      <c r="CI79" s="817"/>
      <c r="CJ79" s="817"/>
      <c r="CK79" s="817"/>
      <c r="CL79" s="817"/>
      <c r="CM79" s="816"/>
      <c r="CN79" s="817"/>
      <c r="CO79" s="817"/>
      <c r="CP79" s="817"/>
      <c r="CQ79" s="817"/>
      <c r="CR79" s="816"/>
      <c r="CS79" s="817"/>
      <c r="CT79" s="817"/>
      <c r="CU79" s="817"/>
      <c r="CV79" s="817">
        <f t="shared" ref="CV79:EF79" si="323">CV78/CQ78-1</f>
        <v>5.5194693611024803E-3</v>
      </c>
      <c r="CW79" s="816"/>
      <c r="CX79" s="817">
        <f t="shared" si="323"/>
        <v>-0.10277610097872303</v>
      </c>
      <c r="CY79" s="817">
        <f t="shared" si="323"/>
        <v>-0.21275293985574339</v>
      </c>
      <c r="CZ79" s="817">
        <f t="shared" si="323"/>
        <v>-0.22043987198086357</v>
      </c>
      <c r="DA79" s="817">
        <f t="shared" si="323"/>
        <v>-6.7271409821721639E-2</v>
      </c>
      <c r="DB79" s="816">
        <f t="shared" si="323"/>
        <v>-0.157412203936378</v>
      </c>
      <c r="DC79" s="817">
        <f t="shared" si="323"/>
        <v>3.5249916845574658E-2</v>
      </c>
      <c r="DD79" s="817">
        <f t="shared" si="323"/>
        <v>9.1620796851381581E-3</v>
      </c>
      <c r="DE79" s="817">
        <f t="shared" si="323"/>
        <v>-2.9337225738171879E-2</v>
      </c>
      <c r="DF79" s="817">
        <f t="shared" si="323"/>
        <v>1.7032254281882153E-2</v>
      </c>
      <c r="DG79" s="816">
        <f t="shared" si="323"/>
        <v>7.5335140149517255E-3</v>
      </c>
      <c r="DH79" s="817">
        <f t="shared" si="323"/>
        <v>2.9084244269681037E-2</v>
      </c>
      <c r="DI79" s="817">
        <f t="shared" si="323"/>
        <v>6.7685481534863756E-2</v>
      </c>
      <c r="DJ79" s="817">
        <f t="shared" si="323"/>
        <v>0.12855059429943783</v>
      </c>
      <c r="DK79" s="817">
        <f t="shared" si="323"/>
        <v>9.1719451470408053E-2</v>
      </c>
      <c r="DL79" s="818">
        <f t="shared" si="323"/>
        <v>7.9179226580698758E-2</v>
      </c>
      <c r="DM79" s="817">
        <f t="shared" si="323"/>
        <v>8.3225714893918834E-2</v>
      </c>
      <c r="DN79" s="817">
        <f t="shared" si="323"/>
        <v>4.6798176247543122E-2</v>
      </c>
      <c r="DO79" s="817">
        <f t="shared" si="323"/>
        <v>5.271553065670842E-3</v>
      </c>
      <c r="DP79" s="817">
        <f t="shared" si="323"/>
        <v>-6.4884916732124154E-3</v>
      </c>
      <c r="DQ79" s="818">
        <f t="shared" si="323"/>
        <v>3.1167505896916747E-2</v>
      </c>
      <c r="DR79" s="1076">
        <f>DR78/DM78-1</f>
        <v>-1.9455125475733581E-3</v>
      </c>
      <c r="DS79" s="1076">
        <f t="shared" si="323"/>
        <v>-9.0903918730126376E-3</v>
      </c>
      <c r="DT79" s="817">
        <f t="shared" si="323"/>
        <v>1.4731967207827656E-2</v>
      </c>
      <c r="DU79" s="817">
        <f t="shared" si="323"/>
        <v>3.4946450875654733E-3</v>
      </c>
      <c r="DV79" s="818">
        <f t="shared" si="323"/>
        <v>1.743994574960217E-3</v>
      </c>
      <c r="DW79" s="1076">
        <f t="shared" si="323"/>
        <v>-1.3303842165369395E-2</v>
      </c>
      <c r="DX79" s="1076">
        <f t="shared" si="323"/>
        <v>1.6969588710757932E-3</v>
      </c>
      <c r="DY79" s="817">
        <f t="shared" si="323"/>
        <v>-2.4745583869921983E-2</v>
      </c>
      <c r="DZ79" s="817">
        <f t="shared" si="323"/>
        <v>-3.683743594496891E-2</v>
      </c>
      <c r="EA79" s="818">
        <f t="shared" si="323"/>
        <v>-1.8167507724996534E-2</v>
      </c>
      <c r="EB79" s="1076">
        <f t="shared" si="323"/>
        <v>-0.1142115941064954</v>
      </c>
      <c r="EC79" s="1076">
        <f>EC78/DX78-1</f>
        <v>-0.12679518778221466</v>
      </c>
      <c r="ED79" s="817">
        <f t="shared" si="323"/>
        <v>-9.8208931876841099E-2</v>
      </c>
      <c r="EE79" s="817">
        <f t="shared" si="323"/>
        <v>-8.6327142248312616E-2</v>
      </c>
      <c r="EF79" s="818">
        <f t="shared" si="323"/>
        <v>-0.10672964315522426</v>
      </c>
      <c r="EG79" s="817">
        <f t="shared" ref="EG79:EJ79" si="324">EG78/EB78-1</f>
        <v>-7.2579131153080567E-2</v>
      </c>
      <c r="EH79" s="817">
        <f t="shared" si="324"/>
        <v>-7.6344824517898369E-2</v>
      </c>
      <c r="EI79" s="817">
        <f t="shared" si="324"/>
        <v>-0.10249320294882913</v>
      </c>
      <c r="EJ79" s="817">
        <f t="shared" si="324"/>
        <v>-1.6026086956521857E-2</v>
      </c>
      <c r="EK79" s="818">
        <f t="shared" ref="EK79" si="325">EK78/EF78-1</f>
        <v>-5.9119390721819598E-2</v>
      </c>
      <c r="EL79" s="764"/>
      <c r="EM79" s="761"/>
      <c r="EN79" s="761"/>
      <c r="EO79" s="763"/>
      <c r="EP79" s="818">
        <f>EP78/EK78-1</f>
        <v>1.5670611548777469E-2</v>
      </c>
      <c r="EQ79" s="764"/>
      <c r="ER79" s="761"/>
      <c r="ES79" s="761"/>
      <c r="ET79" s="763"/>
      <c r="EU79" s="818">
        <f>EU78/EP78-1</f>
        <v>-0.11198600174978135</v>
      </c>
      <c r="EV79" s="764"/>
      <c r="EW79" s="761"/>
      <c r="EX79" s="761"/>
      <c r="EY79" s="763"/>
      <c r="EZ79" s="818">
        <f>EZ78/EU78-1</f>
        <v>1.4999999999999902E-2</v>
      </c>
      <c r="FA79" s="764"/>
      <c r="FB79" s="761"/>
      <c r="FC79" s="761"/>
      <c r="FD79" s="763"/>
      <c r="FE79" s="818">
        <f>FE78/EZ78-1</f>
        <v>1.4999999999999902E-2</v>
      </c>
      <c r="FF79" s="721"/>
      <c r="FG79" s="690"/>
      <c r="FH79" s="754"/>
      <c r="FI79" s="754"/>
      <c r="FJ79" s="754"/>
      <c r="FK79" s="754"/>
      <c r="FL79" s="690"/>
      <c r="FM79" s="708"/>
      <c r="FN79" s="708"/>
      <c r="FO79" s="723"/>
      <c r="FP79" s="723"/>
      <c r="FQ79" s="723"/>
      <c r="FR79" s="723"/>
      <c r="FS79" s="723"/>
      <c r="FT79" s="723"/>
      <c r="FU79" s="690"/>
      <c r="FV79"/>
      <c r="FW79"/>
      <c r="FX79"/>
      <c r="FY79"/>
      <c r="FZ79"/>
      <c r="GA79"/>
      <c r="GB79" s="725"/>
      <c r="GC79" s="532"/>
      <c r="GD79" s="532"/>
      <c r="GE79" s="532"/>
      <c r="GF79" s="532"/>
      <c r="GG79" s="532"/>
      <c r="GH79" s="532"/>
      <c r="GI79" s="532"/>
      <c r="GJ79" s="532"/>
      <c r="GK79" s="532"/>
      <c r="GL79" s="532"/>
      <c r="GM79" s="532"/>
      <c r="GN79" s="532"/>
      <c r="GO79" s="532"/>
      <c r="GP79" s="532"/>
      <c r="GQ79" s="532"/>
      <c r="GR79" s="532"/>
      <c r="GS79" s="532"/>
      <c r="GT79" s="532"/>
      <c r="GU79" s="532"/>
      <c r="GV79" s="532"/>
      <c r="GW79" s="532"/>
      <c r="GX79" s="532"/>
      <c r="GY79" s="532"/>
      <c r="GZ79" s="532"/>
      <c r="HA79" s="532"/>
      <c r="HB79" s="532"/>
      <c r="HC79" s="532"/>
      <c r="HD79" s="532"/>
      <c r="HE79" s="532"/>
      <c r="HF79" s="532"/>
      <c r="HG79" s="532"/>
      <c r="HH79" s="532"/>
      <c r="HI79" s="532"/>
      <c r="HJ79" s="532"/>
      <c r="HK79" s="532"/>
      <c r="HL79" s="532"/>
      <c r="HM79" s="532"/>
      <c r="HN79" s="532"/>
      <c r="HO79" s="532"/>
      <c r="HP79" s="532"/>
      <c r="HQ79" s="532"/>
      <c r="HR79" s="532"/>
      <c r="HS79" s="532"/>
      <c r="HT79" s="532"/>
      <c r="HU79" s="532"/>
      <c r="HV79" s="532"/>
      <c r="HW79" s="532"/>
      <c r="HX79" s="532"/>
      <c r="HY79" s="532"/>
      <c r="HZ79" s="532"/>
      <c r="IA79" s="532"/>
      <c r="IB79" s="532"/>
      <c r="IC79" s="532"/>
      <c r="ID79" s="532"/>
      <c r="IE79" s="532"/>
      <c r="IF79" s="532"/>
      <c r="IG79" s="532"/>
      <c r="IH79" s="532"/>
      <c r="II79" s="532"/>
      <c r="IJ79" s="532"/>
      <c r="IK79" s="532"/>
      <c r="IL79" s="532"/>
      <c r="IM79" s="532"/>
      <c r="IN79" s="532"/>
      <c r="IO79" s="532"/>
      <c r="IP79" s="532"/>
      <c r="IQ79" s="532"/>
      <c r="IR79" s="532"/>
      <c r="IS79" s="532"/>
      <c r="IT79" s="532"/>
      <c r="IU79" s="532"/>
      <c r="IV79" s="532"/>
      <c r="IW79" s="532"/>
      <c r="IX79" s="532"/>
      <c r="IY79" s="532"/>
      <c r="IZ79" s="532"/>
      <c r="JA79" s="532"/>
      <c r="JB79" s="532"/>
      <c r="JC79" s="532"/>
      <c r="JD79" s="532"/>
      <c r="JE79" s="532"/>
      <c r="JF79" s="532"/>
      <c r="JG79" s="532"/>
      <c r="JH79" s="532"/>
      <c r="JI79" s="532"/>
      <c r="JJ79" s="532"/>
      <c r="JK79" s="532"/>
      <c r="JL79" s="532"/>
    </row>
    <row r="80" spans="1:272" s="749" customFormat="1" ht="12.75" hidden="1" customHeight="1" outlineLevel="1">
      <c r="A80" s="1077" t="s">
        <v>315</v>
      </c>
      <c r="B80" s="963"/>
      <c r="C80" s="963"/>
      <c r="D80" s="963"/>
      <c r="E80" s="963"/>
      <c r="F80" s="777"/>
      <c r="G80" s="776"/>
      <c r="H80" s="776"/>
      <c r="I80" s="776"/>
      <c r="J80" s="776"/>
      <c r="K80" s="777"/>
      <c r="L80" s="776"/>
      <c r="M80" s="776"/>
      <c r="N80" s="776"/>
      <c r="O80" s="776"/>
      <c r="P80" s="777"/>
      <c r="Q80" s="776"/>
      <c r="R80" s="776"/>
      <c r="S80" s="776"/>
      <c r="T80" s="776"/>
      <c r="U80" s="777"/>
      <c r="V80" s="776"/>
      <c r="W80" s="776"/>
      <c r="X80" s="776"/>
      <c r="Y80" s="776"/>
      <c r="Z80" s="777"/>
      <c r="AA80" s="776"/>
      <c r="AB80" s="776"/>
      <c r="AC80" s="776"/>
      <c r="AD80" s="776"/>
      <c r="AE80" s="777"/>
      <c r="AF80" s="776"/>
      <c r="AG80" s="776"/>
      <c r="AH80" s="776"/>
      <c r="AI80" s="776"/>
      <c r="AJ80" s="777"/>
      <c r="AK80" s="776"/>
      <c r="AL80" s="776"/>
      <c r="AM80" s="776"/>
      <c r="AN80" s="776"/>
      <c r="AO80" s="777"/>
      <c r="AP80" s="776"/>
      <c r="AQ80" s="776"/>
      <c r="AR80" s="776"/>
      <c r="AS80" s="776"/>
      <c r="AT80" s="777"/>
      <c r="AU80" s="776"/>
      <c r="AV80" s="776"/>
      <c r="AW80" s="776"/>
      <c r="AX80" s="776"/>
      <c r="AY80" s="777"/>
      <c r="AZ80" s="776"/>
      <c r="BA80" s="776"/>
      <c r="BB80" s="776"/>
      <c r="BC80" s="776"/>
      <c r="BD80" s="777"/>
      <c r="BE80" s="776"/>
      <c r="BF80" s="776"/>
      <c r="BG80" s="776"/>
      <c r="BH80" s="776"/>
      <c r="BI80" s="777"/>
      <c r="BJ80" s="776"/>
      <c r="BK80" s="776"/>
      <c r="BL80" s="776"/>
      <c r="BM80" s="776"/>
      <c r="BN80" s="777"/>
      <c r="BO80" s="776"/>
      <c r="BP80" s="776"/>
      <c r="BQ80" s="776"/>
      <c r="BR80" s="776"/>
      <c r="BS80" s="777"/>
      <c r="BT80" s="776"/>
      <c r="BU80" s="776"/>
      <c r="BV80" s="776"/>
      <c r="BW80" s="776"/>
      <c r="BX80" s="777"/>
      <c r="BY80" s="776"/>
      <c r="BZ80" s="776"/>
      <c r="CA80" s="776"/>
      <c r="CB80" s="776"/>
      <c r="CC80" s="777"/>
      <c r="CD80" s="776"/>
      <c r="CE80" s="776"/>
      <c r="CF80" s="776"/>
      <c r="CG80" s="776"/>
      <c r="CH80" s="777"/>
      <c r="CI80" s="778"/>
      <c r="CJ80" s="778"/>
      <c r="CK80" s="778"/>
      <c r="CL80" s="778"/>
      <c r="CM80" s="777"/>
      <c r="CN80" s="963"/>
      <c r="CO80" s="963"/>
      <c r="CP80" s="963"/>
      <c r="CQ80" s="963">
        <v>116.078</v>
      </c>
      <c r="CR80" s="777"/>
      <c r="CS80" s="963">
        <v>115.639</v>
      </c>
      <c r="CT80" s="963">
        <v>128.90799999999999</v>
      </c>
      <c r="CU80" s="963">
        <v>129.934</v>
      </c>
      <c r="CV80" s="963">
        <v>118.449</v>
      </c>
      <c r="CW80" s="777">
        <f>SUM(CS80:CV80)</f>
        <v>492.93</v>
      </c>
      <c r="CX80" s="963">
        <v>120.218</v>
      </c>
      <c r="CY80" s="963">
        <v>126.63200000000001</v>
      </c>
      <c r="CZ80" s="963">
        <v>122.801</v>
      </c>
      <c r="DA80" s="963">
        <v>117.29300000000001</v>
      </c>
      <c r="DB80" s="777">
        <f>SUM(CX80:DA80)</f>
        <v>486.94400000000002</v>
      </c>
      <c r="DC80" s="963">
        <v>116.202</v>
      </c>
      <c r="DD80" s="963">
        <v>116.498</v>
      </c>
      <c r="DE80" s="963">
        <v>113.4457</v>
      </c>
      <c r="DF80" s="963">
        <v>113.59099999999999</v>
      </c>
      <c r="DG80" s="779">
        <f>SUM(DC80:DF80)</f>
        <v>459.73669999999998</v>
      </c>
      <c r="DH80" s="963">
        <v>110.613</v>
      </c>
      <c r="DI80" s="963">
        <v>113.965</v>
      </c>
      <c r="DJ80" s="963">
        <v>118.395</v>
      </c>
      <c r="DK80" s="963">
        <v>116.248</v>
      </c>
      <c r="DL80" s="1078">
        <f>SUM(DH80:DK80)</f>
        <v>459.221</v>
      </c>
      <c r="DM80" s="963">
        <v>116.253</v>
      </c>
      <c r="DN80" s="963">
        <v>120.173</v>
      </c>
      <c r="DO80" s="963">
        <v>119.40900000000001</v>
      </c>
      <c r="DP80" s="963">
        <v>114.59399999999999</v>
      </c>
      <c r="DQ80" s="1078">
        <f>SUM(DM80:DP80)</f>
        <v>470.42899999999997</v>
      </c>
      <c r="DR80" s="958">
        <v>116.28</v>
      </c>
      <c r="DS80" s="958">
        <v>120.875</v>
      </c>
      <c r="DT80" s="963">
        <v>121.336</v>
      </c>
      <c r="DU80" s="963">
        <v>116.94799999999999</v>
      </c>
      <c r="DV80" s="1078">
        <f>SUM(DR80:DU80)</f>
        <v>475.43899999999996</v>
      </c>
      <c r="DW80" s="958">
        <v>115.413</v>
      </c>
      <c r="DX80" s="958">
        <v>120.754</v>
      </c>
      <c r="DY80" s="963">
        <v>119.38800000000001</v>
      </c>
      <c r="DZ80" s="963">
        <v>115.58199999999999</v>
      </c>
      <c r="EA80" s="1078">
        <f>SUM(DW80:DZ80)</f>
        <v>471.137</v>
      </c>
      <c r="EB80" s="958">
        <v>112.217</v>
      </c>
      <c r="EC80" s="958">
        <v>116.628</v>
      </c>
      <c r="ED80" s="958">
        <v>119.38800000000001</v>
      </c>
      <c r="EE80" s="963">
        <f>+DZ80*(1+EE81)</f>
        <v>115.58199999999999</v>
      </c>
      <c r="EF80" s="1078">
        <f>SUM(EB80:EE80)</f>
        <v>463.815</v>
      </c>
      <c r="EG80" s="963">
        <f>+EB80*(1+EG81)</f>
        <v>112.217</v>
      </c>
      <c r="EH80" s="963">
        <f>+EC80*(1+EH81)</f>
        <v>110.7966</v>
      </c>
      <c r="EI80" s="963">
        <f>+ED80*(1+EI81)</f>
        <v>108.64308000000001</v>
      </c>
      <c r="EJ80" s="963">
        <f>+EE80*(1+EJ81)</f>
        <v>114.42617999999999</v>
      </c>
      <c r="EK80" s="1078">
        <f>SUM(EG80:EJ80)</f>
        <v>446.08285999999998</v>
      </c>
      <c r="EL80" s="1079"/>
      <c r="EM80" s="1080"/>
      <c r="EN80" s="1080"/>
      <c r="EO80" s="1081"/>
      <c r="EP80" s="1792">
        <f>+EK80*(1+EP81)</f>
        <v>452.77410289999995</v>
      </c>
      <c r="EQ80" s="1079"/>
      <c r="ER80" s="1080"/>
      <c r="ES80" s="1080"/>
      <c r="ET80" s="1081"/>
      <c r="EU80" s="1792">
        <f>+EP80*(1+EU81)</f>
        <v>459.56571444349993</v>
      </c>
      <c r="EV80" s="1079"/>
      <c r="EW80" s="1080"/>
      <c r="EX80" s="1080"/>
      <c r="EY80" s="1081"/>
      <c r="EZ80" s="1792">
        <f>+EU80*(1+EZ81)</f>
        <v>466.45920016015236</v>
      </c>
      <c r="FA80" s="1079"/>
      <c r="FB80" s="1080"/>
      <c r="FC80" s="1080"/>
      <c r="FD80" s="1081"/>
      <c r="FE80" s="1792">
        <f>+EZ80*(1+FE81)</f>
        <v>473.45608816255458</v>
      </c>
      <c r="FF80" s="721"/>
      <c r="FG80" s="690"/>
      <c r="FH80" s="754"/>
      <c r="FI80" s="754"/>
      <c r="FJ80" s="754"/>
      <c r="FK80" s="754"/>
      <c r="FL80" s="690"/>
      <c r="FM80" s="708"/>
      <c r="FN80" s="708"/>
      <c r="FO80" s="723"/>
      <c r="FP80" s="723"/>
      <c r="FQ80" s="723"/>
      <c r="FR80" s="723"/>
      <c r="FS80" s="723"/>
      <c r="FT80" s="723"/>
      <c r="FU80" s="690"/>
      <c r="FV80"/>
      <c r="FW80"/>
      <c r="FX80"/>
      <c r="FY80"/>
      <c r="FZ80"/>
      <c r="GA80"/>
      <c r="GB80" s="725"/>
      <c r="GC80" s="532"/>
      <c r="GD80" s="532"/>
      <c r="GE80" s="532"/>
      <c r="GF80" s="532"/>
      <c r="GG80" s="532"/>
      <c r="GH80" s="532"/>
      <c r="GI80" s="532"/>
      <c r="GJ80" s="532"/>
      <c r="GK80" s="532"/>
      <c r="GL80" s="532"/>
      <c r="GM80" s="532"/>
      <c r="GN80" s="532"/>
      <c r="GO80" s="532"/>
      <c r="GP80" s="532"/>
      <c r="GQ80" s="532"/>
      <c r="GR80" s="532"/>
      <c r="GS80" s="532"/>
      <c r="GT80" s="532"/>
      <c r="GU80" s="532"/>
      <c r="GV80" s="532"/>
      <c r="GW80" s="532"/>
      <c r="GX80" s="532"/>
      <c r="GY80" s="532"/>
      <c r="GZ80" s="532"/>
      <c r="HA80" s="532"/>
      <c r="HB80" s="532"/>
      <c r="HC80" s="532"/>
      <c r="HD80" s="532"/>
      <c r="HE80" s="532"/>
      <c r="HF80" s="532"/>
      <c r="HG80" s="532"/>
      <c r="HH80" s="532"/>
      <c r="HI80" s="532"/>
      <c r="HJ80" s="532"/>
      <c r="HK80" s="532"/>
      <c r="HL80" s="532"/>
      <c r="HM80" s="532"/>
      <c r="HN80" s="532"/>
      <c r="HO80" s="532"/>
      <c r="HP80" s="532"/>
      <c r="HQ80" s="532"/>
      <c r="HR80" s="532"/>
      <c r="HS80" s="532"/>
      <c r="HT80" s="532"/>
      <c r="HU80" s="532"/>
      <c r="HV80" s="532"/>
      <c r="HW80" s="532"/>
      <c r="HX80" s="532"/>
      <c r="HY80" s="532"/>
      <c r="HZ80" s="532"/>
      <c r="IA80" s="532"/>
      <c r="IB80" s="532"/>
      <c r="IC80" s="532"/>
      <c r="ID80" s="532"/>
      <c r="IE80" s="532"/>
      <c r="IF80" s="532"/>
      <c r="IG80" s="532"/>
      <c r="IH80" s="532"/>
      <c r="II80" s="532"/>
      <c r="IJ80" s="532"/>
      <c r="IK80" s="532"/>
      <c r="IL80" s="532"/>
      <c r="IM80" s="532"/>
      <c r="IN80" s="532"/>
      <c r="IO80" s="532"/>
      <c r="IP80" s="532"/>
      <c r="IQ80" s="532"/>
      <c r="IR80" s="532"/>
      <c r="IS80" s="532"/>
      <c r="IT80" s="532"/>
      <c r="IU80" s="532"/>
      <c r="IV80" s="532"/>
      <c r="IW80" s="532"/>
      <c r="IX80" s="532"/>
      <c r="IY80" s="532"/>
      <c r="IZ80" s="532"/>
      <c r="JA80" s="532"/>
      <c r="JB80" s="532"/>
      <c r="JC80" s="532"/>
      <c r="JD80" s="532"/>
      <c r="JE80" s="532"/>
      <c r="JF80" s="532"/>
      <c r="JG80" s="532"/>
      <c r="JH80" s="532"/>
      <c r="JI80" s="532"/>
      <c r="JJ80" s="532"/>
      <c r="JK80" s="532"/>
      <c r="JL80" s="532"/>
    </row>
    <row r="81" spans="1:272" s="1092" customFormat="1" ht="12.75" hidden="1" customHeight="1" outlineLevel="1">
      <c r="A81" s="1082" t="s">
        <v>85</v>
      </c>
      <c r="B81" s="1083"/>
      <c r="C81" s="1084"/>
      <c r="D81" s="1084"/>
      <c r="E81" s="1084"/>
      <c r="F81" s="1085"/>
      <c r="G81" s="1084"/>
      <c r="H81" s="1084"/>
      <c r="I81" s="1084"/>
      <c r="J81" s="1084"/>
      <c r="K81" s="1085"/>
      <c r="L81" s="794"/>
      <c r="M81" s="794"/>
      <c r="N81" s="794"/>
      <c r="O81" s="794"/>
      <c r="P81" s="1085"/>
      <c r="Q81" s="794"/>
      <c r="R81" s="794"/>
      <c r="S81" s="794"/>
      <c r="T81" s="794"/>
      <c r="U81" s="1085"/>
      <c r="V81" s="794"/>
      <c r="W81" s="794"/>
      <c r="X81" s="794"/>
      <c r="Y81" s="794"/>
      <c r="Z81" s="1085"/>
      <c r="AA81" s="794"/>
      <c r="AB81" s="794"/>
      <c r="AC81" s="794"/>
      <c r="AD81" s="794"/>
      <c r="AE81" s="1085"/>
      <c r="AF81" s="794"/>
      <c r="AG81" s="794"/>
      <c r="AH81" s="794"/>
      <c r="AI81" s="794"/>
      <c r="AJ81" s="1085"/>
      <c r="AK81" s="794"/>
      <c r="AL81" s="794"/>
      <c r="AM81" s="794"/>
      <c r="AN81" s="794"/>
      <c r="AO81" s="1085"/>
      <c r="AP81" s="794"/>
      <c r="AQ81" s="794"/>
      <c r="AR81" s="794"/>
      <c r="AS81" s="794"/>
      <c r="AT81" s="1085"/>
      <c r="AU81" s="794"/>
      <c r="AV81" s="794"/>
      <c r="AW81" s="794"/>
      <c r="AX81" s="794"/>
      <c r="AY81" s="1085"/>
      <c r="AZ81" s="794"/>
      <c r="BA81" s="794"/>
      <c r="BB81" s="794"/>
      <c r="BC81" s="794"/>
      <c r="BD81" s="1085"/>
      <c r="BE81" s="794"/>
      <c r="BF81" s="794"/>
      <c r="BG81" s="794"/>
      <c r="BH81" s="794"/>
      <c r="BI81" s="1085"/>
      <c r="BJ81" s="794"/>
      <c r="BK81" s="794"/>
      <c r="BL81" s="794"/>
      <c r="BM81" s="794"/>
      <c r="BN81" s="1085"/>
      <c r="BO81" s="794"/>
      <c r="BP81" s="794"/>
      <c r="BQ81" s="794"/>
      <c r="BR81" s="794"/>
      <c r="BS81" s="1085"/>
      <c r="BT81" s="798"/>
      <c r="BU81" s="798"/>
      <c r="BV81" s="798"/>
      <c r="BW81" s="798"/>
      <c r="BX81" s="1085"/>
      <c r="BY81" s="798"/>
      <c r="BZ81" s="798"/>
      <c r="CA81" s="798"/>
      <c r="CB81" s="1086"/>
      <c r="CC81" s="1085"/>
      <c r="CD81" s="1086"/>
      <c r="CE81" s="1086"/>
      <c r="CF81" s="1086"/>
      <c r="CG81" s="1086"/>
      <c r="CH81" s="1085"/>
      <c r="CI81" s="1086"/>
      <c r="CJ81" s="1086"/>
      <c r="CK81" s="1086"/>
      <c r="CL81" s="1086"/>
      <c r="CM81" s="1085"/>
      <c r="CN81" s="1086"/>
      <c r="CO81" s="1086"/>
      <c r="CP81" s="1086"/>
      <c r="CQ81" s="1087"/>
      <c r="CR81" s="1085"/>
      <c r="CS81" s="1087"/>
      <c r="CT81" s="1087"/>
      <c r="CU81" s="1087"/>
      <c r="CV81" s="798">
        <f>CV80/CQ80-1</f>
        <v>2.0425920501731643E-2</v>
      </c>
      <c r="CW81" s="1085"/>
      <c r="CX81" s="798">
        <f t="shared" ref="CX81:EF81" si="326">CX80/CS80-1</f>
        <v>3.9597367670076711E-2</v>
      </c>
      <c r="CY81" s="798">
        <f t="shared" si="326"/>
        <v>-1.7656002730629505E-2</v>
      </c>
      <c r="CZ81" s="798">
        <f t="shared" si="326"/>
        <v>-5.4897101605430376E-2</v>
      </c>
      <c r="DA81" s="798">
        <f t="shared" si="326"/>
        <v>-9.7594745417858286E-3</v>
      </c>
      <c r="DB81" s="1085">
        <f t="shared" si="326"/>
        <v>-1.2143712088937608E-2</v>
      </c>
      <c r="DC81" s="798">
        <f t="shared" si="326"/>
        <v>-3.3405979137899555E-2</v>
      </c>
      <c r="DD81" s="798">
        <f t="shared" si="326"/>
        <v>-8.0027165329458638E-2</v>
      </c>
      <c r="DE81" s="798">
        <f t="shared" si="326"/>
        <v>-7.6182604376185847E-2</v>
      </c>
      <c r="DF81" s="798">
        <f t="shared" si="326"/>
        <v>-3.1561985796253911E-2</v>
      </c>
      <c r="DG81" s="1085">
        <f t="shared" si="326"/>
        <v>-5.5873570677531736E-2</v>
      </c>
      <c r="DH81" s="798">
        <f t="shared" si="326"/>
        <v>-4.8097278876439331E-2</v>
      </c>
      <c r="DI81" s="798">
        <f t="shared" si="326"/>
        <v>-2.1742862538412733E-2</v>
      </c>
      <c r="DJ81" s="798">
        <f t="shared" si="326"/>
        <v>4.3627039191436845E-2</v>
      </c>
      <c r="DK81" s="798">
        <f t="shared" si="326"/>
        <v>2.3390937662314926E-2</v>
      </c>
      <c r="DL81" s="881">
        <f t="shared" si="326"/>
        <v>-1.1217290244611711E-3</v>
      </c>
      <c r="DM81" s="798">
        <f t="shared" si="326"/>
        <v>5.09885818122644E-2</v>
      </c>
      <c r="DN81" s="798">
        <f t="shared" si="326"/>
        <v>5.4472864475935578E-2</v>
      </c>
      <c r="DO81" s="798">
        <f t="shared" si="326"/>
        <v>8.5645508678577897E-3</v>
      </c>
      <c r="DP81" s="798">
        <f t="shared" si="326"/>
        <v>-1.4228201775514537E-2</v>
      </c>
      <c r="DQ81" s="881">
        <f t="shared" si="326"/>
        <v>2.4406549352054885E-2</v>
      </c>
      <c r="DR81" s="794">
        <f>DR80/DM80-1</f>
        <v>2.3225207091437383E-4</v>
      </c>
      <c r="DS81" s="794">
        <f t="shared" si="326"/>
        <v>5.8415783911527353E-3</v>
      </c>
      <c r="DT81" s="798">
        <f t="shared" si="326"/>
        <v>1.6137812057717582E-2</v>
      </c>
      <c r="DU81" s="798">
        <f t="shared" si="326"/>
        <v>2.0542087718379731E-2</v>
      </c>
      <c r="DV81" s="881">
        <f t="shared" si="326"/>
        <v>1.064985364422677E-2</v>
      </c>
      <c r="DW81" s="794">
        <f t="shared" si="326"/>
        <v>-7.4561403508772717E-3</v>
      </c>
      <c r="DX81" s="794">
        <f t="shared" si="326"/>
        <v>-1.0010341261633693E-3</v>
      </c>
      <c r="DY81" s="798">
        <f t="shared" si="326"/>
        <v>-1.605459220676464E-2</v>
      </c>
      <c r="DZ81" s="798">
        <f t="shared" si="326"/>
        <v>-1.1680404966309843E-2</v>
      </c>
      <c r="EA81" s="881">
        <f t="shared" si="326"/>
        <v>-9.0484794053494744E-3</v>
      </c>
      <c r="EB81" s="794">
        <f t="shared" si="326"/>
        <v>-2.7691854470466959E-2</v>
      </c>
      <c r="EC81" s="794">
        <f>EC80/DX80-1</f>
        <v>-3.4168640376302295E-2</v>
      </c>
      <c r="ED81" s="798">
        <f t="shared" si="326"/>
        <v>0</v>
      </c>
      <c r="EE81" s="1731">
        <v>0</v>
      </c>
      <c r="EF81" s="881">
        <f t="shared" si="326"/>
        <v>-1.5541127103156804E-2</v>
      </c>
      <c r="EG81" s="1731">
        <v>0</v>
      </c>
      <c r="EH81" s="1731">
        <v>-0.05</v>
      </c>
      <c r="EI81" s="1731">
        <v>-0.09</v>
      </c>
      <c r="EJ81" s="1731">
        <v>-0.01</v>
      </c>
      <c r="EK81" s="881">
        <f t="shared" ref="EK81" si="327">EK80/EF80-1</f>
        <v>-3.8231061953580614E-2</v>
      </c>
      <c r="EL81" s="1088"/>
      <c r="EM81" s="1089"/>
      <c r="EN81" s="1089"/>
      <c r="EO81" s="1090"/>
      <c r="EP81" s="1791">
        <v>1.4999999999999999E-2</v>
      </c>
      <c r="EQ81" s="1088"/>
      <c r="ER81" s="1089"/>
      <c r="ES81" s="1089"/>
      <c r="ET81" s="1090"/>
      <c r="EU81" s="1791">
        <v>1.4999999999999999E-2</v>
      </c>
      <c r="EV81" s="1088"/>
      <c r="EW81" s="1089"/>
      <c r="EX81" s="1089"/>
      <c r="EY81" s="1090"/>
      <c r="EZ81" s="1791">
        <v>1.4999999999999999E-2</v>
      </c>
      <c r="FA81" s="1088"/>
      <c r="FB81" s="1089"/>
      <c r="FC81" s="1089"/>
      <c r="FD81" s="1090"/>
      <c r="FE81" s="1791">
        <v>1.4999999999999999E-2</v>
      </c>
      <c r="FF81" s="721"/>
      <c r="FG81" s="690"/>
      <c r="FH81" s="754"/>
      <c r="FI81" s="754"/>
      <c r="FJ81" s="754"/>
      <c r="FK81" s="754"/>
      <c r="FL81" s="690"/>
      <c r="FM81" s="1091"/>
      <c r="FN81" s="708"/>
      <c r="FO81" s="723"/>
      <c r="FP81" s="723"/>
      <c r="FQ81" s="723"/>
      <c r="FR81" s="723"/>
      <c r="FS81" s="723"/>
      <c r="FT81" s="723"/>
      <c r="FU81" s="690"/>
      <c r="FV81"/>
      <c r="FW81"/>
      <c r="FX81"/>
      <c r="FY81"/>
      <c r="FZ81"/>
      <c r="GA81"/>
      <c r="GB81" s="725"/>
    </row>
    <row r="82" spans="1:272" s="799" customFormat="1" ht="12.75" hidden="1" customHeight="1" outlineLevel="1">
      <c r="A82" s="58" t="s">
        <v>291</v>
      </c>
      <c r="B82" s="790"/>
      <c r="C82" s="721"/>
      <c r="D82" s="721"/>
      <c r="E82" s="721"/>
      <c r="F82" s="741"/>
      <c r="G82" s="721"/>
      <c r="H82" s="721"/>
      <c r="I82" s="721"/>
      <c r="J82" s="721"/>
      <c r="K82" s="741"/>
      <c r="L82" s="721"/>
      <c r="M82" s="721"/>
      <c r="N82" s="721"/>
      <c r="O82" s="721"/>
      <c r="P82" s="741"/>
      <c r="Q82" s="721"/>
      <c r="R82" s="721"/>
      <c r="S82" s="721"/>
      <c r="T82" s="721"/>
      <c r="U82" s="741"/>
      <c r="V82" s="721"/>
      <c r="W82" s="721"/>
      <c r="X82" s="721"/>
      <c r="Y82" s="721"/>
      <c r="Z82" s="741"/>
      <c r="AA82" s="721"/>
      <c r="AB82" s="721"/>
      <c r="AC82" s="721"/>
      <c r="AD82" s="721"/>
      <c r="AE82" s="741"/>
      <c r="AF82" s="721"/>
      <c r="AG82" s="721"/>
      <c r="AH82" s="721"/>
      <c r="AI82" s="721"/>
      <c r="AJ82" s="741"/>
      <c r="AK82" s="721"/>
      <c r="AL82" s="721"/>
      <c r="AM82" s="721"/>
      <c r="AN82" s="721"/>
      <c r="AO82" s="741"/>
      <c r="AP82" s="721"/>
      <c r="AQ82" s="721"/>
      <c r="AR82" s="721"/>
      <c r="AS82" s="721"/>
      <c r="AT82" s="741"/>
      <c r="AU82" s="721"/>
      <c r="AV82" s="721"/>
      <c r="AW82" s="721"/>
      <c r="AX82" s="721"/>
      <c r="AY82" s="741"/>
      <c r="AZ82" s="721"/>
      <c r="BA82" s="721"/>
      <c r="BB82" s="721"/>
      <c r="BC82" s="721"/>
      <c r="BD82" s="741"/>
      <c r="BE82" s="721"/>
      <c r="BF82" s="721"/>
      <c r="BG82" s="721"/>
      <c r="BH82" s="721"/>
      <c r="BI82" s="741"/>
      <c r="BJ82" s="721"/>
      <c r="BK82" s="721"/>
      <c r="BL82" s="721"/>
      <c r="BM82" s="721"/>
      <c r="BN82" s="741"/>
      <c r="BO82" s="721"/>
      <c r="BP82" s="721"/>
      <c r="BQ82" s="721"/>
      <c r="BR82" s="721"/>
      <c r="BS82" s="741"/>
      <c r="BT82" s="721"/>
      <c r="BU82" s="721"/>
      <c r="BV82" s="721"/>
      <c r="BW82" s="721"/>
      <c r="BX82" s="741"/>
      <c r="BY82" s="721"/>
      <c r="BZ82" s="721"/>
      <c r="CA82" s="721"/>
      <c r="CB82" s="721"/>
      <c r="CC82" s="741"/>
      <c r="CD82" s="721"/>
      <c r="CE82" s="721"/>
      <c r="CF82" s="721"/>
      <c r="CG82" s="721"/>
      <c r="CH82" s="741"/>
      <c r="CI82" s="721"/>
      <c r="CJ82" s="721"/>
      <c r="CK82" s="721"/>
      <c r="CL82" s="721"/>
      <c r="CM82" s="741"/>
      <c r="CN82" s="721"/>
      <c r="CO82" s="721"/>
      <c r="CP82" s="721"/>
      <c r="CQ82" s="721"/>
      <c r="CR82" s="741"/>
      <c r="CS82" s="721">
        <f>CS80/CW80</f>
        <v>0.23459517578560848</v>
      </c>
      <c r="CT82" s="721">
        <f>CT80/CW80</f>
        <v>0.26151380520560724</v>
      </c>
      <c r="CU82" s="721">
        <f>CU80/CW80</f>
        <v>0.26359523664617696</v>
      </c>
      <c r="CV82" s="721">
        <f>CV80/CW80</f>
        <v>0.24029578236260726</v>
      </c>
      <c r="CW82" s="741"/>
      <c r="CX82" s="721">
        <f>CX80/DB80</f>
        <v>0.24688259840967339</v>
      </c>
      <c r="CY82" s="721">
        <f>CY80/DB80</f>
        <v>0.26005454425970953</v>
      </c>
      <c r="CZ82" s="721">
        <f>CZ80/DB80</f>
        <v>0.25218710981139514</v>
      </c>
      <c r="DA82" s="721">
        <f>DA80/DB80</f>
        <v>0.24087574751922192</v>
      </c>
      <c r="DB82" s="741"/>
      <c r="DC82" s="721">
        <f>DC80/DG80</f>
        <v>0.25275771979918071</v>
      </c>
      <c r="DD82" s="721">
        <f>DD80/DG80</f>
        <v>0.25340156659235602</v>
      </c>
      <c r="DE82" s="721">
        <f>DE80/DG80</f>
        <v>0.24676233156935265</v>
      </c>
      <c r="DF82" s="721">
        <f>DF80/DG80</f>
        <v>0.24707838203911064</v>
      </c>
      <c r="DG82" s="741"/>
      <c r="DH82" s="721">
        <f>DH80/DL80</f>
        <v>0.24087095320118199</v>
      </c>
      <c r="DI82" s="721">
        <f>DI80/DL80</f>
        <v>0.24817027095886296</v>
      </c>
      <c r="DJ82" s="721">
        <f>DJ80/DL80</f>
        <v>0.25781704233909164</v>
      </c>
      <c r="DK82" s="721">
        <f>DK80/DL80</f>
        <v>0.25314173350086344</v>
      </c>
      <c r="DL82" s="741"/>
      <c r="DM82" s="721">
        <f>DM80/DQ80</f>
        <v>0.24712124465115884</v>
      </c>
      <c r="DN82" s="721">
        <f>DN80/DQ80</f>
        <v>0.25545406426899703</v>
      </c>
      <c r="DO82" s="721">
        <f>DO80/DQ80</f>
        <v>0.25383001473123473</v>
      </c>
      <c r="DP82" s="721">
        <f>DP80/DQ80</f>
        <v>0.24359467634860946</v>
      </c>
      <c r="DQ82" s="741"/>
      <c r="DR82" s="743">
        <f>DR80/DV80</f>
        <v>0.24457396216970004</v>
      </c>
      <c r="DS82" s="743">
        <f>DS80/DV80</f>
        <v>0.25423871411474452</v>
      </c>
      <c r="DT82" s="721">
        <f>DT80/DV80</f>
        <v>0.25520834428812111</v>
      </c>
      <c r="DU82" s="721">
        <f>DU80/DV80</f>
        <v>0.24597897942743444</v>
      </c>
      <c r="DV82" s="741"/>
      <c r="DW82" s="743">
        <f>DW80/EA80</f>
        <v>0.24496696290038777</v>
      </c>
      <c r="DX82" s="743">
        <f>DX80/EA80</f>
        <v>0.25630336823471728</v>
      </c>
      <c r="DY82" s="721">
        <f>DY80/EA80</f>
        <v>0.25340399926136137</v>
      </c>
      <c r="DZ82" s="721">
        <f>DZ80/EA80</f>
        <v>0.24532566960353355</v>
      </c>
      <c r="EA82" s="741"/>
      <c r="EB82" s="743">
        <f>EB80/EF80</f>
        <v>0.24194344727962658</v>
      </c>
      <c r="EC82" s="743">
        <f>EC80/EF80</f>
        <v>0.25145370460205041</v>
      </c>
      <c r="ED82" s="721">
        <f>ED80/EF80</f>
        <v>0.25740435302868603</v>
      </c>
      <c r="EE82" s="721">
        <f>EE80/EF80</f>
        <v>0.24919849508963701</v>
      </c>
      <c r="EF82" s="741"/>
      <c r="EG82" s="721">
        <f>EG80/EK80</f>
        <v>0.25156088714101232</v>
      </c>
      <c r="EH82" s="721">
        <f>EH80/EK80</f>
        <v>0.2483767253464973</v>
      </c>
      <c r="EI82" s="721">
        <f>EI80/EK80</f>
        <v>0.24354910206592564</v>
      </c>
      <c r="EJ82" s="721">
        <f>EJ80/EK80</f>
        <v>0.25651328544656476</v>
      </c>
      <c r="EK82" s="741"/>
      <c r="EL82" s="1041"/>
      <c r="EM82" s="721"/>
      <c r="EN82" s="721"/>
      <c r="EO82" s="1042"/>
      <c r="EP82" s="741"/>
      <c r="EQ82" s="1041"/>
      <c r="ER82" s="721"/>
      <c r="ES82" s="721"/>
      <c r="ET82" s="1042"/>
      <c r="EU82" s="741"/>
      <c r="EV82" s="1041"/>
      <c r="EW82" s="721"/>
      <c r="EX82" s="721"/>
      <c r="EY82" s="1042"/>
      <c r="EZ82" s="741"/>
      <c r="FA82" s="1041"/>
      <c r="FB82" s="721"/>
      <c r="FC82" s="721"/>
      <c r="FD82" s="1042"/>
      <c r="FE82" s="741"/>
      <c r="FF82" s="721"/>
      <c r="FG82" s="690"/>
      <c r="FH82" s="955">
        <f>AVERAGE(CI82,CN82,DH82,DM82,DC82,CS82,CX82,CD82,BY82,BT82,DR82,DW82)</f>
        <v>0.24453837384527016</v>
      </c>
      <c r="FI82" s="955">
        <f>AVERAGE(CJ82,CO82,DI82,DN82,DD82,CT82,CY82,CE82,BZ82,BU82,DS82,DX82)</f>
        <v>0.25559090480499924</v>
      </c>
      <c r="FJ82" s="955">
        <f>AVERAGE(CK82,CP82,DJ82,DO82,DE82,CU82,CZ82,CF82,CA82,BV82,DT82,DY82)</f>
        <v>0.25468629694953338</v>
      </c>
      <c r="FK82" s="955">
        <f>AVERAGE(CL82,CQ82,DK82,DP82,DF82,CV82,DA82,CG82,CB82,BW82,DU82,DZ82)</f>
        <v>0.24518442440019728</v>
      </c>
      <c r="FL82" s="690"/>
      <c r="FM82" s="708"/>
      <c r="FN82" s="708"/>
      <c r="FO82" s="723"/>
      <c r="FP82" s="723"/>
      <c r="FQ82" s="723"/>
      <c r="FR82" s="723"/>
      <c r="FS82" s="723"/>
      <c r="FT82" s="723"/>
      <c r="FU82" s="690"/>
      <c r="FV82"/>
      <c r="FW82"/>
      <c r="FX82"/>
      <c r="FY82"/>
      <c r="FZ82"/>
      <c r="GA82"/>
      <c r="GB82" s="949"/>
      <c r="GC82" s="950"/>
      <c r="GD82" s="950"/>
      <c r="GE82" s="950"/>
      <c r="GF82" s="950"/>
      <c r="GG82" s="950"/>
      <c r="GH82" s="950"/>
      <c r="GI82" s="950"/>
      <c r="GJ82" s="950"/>
      <c r="GK82" s="950"/>
      <c r="GL82" s="950"/>
      <c r="GM82" s="950"/>
      <c r="GN82" s="950"/>
      <c r="GO82" s="950"/>
      <c r="GP82" s="950"/>
      <c r="GQ82" s="950"/>
      <c r="GR82" s="950"/>
      <c r="GS82" s="950"/>
      <c r="GT82" s="950"/>
      <c r="GU82" s="950"/>
      <c r="GV82" s="950"/>
      <c r="GW82" s="950"/>
      <c r="GX82" s="950"/>
      <c r="GY82" s="950"/>
      <c r="GZ82" s="950"/>
      <c r="HA82" s="950"/>
      <c r="HB82" s="950"/>
      <c r="HC82" s="950"/>
      <c r="HD82" s="950"/>
      <c r="HE82" s="950"/>
      <c r="HF82" s="950"/>
      <c r="HG82" s="950"/>
      <c r="HH82" s="950"/>
      <c r="HI82" s="950"/>
      <c r="HJ82" s="950"/>
      <c r="HK82" s="950"/>
      <c r="HL82" s="950"/>
      <c r="HM82" s="950"/>
      <c r="HN82" s="950"/>
      <c r="HO82" s="950"/>
      <c r="HP82" s="950"/>
      <c r="HQ82" s="950"/>
      <c r="HR82" s="950"/>
      <c r="HS82" s="950"/>
      <c r="HT82" s="950"/>
      <c r="HU82" s="950"/>
      <c r="HV82" s="950"/>
      <c r="HW82" s="950"/>
      <c r="HX82" s="950"/>
      <c r="HY82" s="950"/>
      <c r="HZ82" s="950"/>
      <c r="IA82" s="950"/>
      <c r="IB82" s="950"/>
      <c r="IC82" s="950"/>
      <c r="ID82" s="950"/>
      <c r="IE82" s="950"/>
      <c r="IF82" s="950"/>
      <c r="IG82" s="950"/>
      <c r="IH82" s="950"/>
      <c r="II82" s="950"/>
      <c r="IJ82" s="950"/>
      <c r="IK82" s="950"/>
      <c r="IL82" s="950"/>
      <c r="IM82" s="950"/>
      <c r="IN82" s="950"/>
      <c r="IO82" s="950"/>
      <c r="IP82" s="950"/>
      <c r="IQ82" s="950"/>
      <c r="IR82" s="950"/>
      <c r="IS82" s="950"/>
      <c r="IT82" s="950"/>
      <c r="IU82" s="950"/>
      <c r="IV82" s="950"/>
      <c r="IW82" s="950"/>
      <c r="IX82" s="950"/>
      <c r="IY82" s="950"/>
      <c r="IZ82" s="950"/>
      <c r="JA82" s="950"/>
      <c r="JB82" s="950"/>
      <c r="JC82" s="950"/>
      <c r="JD82" s="950"/>
      <c r="JE82" s="950"/>
      <c r="JF82" s="950"/>
      <c r="JG82" s="950"/>
      <c r="JH82" s="950"/>
      <c r="JI82" s="950"/>
      <c r="JJ82" s="950"/>
      <c r="JK82" s="950"/>
      <c r="JL82" s="950"/>
    </row>
    <row r="83" spans="1:272" s="811" customFormat="1" ht="12.75" hidden="1" customHeight="1" outlineLevel="1">
      <c r="A83" s="1093" t="s">
        <v>316</v>
      </c>
      <c r="B83" s="1094"/>
      <c r="C83" s="1095"/>
      <c r="D83" s="1095"/>
      <c r="E83" s="1095"/>
      <c r="F83" s="1096"/>
      <c r="G83" s="1097"/>
      <c r="H83" s="1097"/>
      <c r="I83" s="1097"/>
      <c r="J83" s="1097"/>
      <c r="K83" s="1096"/>
      <c r="L83" s="1097"/>
      <c r="M83" s="1097"/>
      <c r="N83" s="1097"/>
      <c r="O83" s="1097"/>
      <c r="P83" s="1096"/>
      <c r="Q83" s="1097"/>
      <c r="R83" s="1097"/>
      <c r="S83" s="1097"/>
      <c r="T83" s="1097"/>
      <c r="U83" s="1096"/>
      <c r="V83" s="1097"/>
      <c r="W83" s="1097"/>
      <c r="X83" s="1097"/>
      <c r="Y83" s="1097"/>
      <c r="Z83" s="1096"/>
      <c r="AA83" s="1097"/>
      <c r="AB83" s="1097"/>
      <c r="AC83" s="1097"/>
      <c r="AD83" s="1097"/>
      <c r="AE83" s="1096"/>
      <c r="AF83" s="1097"/>
      <c r="AG83" s="1097"/>
      <c r="AH83" s="1097"/>
      <c r="AI83" s="1097"/>
      <c r="AJ83" s="1096"/>
      <c r="AK83" s="1098"/>
      <c r="AL83" s="1097"/>
      <c r="AM83" s="1097"/>
      <c r="AN83" s="1097"/>
      <c r="AO83" s="1096"/>
      <c r="AP83" s="1098"/>
      <c r="AQ83" s="1097"/>
      <c r="AR83" s="1097"/>
      <c r="AS83" s="1097"/>
      <c r="AT83" s="1096"/>
      <c r="AU83" s="1098"/>
      <c r="AV83" s="1097"/>
      <c r="AW83" s="1097"/>
      <c r="AX83" s="1097"/>
      <c r="AY83" s="1096"/>
      <c r="AZ83" s="1098"/>
      <c r="BA83" s="1097"/>
      <c r="BB83" s="1097"/>
      <c r="BC83" s="1097"/>
      <c r="BD83" s="1096"/>
      <c r="BE83" s="1098"/>
      <c r="BF83" s="1097"/>
      <c r="BG83" s="1097"/>
      <c r="BH83" s="1097"/>
      <c r="BI83" s="1096"/>
      <c r="BJ83" s="1098"/>
      <c r="BK83" s="1097"/>
      <c r="BL83" s="1097"/>
      <c r="BM83" s="1097"/>
      <c r="BN83" s="1096"/>
      <c r="BO83" s="1098"/>
      <c r="BP83" s="1097"/>
      <c r="BQ83" s="1097"/>
      <c r="BR83" s="1097"/>
      <c r="BS83" s="1096"/>
      <c r="BT83" s="1098"/>
      <c r="BU83" s="1097"/>
      <c r="BV83" s="1097"/>
      <c r="BW83" s="1097"/>
      <c r="BX83" s="1096"/>
      <c r="BY83" s="1098"/>
      <c r="BZ83" s="1097"/>
      <c r="CA83" s="1097"/>
      <c r="CB83" s="1097"/>
      <c r="CC83" s="1096"/>
      <c r="CD83" s="1098"/>
      <c r="CE83" s="1098"/>
      <c r="CF83" s="1098"/>
      <c r="CG83" s="1098"/>
      <c r="CH83" s="1096"/>
      <c r="CI83" s="1098"/>
      <c r="CJ83" s="1098"/>
      <c r="CK83" s="1098"/>
      <c r="CL83" s="1098"/>
      <c r="CM83" s="1096"/>
      <c r="CN83" s="1097"/>
      <c r="CO83" s="1097"/>
      <c r="CP83" s="1097"/>
      <c r="CQ83" s="1097">
        <f>CQ80*1000000/CQ96</f>
        <v>43071.614100185529</v>
      </c>
      <c r="CR83" s="1096"/>
      <c r="CS83" s="1097">
        <f t="shared" ref="CS83:EB83" si="328">CS80*1000000/CS96</f>
        <v>42498.713708195515</v>
      </c>
      <c r="CT83" s="1097">
        <f t="shared" si="328"/>
        <v>46378.125562151457</v>
      </c>
      <c r="CU83" s="1097">
        <f t="shared" si="328"/>
        <v>45614.885027207303</v>
      </c>
      <c r="CV83" s="1097">
        <f t="shared" si="328"/>
        <v>40509.233926128589</v>
      </c>
      <c r="CW83" s="1096">
        <f t="shared" si="328"/>
        <v>174906.41355451077</v>
      </c>
      <c r="CX83" s="1097">
        <f t="shared" si="328"/>
        <v>40593.618098936349</v>
      </c>
      <c r="CY83" s="1097">
        <f t="shared" si="328"/>
        <v>43456.417295813313</v>
      </c>
      <c r="CZ83" s="1097">
        <f t="shared" si="328"/>
        <v>43616.05398685846</v>
      </c>
      <c r="DA83" s="1097">
        <f t="shared" si="328"/>
        <v>42435.962373371927</v>
      </c>
      <c r="DB83" s="1096">
        <f t="shared" si="328"/>
        <v>170037.18900043648</v>
      </c>
      <c r="DC83" s="1097">
        <f t="shared" si="328"/>
        <v>42018.441511480742</v>
      </c>
      <c r="DD83" s="1097">
        <f t="shared" si="328"/>
        <v>42440.072859744992</v>
      </c>
      <c r="DE83" s="1097">
        <f t="shared" si="328"/>
        <v>41784.788213627995</v>
      </c>
      <c r="DF83" s="1097">
        <f t="shared" si="328"/>
        <v>42195.765230312034</v>
      </c>
      <c r="DG83" s="1096">
        <f t="shared" si="328"/>
        <v>168440.28394779025</v>
      </c>
      <c r="DH83" s="1097">
        <f t="shared" si="328"/>
        <v>41250.419541301511</v>
      </c>
      <c r="DI83" s="1097">
        <f t="shared" si="328"/>
        <v>42334.695393759284</v>
      </c>
      <c r="DJ83" s="1097">
        <f t="shared" si="328"/>
        <v>43817.542561065879</v>
      </c>
      <c r="DK83" s="1097">
        <f t="shared" si="328"/>
        <v>42691.149467499083</v>
      </c>
      <c r="DL83" s="1096">
        <f t="shared" si="328"/>
        <v>170105.4776126314</v>
      </c>
      <c r="DM83" s="1097">
        <f t="shared" si="328"/>
        <v>42381.69886985053</v>
      </c>
      <c r="DN83" s="1097">
        <f t="shared" si="328"/>
        <v>43866.764008030659</v>
      </c>
      <c r="DO83" s="1097">
        <f t="shared" si="328"/>
        <v>43437.249909057842</v>
      </c>
      <c r="DP83" s="1097">
        <f t="shared" si="328"/>
        <v>41466.980278632167</v>
      </c>
      <c r="DQ83" s="1096">
        <f t="shared" si="328"/>
        <v>171142.88312869487</v>
      </c>
      <c r="DR83" s="1099">
        <f t="shared" si="328"/>
        <v>41834.862385321103</v>
      </c>
      <c r="DS83" s="1099">
        <f t="shared" si="328"/>
        <v>43115.748171927946</v>
      </c>
      <c r="DT83" s="1099">
        <f t="shared" si="328"/>
        <v>42897.64893052855</v>
      </c>
      <c r="DU83" s="1097">
        <f t="shared" si="328"/>
        <v>41019.992984917575</v>
      </c>
      <c r="DV83" s="1096">
        <f t="shared" si="328"/>
        <v>168857.35849056602</v>
      </c>
      <c r="DW83" s="1099">
        <f t="shared" si="328"/>
        <v>40297.83519553073</v>
      </c>
      <c r="DX83" s="1099">
        <f t="shared" si="328"/>
        <v>42177.436255675864</v>
      </c>
      <c r="DY83" s="1099">
        <f t="shared" si="328"/>
        <v>41809.840658378569</v>
      </c>
      <c r="DZ83" s="1097">
        <f t="shared" si="328"/>
        <v>40626.362038664323</v>
      </c>
      <c r="EA83" s="1096">
        <f t="shared" si="328"/>
        <v>164913.41063224679</v>
      </c>
      <c r="EB83" s="1099">
        <f t="shared" si="328"/>
        <v>39443.585237258347</v>
      </c>
      <c r="EC83" s="1099">
        <f>EC80*1000000/EC96</f>
        <v>41008.438818565402</v>
      </c>
      <c r="ED83" s="1099"/>
      <c r="EE83" s="1100"/>
      <c r="EF83" s="1096"/>
      <c r="EG83" s="1100"/>
      <c r="EH83" s="1100"/>
      <c r="EI83" s="1100"/>
      <c r="EJ83" s="1100"/>
      <c r="EK83" s="1096"/>
      <c r="EL83" s="1101"/>
      <c r="EM83" s="1097"/>
      <c r="EN83" s="1097"/>
      <c r="EO83" s="1102"/>
      <c r="EP83" s="1096"/>
      <c r="EQ83" s="1101"/>
      <c r="ER83" s="1097"/>
      <c r="ES83" s="1097"/>
      <c r="ET83" s="1102"/>
      <c r="EU83" s="1096"/>
      <c r="EV83" s="1101"/>
      <c r="EW83" s="1097"/>
      <c r="EX83" s="1097"/>
      <c r="EY83" s="1102"/>
      <c r="EZ83" s="1096"/>
      <c r="FA83" s="1101"/>
      <c r="FB83" s="1097"/>
      <c r="FC83" s="1097"/>
      <c r="FD83" s="1102"/>
      <c r="FE83" s="1096"/>
      <c r="FF83" s="938"/>
      <c r="FG83" s="690"/>
      <c r="FH83" s="754"/>
      <c r="FI83" s="754"/>
      <c r="FJ83" s="754"/>
      <c r="FK83" s="754"/>
      <c r="FL83" s="690"/>
      <c r="FM83" s="747"/>
      <c r="FN83" s="940"/>
      <c r="FO83" s="941"/>
      <c r="FP83" s="941"/>
      <c r="FQ83" s="941"/>
      <c r="FR83" s="941"/>
      <c r="FS83" s="941"/>
      <c r="FT83" s="941"/>
      <c r="FU83" s="690"/>
      <c r="FV83"/>
      <c r="FW83"/>
      <c r="FX83"/>
      <c r="FY83"/>
      <c r="FZ83"/>
      <c r="GA83"/>
      <c r="GB83" s="964"/>
      <c r="GC83" s="965"/>
      <c r="GD83" s="965"/>
      <c r="GE83" s="965"/>
      <c r="GF83" s="965"/>
      <c r="GG83" s="965"/>
      <c r="GH83" s="965"/>
      <c r="GI83" s="965"/>
      <c r="GJ83" s="965"/>
      <c r="GK83" s="965"/>
      <c r="GL83" s="965"/>
      <c r="GM83" s="965"/>
      <c r="GN83" s="965"/>
      <c r="GO83" s="965"/>
      <c r="GP83" s="965"/>
      <c r="GQ83" s="965"/>
      <c r="GR83" s="965"/>
      <c r="GS83" s="965"/>
      <c r="GT83" s="965"/>
      <c r="GU83" s="965"/>
      <c r="GV83" s="965"/>
      <c r="GW83" s="965"/>
      <c r="GX83" s="965"/>
      <c r="GY83" s="965"/>
      <c r="GZ83" s="965"/>
      <c r="HA83" s="965"/>
      <c r="HB83" s="965"/>
      <c r="HC83" s="965"/>
      <c r="HD83" s="965"/>
      <c r="HE83" s="965"/>
      <c r="HF83" s="965"/>
      <c r="HG83" s="965"/>
      <c r="HH83" s="965"/>
      <c r="HI83" s="965"/>
      <c r="HJ83" s="965"/>
      <c r="HK83" s="965"/>
      <c r="HL83" s="965"/>
      <c r="HM83" s="965"/>
      <c r="HN83" s="965"/>
      <c r="HO83" s="965"/>
      <c r="HP83" s="965"/>
      <c r="HQ83" s="965"/>
      <c r="HR83" s="965"/>
      <c r="HS83" s="965"/>
      <c r="HT83" s="965"/>
      <c r="HU83" s="965"/>
      <c r="HV83" s="965"/>
      <c r="HW83" s="965"/>
      <c r="HX83" s="965"/>
      <c r="HY83" s="965"/>
      <c r="HZ83" s="965"/>
      <c r="IA83" s="965"/>
      <c r="IB83" s="965"/>
      <c r="IC83" s="965"/>
      <c r="ID83" s="965"/>
      <c r="IE83" s="965"/>
      <c r="IF83" s="965"/>
      <c r="IG83" s="965"/>
      <c r="IH83" s="965"/>
      <c r="II83" s="965"/>
      <c r="IJ83" s="965"/>
      <c r="IK83" s="965"/>
      <c r="IL83" s="965"/>
      <c r="IM83" s="965"/>
      <c r="IN83" s="965"/>
      <c r="IO83" s="965"/>
      <c r="IP83" s="965"/>
      <c r="IQ83" s="965"/>
      <c r="IR83" s="965"/>
      <c r="IS83" s="965"/>
      <c r="IT83" s="965"/>
      <c r="IU83" s="965"/>
      <c r="IV83" s="965"/>
      <c r="IW83" s="965"/>
      <c r="IX83" s="965"/>
      <c r="IY83" s="965"/>
      <c r="IZ83" s="965"/>
      <c r="JA83" s="965"/>
      <c r="JB83" s="965"/>
      <c r="JC83" s="965"/>
      <c r="JD83" s="965"/>
      <c r="JE83" s="965"/>
      <c r="JF83" s="965"/>
      <c r="JG83" s="965"/>
      <c r="JH83" s="965"/>
      <c r="JI83" s="965"/>
      <c r="JJ83" s="965"/>
      <c r="JK83" s="965"/>
      <c r="JL83" s="965"/>
    </row>
    <row r="84" spans="1:272" s="749" customFormat="1" ht="12.75" hidden="1" customHeight="1" outlineLevel="1">
      <c r="A84" s="1103" t="s">
        <v>85</v>
      </c>
      <c r="B84" s="815"/>
      <c r="C84" s="815"/>
      <c r="D84" s="815"/>
      <c r="E84" s="815"/>
      <c r="F84" s="816"/>
      <c r="G84" s="817"/>
      <c r="H84" s="817"/>
      <c r="I84" s="817"/>
      <c r="J84" s="817"/>
      <c r="K84" s="816"/>
      <c r="L84" s="817"/>
      <c r="M84" s="817"/>
      <c r="N84" s="817"/>
      <c r="O84" s="817"/>
      <c r="P84" s="816"/>
      <c r="Q84" s="817"/>
      <c r="R84" s="817"/>
      <c r="S84" s="817"/>
      <c r="T84" s="817"/>
      <c r="U84" s="816"/>
      <c r="V84" s="817"/>
      <c r="W84" s="817"/>
      <c r="X84" s="817"/>
      <c r="Y84" s="817"/>
      <c r="Z84" s="816"/>
      <c r="AA84" s="817"/>
      <c r="AB84" s="817"/>
      <c r="AC84" s="817"/>
      <c r="AD84" s="817"/>
      <c r="AE84" s="816"/>
      <c r="AF84" s="817"/>
      <c r="AG84" s="817"/>
      <c r="AH84" s="817"/>
      <c r="AI84" s="817"/>
      <c r="AJ84" s="816"/>
      <c r="AK84" s="817"/>
      <c r="AL84" s="817"/>
      <c r="AM84" s="817"/>
      <c r="AN84" s="817"/>
      <c r="AO84" s="816"/>
      <c r="AP84" s="817"/>
      <c r="AQ84" s="817"/>
      <c r="AR84" s="817"/>
      <c r="AS84" s="817"/>
      <c r="AT84" s="816"/>
      <c r="AU84" s="817"/>
      <c r="AV84" s="817"/>
      <c r="AW84" s="817"/>
      <c r="AX84" s="817"/>
      <c r="AY84" s="816"/>
      <c r="AZ84" s="817"/>
      <c r="BA84" s="817"/>
      <c r="BB84" s="817"/>
      <c r="BC84" s="817"/>
      <c r="BD84" s="816"/>
      <c r="BE84" s="817"/>
      <c r="BF84" s="817"/>
      <c r="BG84" s="817"/>
      <c r="BH84" s="817"/>
      <c r="BI84" s="816"/>
      <c r="BJ84" s="817"/>
      <c r="BK84" s="817"/>
      <c r="BL84" s="817"/>
      <c r="BM84" s="817"/>
      <c r="BN84" s="816"/>
      <c r="BO84" s="817"/>
      <c r="BP84" s="817"/>
      <c r="BQ84" s="817"/>
      <c r="BR84" s="817"/>
      <c r="BS84" s="816"/>
      <c r="BT84" s="817"/>
      <c r="BU84" s="817"/>
      <c r="BV84" s="817"/>
      <c r="BW84" s="817"/>
      <c r="BX84" s="816"/>
      <c r="BY84" s="817"/>
      <c r="BZ84" s="817"/>
      <c r="CA84" s="817"/>
      <c r="CB84" s="817"/>
      <c r="CC84" s="816"/>
      <c r="CD84" s="817"/>
      <c r="CE84" s="817"/>
      <c r="CF84" s="817"/>
      <c r="CG84" s="817"/>
      <c r="CH84" s="816"/>
      <c r="CI84" s="817"/>
      <c r="CJ84" s="817"/>
      <c r="CK84" s="817"/>
      <c r="CL84" s="817"/>
      <c r="CM84" s="816"/>
      <c r="CN84" s="817"/>
      <c r="CO84" s="817"/>
      <c r="CP84" s="817"/>
      <c r="CQ84" s="1104"/>
      <c r="CR84" s="816"/>
      <c r="CS84" s="1104"/>
      <c r="CT84" s="1104"/>
      <c r="CU84" s="1104"/>
      <c r="CV84" s="721">
        <f>CV83/CQ83-1</f>
        <v>-5.9491157403499861E-2</v>
      </c>
      <c r="CW84" s="816"/>
      <c r="CX84" s="721">
        <f t="shared" ref="CX84:EB84" si="329">CX83/CS83-1</f>
        <v>-4.4827135765565185E-2</v>
      </c>
      <c r="CY84" s="721">
        <f t="shared" si="329"/>
        <v>-6.2997549619006388E-2</v>
      </c>
      <c r="CZ84" s="721">
        <f t="shared" si="329"/>
        <v>-4.3819710148488289E-2</v>
      </c>
      <c r="DA84" s="721">
        <f t="shared" si="329"/>
        <v>4.7562697698921186E-2</v>
      </c>
      <c r="DB84" s="816">
        <f t="shared" si="329"/>
        <v>-2.7839028055748005E-2</v>
      </c>
      <c r="DC84" s="721">
        <f t="shared" si="329"/>
        <v>3.5099690031860531E-2</v>
      </c>
      <c r="DD84" s="721">
        <f t="shared" si="329"/>
        <v>-2.3387672047374131E-2</v>
      </c>
      <c r="DE84" s="721">
        <f t="shared" si="329"/>
        <v>-4.1986048847569402E-2</v>
      </c>
      <c r="DF84" s="721">
        <f t="shared" si="329"/>
        <v>-5.6602261295861656E-3</v>
      </c>
      <c r="DG84" s="816">
        <f t="shared" si="329"/>
        <v>-9.3915046586787732E-3</v>
      </c>
      <c r="DH84" s="721">
        <f t="shared" si="329"/>
        <v>-1.8278211722093096E-2</v>
      </c>
      <c r="DI84" s="721">
        <f t="shared" si="329"/>
        <v>-2.4829709019105195E-3</v>
      </c>
      <c r="DJ84" s="721">
        <f t="shared" si="329"/>
        <v>4.8648190749352782E-2</v>
      </c>
      <c r="DK84" s="721">
        <f t="shared" si="329"/>
        <v>1.1740141089589207E-2</v>
      </c>
      <c r="DL84" s="741">
        <f>DL83/DG83-1</f>
        <v>9.8859585475248313E-3</v>
      </c>
      <c r="DM84" s="721">
        <f t="shared" si="329"/>
        <v>2.7424674491282053E-2</v>
      </c>
      <c r="DN84" s="721">
        <f t="shared" si="329"/>
        <v>3.6189432804971222E-2</v>
      </c>
      <c r="DO84" s="721">
        <f t="shared" si="329"/>
        <v>-8.6790045671329974E-3</v>
      </c>
      <c r="DP84" s="721">
        <f t="shared" si="329"/>
        <v>-2.8675011194038702E-2</v>
      </c>
      <c r="DQ84" s="741">
        <f t="shared" si="329"/>
        <v>6.0986014714110581E-3</v>
      </c>
      <c r="DR84" s="743">
        <f t="shared" si="329"/>
        <v>-1.2902656078245034E-2</v>
      </c>
      <c r="DS84" s="743">
        <f t="shared" si="329"/>
        <v>-1.7120383805042549E-2</v>
      </c>
      <c r="DT84" s="721">
        <f t="shared" si="329"/>
        <v>-1.2422540093100398E-2</v>
      </c>
      <c r="DU84" s="721">
        <f t="shared" si="329"/>
        <v>-1.0779354819451914E-2</v>
      </c>
      <c r="DV84" s="741">
        <f t="shared" si="329"/>
        <v>-1.3354482502262122E-2</v>
      </c>
      <c r="DW84" s="743">
        <f t="shared" si="329"/>
        <v>-3.6740342913848867E-2</v>
      </c>
      <c r="DX84" s="743">
        <f t="shared" si="329"/>
        <v>-2.1762626326475409E-2</v>
      </c>
      <c r="DY84" s="721">
        <f t="shared" si="329"/>
        <v>-2.5358225899784204E-2</v>
      </c>
      <c r="DZ84" s="721">
        <f t="shared" si="329"/>
        <v>-9.5960754161509287E-3</v>
      </c>
      <c r="EA84" s="741">
        <f t="shared" si="329"/>
        <v>-2.3356683378057186E-2</v>
      </c>
      <c r="EB84" s="743">
        <f t="shared" si="329"/>
        <v>-2.1198408155858606E-2</v>
      </c>
      <c r="EC84" s="743">
        <f>EC83/DX83-1</f>
        <v>-2.7716180519463118E-2</v>
      </c>
      <c r="ED84" s="721"/>
      <c r="EE84" s="1105"/>
      <c r="EF84" s="741"/>
      <c r="EG84" s="1105"/>
      <c r="EH84" s="1105"/>
      <c r="EI84" s="1105"/>
      <c r="EJ84" s="1105"/>
      <c r="EK84" s="741"/>
      <c r="EL84" s="884"/>
      <c r="EM84" s="882"/>
      <c r="EN84" s="882"/>
      <c r="EO84" s="883"/>
      <c r="EP84" s="753"/>
      <c r="EQ84" s="884"/>
      <c r="ER84" s="882"/>
      <c r="ES84" s="882"/>
      <c r="ET84" s="883"/>
      <c r="EU84" s="753"/>
      <c r="EV84" s="884"/>
      <c r="EW84" s="882"/>
      <c r="EX84" s="882"/>
      <c r="EY84" s="883"/>
      <c r="EZ84" s="753"/>
      <c r="FA84" s="884"/>
      <c r="FB84" s="882"/>
      <c r="FC84" s="882"/>
      <c r="FD84" s="883"/>
      <c r="FE84" s="753"/>
      <c r="FF84" s="721"/>
      <c r="FG84" s="690"/>
      <c r="FH84" s="754"/>
      <c r="FI84" s="754"/>
      <c r="FJ84" s="754"/>
      <c r="FK84" s="754"/>
      <c r="FL84" s="690"/>
      <c r="FM84" s="1091"/>
      <c r="FN84" s="708"/>
      <c r="FO84" s="723"/>
      <c r="FP84" s="723"/>
      <c r="FQ84" s="723"/>
      <c r="FR84" s="723"/>
      <c r="FS84" s="723"/>
      <c r="FT84" s="723"/>
      <c r="FU84" s="690"/>
      <c r="FV84"/>
      <c r="FW84"/>
      <c r="FX84"/>
      <c r="FY84"/>
      <c r="FZ84"/>
      <c r="GA84"/>
      <c r="GB84" s="725"/>
      <c r="GC84" s="532"/>
      <c r="GD84" s="532"/>
      <c r="GE84" s="532"/>
      <c r="GF84" s="532"/>
      <c r="GG84" s="532"/>
      <c r="GH84" s="532"/>
      <c r="GI84" s="532"/>
      <c r="GJ84" s="532"/>
      <c r="GK84" s="532"/>
      <c r="GL84" s="532"/>
      <c r="GM84" s="532"/>
      <c r="GN84" s="532"/>
      <c r="GO84" s="532"/>
      <c r="GP84" s="532"/>
      <c r="GQ84" s="532"/>
      <c r="GR84" s="532"/>
      <c r="GS84" s="532"/>
      <c r="GT84" s="532"/>
      <c r="GU84" s="532"/>
      <c r="GV84" s="532"/>
      <c r="GW84" s="532"/>
      <c r="GX84" s="532"/>
      <c r="GY84" s="532"/>
      <c r="GZ84" s="532"/>
      <c r="HA84" s="532"/>
      <c r="HB84" s="532"/>
      <c r="HC84" s="532"/>
      <c r="HD84" s="532"/>
      <c r="HE84" s="532"/>
      <c r="HF84" s="532"/>
      <c r="HG84" s="532"/>
      <c r="HH84" s="532"/>
      <c r="HI84" s="532"/>
      <c r="HJ84" s="532"/>
      <c r="HK84" s="532"/>
      <c r="HL84" s="532"/>
      <c r="HM84" s="532"/>
      <c r="HN84" s="532"/>
      <c r="HO84" s="532"/>
      <c r="HP84" s="532"/>
      <c r="HQ84" s="532"/>
      <c r="HR84" s="532"/>
      <c r="HS84" s="532"/>
      <c r="HT84" s="532"/>
      <c r="HU84" s="532"/>
      <c r="HV84" s="532"/>
      <c r="HW84" s="532"/>
      <c r="HX84" s="532"/>
      <c r="HY84" s="532"/>
      <c r="HZ84" s="532"/>
      <c r="IA84" s="532"/>
      <c r="IB84" s="532"/>
      <c r="IC84" s="532"/>
      <c r="ID84" s="532"/>
      <c r="IE84" s="532"/>
      <c r="IF84" s="532"/>
      <c r="IG84" s="532"/>
      <c r="IH84" s="532"/>
      <c r="II84" s="532"/>
      <c r="IJ84" s="532"/>
      <c r="IK84" s="532"/>
      <c r="IL84" s="532"/>
      <c r="IM84" s="532"/>
      <c r="IN84" s="532"/>
      <c r="IO84" s="532"/>
      <c r="IP84" s="532"/>
      <c r="IQ84" s="532"/>
      <c r="IR84" s="532"/>
      <c r="IS84" s="532"/>
      <c r="IT84" s="532"/>
      <c r="IU84" s="532"/>
      <c r="IV84" s="532"/>
      <c r="IW84" s="532"/>
      <c r="IX84" s="532"/>
      <c r="IY84" s="532"/>
      <c r="IZ84" s="532"/>
      <c r="JA84" s="532"/>
      <c r="JB84" s="532"/>
      <c r="JC84" s="532"/>
      <c r="JD84" s="532"/>
      <c r="JE84" s="532"/>
      <c r="JF84" s="532"/>
      <c r="JG84" s="532"/>
      <c r="JH84" s="532"/>
      <c r="JI84" s="532"/>
      <c r="JJ84" s="532"/>
      <c r="JK84" s="532"/>
      <c r="JL84" s="532"/>
    </row>
    <row r="85" spans="1:272" s="1119" customFormat="1" ht="12.75" hidden="1" customHeight="1" outlineLevel="1">
      <c r="A85" s="76" t="s">
        <v>290</v>
      </c>
      <c r="B85" s="1106"/>
      <c r="C85" s="1107"/>
      <c r="D85" s="1107"/>
      <c r="E85" s="1107"/>
      <c r="F85" s="1108"/>
      <c r="G85" s="1107"/>
      <c r="H85" s="1107"/>
      <c r="I85" s="1107"/>
      <c r="J85" s="1107"/>
      <c r="K85" s="1108"/>
      <c r="L85" s="1107"/>
      <c r="M85" s="1107"/>
      <c r="N85" s="1107"/>
      <c r="O85" s="1107"/>
      <c r="P85" s="1108"/>
      <c r="Q85" s="1107"/>
      <c r="R85" s="1107"/>
      <c r="S85" s="1107"/>
      <c r="T85" s="1107"/>
      <c r="U85" s="1108"/>
      <c r="V85" s="1109"/>
      <c r="W85" s="1109"/>
      <c r="X85" s="1110"/>
      <c r="Y85" s="1109"/>
      <c r="Z85" s="1108"/>
      <c r="AA85" s="1109"/>
      <c r="AB85" s="1109"/>
      <c r="AC85" s="1110"/>
      <c r="AD85" s="1109"/>
      <c r="AE85" s="1108"/>
      <c r="AF85" s="1109"/>
      <c r="AG85" s="1109"/>
      <c r="AH85" s="1110"/>
      <c r="AI85" s="1109"/>
      <c r="AJ85" s="1108"/>
      <c r="AK85" s="1109"/>
      <c r="AL85" s="1109"/>
      <c r="AM85" s="1110"/>
      <c r="AN85" s="1109"/>
      <c r="AO85" s="1108"/>
      <c r="AP85" s="1111"/>
      <c r="AQ85" s="1111"/>
      <c r="AR85" s="1111"/>
      <c r="AS85" s="1111"/>
      <c r="AT85" s="1108"/>
      <c r="AU85" s="1111"/>
      <c r="AV85" s="1111"/>
      <c r="AW85" s="1111"/>
      <c r="AX85" s="1111"/>
      <c r="AY85" s="1108"/>
      <c r="AZ85" s="1111"/>
      <c r="BA85" s="1111"/>
      <c r="BB85" s="1111"/>
      <c r="BC85" s="1111"/>
      <c r="BD85" s="1108"/>
      <c r="BE85" s="1111"/>
      <c r="BF85" s="1111"/>
      <c r="BG85" s="1111"/>
      <c r="BH85" s="1111"/>
      <c r="BI85" s="1108"/>
      <c r="BJ85" s="1111"/>
      <c r="BK85" s="1111"/>
      <c r="BL85" s="1111"/>
      <c r="BM85" s="1111"/>
      <c r="BN85" s="1108"/>
      <c r="BO85" s="1111"/>
      <c r="BP85" s="1111"/>
      <c r="BQ85" s="1111"/>
      <c r="BR85" s="1111"/>
      <c r="BS85" s="1108"/>
      <c r="BT85" s="1111"/>
      <c r="BU85" s="1111"/>
      <c r="BV85" s="1111"/>
      <c r="BW85" s="1111"/>
      <c r="BX85" s="1108"/>
      <c r="BY85" s="1111"/>
      <c r="BZ85" s="1111"/>
      <c r="CA85" s="1111"/>
      <c r="CB85" s="1111"/>
      <c r="CC85" s="1108"/>
      <c r="CD85" s="1111"/>
      <c r="CE85" s="1111"/>
      <c r="CF85" s="1111"/>
      <c r="CG85" s="1111"/>
      <c r="CH85" s="1108"/>
      <c r="CI85" s="1111"/>
      <c r="CJ85" s="1111"/>
      <c r="CK85" s="1111"/>
      <c r="CL85" s="1111"/>
      <c r="CM85" s="1108"/>
      <c r="CN85" s="1111"/>
      <c r="CO85" s="1111"/>
      <c r="CP85" s="1111"/>
      <c r="CQ85" s="1111"/>
      <c r="CR85" s="1108"/>
      <c r="CS85" s="1111">
        <f>CS83/CQ83-1</f>
        <v>-1.3301112669180104E-2</v>
      </c>
      <c r="CT85" s="1111">
        <f>(CT83/CS83)-1</f>
        <v>9.1283041660807474E-2</v>
      </c>
      <c r="CU85" s="1111">
        <f>(CU83/CT83)-1</f>
        <v>-1.6456907770481921E-2</v>
      </c>
      <c r="CV85" s="1111">
        <f>(CV83/CU83)-1</f>
        <v>-0.11192949621671555</v>
      </c>
      <c r="CW85" s="1108"/>
      <c r="CX85" s="1111">
        <f>CX83/CV83-1</f>
        <v>2.0830848828601312E-3</v>
      </c>
      <c r="CY85" s="1111">
        <f>(CY83/CX83)-1</f>
        <v>7.0523381037374877E-2</v>
      </c>
      <c r="CZ85" s="1111">
        <f>(CZ83/CY83)-1</f>
        <v>3.6734894632126647E-3</v>
      </c>
      <c r="DA85" s="1111">
        <f>(DA83/CZ83)-1</f>
        <v>-2.7056358969156036E-2</v>
      </c>
      <c r="DB85" s="1108">
        <f>(DB83/CW83)-1</f>
        <v>-2.7839028055748005E-2</v>
      </c>
      <c r="DC85" s="1111">
        <f>DC83/DA83-1</f>
        <v>-9.8388451337013683E-3</v>
      </c>
      <c r="DD85" s="1111">
        <f>(DD83/DC83)-1</f>
        <v>1.0034435669134645E-2</v>
      </c>
      <c r="DE85" s="1111">
        <f>(DE83/DD83)-1</f>
        <v>-1.5440233768744149E-2</v>
      </c>
      <c r="DF85" s="1111">
        <f>(DF83/DE83)-1</f>
        <v>9.8355653876449622E-3</v>
      </c>
      <c r="DG85" s="1108">
        <f>(DG83/DB83)-1</f>
        <v>-9.3915046586787732E-3</v>
      </c>
      <c r="DH85" s="1111">
        <f>DH83/DF83-1</f>
        <v>-2.2403804833273089E-2</v>
      </c>
      <c r="DI85" s="1111">
        <f>(DI83/DH83)-1</f>
        <v>2.6285207872180694E-2</v>
      </c>
      <c r="DJ85" s="1111">
        <f>(DJ83/DI83)-1</f>
        <v>3.5026758867980012E-2</v>
      </c>
      <c r="DK85" s="1111">
        <f>(DK83/DJ83)-1</f>
        <v>-2.570644147825063E-2</v>
      </c>
      <c r="DL85" s="1108"/>
      <c r="DM85" s="1111">
        <f>DM83/DK83-1</f>
        <v>-7.2485890286027033E-3</v>
      </c>
      <c r="DN85" s="1111">
        <f>(DN83/DM83)-1</f>
        <v>3.5040245619709642E-2</v>
      </c>
      <c r="DO85" s="1111">
        <f>(DO83/DN83)-1</f>
        <v>-9.7913331125629721E-3</v>
      </c>
      <c r="DP85" s="1111">
        <f>(DP83/DO83)-1</f>
        <v>-4.5358986458643669E-2</v>
      </c>
      <c r="DQ85" s="1108"/>
      <c r="DR85" s="1112">
        <f>DR83/DP83-1</f>
        <v>8.8716878879773198E-3</v>
      </c>
      <c r="DS85" s="1112">
        <f>(DS83/DR83)-1</f>
        <v>3.06176646359968E-2</v>
      </c>
      <c r="DT85" s="1111">
        <f>(DT83/DS83)-1</f>
        <v>-5.0584589308227956E-3</v>
      </c>
      <c r="DU85" s="1111">
        <f>(DU83/DT83)-1</f>
        <v>-4.3770602641925227E-2</v>
      </c>
      <c r="DV85" s="1108"/>
      <c r="DW85" s="1112">
        <f>DW83/DU83-1</f>
        <v>-1.7605019816857914E-2</v>
      </c>
      <c r="DX85" s="1112">
        <f>(DX83/DW83)-1</f>
        <v>4.6642730335886506E-2</v>
      </c>
      <c r="DY85" s="1111">
        <f>(DY83/DX83)-1</f>
        <v>-8.7154561758795435E-3</v>
      </c>
      <c r="DZ85" s="1111">
        <f>(DZ83/DY83)-1</f>
        <v>-2.8306221719050728E-2</v>
      </c>
      <c r="EA85" s="1108"/>
      <c r="EB85" s="1112">
        <f>EB83/DZ83-1</f>
        <v>-2.9113529788375336E-2</v>
      </c>
      <c r="EC85" s="1112">
        <f>(EC83/EB83)-1</f>
        <v>3.9673208505115687E-2</v>
      </c>
      <c r="ED85" s="1111"/>
      <c r="EE85" s="1111"/>
      <c r="EF85" s="1108"/>
      <c r="EG85" s="1111"/>
      <c r="EH85" s="1111"/>
      <c r="EI85" s="1111"/>
      <c r="EJ85" s="1111"/>
      <c r="EK85" s="1108"/>
      <c r="EL85" s="1113"/>
      <c r="EM85" s="1114"/>
      <c r="EN85" s="1114"/>
      <c r="EO85" s="1115"/>
      <c r="EP85" s="1108"/>
      <c r="EQ85" s="1113"/>
      <c r="ER85" s="1114"/>
      <c r="ES85" s="1114"/>
      <c r="ET85" s="1115"/>
      <c r="EU85" s="1108"/>
      <c r="EV85" s="1113"/>
      <c r="EW85" s="1114"/>
      <c r="EX85" s="1114"/>
      <c r="EY85" s="1115"/>
      <c r="EZ85" s="1108"/>
      <c r="FA85" s="1113"/>
      <c r="FB85" s="1114"/>
      <c r="FC85" s="1114"/>
      <c r="FD85" s="1115"/>
      <c r="FE85" s="1108"/>
      <c r="FF85" s="721"/>
      <c r="FG85" s="690"/>
      <c r="FH85" s="955">
        <f>AVERAGE(CI85,CN85,DH85,DM85,DC85,CS85,CX85,CD85,BY85,BT85,DR85,DW85)</f>
        <v>-8.4917998158253894E-3</v>
      </c>
      <c r="FI85" s="955">
        <f>AVERAGE(CJ85,CO85,DI85,DN85,DD85,CT85,CY85,CE85,BZ85,BU85,DS85,DX85)</f>
        <v>4.4346672404441519E-2</v>
      </c>
      <c r="FJ85" s="955">
        <f>AVERAGE(CK85,CP85,DJ85,DO85,DE85,CU85,CZ85,CF85,CA85,BV85,DT85,DY85)</f>
        <v>-2.3945916324712435E-3</v>
      </c>
      <c r="FK85" s="955">
        <f>AVERAGE(CL85,CQ85,DK85,DP85,DF85,CV85,DA85,CG85,CB85,BW85,DU85,DZ85)</f>
        <v>-3.8898934585156697E-2</v>
      </c>
      <c r="FL85" s="690"/>
      <c r="FM85" s="1116"/>
      <c r="FN85" s="708"/>
      <c r="FO85" s="723"/>
      <c r="FP85" s="723"/>
      <c r="FQ85" s="723"/>
      <c r="FR85" s="723"/>
      <c r="FS85" s="723"/>
      <c r="FT85" s="723"/>
      <c r="FU85" s="690"/>
      <c r="FV85"/>
      <c r="FW85"/>
      <c r="FX85"/>
      <c r="FY85"/>
      <c r="FZ85"/>
      <c r="GA85"/>
      <c r="GB85" s="1117"/>
      <c r="GC85" s="1118"/>
      <c r="GD85" s="1118"/>
      <c r="GE85" s="1118"/>
      <c r="GF85" s="1118"/>
      <c r="GG85" s="1118"/>
      <c r="GH85" s="1118"/>
      <c r="GI85" s="1118"/>
      <c r="GJ85" s="1118"/>
      <c r="GK85" s="1118"/>
      <c r="GL85" s="1118"/>
      <c r="GM85" s="1118"/>
      <c r="GN85" s="1118"/>
      <c r="GO85" s="1118"/>
      <c r="GP85" s="1118"/>
      <c r="GQ85" s="1118"/>
      <c r="GR85" s="1118"/>
      <c r="GS85" s="1118"/>
      <c r="GT85" s="1118"/>
      <c r="GU85" s="1118"/>
      <c r="GV85" s="1118"/>
      <c r="GW85" s="1118"/>
      <c r="GX85" s="1118"/>
      <c r="GY85" s="1118"/>
      <c r="GZ85" s="1118"/>
      <c r="HA85" s="1118"/>
      <c r="HB85" s="1118"/>
      <c r="HC85" s="1118"/>
      <c r="HD85" s="1118"/>
      <c r="HE85" s="1118"/>
      <c r="HF85" s="1118"/>
      <c r="HG85" s="1118"/>
      <c r="HH85" s="1118"/>
      <c r="HI85" s="1118"/>
      <c r="HJ85" s="1118"/>
      <c r="HK85" s="1118"/>
      <c r="HL85" s="1118"/>
      <c r="HM85" s="1118"/>
      <c r="HN85" s="1118"/>
      <c r="HO85" s="1118"/>
      <c r="HP85" s="1118"/>
      <c r="HQ85" s="1118"/>
      <c r="HR85" s="1118"/>
      <c r="HS85" s="1118"/>
      <c r="HT85" s="1118"/>
      <c r="HU85" s="1118"/>
      <c r="HV85" s="1118"/>
      <c r="HW85" s="1118"/>
      <c r="HX85" s="1118"/>
      <c r="HY85" s="1118"/>
      <c r="HZ85" s="1118"/>
      <c r="IA85" s="1118"/>
      <c r="IB85" s="1118"/>
      <c r="IC85" s="1118"/>
      <c r="ID85" s="1118"/>
      <c r="IE85" s="1118"/>
      <c r="IF85" s="1118"/>
      <c r="IG85" s="1118"/>
      <c r="IH85" s="1118"/>
      <c r="II85" s="1118"/>
      <c r="IJ85" s="1118"/>
      <c r="IK85" s="1118"/>
      <c r="IL85" s="1118"/>
      <c r="IM85" s="1118"/>
      <c r="IN85" s="1118"/>
      <c r="IO85" s="1118"/>
      <c r="IP85" s="1118"/>
      <c r="IQ85" s="1118"/>
      <c r="IR85" s="1118"/>
      <c r="IS85" s="1118"/>
      <c r="IT85" s="1118"/>
      <c r="IU85" s="1118"/>
      <c r="IV85" s="1118"/>
      <c r="IW85" s="1118"/>
      <c r="IX85" s="1118"/>
      <c r="IY85" s="1118"/>
      <c r="IZ85" s="1118"/>
      <c r="JA85" s="1118"/>
      <c r="JB85" s="1118"/>
      <c r="JC85" s="1118"/>
      <c r="JD85" s="1118"/>
      <c r="JE85" s="1118"/>
      <c r="JF85" s="1118"/>
      <c r="JG85" s="1118"/>
      <c r="JH85" s="1118"/>
      <c r="JI85" s="1118"/>
      <c r="JJ85" s="1118"/>
      <c r="JK85" s="1118"/>
      <c r="JL85" s="1118"/>
    </row>
    <row r="86" spans="1:272" s="1119" customFormat="1" ht="12.75" hidden="1" customHeight="1" outlineLevel="1">
      <c r="A86" s="1120" t="s">
        <v>317</v>
      </c>
      <c r="B86" s="1106"/>
      <c r="C86" s="1107"/>
      <c r="D86" s="1107"/>
      <c r="E86" s="1107"/>
      <c r="F86" s="1108"/>
      <c r="G86" s="1107"/>
      <c r="H86" s="1107"/>
      <c r="I86" s="1107"/>
      <c r="J86" s="1107"/>
      <c r="K86" s="1108"/>
      <c r="L86" s="1107"/>
      <c r="M86" s="1107"/>
      <c r="N86" s="1107"/>
      <c r="O86" s="1107"/>
      <c r="P86" s="1108"/>
      <c r="Q86" s="1107"/>
      <c r="R86" s="1107"/>
      <c r="S86" s="1107"/>
      <c r="T86" s="1107"/>
      <c r="U86" s="1108"/>
      <c r="V86" s="1109"/>
      <c r="W86" s="1109"/>
      <c r="X86" s="1110"/>
      <c r="Y86" s="1109"/>
      <c r="Z86" s="1108"/>
      <c r="AA86" s="1109"/>
      <c r="AB86" s="1109"/>
      <c r="AC86" s="1110"/>
      <c r="AD86" s="1109"/>
      <c r="AE86" s="1108"/>
      <c r="AF86" s="1109"/>
      <c r="AG86" s="1109"/>
      <c r="AH86" s="1110"/>
      <c r="AI86" s="1109"/>
      <c r="AJ86" s="1108"/>
      <c r="AK86" s="1109"/>
      <c r="AL86" s="1109"/>
      <c r="AM86" s="1110"/>
      <c r="AN86" s="1109"/>
      <c r="AO86" s="1108"/>
      <c r="AP86" s="1111"/>
      <c r="AQ86" s="1111"/>
      <c r="AR86" s="1111"/>
      <c r="AS86" s="1111"/>
      <c r="AT86" s="1108"/>
      <c r="AU86" s="1111"/>
      <c r="AV86" s="1111"/>
      <c r="AW86" s="1111"/>
      <c r="AX86" s="1111"/>
      <c r="AY86" s="1108"/>
      <c r="AZ86" s="1111"/>
      <c r="BA86" s="1111"/>
      <c r="BB86" s="1111"/>
      <c r="BC86" s="1111"/>
      <c r="BD86" s="1108"/>
      <c r="BE86" s="1111"/>
      <c r="BF86" s="1111"/>
      <c r="BG86" s="1111"/>
      <c r="BH86" s="1111"/>
      <c r="BI86" s="1108"/>
      <c r="BJ86" s="1111"/>
      <c r="BK86" s="1111"/>
      <c r="BL86" s="1111"/>
      <c r="BM86" s="1111"/>
      <c r="BN86" s="1108"/>
      <c r="BO86" s="1111"/>
      <c r="BP86" s="1111"/>
      <c r="BQ86" s="1111"/>
      <c r="BR86" s="1111"/>
      <c r="BS86" s="1108"/>
      <c r="BT86" s="1111"/>
      <c r="BU86" s="1111"/>
      <c r="BV86" s="1111"/>
      <c r="BW86" s="1111"/>
      <c r="BX86" s="1108"/>
      <c r="BY86" s="1111"/>
      <c r="BZ86" s="1111"/>
      <c r="CA86" s="1111"/>
      <c r="CB86" s="1111"/>
      <c r="CC86" s="1108"/>
      <c r="CD86" s="1111"/>
      <c r="CE86" s="1111"/>
      <c r="CF86" s="1111"/>
      <c r="CG86" s="1111"/>
      <c r="CH86" s="1108"/>
      <c r="CI86" s="1111"/>
      <c r="CJ86" s="1111"/>
      <c r="CK86" s="1111"/>
      <c r="CL86" s="1111"/>
      <c r="CM86" s="1108"/>
      <c r="CN86" s="1111"/>
      <c r="CO86" s="1111"/>
      <c r="CP86" s="1111"/>
      <c r="CQ86" s="1121">
        <f>CQ78*1000000/CQ96</f>
        <v>53983.302411873839</v>
      </c>
      <c r="CR86" s="1122"/>
      <c r="CS86" s="1121">
        <f t="shared" ref="CS86:DX86" si="330">CS78*1000000/CS96</f>
        <v>54184.858507901496</v>
      </c>
      <c r="CT86" s="1121">
        <f t="shared" si="330"/>
        <v>64096.060442525624</v>
      </c>
      <c r="CU86" s="1121">
        <f t="shared" si="330"/>
        <v>63401.08829208355</v>
      </c>
      <c r="CV86" s="1121">
        <f t="shared" si="330"/>
        <v>50030.095759233925</v>
      </c>
      <c r="CW86" s="1122">
        <f t="shared" si="330"/>
        <v>231518.85035039479</v>
      </c>
      <c r="CX86" s="1121">
        <f t="shared" si="330"/>
        <v>44667.904777984128</v>
      </c>
      <c r="CY86" s="1121">
        <f t="shared" si="330"/>
        <v>48130.404941660949</v>
      </c>
      <c r="CZ86" s="1121">
        <f t="shared" si="330"/>
        <v>50004.262120404899</v>
      </c>
      <c r="DA86" s="1121">
        <f t="shared" si="330"/>
        <v>49365.774240231549</v>
      </c>
      <c r="DB86" s="1122">
        <f t="shared" si="330"/>
        <v>191975.55652553469</v>
      </c>
      <c r="DC86" s="1121">
        <f t="shared" si="330"/>
        <v>49519.797504971975</v>
      </c>
      <c r="DD86" s="1121">
        <f t="shared" si="330"/>
        <v>51561.748633879783</v>
      </c>
      <c r="DE86" s="1121">
        <f t="shared" si="330"/>
        <v>50333.959484346226</v>
      </c>
      <c r="DF86" s="1121">
        <f t="shared" si="330"/>
        <v>51549.405646359584</v>
      </c>
      <c r="DG86" s="1122">
        <f t="shared" si="330"/>
        <v>202944.52026562858</v>
      </c>
      <c r="DH86" s="1121">
        <f t="shared" si="330"/>
        <v>52556.404997203055</v>
      </c>
      <c r="DI86" s="1121">
        <f t="shared" si="330"/>
        <v>56135.586924219919</v>
      </c>
      <c r="DJ86" s="1121">
        <f t="shared" si="330"/>
        <v>57077.720207253886</v>
      </c>
      <c r="DK86" s="1121">
        <f t="shared" si="330"/>
        <v>55636.797649651118</v>
      </c>
      <c r="DL86" s="1122">
        <f t="shared" si="330"/>
        <v>221427.05005324812</v>
      </c>
      <c r="DM86" s="1121">
        <f t="shared" si="330"/>
        <v>55654.028436018954</v>
      </c>
      <c r="DN86" s="1121">
        <f t="shared" si="330"/>
        <v>57743.748859280888</v>
      </c>
      <c r="DO86" s="1121">
        <f t="shared" si="330"/>
        <v>56397.599126955254</v>
      </c>
      <c r="DP86" s="1121">
        <f t="shared" si="330"/>
        <v>54465.713768771486</v>
      </c>
      <c r="DQ86" s="1122">
        <f t="shared" si="330"/>
        <v>224247.74897680763</v>
      </c>
      <c r="DR86" s="1123">
        <f>DR78*1000000/DR96</f>
        <v>54816.333872998737</v>
      </c>
      <c r="DS86" s="1123">
        <f>DS78*1000000/DS96</f>
        <v>55912.609238451936</v>
      </c>
      <c r="DT86" s="1121">
        <f>DT78*1000000/DT96</f>
        <v>55619.939897472155</v>
      </c>
      <c r="DU86" s="1121">
        <f>DU78*1000000/DU96</f>
        <v>52978.603998596984</v>
      </c>
      <c r="DV86" s="1122">
        <f t="shared" si="330"/>
        <v>219303.35183129855</v>
      </c>
      <c r="DW86" s="1123">
        <f t="shared" si="330"/>
        <v>52491.27094972066</v>
      </c>
      <c r="DX86" s="1123">
        <f t="shared" si="330"/>
        <v>54843.520782396088</v>
      </c>
      <c r="DY86" s="1121">
        <f t="shared" ref="DY86:EC86" si="331">DY78*1000000/DY96</f>
        <v>53730.695149711086</v>
      </c>
      <c r="DZ86" s="1121">
        <f t="shared" si="331"/>
        <v>51134.62214411248</v>
      </c>
      <c r="EA86" s="1122">
        <f t="shared" si="331"/>
        <v>212210.19470575367</v>
      </c>
      <c r="EB86" s="1123">
        <f t="shared" si="331"/>
        <v>46806.678383128288</v>
      </c>
      <c r="EC86" s="1123">
        <f t="shared" si="331"/>
        <v>48209.563994374119</v>
      </c>
      <c r="ED86" s="1121"/>
      <c r="EE86" s="1121"/>
      <c r="EF86" s="1122"/>
      <c r="EG86" s="1121"/>
      <c r="EH86" s="1121"/>
      <c r="EI86" s="1121"/>
      <c r="EJ86" s="1121"/>
      <c r="EK86" s="1122"/>
      <c r="EL86" s="1113"/>
      <c r="EM86" s="1114"/>
      <c r="EN86" s="1114"/>
      <c r="EO86" s="1115"/>
      <c r="EP86" s="1122"/>
      <c r="EQ86" s="1113"/>
      <c r="ER86" s="1114"/>
      <c r="ES86" s="1114"/>
      <c r="ET86" s="1115"/>
      <c r="EU86" s="1122"/>
      <c r="EV86" s="1113"/>
      <c r="EW86" s="1114"/>
      <c r="EX86" s="1114"/>
      <c r="EY86" s="1115"/>
      <c r="EZ86" s="1122"/>
      <c r="FA86" s="1113"/>
      <c r="FB86" s="1114"/>
      <c r="FC86" s="1114"/>
      <c r="FD86" s="1115"/>
      <c r="FE86" s="1122"/>
      <c r="FF86" s="721"/>
      <c r="FG86" s="690"/>
      <c r="FH86" s="754"/>
      <c r="FI86" s="754"/>
      <c r="FJ86" s="754"/>
      <c r="FK86" s="754"/>
      <c r="FL86" s="690"/>
      <c r="FM86" s="708"/>
      <c r="FN86" s="1116"/>
      <c r="FO86" s="723"/>
      <c r="FP86" s="723"/>
      <c r="FQ86" s="723"/>
      <c r="FR86" s="723"/>
      <c r="FS86" s="723"/>
      <c r="FT86" s="723"/>
      <c r="FU86" s="690"/>
      <c r="FV86"/>
      <c r="FW86"/>
      <c r="FX86"/>
      <c r="FY86"/>
      <c r="FZ86"/>
      <c r="GA86"/>
      <c r="GB86" s="1117"/>
      <c r="GC86" s="1118"/>
      <c r="GD86" s="1118"/>
      <c r="GE86" s="1118"/>
      <c r="GF86" s="1118"/>
      <c r="GG86" s="1118"/>
      <c r="GH86" s="1118"/>
      <c r="GI86" s="1118"/>
      <c r="GJ86" s="1118"/>
      <c r="GK86" s="1118"/>
      <c r="GL86" s="1118"/>
      <c r="GM86" s="1118"/>
      <c r="GN86" s="1118"/>
      <c r="GO86" s="1118"/>
      <c r="GP86" s="1118"/>
      <c r="GQ86" s="1118"/>
      <c r="GR86" s="1118"/>
      <c r="GS86" s="1118"/>
      <c r="GT86" s="1118"/>
      <c r="GU86" s="1118"/>
      <c r="GV86" s="1118"/>
      <c r="GW86" s="1118"/>
      <c r="GX86" s="1118"/>
      <c r="GY86" s="1118"/>
      <c r="GZ86" s="1118"/>
      <c r="HA86" s="1118"/>
      <c r="HB86" s="1118"/>
      <c r="HC86" s="1118"/>
      <c r="HD86" s="1118"/>
      <c r="HE86" s="1118"/>
      <c r="HF86" s="1118"/>
      <c r="HG86" s="1118"/>
      <c r="HH86" s="1118"/>
      <c r="HI86" s="1118"/>
      <c r="HJ86" s="1118"/>
      <c r="HK86" s="1118"/>
      <c r="HL86" s="1118"/>
      <c r="HM86" s="1118"/>
      <c r="HN86" s="1118"/>
      <c r="HO86" s="1118"/>
      <c r="HP86" s="1118"/>
      <c r="HQ86" s="1118"/>
      <c r="HR86" s="1118"/>
      <c r="HS86" s="1118"/>
      <c r="HT86" s="1118"/>
      <c r="HU86" s="1118"/>
      <c r="HV86" s="1118"/>
      <c r="HW86" s="1118"/>
      <c r="HX86" s="1118"/>
      <c r="HY86" s="1118"/>
      <c r="HZ86" s="1118"/>
      <c r="IA86" s="1118"/>
      <c r="IB86" s="1118"/>
      <c r="IC86" s="1118"/>
      <c r="ID86" s="1118"/>
      <c r="IE86" s="1118"/>
      <c r="IF86" s="1118"/>
      <c r="IG86" s="1118"/>
      <c r="IH86" s="1118"/>
      <c r="II86" s="1118"/>
      <c r="IJ86" s="1118"/>
      <c r="IK86" s="1118"/>
      <c r="IL86" s="1118"/>
      <c r="IM86" s="1118"/>
      <c r="IN86" s="1118"/>
      <c r="IO86" s="1118"/>
      <c r="IP86" s="1118"/>
      <c r="IQ86" s="1118"/>
      <c r="IR86" s="1118"/>
      <c r="IS86" s="1118"/>
      <c r="IT86" s="1118"/>
      <c r="IU86" s="1118"/>
      <c r="IV86" s="1118"/>
      <c r="IW86" s="1118"/>
      <c r="IX86" s="1118"/>
      <c r="IY86" s="1118"/>
      <c r="IZ86" s="1118"/>
      <c r="JA86" s="1118"/>
      <c r="JB86" s="1118"/>
      <c r="JC86" s="1118"/>
      <c r="JD86" s="1118"/>
      <c r="JE86" s="1118"/>
      <c r="JF86" s="1118"/>
      <c r="JG86" s="1118"/>
      <c r="JH86" s="1118"/>
      <c r="JI86" s="1118"/>
      <c r="JJ86" s="1118"/>
      <c r="JK86" s="1118"/>
      <c r="JL86" s="1118"/>
    </row>
    <row r="87" spans="1:272" s="885" customFormat="1" ht="12.75" hidden="1" customHeight="1" outlineLevel="1">
      <c r="A87" s="1124" t="s">
        <v>85</v>
      </c>
      <c r="B87" s="1125"/>
      <c r="C87" s="1126"/>
      <c r="D87" s="1126"/>
      <c r="E87" s="1126"/>
      <c r="F87" s="880"/>
      <c r="G87" s="1126"/>
      <c r="H87" s="1126"/>
      <c r="I87" s="1126"/>
      <c r="J87" s="1126"/>
      <c r="K87" s="880"/>
      <c r="L87" s="711"/>
      <c r="M87" s="711"/>
      <c r="N87" s="711"/>
      <c r="O87" s="711"/>
      <c r="P87" s="880"/>
      <c r="Q87" s="711"/>
      <c r="R87" s="711"/>
      <c r="S87" s="711"/>
      <c r="T87" s="711"/>
      <c r="U87" s="880"/>
      <c r="V87" s="711"/>
      <c r="W87" s="711"/>
      <c r="X87" s="711"/>
      <c r="Y87" s="711"/>
      <c r="Z87" s="880"/>
      <c r="AA87" s="711"/>
      <c r="AB87" s="711"/>
      <c r="AC87" s="711"/>
      <c r="AD87" s="711"/>
      <c r="AE87" s="880"/>
      <c r="AF87" s="711"/>
      <c r="AG87" s="711"/>
      <c r="AH87" s="711"/>
      <c r="AI87" s="711"/>
      <c r="AJ87" s="880"/>
      <c r="AK87" s="711"/>
      <c r="AL87" s="711"/>
      <c r="AM87" s="711"/>
      <c r="AN87" s="711"/>
      <c r="AO87" s="880"/>
      <c r="AP87" s="711"/>
      <c r="AQ87" s="711"/>
      <c r="AR87" s="711"/>
      <c r="AS87" s="711"/>
      <c r="AT87" s="880"/>
      <c r="AU87" s="711"/>
      <c r="AV87" s="711"/>
      <c r="AW87" s="711"/>
      <c r="AX87" s="711"/>
      <c r="AY87" s="880"/>
      <c r="AZ87" s="711"/>
      <c r="BA87" s="711"/>
      <c r="BB87" s="711"/>
      <c r="BC87" s="711"/>
      <c r="BD87" s="880"/>
      <c r="BE87" s="711"/>
      <c r="BF87" s="711"/>
      <c r="BG87" s="711"/>
      <c r="BH87" s="711"/>
      <c r="BI87" s="880"/>
      <c r="BJ87" s="711"/>
      <c r="BK87" s="711"/>
      <c r="BL87" s="711"/>
      <c r="BM87" s="711"/>
      <c r="BN87" s="880"/>
      <c r="BO87" s="711"/>
      <c r="BP87" s="711"/>
      <c r="BQ87" s="711"/>
      <c r="BR87" s="711"/>
      <c r="BS87" s="880"/>
      <c r="BT87" s="1003"/>
      <c r="BU87" s="1003"/>
      <c r="BV87" s="1003"/>
      <c r="BW87" s="1003"/>
      <c r="BX87" s="880"/>
      <c r="BY87" s="1003"/>
      <c r="BZ87" s="1003"/>
      <c r="CA87" s="1003"/>
      <c r="CB87" s="1127"/>
      <c r="CC87" s="880"/>
      <c r="CD87" s="1127"/>
      <c r="CE87" s="1127"/>
      <c r="CF87" s="1127"/>
      <c r="CG87" s="1127"/>
      <c r="CH87" s="880"/>
      <c r="CI87" s="1127"/>
      <c r="CJ87" s="1127"/>
      <c r="CK87" s="1127"/>
      <c r="CL87" s="1127"/>
      <c r="CM87" s="880"/>
      <c r="CN87" s="1127"/>
      <c r="CO87" s="1127"/>
      <c r="CP87" s="1127"/>
      <c r="CQ87" s="1104"/>
      <c r="CR87" s="880"/>
      <c r="CS87" s="1104"/>
      <c r="CT87" s="1104"/>
      <c r="CU87" s="1104"/>
      <c r="CV87" s="721">
        <f>CV86/CQ86-1</f>
        <v>-7.3230174443169815E-2</v>
      </c>
      <c r="CW87" s="880"/>
      <c r="CX87" s="721">
        <f t="shared" ref="CX87:EB87" si="332">CX86/CS86-1</f>
        <v>-0.17563861920077839</v>
      </c>
      <c r="CY87" s="721">
        <f t="shared" si="332"/>
        <v>-0.24908949771072031</v>
      </c>
      <c r="CZ87" s="721">
        <f t="shared" si="332"/>
        <v>-0.21130277937754927</v>
      </c>
      <c r="DA87" s="721">
        <f t="shared" si="332"/>
        <v>-1.3278437886654726E-2</v>
      </c>
      <c r="DB87" s="880">
        <f t="shared" si="332"/>
        <v>-0.17079945656698303</v>
      </c>
      <c r="DC87" s="721">
        <f t="shared" si="332"/>
        <v>0.10862145316874683</v>
      </c>
      <c r="DD87" s="721">
        <f t="shared" si="332"/>
        <v>7.1292641239523835E-2</v>
      </c>
      <c r="DE87" s="721">
        <f t="shared" si="332"/>
        <v>6.5933852427908501E-3</v>
      </c>
      <c r="DF87" s="721">
        <f t="shared" si="332"/>
        <v>4.4233711305766255E-2</v>
      </c>
      <c r="DG87" s="880">
        <f t="shared" si="332"/>
        <v>5.7137293614955231E-2</v>
      </c>
      <c r="DH87" s="721">
        <f t="shared" si="332"/>
        <v>6.1321080562298125E-2</v>
      </c>
      <c r="DI87" s="721">
        <f t="shared" si="332"/>
        <v>8.8706035220357027E-2</v>
      </c>
      <c r="DJ87" s="721">
        <f t="shared" si="332"/>
        <v>0.13398033439044177</v>
      </c>
      <c r="DK87" s="721">
        <f t="shared" si="332"/>
        <v>7.9290768769129105E-2</v>
      </c>
      <c r="DL87" s="741">
        <f t="shared" si="332"/>
        <v>9.1071834624695702E-2</v>
      </c>
      <c r="DM87" s="721">
        <f t="shared" si="332"/>
        <v>5.8939028249378023E-2</v>
      </c>
      <c r="DN87" s="721">
        <f t="shared" si="332"/>
        <v>2.8647815462086612E-2</v>
      </c>
      <c r="DO87" s="721">
        <f t="shared" si="332"/>
        <v>-1.1915701570228365E-2</v>
      </c>
      <c r="DP87" s="721">
        <f t="shared" si="332"/>
        <v>-2.1048729084913065E-2</v>
      </c>
      <c r="DQ87" s="741">
        <f t="shared" si="332"/>
        <v>1.2738727824270768E-2</v>
      </c>
      <c r="DR87" s="743">
        <f>DR86/DM86-1</f>
        <v>-1.5051822600465448E-2</v>
      </c>
      <c r="DS87" s="743">
        <f t="shared" si="332"/>
        <v>-3.1711477986844261E-2</v>
      </c>
      <c r="DT87" s="721">
        <f t="shared" si="332"/>
        <v>-1.3788871184614249E-2</v>
      </c>
      <c r="DU87" s="721">
        <f t="shared" si="332"/>
        <v>-2.7303594633641848E-2</v>
      </c>
      <c r="DV87" s="741">
        <f t="shared" si="332"/>
        <v>-2.2048815063113292E-2</v>
      </c>
      <c r="DW87" s="743">
        <f t="shared" si="332"/>
        <v>-4.2415513023269735E-2</v>
      </c>
      <c r="DX87" s="743">
        <f t="shared" si="332"/>
        <v>-1.912070408834754E-2</v>
      </c>
      <c r="DY87" s="721">
        <f t="shared" si="332"/>
        <v>-3.3967040439878859E-2</v>
      </c>
      <c r="DZ87" s="721">
        <f t="shared" si="332"/>
        <v>-3.4806161644677092E-2</v>
      </c>
      <c r="EA87" s="741">
        <f t="shared" si="332"/>
        <v>-3.2344043382434795E-2</v>
      </c>
      <c r="EB87" s="743">
        <f t="shared" si="332"/>
        <v>-0.10829595976133677</v>
      </c>
      <c r="EC87" s="743">
        <f>EC86/DX86-1</f>
        <v>-0.12096154100579493</v>
      </c>
      <c r="ED87" s="721"/>
      <c r="EE87" s="721"/>
      <c r="EF87" s="741"/>
      <c r="EG87" s="721"/>
      <c r="EH87" s="721"/>
      <c r="EI87" s="721"/>
      <c r="EJ87" s="721"/>
      <c r="EK87" s="741"/>
      <c r="EL87" s="884"/>
      <c r="EM87" s="882"/>
      <c r="EN87" s="882"/>
      <c r="EO87" s="883"/>
      <c r="EP87" s="741"/>
      <c r="EQ87" s="884"/>
      <c r="ER87" s="882"/>
      <c r="ES87" s="882"/>
      <c r="ET87" s="883"/>
      <c r="EU87" s="741"/>
      <c r="EV87" s="884"/>
      <c r="EW87" s="882"/>
      <c r="EX87" s="882"/>
      <c r="EY87" s="883"/>
      <c r="EZ87" s="741"/>
      <c r="FA87" s="884"/>
      <c r="FB87" s="882"/>
      <c r="FC87" s="882"/>
      <c r="FD87" s="883"/>
      <c r="FE87" s="741"/>
      <c r="FF87" s="721"/>
      <c r="FG87" s="690"/>
      <c r="FH87" s="754"/>
      <c r="FI87" s="754"/>
      <c r="FJ87" s="754"/>
      <c r="FK87" s="754"/>
      <c r="FL87" s="690"/>
      <c r="FM87" s="708"/>
      <c r="FN87" s="708"/>
      <c r="FO87" s="723"/>
      <c r="FP87" s="723"/>
      <c r="FQ87" s="723"/>
      <c r="FR87" s="723"/>
      <c r="FS87" s="723"/>
      <c r="FT87" s="723"/>
      <c r="FU87" s="690"/>
      <c r="FV87"/>
      <c r="FW87"/>
      <c r="FX87"/>
      <c r="FY87"/>
      <c r="FZ87"/>
      <c r="GA87"/>
      <c r="GB87" s="725"/>
      <c r="GC87" s="1092"/>
      <c r="GD87" s="1092"/>
      <c r="GE87" s="1092"/>
      <c r="GF87" s="1092"/>
      <c r="GG87" s="1092"/>
      <c r="GH87" s="1092"/>
      <c r="GI87" s="1092"/>
      <c r="GJ87" s="1092"/>
      <c r="GK87" s="1092"/>
      <c r="GL87" s="1092"/>
      <c r="GM87" s="1092"/>
      <c r="GN87" s="1092"/>
      <c r="GO87" s="1092"/>
      <c r="GP87" s="1092"/>
      <c r="GQ87" s="1092"/>
      <c r="GR87" s="1092"/>
      <c r="GS87" s="1092"/>
      <c r="GT87" s="1092"/>
      <c r="GU87" s="1092"/>
      <c r="GV87" s="1092"/>
      <c r="GW87" s="1092"/>
      <c r="GX87" s="1092"/>
      <c r="GY87" s="1092"/>
      <c r="GZ87" s="1092"/>
      <c r="HA87" s="1092"/>
      <c r="HB87" s="1092"/>
      <c r="HC87" s="1092"/>
      <c r="HD87" s="1092"/>
      <c r="HE87" s="1092"/>
      <c r="HF87" s="1092"/>
      <c r="HG87" s="1092"/>
      <c r="HH87" s="1092"/>
      <c r="HI87" s="1092"/>
      <c r="HJ87" s="1092"/>
      <c r="HK87" s="1092"/>
      <c r="HL87" s="1092"/>
      <c r="HM87" s="1092"/>
      <c r="HN87" s="1092"/>
      <c r="HO87" s="1092"/>
      <c r="HP87" s="1092"/>
      <c r="HQ87" s="1092"/>
      <c r="HR87" s="1092"/>
      <c r="HS87" s="1092"/>
      <c r="HT87" s="1092"/>
      <c r="HU87" s="1092"/>
      <c r="HV87" s="1092"/>
      <c r="HW87" s="1092"/>
      <c r="HX87" s="1092"/>
      <c r="HY87" s="1092"/>
      <c r="HZ87" s="1092"/>
      <c r="IA87" s="1092"/>
      <c r="IB87" s="1092"/>
      <c r="IC87" s="1092"/>
      <c r="ID87" s="1092"/>
      <c r="IE87" s="1092"/>
      <c r="IF87" s="1092"/>
      <c r="IG87" s="1092"/>
      <c r="IH87" s="1092"/>
      <c r="II87" s="1092"/>
      <c r="IJ87" s="1092"/>
      <c r="IK87" s="1092"/>
      <c r="IL87" s="1092"/>
      <c r="IM87" s="1092"/>
      <c r="IN87" s="1092"/>
      <c r="IO87" s="1092"/>
      <c r="IP87" s="1092"/>
      <c r="IQ87" s="1092"/>
      <c r="IR87" s="1092"/>
      <c r="IS87" s="1092"/>
      <c r="IT87" s="1092"/>
      <c r="IU87" s="1092"/>
      <c r="IV87" s="1092"/>
      <c r="IW87" s="1092"/>
      <c r="IX87" s="1092"/>
      <c r="IY87" s="1092"/>
      <c r="IZ87" s="1092"/>
      <c r="JA87" s="1092"/>
      <c r="JB87" s="1092"/>
      <c r="JC87" s="1092"/>
      <c r="JD87" s="1092"/>
      <c r="JE87" s="1092"/>
      <c r="JF87" s="1092"/>
      <c r="JG87" s="1092"/>
      <c r="JH87" s="1092"/>
      <c r="JI87" s="1092"/>
      <c r="JJ87" s="1092"/>
      <c r="JK87" s="1092"/>
      <c r="JL87" s="1092"/>
    </row>
    <row r="88" spans="1:272" s="976" customFormat="1" ht="12.75" hidden="1" customHeight="1" outlineLevel="1">
      <c r="A88" s="1128" t="s">
        <v>318</v>
      </c>
      <c r="B88" s="1129"/>
      <c r="C88" s="1129"/>
      <c r="D88" s="1129"/>
      <c r="E88" s="1129"/>
      <c r="F88" s="1130"/>
      <c r="G88" s="1131"/>
      <c r="H88" s="1131"/>
      <c r="I88" s="1131"/>
      <c r="J88" s="1131"/>
      <c r="K88" s="1130"/>
      <c r="L88" s="1131"/>
      <c r="M88" s="1131"/>
      <c r="N88" s="1131"/>
      <c r="O88" s="1131"/>
      <c r="P88" s="1130"/>
      <c r="Q88" s="1131"/>
      <c r="R88" s="1131"/>
      <c r="S88" s="1131"/>
      <c r="T88" s="1131"/>
      <c r="U88" s="1130"/>
      <c r="V88" s="1131"/>
      <c r="W88" s="1131"/>
      <c r="X88" s="1131"/>
      <c r="Y88" s="1131"/>
      <c r="Z88" s="1130"/>
      <c r="AA88" s="1131"/>
      <c r="AB88" s="1131"/>
      <c r="AC88" s="1131"/>
      <c r="AD88" s="1131"/>
      <c r="AE88" s="1130"/>
      <c r="AF88" s="1131"/>
      <c r="AG88" s="1131"/>
      <c r="AH88" s="1131"/>
      <c r="AI88" s="1131"/>
      <c r="AJ88" s="1130"/>
      <c r="AK88" s="1131"/>
      <c r="AL88" s="1131"/>
      <c r="AM88" s="1131"/>
      <c r="AN88" s="1131"/>
      <c r="AO88" s="1130"/>
      <c r="AP88" s="1131"/>
      <c r="AQ88" s="1131"/>
      <c r="AR88" s="1131"/>
      <c r="AS88" s="1131"/>
      <c r="AT88" s="1130"/>
      <c r="AU88" s="1131"/>
      <c r="AV88" s="1131"/>
      <c r="AW88" s="1131"/>
      <c r="AX88" s="1131"/>
      <c r="AY88" s="1130"/>
      <c r="AZ88" s="1131"/>
      <c r="BA88" s="1131"/>
      <c r="BB88" s="1131"/>
      <c r="BC88" s="1131"/>
      <c r="BD88" s="1130"/>
      <c r="BE88" s="1131"/>
      <c r="BF88" s="1131"/>
      <c r="BG88" s="1131"/>
      <c r="BH88" s="1131"/>
      <c r="BI88" s="1130"/>
      <c r="BJ88" s="1131"/>
      <c r="BK88" s="1131"/>
      <c r="BL88" s="1131"/>
      <c r="BM88" s="1131"/>
      <c r="BN88" s="1130"/>
      <c r="BO88" s="1131"/>
      <c r="BP88" s="1131"/>
      <c r="BQ88" s="1131"/>
      <c r="BR88" s="1131"/>
      <c r="BS88" s="1130"/>
      <c r="BT88" s="1131"/>
      <c r="BU88" s="1131"/>
      <c r="BV88" s="1131"/>
      <c r="BW88" s="1131"/>
      <c r="BX88" s="1130"/>
      <c r="BY88" s="1131"/>
      <c r="BZ88" s="1131"/>
      <c r="CA88" s="1131"/>
      <c r="CB88" s="1131"/>
      <c r="CC88" s="1130"/>
      <c r="CD88" s="1131"/>
      <c r="CE88" s="1131"/>
      <c r="CF88" s="1131"/>
      <c r="CG88" s="1131"/>
      <c r="CH88" s="1130"/>
      <c r="CI88" s="1132"/>
      <c r="CJ88" s="1132"/>
      <c r="CK88" s="1132"/>
      <c r="CL88" s="1132"/>
      <c r="CM88" s="1130"/>
      <c r="CN88" s="1129"/>
      <c r="CO88" s="1129"/>
      <c r="CP88" s="1129"/>
      <c r="CQ88" s="1129">
        <v>1.512</v>
      </c>
      <c r="CR88" s="1130">
        <f>CR80/CR90</f>
        <v>0</v>
      </c>
      <c r="CS88" s="1129">
        <v>1.494</v>
      </c>
      <c r="CT88" s="1129">
        <v>1.4750000000000001</v>
      </c>
      <c r="CU88" s="1129">
        <v>1.4950000000000001</v>
      </c>
      <c r="CV88" s="1129">
        <v>1.4790000000000001</v>
      </c>
      <c r="CW88" s="1130">
        <f>CW80/CW90</f>
        <v>1.4841218097089601</v>
      </c>
      <c r="CX88" s="1129">
        <v>1.4650000000000001</v>
      </c>
      <c r="CY88" s="1129">
        <v>1.452</v>
      </c>
      <c r="CZ88" s="1129">
        <v>1.4670000000000001</v>
      </c>
      <c r="DA88" s="1129">
        <v>1.472</v>
      </c>
      <c r="DB88" s="1130">
        <f>DB80/DB90</f>
        <v>1.4632269555951982</v>
      </c>
      <c r="DC88" s="1129">
        <v>1.458</v>
      </c>
      <c r="DD88" s="1129">
        <v>1.48</v>
      </c>
      <c r="DE88" s="1129">
        <v>1.506</v>
      </c>
      <c r="DF88" s="1129">
        <v>1.532</v>
      </c>
      <c r="DG88" s="1133">
        <f>DG80/DG90</f>
        <v>1.4881907855092456</v>
      </c>
      <c r="DH88" s="1129">
        <v>1.514</v>
      </c>
      <c r="DI88" s="1129">
        <v>1.542</v>
      </c>
      <c r="DJ88" s="1129">
        <v>1.575</v>
      </c>
      <c r="DK88" s="1129">
        <v>1.5840000000000001</v>
      </c>
      <c r="DL88" s="1133">
        <f>DL80/DL90</f>
        <v>1.5514220242260559</v>
      </c>
      <c r="DM88" s="1129">
        <v>1.5640000000000001</v>
      </c>
      <c r="DN88" s="1129">
        <v>1.5880000000000001</v>
      </c>
      <c r="DO88" s="1129">
        <v>1.6060000000000001</v>
      </c>
      <c r="DP88" s="1129">
        <v>1.621</v>
      </c>
      <c r="DQ88" s="1133">
        <f>DQ80/DQ90</f>
        <v>1.5931694556207745</v>
      </c>
      <c r="DR88" s="1134">
        <v>1.615</v>
      </c>
      <c r="DS88" s="1134">
        <v>1.613</v>
      </c>
      <c r="DT88" s="1129">
        <v>1.613</v>
      </c>
      <c r="DU88" s="1129">
        <v>1.6339999999999999</v>
      </c>
      <c r="DV88" s="1133">
        <f>DV80/DV90</f>
        <v>1.6183528527144657</v>
      </c>
      <c r="DW88" s="1134">
        <v>1.621</v>
      </c>
      <c r="DX88" s="1134">
        <v>1.6359999999999999</v>
      </c>
      <c r="DY88" s="1129">
        <v>1.6539999999999999</v>
      </c>
      <c r="DZ88" s="1129">
        <v>1.671</v>
      </c>
      <c r="EA88" s="1133">
        <f>EA80/EA90</f>
        <v>1.6450498015793826</v>
      </c>
      <c r="EB88" s="1134">
        <v>1.6639999999999999</v>
      </c>
      <c r="EC88" s="1134">
        <v>1.681</v>
      </c>
      <c r="ED88" s="1716"/>
      <c r="EE88" s="1136"/>
      <c r="EF88" s="1137"/>
      <c r="EG88" s="1135"/>
      <c r="EH88" s="1135"/>
      <c r="EI88" s="1135"/>
      <c r="EJ88" s="1136"/>
      <c r="EK88" s="1137"/>
      <c r="EL88" s="1138"/>
      <c r="EM88" s="1135"/>
      <c r="EN88" s="1135"/>
      <c r="EO88" s="1136"/>
      <c r="EP88" s="1137"/>
      <c r="EQ88" s="1138"/>
      <c r="ER88" s="1135"/>
      <c r="ES88" s="1135"/>
      <c r="ET88" s="1136"/>
      <c r="EU88" s="1137"/>
      <c r="EV88" s="1138"/>
      <c r="EW88" s="1135"/>
      <c r="EX88" s="1135"/>
      <c r="EY88" s="1136"/>
      <c r="EZ88" s="1137"/>
      <c r="FA88" s="1138"/>
      <c r="FB88" s="1135"/>
      <c r="FC88" s="1135"/>
      <c r="FD88" s="1136"/>
      <c r="FE88" s="1137"/>
      <c r="FF88" s="972"/>
      <c r="FG88" s="690"/>
      <c r="FH88" s="1139"/>
      <c r="FI88" s="1139"/>
      <c r="FJ88" s="1139"/>
      <c r="FK88" s="1139"/>
      <c r="FL88" s="690"/>
      <c r="FM88" s="1091"/>
      <c r="FN88" s="974"/>
      <c r="FO88" s="975"/>
      <c r="FP88" s="975"/>
      <c r="FQ88" s="975"/>
      <c r="FR88" s="975"/>
      <c r="FS88" s="975"/>
      <c r="FT88" s="975"/>
      <c r="FU88" s="690"/>
      <c r="FV88"/>
      <c r="FW88"/>
      <c r="FX88"/>
      <c r="FY88"/>
      <c r="FZ88"/>
      <c r="GA88"/>
      <c r="GB88" s="977"/>
      <c r="GC88" s="1140"/>
      <c r="GD88" s="1140"/>
      <c r="GE88" s="1140"/>
      <c r="GF88" s="1140"/>
      <c r="GG88" s="1140"/>
      <c r="GH88" s="1140"/>
      <c r="GI88" s="1140"/>
      <c r="GJ88" s="1140"/>
      <c r="GK88" s="1140"/>
      <c r="GL88" s="1140"/>
      <c r="GM88" s="1140"/>
      <c r="GN88" s="1140"/>
      <c r="GO88" s="1140"/>
      <c r="GP88" s="1140"/>
      <c r="GQ88" s="1140"/>
      <c r="GR88" s="1140"/>
      <c r="GS88" s="1140"/>
      <c r="GT88" s="1140"/>
      <c r="GU88" s="1140"/>
      <c r="GV88" s="1140"/>
      <c r="GW88" s="1140"/>
      <c r="GX88" s="1140"/>
      <c r="GY88" s="1140"/>
      <c r="GZ88" s="1140"/>
      <c r="HA88" s="1140"/>
      <c r="HB88" s="1140"/>
      <c r="HC88" s="1140"/>
      <c r="HD88" s="1140"/>
      <c r="HE88" s="1140"/>
      <c r="HF88" s="1140"/>
      <c r="HG88" s="1140"/>
      <c r="HH88" s="1140"/>
      <c r="HI88" s="1140"/>
      <c r="HJ88" s="1140"/>
      <c r="HK88" s="1140"/>
      <c r="HL88" s="1140"/>
      <c r="HM88" s="1140"/>
      <c r="HN88" s="1140"/>
      <c r="HO88" s="1140"/>
      <c r="HP88" s="1140"/>
      <c r="HQ88" s="1140"/>
      <c r="HR88" s="1140"/>
      <c r="HS88" s="1140"/>
      <c r="HT88" s="1140"/>
      <c r="HU88" s="1140"/>
      <c r="HV88" s="1140"/>
      <c r="HW88" s="1140"/>
      <c r="HX88" s="1140"/>
      <c r="HY88" s="1140"/>
      <c r="HZ88" s="1140"/>
      <c r="IA88" s="1140"/>
      <c r="IB88" s="1140"/>
      <c r="IC88" s="1140"/>
      <c r="ID88" s="1140"/>
      <c r="IE88" s="1140"/>
      <c r="IF88" s="1140"/>
      <c r="IG88" s="1140"/>
      <c r="IH88" s="1140"/>
      <c r="II88" s="1140"/>
      <c r="IJ88" s="1140"/>
      <c r="IK88" s="1140"/>
      <c r="IL88" s="1140"/>
      <c r="IM88" s="1140"/>
      <c r="IN88" s="1140"/>
      <c r="IO88" s="1140"/>
      <c r="IP88" s="1140"/>
      <c r="IQ88" s="1140"/>
      <c r="IR88" s="1140"/>
      <c r="IS88" s="1140"/>
      <c r="IT88" s="1140"/>
      <c r="IU88" s="1140"/>
      <c r="IV88" s="1140"/>
      <c r="IW88" s="1140"/>
      <c r="IX88" s="1140"/>
      <c r="IY88" s="1140"/>
      <c r="IZ88" s="1140"/>
      <c r="JA88" s="1140"/>
      <c r="JB88" s="1140"/>
      <c r="JC88" s="1140"/>
      <c r="JD88" s="1140"/>
      <c r="JE88" s="1140"/>
      <c r="JF88" s="1140"/>
      <c r="JG88" s="1140"/>
      <c r="JH88" s="1140"/>
      <c r="JI88" s="1140"/>
      <c r="JJ88" s="1140"/>
      <c r="JK88" s="1140"/>
      <c r="JL88" s="1140"/>
    </row>
    <row r="89" spans="1:272" s="749" customFormat="1" ht="12.75" hidden="1" customHeight="1" outlineLevel="1">
      <c r="A89" s="1141" t="s">
        <v>85</v>
      </c>
      <c r="B89" s="815"/>
      <c r="C89" s="815"/>
      <c r="D89" s="815"/>
      <c r="E89" s="815"/>
      <c r="F89" s="816"/>
      <c r="G89" s="817"/>
      <c r="H89" s="817"/>
      <c r="I89" s="817"/>
      <c r="J89" s="817"/>
      <c r="K89" s="816"/>
      <c r="L89" s="817"/>
      <c r="M89" s="817"/>
      <c r="N89" s="817"/>
      <c r="O89" s="817"/>
      <c r="P89" s="816"/>
      <c r="Q89" s="817"/>
      <c r="R89" s="817"/>
      <c r="S89" s="817"/>
      <c r="T89" s="817"/>
      <c r="U89" s="816"/>
      <c r="V89" s="817"/>
      <c r="W89" s="817"/>
      <c r="X89" s="817"/>
      <c r="Y89" s="817"/>
      <c r="Z89" s="816"/>
      <c r="AA89" s="817"/>
      <c r="AB89" s="817"/>
      <c r="AC89" s="817"/>
      <c r="AD89" s="817"/>
      <c r="AE89" s="816"/>
      <c r="AF89" s="817"/>
      <c r="AG89" s="817"/>
      <c r="AH89" s="817"/>
      <c r="AI89" s="817"/>
      <c r="AJ89" s="816"/>
      <c r="AK89" s="817"/>
      <c r="AL89" s="817"/>
      <c r="AM89" s="817"/>
      <c r="AN89" s="817"/>
      <c r="AO89" s="816"/>
      <c r="AP89" s="817"/>
      <c r="AQ89" s="817"/>
      <c r="AR89" s="817"/>
      <c r="AS89" s="817"/>
      <c r="AT89" s="816"/>
      <c r="AU89" s="817"/>
      <c r="AV89" s="817"/>
      <c r="AW89" s="817"/>
      <c r="AX89" s="817"/>
      <c r="AY89" s="816"/>
      <c r="AZ89" s="817"/>
      <c r="BA89" s="817"/>
      <c r="BB89" s="817"/>
      <c r="BC89" s="817"/>
      <c r="BD89" s="816"/>
      <c r="BE89" s="817"/>
      <c r="BF89" s="817"/>
      <c r="BG89" s="817"/>
      <c r="BH89" s="817"/>
      <c r="BI89" s="816"/>
      <c r="BJ89" s="817"/>
      <c r="BK89" s="817"/>
      <c r="BL89" s="817"/>
      <c r="BM89" s="817"/>
      <c r="BN89" s="816"/>
      <c r="BO89" s="817"/>
      <c r="BP89" s="817"/>
      <c r="BQ89" s="817"/>
      <c r="BR89" s="817"/>
      <c r="BS89" s="816"/>
      <c r="BT89" s="817"/>
      <c r="BU89" s="817"/>
      <c r="BV89" s="817"/>
      <c r="BW89" s="817"/>
      <c r="BX89" s="816"/>
      <c r="BY89" s="817"/>
      <c r="BZ89" s="817"/>
      <c r="CA89" s="817"/>
      <c r="CB89" s="817"/>
      <c r="CC89" s="816"/>
      <c r="CD89" s="817"/>
      <c r="CE89" s="817"/>
      <c r="CF89" s="817"/>
      <c r="CG89" s="817"/>
      <c r="CH89" s="816"/>
      <c r="CI89" s="817"/>
      <c r="CJ89" s="817"/>
      <c r="CK89" s="817"/>
      <c r="CL89" s="817"/>
      <c r="CM89" s="816"/>
      <c r="CN89" s="817"/>
      <c r="CO89" s="817"/>
      <c r="CP89" s="817"/>
      <c r="CQ89" s="1104"/>
      <c r="CR89" s="816"/>
      <c r="CS89" s="1104"/>
      <c r="CT89" s="1104"/>
      <c r="CU89" s="1104"/>
      <c r="CV89" s="721">
        <f>CV88/CQ88-1</f>
        <v>-2.1825396825396748E-2</v>
      </c>
      <c r="CW89" s="816"/>
      <c r="CX89" s="721">
        <f t="shared" ref="CX89:EB89" si="333">CX88/CS88-1</f>
        <v>-1.9410977242302452E-2</v>
      </c>
      <c r="CY89" s="721">
        <f t="shared" si="333"/>
        <v>-1.5593220338983138E-2</v>
      </c>
      <c r="CZ89" s="721">
        <f t="shared" si="333"/>
        <v>-1.8729096989966609E-2</v>
      </c>
      <c r="DA89" s="721">
        <f t="shared" si="333"/>
        <v>-4.7329276538202736E-3</v>
      </c>
      <c r="DB89" s="816">
        <f t="shared" si="333"/>
        <v>-1.4078934745834215E-2</v>
      </c>
      <c r="DC89" s="721">
        <f t="shared" si="333"/>
        <v>-4.778156996587124E-3</v>
      </c>
      <c r="DD89" s="721">
        <f t="shared" si="333"/>
        <v>1.9283746556473913E-2</v>
      </c>
      <c r="DE89" s="721">
        <f t="shared" si="333"/>
        <v>2.6584867075664542E-2</v>
      </c>
      <c r="DF89" s="721">
        <f t="shared" si="333"/>
        <v>4.0760869565217517E-2</v>
      </c>
      <c r="DG89" s="816">
        <f t="shared" si="333"/>
        <v>1.7060805105174381E-2</v>
      </c>
      <c r="DH89" s="721">
        <f t="shared" si="333"/>
        <v>3.8408779149520011E-2</v>
      </c>
      <c r="DI89" s="721">
        <f t="shared" si="333"/>
        <v>4.1891891891892019E-2</v>
      </c>
      <c r="DJ89" s="721">
        <f t="shared" si="333"/>
        <v>4.5816733067729043E-2</v>
      </c>
      <c r="DK89" s="721">
        <f t="shared" si="333"/>
        <v>3.3942558746736351E-2</v>
      </c>
      <c r="DL89" s="816">
        <f t="shared" si="333"/>
        <v>4.2488664311392865E-2</v>
      </c>
      <c r="DM89" s="721">
        <f t="shared" si="333"/>
        <v>3.302509907529716E-2</v>
      </c>
      <c r="DN89" s="721">
        <f t="shared" si="333"/>
        <v>2.9831387808041621E-2</v>
      </c>
      <c r="DO89" s="721">
        <f t="shared" si="333"/>
        <v>1.9682539682539746E-2</v>
      </c>
      <c r="DP89" s="721">
        <f t="shared" si="333"/>
        <v>2.3358585858585856E-2</v>
      </c>
      <c r="DQ89" s="816">
        <f t="shared" si="333"/>
        <v>2.6909139320453246E-2</v>
      </c>
      <c r="DR89" s="743">
        <f t="shared" si="333"/>
        <v>3.2608695652173836E-2</v>
      </c>
      <c r="DS89" s="743">
        <f t="shared" si="333"/>
        <v>1.5743073047858935E-2</v>
      </c>
      <c r="DT89" s="721">
        <f t="shared" si="333"/>
        <v>4.3586550435865679E-3</v>
      </c>
      <c r="DU89" s="721">
        <f t="shared" si="333"/>
        <v>8.0197409006785847E-3</v>
      </c>
      <c r="DV89" s="816">
        <f t="shared" si="333"/>
        <v>1.5807105141793398E-2</v>
      </c>
      <c r="DW89" s="743">
        <f t="shared" si="333"/>
        <v>3.7151702786377694E-3</v>
      </c>
      <c r="DX89" s="743">
        <f t="shared" si="333"/>
        <v>1.4259144451332917E-2</v>
      </c>
      <c r="DY89" s="721">
        <f t="shared" si="333"/>
        <v>2.5418474891506504E-2</v>
      </c>
      <c r="DZ89" s="721">
        <f t="shared" si="333"/>
        <v>2.2643818849449326E-2</v>
      </c>
      <c r="EA89" s="816">
        <f t="shared" si="333"/>
        <v>1.6496370874953481E-2</v>
      </c>
      <c r="EB89" s="743">
        <f t="shared" si="333"/>
        <v>2.6526835286859951E-2</v>
      </c>
      <c r="EC89" s="743">
        <f>EC88/DX88-1</f>
        <v>2.7506112469437793E-2</v>
      </c>
      <c r="ED89" s="721"/>
      <c r="EE89" s="883"/>
      <c r="EF89" s="741"/>
      <c r="EG89" s="882"/>
      <c r="EH89" s="882"/>
      <c r="EI89" s="882"/>
      <c r="EJ89" s="883"/>
      <c r="EK89" s="741"/>
      <c r="EL89" s="884"/>
      <c r="EM89" s="882"/>
      <c r="EN89" s="882"/>
      <c r="EO89" s="883"/>
      <c r="EP89" s="741"/>
      <c r="EQ89" s="884"/>
      <c r="ER89" s="882"/>
      <c r="ES89" s="882"/>
      <c r="ET89" s="883"/>
      <c r="EU89" s="741"/>
      <c r="EV89" s="884"/>
      <c r="EW89" s="882"/>
      <c r="EX89" s="882"/>
      <c r="EY89" s="883"/>
      <c r="EZ89" s="741"/>
      <c r="FA89" s="884"/>
      <c r="FB89" s="882"/>
      <c r="FC89" s="882"/>
      <c r="FD89" s="883"/>
      <c r="FE89" s="741"/>
      <c r="FF89" s="721"/>
      <c r="FG89" s="690"/>
      <c r="FH89" s="754"/>
      <c r="FI89" s="754"/>
      <c r="FJ89" s="754"/>
      <c r="FK89" s="754"/>
      <c r="FL89" s="690"/>
      <c r="FM89" s="747"/>
      <c r="FN89" s="1091"/>
      <c r="FO89" s="723"/>
      <c r="FP89" s="723"/>
      <c r="FQ89" s="723"/>
      <c r="FR89" s="723"/>
      <c r="FS89" s="723"/>
      <c r="FT89" s="723"/>
      <c r="FU89" s="690"/>
      <c r="FV89"/>
      <c r="FW89"/>
      <c r="FX89"/>
      <c r="FY89"/>
      <c r="FZ89"/>
      <c r="GA89"/>
      <c r="GB89" s="725"/>
      <c r="GC89" s="532"/>
      <c r="GD89" s="532"/>
      <c r="GE89" s="532"/>
      <c r="GF89" s="532"/>
      <c r="GG89" s="532"/>
      <c r="GH89" s="532"/>
      <c r="GI89" s="532"/>
      <c r="GJ89" s="532"/>
      <c r="GK89" s="532"/>
      <c r="GL89" s="532"/>
      <c r="GM89" s="532"/>
      <c r="GN89" s="532"/>
      <c r="GO89" s="532"/>
      <c r="GP89" s="532"/>
      <c r="GQ89" s="532"/>
      <c r="GR89" s="532"/>
      <c r="GS89" s="532"/>
      <c r="GT89" s="532"/>
      <c r="GU89" s="532"/>
      <c r="GV89" s="532"/>
      <c r="GW89" s="532"/>
      <c r="GX89" s="532"/>
      <c r="GY89" s="532"/>
      <c r="GZ89" s="532"/>
      <c r="HA89" s="532"/>
      <c r="HB89" s="532"/>
      <c r="HC89" s="532"/>
      <c r="HD89" s="532"/>
      <c r="HE89" s="532"/>
      <c r="HF89" s="532"/>
      <c r="HG89" s="532"/>
      <c r="HH89" s="532"/>
      <c r="HI89" s="532"/>
      <c r="HJ89" s="532"/>
      <c r="HK89" s="532"/>
      <c r="HL89" s="532"/>
      <c r="HM89" s="532"/>
      <c r="HN89" s="532"/>
      <c r="HO89" s="532"/>
      <c r="HP89" s="532"/>
      <c r="HQ89" s="532"/>
      <c r="HR89" s="532"/>
      <c r="HS89" s="532"/>
      <c r="HT89" s="532"/>
      <c r="HU89" s="532"/>
      <c r="HV89" s="532"/>
      <c r="HW89" s="532"/>
      <c r="HX89" s="532"/>
      <c r="HY89" s="532"/>
      <c r="HZ89" s="532"/>
      <c r="IA89" s="532"/>
      <c r="IB89" s="532"/>
      <c r="IC89" s="532"/>
      <c r="ID89" s="532"/>
      <c r="IE89" s="532"/>
      <c r="IF89" s="532"/>
      <c r="IG89" s="532"/>
      <c r="IH89" s="532"/>
      <c r="II89" s="532"/>
      <c r="IJ89" s="532"/>
      <c r="IK89" s="532"/>
      <c r="IL89" s="532"/>
      <c r="IM89" s="532"/>
      <c r="IN89" s="532"/>
      <c r="IO89" s="532"/>
      <c r="IP89" s="532"/>
      <c r="IQ89" s="532"/>
      <c r="IR89" s="532"/>
      <c r="IS89" s="532"/>
      <c r="IT89" s="532"/>
      <c r="IU89" s="532"/>
      <c r="IV89" s="532"/>
      <c r="IW89" s="532"/>
      <c r="IX89" s="532"/>
      <c r="IY89" s="532"/>
      <c r="IZ89" s="532"/>
      <c r="JA89" s="532"/>
      <c r="JB89" s="532"/>
      <c r="JC89" s="532"/>
      <c r="JD89" s="532"/>
      <c r="JE89" s="532"/>
      <c r="JF89" s="532"/>
      <c r="JG89" s="532"/>
      <c r="JH89" s="532"/>
      <c r="JI89" s="532"/>
      <c r="JJ89" s="532"/>
      <c r="JK89" s="532"/>
      <c r="JL89" s="532"/>
    </row>
    <row r="90" spans="1:272" s="885" customFormat="1" ht="12.75" hidden="1" customHeight="1" outlineLevel="1">
      <c r="A90" s="1128" t="s">
        <v>319</v>
      </c>
      <c r="B90" s="886"/>
      <c r="C90" s="887"/>
      <c r="D90" s="887"/>
      <c r="E90" s="887"/>
      <c r="F90" s="888"/>
      <c r="G90" s="887"/>
      <c r="H90" s="887"/>
      <c r="I90" s="887"/>
      <c r="J90" s="887"/>
      <c r="K90" s="888"/>
      <c r="L90" s="875"/>
      <c r="M90" s="875"/>
      <c r="N90" s="875"/>
      <c r="O90" s="875"/>
      <c r="P90" s="888"/>
      <c r="Q90" s="875"/>
      <c r="R90" s="875"/>
      <c r="S90" s="875"/>
      <c r="T90" s="875"/>
      <c r="U90" s="888"/>
      <c r="V90" s="875"/>
      <c r="W90" s="875"/>
      <c r="X90" s="875"/>
      <c r="Y90" s="875"/>
      <c r="Z90" s="888"/>
      <c r="AA90" s="875"/>
      <c r="AB90" s="875"/>
      <c r="AC90" s="875"/>
      <c r="AD90" s="875"/>
      <c r="AE90" s="888"/>
      <c r="AF90" s="875"/>
      <c r="AG90" s="875"/>
      <c r="AH90" s="875"/>
      <c r="AI90" s="875"/>
      <c r="AJ90" s="888"/>
      <c r="AK90" s="875"/>
      <c r="AL90" s="875"/>
      <c r="AM90" s="875"/>
      <c r="AN90" s="875"/>
      <c r="AO90" s="888"/>
      <c r="AP90" s="875"/>
      <c r="AQ90" s="875"/>
      <c r="AR90" s="875"/>
      <c r="AS90" s="875"/>
      <c r="AT90" s="888"/>
      <c r="AU90" s="875"/>
      <c r="AV90" s="875"/>
      <c r="AW90" s="875"/>
      <c r="AX90" s="875"/>
      <c r="AY90" s="888"/>
      <c r="AZ90" s="875"/>
      <c r="BA90" s="875"/>
      <c r="BB90" s="875"/>
      <c r="BC90" s="875"/>
      <c r="BD90" s="888"/>
      <c r="BE90" s="875"/>
      <c r="BF90" s="875"/>
      <c r="BG90" s="875"/>
      <c r="BH90" s="875"/>
      <c r="BI90" s="888"/>
      <c r="BJ90" s="875"/>
      <c r="BK90" s="875"/>
      <c r="BL90" s="875"/>
      <c r="BM90" s="875"/>
      <c r="BN90" s="888"/>
      <c r="BO90" s="875"/>
      <c r="BP90" s="875"/>
      <c r="BQ90" s="875"/>
      <c r="BR90" s="875"/>
      <c r="BS90" s="888"/>
      <c r="BT90" s="732"/>
      <c r="BU90" s="732"/>
      <c r="BV90" s="732"/>
      <c r="BW90" s="732"/>
      <c r="BX90" s="888"/>
      <c r="BY90" s="732"/>
      <c r="BZ90" s="732"/>
      <c r="CA90" s="732"/>
      <c r="CB90" s="731"/>
      <c r="CC90" s="888"/>
      <c r="CD90" s="731"/>
      <c r="CE90" s="731"/>
      <c r="CF90" s="731"/>
      <c r="CG90" s="731"/>
      <c r="CH90" s="888"/>
      <c r="CI90" s="731"/>
      <c r="CJ90" s="731"/>
      <c r="CK90" s="731"/>
      <c r="CL90" s="731"/>
      <c r="CM90" s="888"/>
      <c r="CN90" s="731"/>
      <c r="CO90" s="759"/>
      <c r="CP90" s="759"/>
      <c r="CQ90" s="889">
        <f>CQ94*(1-CQ92)</f>
        <v>76.858475200000001</v>
      </c>
      <c r="CR90" s="888">
        <f>SUM(CN90:CQ90)</f>
        <v>76.858475200000001</v>
      </c>
      <c r="CS90" s="889">
        <f>CS94*(1-CS92)</f>
        <v>77.462783999999999</v>
      </c>
      <c r="CT90" s="889">
        <f>CT94*(1-CT92)</f>
        <v>87.468495000000004</v>
      </c>
      <c r="CU90" s="889">
        <f>CU94*(1-CU92)</f>
        <v>87.067316399999996</v>
      </c>
      <c r="CV90" s="889">
        <f>CV94*(1-CV92)</f>
        <v>80.137214999999998</v>
      </c>
      <c r="CW90" s="888">
        <f>SUM(CS90:CV90)</f>
        <v>332.13581039999997</v>
      </c>
      <c r="CX90" s="889">
        <f>CX94*(1-CX92)</f>
        <v>82.101416400000005</v>
      </c>
      <c r="CY90" s="889">
        <f>CY94*(1-CY92)</f>
        <v>87.222864600000008</v>
      </c>
      <c r="CZ90" s="889">
        <f>CZ94*(1-CZ92)</f>
        <v>83.744614600000006</v>
      </c>
      <c r="DA90" s="889">
        <f>DA94*(1-DA92)</f>
        <v>79.718850099999997</v>
      </c>
      <c r="DB90" s="888">
        <f>SUM(CX90:DA90)</f>
        <v>332.78774570000002</v>
      </c>
      <c r="DC90" s="889">
        <f>DC94*(1-DC92)</f>
        <v>79.735006999999996</v>
      </c>
      <c r="DD90" s="889">
        <f>DD94*(1-DD92)</f>
        <v>78.929759999999987</v>
      </c>
      <c r="DE90" s="889">
        <f>DE94*(1-DE92)</f>
        <v>75.573348499999994</v>
      </c>
      <c r="DF90" s="889">
        <f>DF94*(1-DF92)</f>
        <v>74.685111599999999</v>
      </c>
      <c r="DG90" s="888">
        <f>SUM(DC90:DF90)</f>
        <v>308.92322709999996</v>
      </c>
      <c r="DH90" s="889">
        <f>DH94*(1-DH92)</f>
        <v>73.168070499999999</v>
      </c>
      <c r="DI90" s="889">
        <f>DI94*(1-DI92)</f>
        <v>74.016623999999993</v>
      </c>
      <c r="DJ90" s="889">
        <f>DJ94*(1-DJ92)</f>
        <v>75.293064000000001</v>
      </c>
      <c r="DK90" s="889">
        <f>DK94*(1-DK92)</f>
        <v>73.522293599999998</v>
      </c>
      <c r="DL90" s="888">
        <f>SUM(DH90:DK90)</f>
        <v>296.0000521</v>
      </c>
      <c r="DM90" s="889">
        <f>DM94*(1-DM92)</f>
        <v>74.405703599999995</v>
      </c>
      <c r="DN90" s="889">
        <f>DN94*(1-DN92)</f>
        <v>75.739395700000003</v>
      </c>
      <c r="DO90" s="889">
        <f>DO94*(1-DO92)</f>
        <v>74.384512799999996</v>
      </c>
      <c r="DP90" s="889">
        <f>DP94*(1-DP92)</f>
        <v>70.749084300000007</v>
      </c>
      <c r="DQ90" s="888">
        <f>SUM(DM90:DP90)</f>
        <v>295.2786964</v>
      </c>
      <c r="DR90" s="892">
        <f>DR94*(1-DR92)</f>
        <v>72.061778799999985</v>
      </c>
      <c r="DS90" s="892">
        <f>DS94*(1-DS92)</f>
        <v>74.927655299999998</v>
      </c>
      <c r="DT90" s="889">
        <f>DT94*(1-DT92)</f>
        <v>75.207004300000008</v>
      </c>
      <c r="DU90" s="889">
        <f>DU94*(1-DU92)</f>
        <v>71.583128400000007</v>
      </c>
      <c r="DV90" s="888">
        <f>SUM(DR90:DU90)</f>
        <v>293.7795668</v>
      </c>
      <c r="DW90" s="892">
        <f>DW94*(1-DW92)</f>
        <v>71.220969600000004</v>
      </c>
      <c r="DX90" s="892">
        <f>DX94*(1-DX92)</f>
        <v>73.819040000000001</v>
      </c>
      <c r="DY90" s="889">
        <f>DY94*(1-DY92)</f>
        <v>72.172648000000009</v>
      </c>
      <c r="DZ90" s="889">
        <f>DZ94*(1-DZ92)</f>
        <v>69.184142999999992</v>
      </c>
      <c r="EA90" s="888">
        <f>SUM(DW90:DZ90)</f>
        <v>286.39680060000001</v>
      </c>
      <c r="EB90" s="892">
        <f>EB94*(1-EB92)</f>
        <v>67.455253800000008</v>
      </c>
      <c r="EC90" s="892">
        <f>EC94*(1-EC92)</f>
        <v>69.376507199999992</v>
      </c>
      <c r="ED90" s="889"/>
      <c r="EE90" s="1143"/>
      <c r="EF90" s="1144"/>
      <c r="EG90" s="1142"/>
      <c r="EH90" s="1142"/>
      <c r="EI90" s="1142"/>
      <c r="EJ90" s="1143"/>
      <c r="EK90" s="1144"/>
      <c r="EL90" s="1145"/>
      <c r="EM90" s="1142"/>
      <c r="EN90" s="1142"/>
      <c r="EO90" s="1143"/>
      <c r="EP90" s="1144"/>
      <c r="EQ90" s="1145"/>
      <c r="ER90" s="1142"/>
      <c r="ES90" s="1142"/>
      <c r="ET90" s="1143"/>
      <c r="EU90" s="1144"/>
      <c r="EV90" s="1145"/>
      <c r="EW90" s="1142"/>
      <c r="EX90" s="1142"/>
      <c r="EY90" s="1143"/>
      <c r="EZ90" s="1144"/>
      <c r="FA90" s="1145"/>
      <c r="FB90" s="1142"/>
      <c r="FC90" s="1142"/>
      <c r="FD90" s="1143"/>
      <c r="FE90" s="1144"/>
      <c r="FF90" s="721"/>
      <c r="FG90" s="690"/>
      <c r="FH90" s="754"/>
      <c r="FI90" s="754"/>
      <c r="FJ90" s="754"/>
      <c r="FK90" s="754"/>
      <c r="FL90" s="690"/>
      <c r="FM90" s="708"/>
      <c r="FN90" s="708"/>
      <c r="FO90" s="723"/>
      <c r="FP90" s="723"/>
      <c r="FQ90" s="723"/>
      <c r="FR90" s="723"/>
      <c r="FS90" s="723"/>
      <c r="FT90" s="723"/>
      <c r="FU90" s="690"/>
      <c r="FV90"/>
      <c r="FW90"/>
      <c r="FX90"/>
      <c r="FY90"/>
      <c r="FZ90"/>
      <c r="GA90"/>
      <c r="GB90" s="725"/>
      <c r="GC90" s="1092"/>
      <c r="GD90" s="1092"/>
      <c r="GE90" s="1092"/>
      <c r="GF90" s="1092"/>
      <c r="GG90" s="1092"/>
      <c r="GH90" s="1092"/>
      <c r="GI90" s="1092"/>
      <c r="GJ90" s="1092"/>
      <c r="GK90" s="1092"/>
      <c r="GL90" s="1092"/>
      <c r="GM90" s="1092"/>
      <c r="GN90" s="1092"/>
      <c r="GO90" s="1092"/>
      <c r="GP90" s="1092"/>
      <c r="GQ90" s="1092"/>
      <c r="GR90" s="1092"/>
      <c r="GS90" s="1092"/>
      <c r="GT90" s="1092"/>
      <c r="GU90" s="1092"/>
      <c r="GV90" s="1092"/>
      <c r="GW90" s="1092"/>
      <c r="GX90" s="1092"/>
      <c r="GY90" s="1092"/>
      <c r="GZ90" s="1092"/>
      <c r="HA90" s="1092"/>
      <c r="HB90" s="1092"/>
      <c r="HC90" s="1092"/>
      <c r="HD90" s="1092"/>
      <c r="HE90" s="1092"/>
      <c r="HF90" s="1092"/>
      <c r="HG90" s="1092"/>
      <c r="HH90" s="1092"/>
      <c r="HI90" s="1092"/>
      <c r="HJ90" s="1092"/>
      <c r="HK90" s="1092"/>
      <c r="HL90" s="1092"/>
      <c r="HM90" s="1092"/>
      <c r="HN90" s="1092"/>
      <c r="HO90" s="1092"/>
      <c r="HP90" s="1092"/>
      <c r="HQ90" s="1092"/>
      <c r="HR90" s="1092"/>
      <c r="HS90" s="1092"/>
      <c r="HT90" s="1092"/>
      <c r="HU90" s="1092"/>
      <c r="HV90" s="1092"/>
      <c r="HW90" s="1092"/>
      <c r="HX90" s="1092"/>
      <c r="HY90" s="1092"/>
      <c r="HZ90" s="1092"/>
      <c r="IA90" s="1092"/>
      <c r="IB90" s="1092"/>
      <c r="IC90" s="1092"/>
      <c r="ID90" s="1092"/>
      <c r="IE90" s="1092"/>
      <c r="IF90" s="1092"/>
      <c r="IG90" s="1092"/>
      <c r="IH90" s="1092"/>
      <c r="II90" s="1092"/>
      <c r="IJ90" s="1092"/>
      <c r="IK90" s="1092"/>
      <c r="IL90" s="1092"/>
      <c r="IM90" s="1092"/>
      <c r="IN90" s="1092"/>
      <c r="IO90" s="1092"/>
      <c r="IP90" s="1092"/>
      <c r="IQ90" s="1092"/>
      <c r="IR90" s="1092"/>
      <c r="IS90" s="1092"/>
      <c r="IT90" s="1092"/>
      <c r="IU90" s="1092"/>
      <c r="IV90" s="1092"/>
      <c r="IW90" s="1092"/>
      <c r="IX90" s="1092"/>
      <c r="IY90" s="1092"/>
      <c r="IZ90" s="1092"/>
      <c r="JA90" s="1092"/>
      <c r="JB90" s="1092"/>
      <c r="JC90" s="1092"/>
      <c r="JD90" s="1092"/>
      <c r="JE90" s="1092"/>
      <c r="JF90" s="1092"/>
      <c r="JG90" s="1092"/>
      <c r="JH90" s="1092"/>
      <c r="JI90" s="1092"/>
      <c r="JJ90" s="1092"/>
      <c r="JK90" s="1092"/>
      <c r="JL90" s="1092"/>
    </row>
    <row r="91" spans="1:272" s="885" customFormat="1" ht="12.75" hidden="1" customHeight="1" outlineLevel="1">
      <c r="A91" s="1141" t="s">
        <v>85</v>
      </c>
      <c r="B91" s="1125"/>
      <c r="C91" s="1126"/>
      <c r="D91" s="1126"/>
      <c r="E91" s="1126"/>
      <c r="F91" s="880"/>
      <c r="G91" s="1126"/>
      <c r="H91" s="1126"/>
      <c r="I91" s="1126"/>
      <c r="J91" s="1126"/>
      <c r="K91" s="880"/>
      <c r="L91" s="711"/>
      <c r="M91" s="711"/>
      <c r="N91" s="711"/>
      <c r="O91" s="711"/>
      <c r="P91" s="880"/>
      <c r="Q91" s="711"/>
      <c r="R91" s="711"/>
      <c r="S91" s="711"/>
      <c r="T91" s="711"/>
      <c r="U91" s="880"/>
      <c r="V91" s="711"/>
      <c r="W91" s="711"/>
      <c r="X91" s="711"/>
      <c r="Y91" s="711"/>
      <c r="Z91" s="880"/>
      <c r="AA91" s="711"/>
      <c r="AB91" s="711"/>
      <c r="AC91" s="711"/>
      <c r="AD91" s="711"/>
      <c r="AE91" s="880"/>
      <c r="AF91" s="711"/>
      <c r="AG91" s="711"/>
      <c r="AH91" s="711"/>
      <c r="AI91" s="711"/>
      <c r="AJ91" s="880"/>
      <c r="AK91" s="711"/>
      <c r="AL91" s="711"/>
      <c r="AM91" s="711"/>
      <c r="AN91" s="711"/>
      <c r="AO91" s="880"/>
      <c r="AP91" s="711"/>
      <c r="AQ91" s="711"/>
      <c r="AR91" s="711"/>
      <c r="AS91" s="711"/>
      <c r="AT91" s="880"/>
      <c r="AU91" s="711"/>
      <c r="AV91" s="711"/>
      <c r="AW91" s="711"/>
      <c r="AX91" s="711"/>
      <c r="AY91" s="880"/>
      <c r="AZ91" s="711"/>
      <c r="BA91" s="711"/>
      <c r="BB91" s="711"/>
      <c r="BC91" s="711"/>
      <c r="BD91" s="880"/>
      <c r="BE91" s="711"/>
      <c r="BF91" s="711"/>
      <c r="BG91" s="711"/>
      <c r="BH91" s="711"/>
      <c r="BI91" s="880"/>
      <c r="BJ91" s="711"/>
      <c r="BK91" s="711"/>
      <c r="BL91" s="711"/>
      <c r="BM91" s="711"/>
      <c r="BN91" s="880"/>
      <c r="BO91" s="711"/>
      <c r="BP91" s="711"/>
      <c r="BQ91" s="711"/>
      <c r="BR91" s="711"/>
      <c r="BS91" s="880"/>
      <c r="BT91" s="1003"/>
      <c r="BU91" s="1003"/>
      <c r="BV91" s="1003"/>
      <c r="BW91" s="1003"/>
      <c r="BX91" s="880"/>
      <c r="BY91" s="1003"/>
      <c r="BZ91" s="1003"/>
      <c r="CA91" s="1003"/>
      <c r="CB91" s="1127"/>
      <c r="CC91" s="880"/>
      <c r="CD91" s="1127"/>
      <c r="CE91" s="1127"/>
      <c r="CF91" s="1127"/>
      <c r="CG91" s="1127"/>
      <c r="CH91" s="880"/>
      <c r="CI91" s="1127"/>
      <c r="CJ91" s="1127"/>
      <c r="CK91" s="1127"/>
      <c r="CL91" s="1127"/>
      <c r="CM91" s="880"/>
      <c r="CN91" s="1127"/>
      <c r="CO91" s="1127"/>
      <c r="CP91" s="1127"/>
      <c r="CQ91" s="1104"/>
      <c r="CR91" s="880"/>
      <c r="CS91" s="1104"/>
      <c r="CT91" s="1104"/>
      <c r="CU91" s="1104"/>
      <c r="CV91" s="721">
        <f t="shared" ref="CV91:EB91" si="334">CV90/CQ90-1</f>
        <v>4.2659443756438264E-2</v>
      </c>
      <c r="CW91" s="741">
        <f t="shared" si="334"/>
        <v>3.321394739301307</v>
      </c>
      <c r="CX91" s="721">
        <f t="shared" si="334"/>
        <v>5.9882077050058102E-2</v>
      </c>
      <c r="CY91" s="721">
        <f t="shared" si="334"/>
        <v>-2.8082156895462562E-3</v>
      </c>
      <c r="CZ91" s="721">
        <f t="shared" si="334"/>
        <v>-3.8162446453902543E-2</v>
      </c>
      <c r="DA91" s="721">
        <f t="shared" si="334"/>
        <v>-5.2206069302508373E-3</v>
      </c>
      <c r="DB91" s="741">
        <f t="shared" si="334"/>
        <v>1.9628576009762533E-3</v>
      </c>
      <c r="DC91" s="721">
        <f t="shared" si="334"/>
        <v>-2.882300335076815E-2</v>
      </c>
      <c r="DD91" s="721">
        <f t="shared" si="334"/>
        <v>-9.5079479882159479E-2</v>
      </c>
      <c r="DE91" s="721">
        <f t="shared" si="334"/>
        <v>-9.7573630722757043E-2</v>
      </c>
      <c r="DF91" s="721">
        <f t="shared" si="334"/>
        <v>-6.3143641606541401E-2</v>
      </c>
      <c r="DG91" s="741">
        <f t="shared" si="334"/>
        <v>-7.17109295890761E-2</v>
      </c>
      <c r="DH91" s="721">
        <f t="shared" si="334"/>
        <v>-8.2359514936770517E-2</v>
      </c>
      <c r="DI91" s="721">
        <f t="shared" si="334"/>
        <v>-6.2246939557398795E-2</v>
      </c>
      <c r="DJ91" s="721">
        <f t="shared" si="334"/>
        <v>-3.7087743968363673E-3</v>
      </c>
      <c r="DK91" s="721">
        <f t="shared" si="334"/>
        <v>-1.5569609191023792E-2</v>
      </c>
      <c r="DL91" s="741">
        <f t="shared" si="334"/>
        <v>-4.1832966466508692E-2</v>
      </c>
      <c r="DM91" s="721">
        <f t="shared" si="334"/>
        <v>1.6914934226671896E-2</v>
      </c>
      <c r="DN91" s="721">
        <f t="shared" si="334"/>
        <v>2.3275469845801311E-2</v>
      </c>
      <c r="DO91" s="721">
        <f t="shared" si="334"/>
        <v>-1.2066864485684947E-2</v>
      </c>
      <c r="DP91" s="721">
        <f t="shared" si="334"/>
        <v>-3.7719297973587529E-2</v>
      </c>
      <c r="DQ91" s="741">
        <f t="shared" si="334"/>
        <v>-2.4370120710529575E-3</v>
      </c>
      <c r="DR91" s="743">
        <f t="shared" si="334"/>
        <v>-3.1501950611216412E-2</v>
      </c>
      <c r="DS91" s="743">
        <f t="shared" si="334"/>
        <v>-1.0717545241782367E-2</v>
      </c>
      <c r="DT91" s="721">
        <f t="shared" si="334"/>
        <v>1.1057294980360677E-2</v>
      </c>
      <c r="DU91" s="721">
        <f t="shared" si="334"/>
        <v>1.1788761766348355E-2</v>
      </c>
      <c r="DV91" s="741">
        <f t="shared" si="334"/>
        <v>-5.0769988430496849E-3</v>
      </c>
      <c r="DW91" s="743">
        <f t="shared" si="334"/>
        <v>-1.1667894048710048E-2</v>
      </c>
      <c r="DX91" s="743">
        <f t="shared" si="334"/>
        <v>-1.4795809311812236E-2</v>
      </c>
      <c r="DY91" s="721">
        <f t="shared" si="334"/>
        <v>-4.0346724726542549E-2</v>
      </c>
      <c r="DZ91" s="721">
        <f t="shared" si="334"/>
        <v>-3.3513279645934202E-2</v>
      </c>
      <c r="EA91" s="741">
        <f t="shared" si="334"/>
        <v>-2.5130291668739702E-2</v>
      </c>
      <c r="EB91" s="743">
        <f t="shared" si="334"/>
        <v>-5.2873694659725579E-2</v>
      </c>
      <c r="EC91" s="743">
        <f>EC90/DX90-1</f>
        <v>-6.0181394935507226E-2</v>
      </c>
      <c r="ED91" s="721"/>
      <c r="EE91" s="883"/>
      <c r="EF91" s="741"/>
      <c r="EG91" s="882"/>
      <c r="EH91" s="882"/>
      <c r="EI91" s="882"/>
      <c r="EJ91" s="883"/>
      <c r="EK91" s="741"/>
      <c r="EL91" s="884"/>
      <c r="EM91" s="882"/>
      <c r="EN91" s="882"/>
      <c r="EO91" s="883"/>
      <c r="EP91" s="741"/>
      <c r="EQ91" s="884"/>
      <c r="ER91" s="882"/>
      <c r="ES91" s="882"/>
      <c r="ET91" s="883"/>
      <c r="EU91" s="741"/>
      <c r="EV91" s="884"/>
      <c r="EW91" s="882"/>
      <c r="EX91" s="882"/>
      <c r="EY91" s="883"/>
      <c r="EZ91" s="741"/>
      <c r="FA91" s="884"/>
      <c r="FB91" s="882"/>
      <c r="FC91" s="882"/>
      <c r="FD91" s="883"/>
      <c r="FE91" s="741"/>
      <c r="FF91" s="721"/>
      <c r="FG91" s="690"/>
      <c r="FH91" s="754"/>
      <c r="FI91" s="754"/>
      <c r="FJ91" s="754"/>
      <c r="FK91" s="754"/>
      <c r="FL91" s="690"/>
      <c r="FM91" s="708"/>
      <c r="FN91" s="708"/>
      <c r="FO91" s="723"/>
      <c r="FP91" s="723"/>
      <c r="FQ91" s="723"/>
      <c r="FR91" s="723"/>
      <c r="FS91" s="723"/>
      <c r="FT91" s="723"/>
      <c r="FU91" s="690"/>
      <c r="FV91"/>
      <c r="FW91"/>
      <c r="FX91"/>
      <c r="FY91"/>
      <c r="FZ91"/>
      <c r="GA91"/>
      <c r="GB91" s="725"/>
      <c r="GC91" s="1092"/>
      <c r="GD91" s="1092"/>
      <c r="GE91" s="1092"/>
      <c r="GF91" s="1092"/>
      <c r="GG91" s="1092"/>
      <c r="GH91" s="1092"/>
      <c r="GI91" s="1092"/>
      <c r="GJ91" s="1092"/>
      <c r="GK91" s="1092"/>
      <c r="GL91" s="1092"/>
      <c r="GM91" s="1092"/>
      <c r="GN91" s="1092"/>
      <c r="GO91" s="1092"/>
      <c r="GP91" s="1092"/>
      <c r="GQ91" s="1092"/>
      <c r="GR91" s="1092"/>
      <c r="GS91" s="1092"/>
      <c r="GT91" s="1092"/>
      <c r="GU91" s="1092"/>
      <c r="GV91" s="1092"/>
      <c r="GW91" s="1092"/>
      <c r="GX91" s="1092"/>
      <c r="GY91" s="1092"/>
      <c r="GZ91" s="1092"/>
      <c r="HA91" s="1092"/>
      <c r="HB91" s="1092"/>
      <c r="HC91" s="1092"/>
      <c r="HD91" s="1092"/>
      <c r="HE91" s="1092"/>
      <c r="HF91" s="1092"/>
      <c r="HG91" s="1092"/>
      <c r="HH91" s="1092"/>
      <c r="HI91" s="1092"/>
      <c r="HJ91" s="1092"/>
      <c r="HK91" s="1092"/>
      <c r="HL91" s="1092"/>
      <c r="HM91" s="1092"/>
      <c r="HN91" s="1092"/>
      <c r="HO91" s="1092"/>
      <c r="HP91" s="1092"/>
      <c r="HQ91" s="1092"/>
      <c r="HR91" s="1092"/>
      <c r="HS91" s="1092"/>
      <c r="HT91" s="1092"/>
      <c r="HU91" s="1092"/>
      <c r="HV91" s="1092"/>
      <c r="HW91" s="1092"/>
      <c r="HX91" s="1092"/>
      <c r="HY91" s="1092"/>
      <c r="HZ91" s="1092"/>
      <c r="IA91" s="1092"/>
      <c r="IB91" s="1092"/>
      <c r="IC91" s="1092"/>
      <c r="ID91" s="1092"/>
      <c r="IE91" s="1092"/>
      <c r="IF91" s="1092"/>
      <c r="IG91" s="1092"/>
      <c r="IH91" s="1092"/>
      <c r="II91" s="1092"/>
      <c r="IJ91" s="1092"/>
      <c r="IK91" s="1092"/>
      <c r="IL91" s="1092"/>
      <c r="IM91" s="1092"/>
      <c r="IN91" s="1092"/>
      <c r="IO91" s="1092"/>
      <c r="IP91" s="1092"/>
      <c r="IQ91" s="1092"/>
      <c r="IR91" s="1092"/>
      <c r="IS91" s="1092"/>
      <c r="IT91" s="1092"/>
      <c r="IU91" s="1092"/>
      <c r="IV91" s="1092"/>
      <c r="IW91" s="1092"/>
      <c r="IX91" s="1092"/>
      <c r="IY91" s="1092"/>
      <c r="IZ91" s="1092"/>
      <c r="JA91" s="1092"/>
      <c r="JB91" s="1092"/>
      <c r="JC91" s="1092"/>
      <c r="JD91" s="1092"/>
      <c r="JE91" s="1092"/>
      <c r="JF91" s="1092"/>
      <c r="JG91" s="1092"/>
      <c r="JH91" s="1092"/>
      <c r="JI91" s="1092"/>
      <c r="JJ91" s="1092"/>
      <c r="JK91" s="1092"/>
      <c r="JL91" s="1092"/>
    </row>
    <row r="92" spans="1:272" s="885" customFormat="1" ht="12.75" hidden="1" customHeight="1" outlineLevel="1">
      <c r="A92" s="1128" t="s">
        <v>320</v>
      </c>
      <c r="B92" s="886"/>
      <c r="C92" s="887"/>
      <c r="D92" s="887"/>
      <c r="E92" s="887"/>
      <c r="F92" s="888"/>
      <c r="G92" s="887"/>
      <c r="H92" s="887"/>
      <c r="I92" s="887"/>
      <c r="J92" s="887"/>
      <c r="K92" s="888"/>
      <c r="L92" s="875"/>
      <c r="M92" s="875"/>
      <c r="N92" s="875"/>
      <c r="O92" s="875"/>
      <c r="P92" s="888"/>
      <c r="Q92" s="875"/>
      <c r="R92" s="875"/>
      <c r="S92" s="875"/>
      <c r="T92" s="875"/>
      <c r="U92" s="888"/>
      <c r="V92" s="875"/>
      <c r="W92" s="875"/>
      <c r="X92" s="875"/>
      <c r="Y92" s="875"/>
      <c r="Z92" s="888"/>
      <c r="AA92" s="875"/>
      <c r="AB92" s="875"/>
      <c r="AC92" s="875"/>
      <c r="AD92" s="875"/>
      <c r="AE92" s="888"/>
      <c r="AF92" s="875"/>
      <c r="AG92" s="875"/>
      <c r="AH92" s="875"/>
      <c r="AI92" s="875"/>
      <c r="AJ92" s="888"/>
      <c r="AK92" s="875"/>
      <c r="AL92" s="875"/>
      <c r="AM92" s="875"/>
      <c r="AN92" s="875"/>
      <c r="AO92" s="888"/>
      <c r="AP92" s="875"/>
      <c r="AQ92" s="875"/>
      <c r="AR92" s="875"/>
      <c r="AS92" s="875"/>
      <c r="AT92" s="888"/>
      <c r="AU92" s="875"/>
      <c r="AV92" s="875"/>
      <c r="AW92" s="875"/>
      <c r="AX92" s="875"/>
      <c r="AY92" s="888"/>
      <c r="AZ92" s="875"/>
      <c r="BA92" s="875"/>
      <c r="BB92" s="875"/>
      <c r="BC92" s="875"/>
      <c r="BD92" s="888"/>
      <c r="BE92" s="875"/>
      <c r="BF92" s="875"/>
      <c r="BG92" s="875"/>
      <c r="BH92" s="875"/>
      <c r="BI92" s="888"/>
      <c r="BJ92" s="875"/>
      <c r="BK92" s="875"/>
      <c r="BL92" s="875"/>
      <c r="BM92" s="875"/>
      <c r="BN92" s="888"/>
      <c r="BO92" s="875"/>
      <c r="BP92" s="875"/>
      <c r="BQ92" s="875"/>
      <c r="BR92" s="875"/>
      <c r="BS92" s="888"/>
      <c r="BT92" s="732"/>
      <c r="BU92" s="732"/>
      <c r="BV92" s="732"/>
      <c r="BW92" s="732"/>
      <c r="BX92" s="888"/>
      <c r="BY92" s="732"/>
      <c r="BZ92" s="732"/>
      <c r="CA92" s="732"/>
      <c r="CB92" s="731"/>
      <c r="CC92" s="888"/>
      <c r="CD92" s="731"/>
      <c r="CE92" s="731"/>
      <c r="CF92" s="731"/>
      <c r="CG92" s="731"/>
      <c r="CH92" s="888"/>
      <c r="CI92" s="731"/>
      <c r="CJ92" s="731"/>
      <c r="CK92" s="731"/>
      <c r="CL92" s="731"/>
      <c r="CM92" s="888"/>
      <c r="CN92" s="1146"/>
      <c r="CO92" s="1146"/>
      <c r="CP92" s="1146"/>
      <c r="CQ92" s="1147">
        <v>0.1056</v>
      </c>
      <c r="CR92" s="1148">
        <f>1-CR90/CR94</f>
        <v>0.10560000000000003</v>
      </c>
      <c r="CS92" s="1147">
        <v>0.104</v>
      </c>
      <c r="CT92" s="1147">
        <v>9.7500000000000003E-2</v>
      </c>
      <c r="CU92" s="1147">
        <v>0.10059999999999999</v>
      </c>
      <c r="CV92" s="1147">
        <v>0.1081</v>
      </c>
      <c r="CW92" s="1148">
        <f>1-CW90/CW94</f>
        <v>0.10240357378360565</v>
      </c>
      <c r="CX92" s="1147">
        <v>0.1067</v>
      </c>
      <c r="CY92" s="1147">
        <v>9.9699999999999997E-2</v>
      </c>
      <c r="CZ92" s="1147">
        <v>0.1007</v>
      </c>
      <c r="DA92" s="1147">
        <v>0.10589999999999999</v>
      </c>
      <c r="DB92" s="1148">
        <f>1-DB90/DB94</f>
        <v>0.1031744543526476</v>
      </c>
      <c r="DC92" s="1147">
        <v>0.10100000000000001</v>
      </c>
      <c r="DD92" s="1147">
        <v>0.1104</v>
      </c>
      <c r="DE92" s="1147">
        <v>0.1077</v>
      </c>
      <c r="DF92" s="1147">
        <v>9.5799999999999996E-2</v>
      </c>
      <c r="DG92" s="1148">
        <f>1-DG90/DG94</f>
        <v>0.10381964283124134</v>
      </c>
      <c r="DH92" s="1147">
        <v>9.6299999999999997E-2</v>
      </c>
      <c r="DI92" s="1147">
        <v>9.3600000000000003E-2</v>
      </c>
      <c r="DJ92" s="1147">
        <v>9.4600000000000004E-2</v>
      </c>
      <c r="DK92" s="1147">
        <v>9.5600000000000004E-2</v>
      </c>
      <c r="DL92" s="1148">
        <f>1-DL90/DL94</f>
        <v>9.501969829918766E-2</v>
      </c>
      <c r="DM92" s="872">
        <v>9.3100000000000002E-2</v>
      </c>
      <c r="DN92" s="872">
        <v>9.2299999999999993E-2</v>
      </c>
      <c r="DO92" s="1147">
        <v>9.5200000000000007E-2</v>
      </c>
      <c r="DP92" s="1147">
        <v>9.9299999999999999E-2</v>
      </c>
      <c r="DQ92" s="1148">
        <f>1-DQ90/DQ94</f>
        <v>9.4917327775138283E-2</v>
      </c>
      <c r="DR92" s="1149">
        <v>9.74E-2</v>
      </c>
      <c r="DS92" s="1149">
        <v>9.4299999999999995E-2</v>
      </c>
      <c r="DT92" s="1147">
        <v>9.2700000000000005E-2</v>
      </c>
      <c r="DU92" s="1147">
        <v>0.1012</v>
      </c>
      <c r="DV92" s="1148">
        <f>1-DV90/DV94</f>
        <v>9.6343699957859297E-2</v>
      </c>
      <c r="DW92" s="1149">
        <v>0.1002</v>
      </c>
      <c r="DX92" s="1149">
        <v>9.5000000000000001E-2</v>
      </c>
      <c r="DY92" s="1147">
        <v>9.6000000000000002E-2</v>
      </c>
      <c r="DZ92" s="1147">
        <v>0.10050000000000001</v>
      </c>
      <c r="EA92" s="1148">
        <f>1-EA90/EA94</f>
        <v>9.7880434433381347E-2</v>
      </c>
      <c r="EB92" s="1149">
        <v>0.1011</v>
      </c>
      <c r="EC92" s="1149">
        <v>9.9099999999999994E-2</v>
      </c>
      <c r="ED92" s="1717"/>
      <c r="EE92" s="1090"/>
      <c r="EF92" s="1150"/>
      <c r="EG92" s="1089"/>
      <c r="EH92" s="1089"/>
      <c r="EI92" s="1089"/>
      <c r="EJ92" s="1090"/>
      <c r="EK92" s="1150"/>
      <c r="EL92" s="1088"/>
      <c r="EM92" s="1089"/>
      <c r="EN92" s="1089"/>
      <c r="EO92" s="1090"/>
      <c r="EP92" s="1150"/>
      <c r="EQ92" s="1088"/>
      <c r="ER92" s="1089"/>
      <c r="ES92" s="1089"/>
      <c r="ET92" s="1090"/>
      <c r="EU92" s="1150"/>
      <c r="EV92" s="1088"/>
      <c r="EW92" s="1089"/>
      <c r="EX92" s="1089"/>
      <c r="EY92" s="1090"/>
      <c r="EZ92" s="1150"/>
      <c r="FA92" s="1088"/>
      <c r="FB92" s="1089"/>
      <c r="FC92" s="1089"/>
      <c r="FD92" s="1090"/>
      <c r="FE92" s="1150"/>
      <c r="FF92" s="721"/>
      <c r="FG92" s="690"/>
      <c r="FH92" s="754"/>
      <c r="FI92" s="754"/>
      <c r="FJ92" s="754"/>
      <c r="FK92" s="754"/>
      <c r="FL92" s="690"/>
      <c r="FM92" s="708"/>
      <c r="FN92" s="708"/>
      <c r="FO92" s="723"/>
      <c r="FP92" s="723"/>
      <c r="FQ92" s="723"/>
      <c r="FR92" s="723"/>
      <c r="FS92" s="723"/>
      <c r="FT92" s="723"/>
      <c r="FU92" s="690"/>
      <c r="FV92"/>
      <c r="FW92"/>
      <c r="FX92"/>
      <c r="FY92"/>
      <c r="FZ92"/>
      <c r="GA92"/>
      <c r="GB92" s="725"/>
      <c r="GC92" s="1092"/>
      <c r="GD92" s="1092"/>
      <c r="GE92" s="1092"/>
      <c r="GF92" s="1092"/>
      <c r="GG92" s="1092"/>
      <c r="GH92" s="1092"/>
      <c r="GI92" s="1092"/>
      <c r="GJ92" s="1092"/>
      <c r="GK92" s="1092"/>
      <c r="GL92" s="1092"/>
      <c r="GM92" s="1092"/>
      <c r="GN92" s="1092"/>
      <c r="GO92" s="1092"/>
      <c r="GP92" s="1092"/>
      <c r="GQ92" s="1092"/>
      <c r="GR92" s="1092"/>
      <c r="GS92" s="1092"/>
      <c r="GT92" s="1092"/>
      <c r="GU92" s="1092"/>
      <c r="GV92" s="1092"/>
      <c r="GW92" s="1092"/>
      <c r="GX92" s="1092"/>
      <c r="GY92" s="1092"/>
      <c r="GZ92" s="1092"/>
      <c r="HA92" s="1092"/>
      <c r="HB92" s="1092"/>
      <c r="HC92" s="1092"/>
      <c r="HD92" s="1092"/>
      <c r="HE92" s="1092"/>
      <c r="HF92" s="1092"/>
      <c r="HG92" s="1092"/>
      <c r="HH92" s="1092"/>
      <c r="HI92" s="1092"/>
      <c r="HJ92" s="1092"/>
      <c r="HK92" s="1092"/>
      <c r="HL92" s="1092"/>
      <c r="HM92" s="1092"/>
      <c r="HN92" s="1092"/>
      <c r="HO92" s="1092"/>
      <c r="HP92" s="1092"/>
      <c r="HQ92" s="1092"/>
      <c r="HR92" s="1092"/>
      <c r="HS92" s="1092"/>
      <c r="HT92" s="1092"/>
      <c r="HU92" s="1092"/>
      <c r="HV92" s="1092"/>
      <c r="HW92" s="1092"/>
      <c r="HX92" s="1092"/>
      <c r="HY92" s="1092"/>
      <c r="HZ92" s="1092"/>
      <c r="IA92" s="1092"/>
      <c r="IB92" s="1092"/>
      <c r="IC92" s="1092"/>
      <c r="ID92" s="1092"/>
      <c r="IE92" s="1092"/>
      <c r="IF92" s="1092"/>
      <c r="IG92" s="1092"/>
      <c r="IH92" s="1092"/>
      <c r="II92" s="1092"/>
      <c r="IJ92" s="1092"/>
      <c r="IK92" s="1092"/>
      <c r="IL92" s="1092"/>
      <c r="IM92" s="1092"/>
      <c r="IN92" s="1092"/>
      <c r="IO92" s="1092"/>
      <c r="IP92" s="1092"/>
      <c r="IQ92" s="1092"/>
      <c r="IR92" s="1092"/>
      <c r="IS92" s="1092"/>
      <c r="IT92" s="1092"/>
      <c r="IU92" s="1092"/>
      <c r="IV92" s="1092"/>
      <c r="IW92" s="1092"/>
      <c r="IX92" s="1092"/>
      <c r="IY92" s="1092"/>
      <c r="IZ92" s="1092"/>
      <c r="JA92" s="1092"/>
      <c r="JB92" s="1092"/>
      <c r="JC92" s="1092"/>
      <c r="JD92" s="1092"/>
      <c r="JE92" s="1092"/>
      <c r="JF92" s="1092"/>
      <c r="JG92" s="1092"/>
      <c r="JH92" s="1092"/>
      <c r="JI92" s="1092"/>
      <c r="JJ92" s="1092"/>
      <c r="JK92" s="1092"/>
      <c r="JL92" s="1092"/>
    </row>
    <row r="93" spans="1:272" s="1157" customFormat="1" ht="12.75" hidden="1" customHeight="1" outlineLevel="1">
      <c r="A93" s="1141" t="s">
        <v>321</v>
      </c>
      <c r="B93" s="1125"/>
      <c r="C93" s="1126"/>
      <c r="D93" s="1126"/>
      <c r="E93" s="1126"/>
      <c r="F93" s="880"/>
      <c r="G93" s="1126"/>
      <c r="H93" s="1126"/>
      <c r="I93" s="1126"/>
      <c r="J93" s="1126"/>
      <c r="K93" s="880"/>
      <c r="L93" s="711"/>
      <c r="M93" s="711"/>
      <c r="N93" s="711"/>
      <c r="O93" s="711"/>
      <c r="P93" s="880"/>
      <c r="Q93" s="711"/>
      <c r="R93" s="711"/>
      <c r="S93" s="711"/>
      <c r="T93" s="711"/>
      <c r="U93" s="880"/>
      <c r="V93" s="711"/>
      <c r="W93" s="711"/>
      <c r="X93" s="711"/>
      <c r="Y93" s="711"/>
      <c r="Z93" s="880"/>
      <c r="AA93" s="711"/>
      <c r="AB93" s="711"/>
      <c r="AC93" s="711"/>
      <c r="AD93" s="711"/>
      <c r="AE93" s="880"/>
      <c r="AF93" s="711"/>
      <c r="AG93" s="711"/>
      <c r="AH93" s="711"/>
      <c r="AI93" s="711"/>
      <c r="AJ93" s="880"/>
      <c r="AK93" s="711"/>
      <c r="AL93" s="711"/>
      <c r="AM93" s="711"/>
      <c r="AN93" s="711"/>
      <c r="AO93" s="880"/>
      <c r="AP93" s="711"/>
      <c r="AQ93" s="711"/>
      <c r="AR93" s="711"/>
      <c r="AS93" s="711"/>
      <c r="AT93" s="880"/>
      <c r="AU93" s="711"/>
      <c r="AV93" s="711"/>
      <c r="AW93" s="711"/>
      <c r="AX93" s="711"/>
      <c r="AY93" s="880"/>
      <c r="AZ93" s="711"/>
      <c r="BA93" s="711"/>
      <c r="BB93" s="711"/>
      <c r="BC93" s="711"/>
      <c r="BD93" s="880"/>
      <c r="BE93" s="711"/>
      <c r="BF93" s="711"/>
      <c r="BG93" s="711"/>
      <c r="BH93" s="711"/>
      <c r="BI93" s="880"/>
      <c r="BJ93" s="711"/>
      <c r="BK93" s="711"/>
      <c r="BL93" s="711"/>
      <c r="BM93" s="711"/>
      <c r="BN93" s="880"/>
      <c r="BO93" s="711"/>
      <c r="BP93" s="711"/>
      <c r="BQ93" s="711"/>
      <c r="BR93" s="711"/>
      <c r="BS93" s="880"/>
      <c r="BT93" s="711"/>
      <c r="BU93" s="711"/>
      <c r="BV93" s="711"/>
      <c r="BW93" s="711"/>
      <c r="BX93" s="880"/>
      <c r="BY93" s="711"/>
      <c r="BZ93" s="711"/>
      <c r="CA93" s="711"/>
      <c r="CB93" s="1126"/>
      <c r="CC93" s="880"/>
      <c r="CD93" s="1126"/>
      <c r="CE93" s="1126"/>
      <c r="CF93" s="1126"/>
      <c r="CG93" s="1126"/>
      <c r="CH93" s="880"/>
      <c r="CI93" s="1126"/>
      <c r="CJ93" s="1126"/>
      <c r="CK93" s="1126"/>
      <c r="CL93" s="1126"/>
      <c r="CM93" s="880"/>
      <c r="CN93" s="930"/>
      <c r="CO93" s="930"/>
      <c r="CP93" s="930"/>
      <c r="CQ93" s="930"/>
      <c r="CR93" s="880"/>
      <c r="CS93" s="930">
        <f>(CS92-CQ92)*100</f>
        <v>-0.16000000000000042</v>
      </c>
      <c r="CT93" s="930">
        <f>(CT92-CS92)*100</f>
        <v>-0.64999999999999925</v>
      </c>
      <c r="CU93" s="930">
        <f>(CU92-CT92)*100</f>
        <v>0.30999999999999917</v>
      </c>
      <c r="CV93" s="930">
        <f>(CV92-CU92)*100</f>
        <v>0.75000000000000067</v>
      </c>
      <c r="CW93" s="880">
        <f>(CW92-CR92)*100</f>
        <v>-0.31964262163943769</v>
      </c>
      <c r="CX93" s="930">
        <f>(CX92-CV92)*100</f>
        <v>-0.13999999999999985</v>
      </c>
      <c r="CY93" s="930">
        <f>(CY92-CX92)*100</f>
        <v>-0.70000000000000062</v>
      </c>
      <c r="CZ93" s="930">
        <f>(CZ92-CY92)*100</f>
        <v>0.10000000000000009</v>
      </c>
      <c r="DA93" s="930">
        <f>(DA92-CZ92)*100</f>
        <v>0.51999999999999957</v>
      </c>
      <c r="DB93" s="880">
        <f>(DB92-CW92)*100</f>
        <v>7.7088056904195401E-2</v>
      </c>
      <c r="DC93" s="930">
        <f>(DC92-DA92)*100</f>
        <v>-0.48999999999999877</v>
      </c>
      <c r="DD93" s="930">
        <f>(DD92-DC92)*100</f>
        <v>0.93999999999999917</v>
      </c>
      <c r="DE93" s="930">
        <f>(DE92-DD92)*100</f>
        <v>-0.26999999999999941</v>
      </c>
      <c r="DF93" s="930">
        <f>(DF92-DE92)*100</f>
        <v>-1.1900000000000008</v>
      </c>
      <c r="DG93" s="880">
        <f>(DG92-DB92)*100</f>
        <v>6.4518847859373896E-2</v>
      </c>
      <c r="DH93" s="930">
        <f>(DH92-DF92)*100</f>
        <v>5.0000000000000044E-2</v>
      </c>
      <c r="DI93" s="930">
        <f>(DI92-DH92)*100</f>
        <v>-0.26999999999999941</v>
      </c>
      <c r="DJ93" s="930">
        <f>(DJ92-DI92)*100</f>
        <v>0.10000000000000009</v>
      </c>
      <c r="DK93" s="930">
        <f>(DK92-DJ92)*100</f>
        <v>0.10000000000000009</v>
      </c>
      <c r="DL93" s="880">
        <f>(DL92-DG92)*100</f>
        <v>-0.87999445320536829</v>
      </c>
      <c r="DM93" s="930">
        <f>(DM92-DK92)*100</f>
        <v>-0.25000000000000022</v>
      </c>
      <c r="DN93" s="930">
        <f>(DN92-DM92)*100</f>
        <v>-8.0000000000000904E-2</v>
      </c>
      <c r="DO93" s="930">
        <f>(DO92-DN92)*100</f>
        <v>0.29000000000000137</v>
      </c>
      <c r="DP93" s="930">
        <f>(DP92-DO92)*100</f>
        <v>0.40999999999999925</v>
      </c>
      <c r="DQ93" s="880">
        <f>(DQ92-DL92)*100</f>
        <v>-1.0237052404937774E-2</v>
      </c>
      <c r="DR93" s="1151">
        <f>(DR92-DP92)*100</f>
        <v>-0.18999999999999989</v>
      </c>
      <c r="DS93" s="1151">
        <f>(DS92-DR92)*100</f>
        <v>-0.31000000000000055</v>
      </c>
      <c r="DT93" s="930">
        <f>(DT92-DS92)*100</f>
        <v>-0.15999999999999903</v>
      </c>
      <c r="DU93" s="930">
        <f>(DU92-DT92)*100</f>
        <v>0.84999999999999942</v>
      </c>
      <c r="DV93" s="880">
        <f>(DV92-DQ92)*100</f>
        <v>0.14263721827210141</v>
      </c>
      <c r="DW93" s="1151">
        <f>(DW92-DU92)*100</f>
        <v>-0.10000000000000009</v>
      </c>
      <c r="DX93" s="1151">
        <f>(DX92-DW92)*100</f>
        <v>-0.51999999999999957</v>
      </c>
      <c r="DY93" s="930">
        <f>(DY92-DX92)*100</f>
        <v>0.10000000000000009</v>
      </c>
      <c r="DZ93" s="930">
        <f>(DZ92-DY92)*100</f>
        <v>0.4500000000000004</v>
      </c>
      <c r="EA93" s="880">
        <f>(EA92-DV92)*100</f>
        <v>0.15367344755220502</v>
      </c>
      <c r="EB93" s="1151">
        <f>(EB92-DZ92)*100</f>
        <v>5.9999999999998943E-2</v>
      </c>
      <c r="EC93" s="1151">
        <f>(EC92-EB92)*100</f>
        <v>-0.20000000000000018</v>
      </c>
      <c r="ED93" s="930"/>
      <c r="EE93" s="1152"/>
      <c r="EF93" s="880"/>
      <c r="EG93" s="930"/>
      <c r="EH93" s="930"/>
      <c r="EI93" s="930"/>
      <c r="EJ93" s="1152"/>
      <c r="EK93" s="880"/>
      <c r="EL93" s="1153"/>
      <c r="EM93" s="930"/>
      <c r="EN93" s="930"/>
      <c r="EO93" s="1152"/>
      <c r="EP93" s="880"/>
      <c r="EQ93" s="1153"/>
      <c r="ER93" s="930"/>
      <c r="ES93" s="930"/>
      <c r="ET93" s="1152"/>
      <c r="EU93" s="880"/>
      <c r="EV93" s="1153"/>
      <c r="EW93" s="930"/>
      <c r="EX93" s="930"/>
      <c r="EY93" s="1152"/>
      <c r="EZ93" s="880"/>
      <c r="FA93" s="1153"/>
      <c r="FB93" s="930"/>
      <c r="FC93" s="930"/>
      <c r="FD93" s="1152"/>
      <c r="FE93" s="880"/>
      <c r="FF93" s="711"/>
      <c r="FG93" s="690"/>
      <c r="FH93" s="1154"/>
      <c r="FI93" s="1154"/>
      <c r="FJ93" s="1154"/>
      <c r="FK93" s="1154"/>
      <c r="FL93" s="690"/>
      <c r="FM93" s="1034"/>
      <c r="FN93" s="1034"/>
      <c r="FO93" s="1155"/>
      <c r="FP93" s="1155"/>
      <c r="FQ93" s="1155"/>
      <c r="FR93" s="1155"/>
      <c r="FS93" s="1155"/>
      <c r="FT93" s="1155"/>
      <c r="FU93" s="690"/>
      <c r="FV93"/>
      <c r="FW93"/>
      <c r="FX93"/>
      <c r="FY93"/>
      <c r="FZ93"/>
      <c r="GA93"/>
      <c r="GB93" s="1156"/>
      <c r="GC93" s="755"/>
      <c r="GD93" s="755"/>
      <c r="GE93" s="755"/>
      <c r="GF93" s="755"/>
      <c r="GG93" s="755"/>
      <c r="GH93" s="755"/>
      <c r="GI93" s="755"/>
      <c r="GJ93" s="755"/>
      <c r="GK93" s="755"/>
      <c r="GL93" s="755"/>
      <c r="GM93" s="755"/>
      <c r="GN93" s="755"/>
      <c r="GO93" s="755"/>
      <c r="GP93" s="755"/>
      <c r="GQ93" s="755"/>
      <c r="GR93" s="755"/>
      <c r="GS93" s="755"/>
      <c r="GT93" s="755"/>
      <c r="GU93" s="755"/>
      <c r="GV93" s="755"/>
      <c r="GW93" s="755"/>
      <c r="GX93" s="755"/>
      <c r="GY93" s="755"/>
      <c r="GZ93" s="755"/>
      <c r="HA93" s="755"/>
      <c r="HB93" s="755"/>
      <c r="HC93" s="755"/>
      <c r="HD93" s="755"/>
      <c r="HE93" s="755"/>
      <c r="HF93" s="755"/>
      <c r="HG93" s="755"/>
      <c r="HH93" s="755"/>
      <c r="HI93" s="755"/>
      <c r="HJ93" s="755"/>
      <c r="HK93" s="755"/>
      <c r="HL93" s="755"/>
      <c r="HM93" s="755"/>
      <c r="HN93" s="755"/>
      <c r="HO93" s="755"/>
      <c r="HP93" s="755"/>
      <c r="HQ93" s="755"/>
      <c r="HR93" s="755"/>
      <c r="HS93" s="755"/>
      <c r="HT93" s="755"/>
      <c r="HU93" s="755"/>
      <c r="HV93" s="755"/>
      <c r="HW93" s="755"/>
      <c r="HX93" s="755"/>
      <c r="HY93" s="755"/>
      <c r="HZ93" s="755"/>
      <c r="IA93" s="755"/>
      <c r="IB93" s="755"/>
      <c r="IC93" s="755"/>
      <c r="ID93" s="755"/>
      <c r="IE93" s="755"/>
      <c r="IF93" s="755"/>
      <c r="IG93" s="755"/>
      <c r="IH93" s="755"/>
      <c r="II93" s="755"/>
      <c r="IJ93" s="755"/>
      <c r="IK93" s="755"/>
      <c r="IL93" s="755"/>
      <c r="IM93" s="755"/>
      <c r="IN93" s="755"/>
      <c r="IO93" s="755"/>
      <c r="IP93" s="755"/>
      <c r="IQ93" s="755"/>
      <c r="IR93" s="755"/>
      <c r="IS93" s="755"/>
      <c r="IT93" s="755"/>
      <c r="IU93" s="755"/>
      <c r="IV93" s="755"/>
      <c r="IW93" s="755"/>
      <c r="IX93" s="755"/>
      <c r="IY93" s="755"/>
      <c r="IZ93" s="755"/>
      <c r="JA93" s="755"/>
      <c r="JB93" s="755"/>
      <c r="JC93" s="755"/>
      <c r="JD93" s="755"/>
      <c r="JE93" s="755"/>
      <c r="JF93" s="755"/>
      <c r="JG93" s="755"/>
      <c r="JH93" s="755"/>
      <c r="JI93" s="755"/>
      <c r="JJ93" s="755"/>
      <c r="JK93" s="755"/>
      <c r="JL93" s="755"/>
    </row>
    <row r="94" spans="1:272" s="885" customFormat="1" ht="12.75" hidden="1" customHeight="1" outlineLevel="1">
      <c r="A94" s="1128" t="s">
        <v>322</v>
      </c>
      <c r="B94" s="886"/>
      <c r="C94" s="887"/>
      <c r="D94" s="887"/>
      <c r="E94" s="887"/>
      <c r="F94" s="888"/>
      <c r="G94" s="887"/>
      <c r="H94" s="887"/>
      <c r="I94" s="887"/>
      <c r="J94" s="887"/>
      <c r="K94" s="888"/>
      <c r="L94" s="875"/>
      <c r="M94" s="875"/>
      <c r="N94" s="875"/>
      <c r="O94" s="875"/>
      <c r="P94" s="888"/>
      <c r="Q94" s="875"/>
      <c r="R94" s="875"/>
      <c r="S94" s="875"/>
      <c r="T94" s="875"/>
      <c r="U94" s="888"/>
      <c r="V94" s="875"/>
      <c r="W94" s="875"/>
      <c r="X94" s="875"/>
      <c r="Y94" s="875"/>
      <c r="Z94" s="888"/>
      <c r="AA94" s="875"/>
      <c r="AB94" s="875"/>
      <c r="AC94" s="875"/>
      <c r="AD94" s="875"/>
      <c r="AE94" s="888"/>
      <c r="AF94" s="875"/>
      <c r="AG94" s="875"/>
      <c r="AH94" s="875"/>
      <c r="AI94" s="875"/>
      <c r="AJ94" s="888"/>
      <c r="AK94" s="875"/>
      <c r="AL94" s="875"/>
      <c r="AM94" s="875"/>
      <c r="AN94" s="875"/>
      <c r="AO94" s="888"/>
      <c r="AP94" s="875"/>
      <c r="AQ94" s="875"/>
      <c r="AR94" s="875"/>
      <c r="AS94" s="875"/>
      <c r="AT94" s="888"/>
      <c r="AU94" s="875"/>
      <c r="AV94" s="875"/>
      <c r="AW94" s="875"/>
      <c r="AX94" s="875"/>
      <c r="AY94" s="888"/>
      <c r="AZ94" s="875"/>
      <c r="BA94" s="875"/>
      <c r="BB94" s="875"/>
      <c r="BC94" s="875"/>
      <c r="BD94" s="888"/>
      <c r="BE94" s="875"/>
      <c r="BF94" s="875"/>
      <c r="BG94" s="875"/>
      <c r="BH94" s="875"/>
      <c r="BI94" s="888"/>
      <c r="BJ94" s="875"/>
      <c r="BK94" s="875"/>
      <c r="BL94" s="875"/>
      <c r="BM94" s="875"/>
      <c r="BN94" s="888"/>
      <c r="BO94" s="875"/>
      <c r="BP94" s="875"/>
      <c r="BQ94" s="875"/>
      <c r="BR94" s="875"/>
      <c r="BS94" s="888"/>
      <c r="BT94" s="732"/>
      <c r="BU94" s="732"/>
      <c r="BV94" s="732"/>
      <c r="BW94" s="732"/>
      <c r="BX94" s="888"/>
      <c r="BY94" s="732"/>
      <c r="BZ94" s="732"/>
      <c r="CA94" s="732"/>
      <c r="CB94" s="731"/>
      <c r="CC94" s="888"/>
      <c r="CD94" s="731"/>
      <c r="CE94" s="731"/>
      <c r="CF94" s="731"/>
      <c r="CG94" s="731"/>
      <c r="CH94" s="888"/>
      <c r="CI94" s="731"/>
      <c r="CJ94" s="731"/>
      <c r="CK94" s="731"/>
      <c r="CL94" s="731"/>
      <c r="CM94" s="888"/>
      <c r="CN94" s="889"/>
      <c r="CO94" s="889"/>
      <c r="CP94" s="889"/>
      <c r="CQ94" s="889">
        <v>85.933000000000007</v>
      </c>
      <c r="CR94" s="888">
        <f>SUM(CN94:CQ94)</f>
        <v>85.933000000000007</v>
      </c>
      <c r="CS94" s="889">
        <v>86.453999999999994</v>
      </c>
      <c r="CT94" s="889">
        <v>96.918000000000006</v>
      </c>
      <c r="CU94" s="889">
        <v>96.805999999999997</v>
      </c>
      <c r="CV94" s="889">
        <v>89.85</v>
      </c>
      <c r="CW94" s="888">
        <f>SUM(CS94:CV94)</f>
        <v>370.02800000000002</v>
      </c>
      <c r="CX94" s="889">
        <v>91.908000000000001</v>
      </c>
      <c r="CY94" s="889">
        <v>96.882000000000005</v>
      </c>
      <c r="CZ94" s="889">
        <v>93.122</v>
      </c>
      <c r="DA94" s="889">
        <v>89.161000000000001</v>
      </c>
      <c r="DB94" s="888">
        <f>SUM(CX94:DA94)</f>
        <v>371.07300000000004</v>
      </c>
      <c r="DC94" s="889">
        <v>88.692999999999998</v>
      </c>
      <c r="DD94" s="889">
        <v>88.724999999999994</v>
      </c>
      <c r="DE94" s="889">
        <v>84.694999999999993</v>
      </c>
      <c r="DF94" s="889">
        <v>82.597999999999999</v>
      </c>
      <c r="DG94" s="888">
        <f>SUM(DC94:DF94)</f>
        <v>344.71100000000001</v>
      </c>
      <c r="DH94" s="889">
        <v>80.965000000000003</v>
      </c>
      <c r="DI94" s="889">
        <v>81.66</v>
      </c>
      <c r="DJ94" s="889">
        <v>83.16</v>
      </c>
      <c r="DK94" s="889">
        <v>81.293999999999997</v>
      </c>
      <c r="DL94" s="888">
        <f>SUM(DH94:DK94)</f>
        <v>327.07900000000001</v>
      </c>
      <c r="DM94" s="890">
        <v>82.043999999999997</v>
      </c>
      <c r="DN94" s="890">
        <v>83.441000000000003</v>
      </c>
      <c r="DO94" s="889">
        <v>82.210999999999999</v>
      </c>
      <c r="DP94" s="889">
        <v>78.549000000000007</v>
      </c>
      <c r="DQ94" s="888">
        <f>SUM(DM94:DP94)</f>
        <v>326.245</v>
      </c>
      <c r="DR94" s="1158">
        <v>79.837999999999994</v>
      </c>
      <c r="DS94" s="1158">
        <v>82.728999999999999</v>
      </c>
      <c r="DT94" s="889">
        <v>82.891000000000005</v>
      </c>
      <c r="DU94" s="889">
        <v>79.643000000000001</v>
      </c>
      <c r="DV94" s="888">
        <f>SUM(DR94:DU94)</f>
        <v>325.101</v>
      </c>
      <c r="DW94" s="1158">
        <v>79.152000000000001</v>
      </c>
      <c r="DX94" s="1158">
        <v>81.567999999999998</v>
      </c>
      <c r="DY94" s="889">
        <v>79.837000000000003</v>
      </c>
      <c r="DZ94" s="889">
        <v>76.914000000000001</v>
      </c>
      <c r="EA94" s="888">
        <f>SUM(DW94:DZ94)</f>
        <v>317.471</v>
      </c>
      <c r="EB94" s="1158">
        <v>75.042000000000002</v>
      </c>
      <c r="EC94" s="1158">
        <v>77.007999999999996</v>
      </c>
      <c r="ED94" s="1718"/>
      <c r="EE94" s="1143"/>
      <c r="EF94" s="1144"/>
      <c r="EG94" s="1142"/>
      <c r="EH94" s="1142"/>
      <c r="EI94" s="1142"/>
      <c r="EJ94" s="1143"/>
      <c r="EK94" s="1144"/>
      <c r="EL94" s="1145"/>
      <c r="EM94" s="1142"/>
      <c r="EN94" s="1142"/>
      <c r="EO94" s="1143"/>
      <c r="EP94" s="1144"/>
      <c r="EQ94" s="1145"/>
      <c r="ER94" s="1142"/>
      <c r="ES94" s="1142"/>
      <c r="ET94" s="1143"/>
      <c r="EU94" s="1144"/>
      <c r="EV94" s="1145"/>
      <c r="EW94" s="1142"/>
      <c r="EX94" s="1142"/>
      <c r="EY94" s="1143"/>
      <c r="EZ94" s="1144"/>
      <c r="FA94" s="1145"/>
      <c r="FB94" s="1142"/>
      <c r="FC94" s="1142"/>
      <c r="FD94" s="1143"/>
      <c r="FE94" s="1144"/>
      <c r="FF94" s="721"/>
      <c r="FG94" s="690"/>
      <c r="FH94" s="754"/>
      <c r="FI94" s="754"/>
      <c r="FJ94" s="754"/>
      <c r="FK94" s="754"/>
      <c r="FL94" s="690"/>
      <c r="FM94" s="708"/>
      <c r="FN94" s="708"/>
      <c r="FO94" s="723"/>
      <c r="FP94" s="723"/>
      <c r="FQ94" s="723"/>
      <c r="FR94" s="723"/>
      <c r="FS94" s="723"/>
      <c r="FT94" s="723"/>
      <c r="FU94" s="690"/>
      <c r="FV94"/>
      <c r="FW94"/>
      <c r="FX94"/>
      <c r="FY94"/>
      <c r="FZ94"/>
      <c r="GA94"/>
      <c r="GB94" s="725"/>
      <c r="GC94" s="1092"/>
      <c r="GD94" s="1092"/>
      <c r="GE94" s="1092"/>
      <c r="GF94" s="1092"/>
      <c r="GG94" s="1092"/>
      <c r="GH94" s="1092"/>
      <c r="GI94" s="1092"/>
      <c r="GJ94" s="1092"/>
      <c r="GK94" s="1092"/>
      <c r="GL94" s="1092"/>
      <c r="GM94" s="1092"/>
      <c r="GN94" s="1092"/>
      <c r="GO94" s="1092"/>
      <c r="GP94" s="1092"/>
      <c r="GQ94" s="1092"/>
      <c r="GR94" s="1092"/>
      <c r="GS94" s="1092"/>
      <c r="GT94" s="1092"/>
      <c r="GU94" s="1092"/>
      <c r="GV94" s="1092"/>
      <c r="GW94" s="1092"/>
      <c r="GX94" s="1092"/>
      <c r="GY94" s="1092"/>
      <c r="GZ94" s="1092"/>
      <c r="HA94" s="1092"/>
      <c r="HB94" s="1092"/>
      <c r="HC94" s="1092"/>
      <c r="HD94" s="1092"/>
      <c r="HE94" s="1092"/>
      <c r="HF94" s="1092"/>
      <c r="HG94" s="1092"/>
      <c r="HH94" s="1092"/>
      <c r="HI94" s="1092"/>
      <c r="HJ94" s="1092"/>
      <c r="HK94" s="1092"/>
      <c r="HL94" s="1092"/>
      <c r="HM94" s="1092"/>
      <c r="HN94" s="1092"/>
      <c r="HO94" s="1092"/>
      <c r="HP94" s="1092"/>
      <c r="HQ94" s="1092"/>
      <c r="HR94" s="1092"/>
      <c r="HS94" s="1092"/>
      <c r="HT94" s="1092"/>
      <c r="HU94" s="1092"/>
      <c r="HV94" s="1092"/>
      <c r="HW94" s="1092"/>
      <c r="HX94" s="1092"/>
      <c r="HY94" s="1092"/>
      <c r="HZ94" s="1092"/>
      <c r="IA94" s="1092"/>
      <c r="IB94" s="1092"/>
      <c r="IC94" s="1092"/>
      <c r="ID94" s="1092"/>
      <c r="IE94" s="1092"/>
      <c r="IF94" s="1092"/>
      <c r="IG94" s="1092"/>
      <c r="IH94" s="1092"/>
      <c r="II94" s="1092"/>
      <c r="IJ94" s="1092"/>
      <c r="IK94" s="1092"/>
      <c r="IL94" s="1092"/>
      <c r="IM94" s="1092"/>
      <c r="IN94" s="1092"/>
      <c r="IO94" s="1092"/>
      <c r="IP94" s="1092"/>
      <c r="IQ94" s="1092"/>
      <c r="IR94" s="1092"/>
      <c r="IS94" s="1092"/>
      <c r="IT94" s="1092"/>
      <c r="IU94" s="1092"/>
      <c r="IV94" s="1092"/>
      <c r="IW94" s="1092"/>
      <c r="IX94" s="1092"/>
      <c r="IY94" s="1092"/>
      <c r="IZ94" s="1092"/>
      <c r="JA94" s="1092"/>
      <c r="JB94" s="1092"/>
      <c r="JC94" s="1092"/>
      <c r="JD94" s="1092"/>
      <c r="JE94" s="1092"/>
      <c r="JF94" s="1092"/>
      <c r="JG94" s="1092"/>
      <c r="JH94" s="1092"/>
      <c r="JI94" s="1092"/>
      <c r="JJ94" s="1092"/>
      <c r="JK94" s="1092"/>
      <c r="JL94" s="1092"/>
    </row>
    <row r="95" spans="1:272" s="885" customFormat="1" ht="12.75" hidden="1" customHeight="1" outlineLevel="1">
      <c r="A95" s="1141" t="s">
        <v>85</v>
      </c>
      <c r="B95" s="1125"/>
      <c r="C95" s="1126"/>
      <c r="D95" s="1126"/>
      <c r="E95" s="1126"/>
      <c r="F95" s="880"/>
      <c r="G95" s="1126"/>
      <c r="H95" s="1126"/>
      <c r="I95" s="1126"/>
      <c r="J95" s="1126"/>
      <c r="K95" s="880"/>
      <c r="L95" s="711"/>
      <c r="M95" s="711"/>
      <c r="N95" s="711"/>
      <c r="O95" s="711"/>
      <c r="P95" s="880"/>
      <c r="Q95" s="711"/>
      <c r="R95" s="711"/>
      <c r="S95" s="711"/>
      <c r="T95" s="711"/>
      <c r="U95" s="880"/>
      <c r="V95" s="711"/>
      <c r="W95" s="711"/>
      <c r="X95" s="711"/>
      <c r="Y95" s="711"/>
      <c r="Z95" s="880"/>
      <c r="AA95" s="711"/>
      <c r="AB95" s="711"/>
      <c r="AC95" s="711"/>
      <c r="AD95" s="711"/>
      <c r="AE95" s="880"/>
      <c r="AF95" s="711"/>
      <c r="AG95" s="711"/>
      <c r="AH95" s="711"/>
      <c r="AI95" s="711"/>
      <c r="AJ95" s="880"/>
      <c r="AK95" s="711"/>
      <c r="AL95" s="711"/>
      <c r="AM95" s="711"/>
      <c r="AN95" s="711"/>
      <c r="AO95" s="880"/>
      <c r="AP95" s="711"/>
      <c r="AQ95" s="711"/>
      <c r="AR95" s="711"/>
      <c r="AS95" s="711"/>
      <c r="AT95" s="880"/>
      <c r="AU95" s="711"/>
      <c r="AV95" s="711"/>
      <c r="AW95" s="711"/>
      <c r="AX95" s="711"/>
      <c r="AY95" s="880"/>
      <c r="AZ95" s="711"/>
      <c r="BA95" s="711"/>
      <c r="BB95" s="711"/>
      <c r="BC95" s="711"/>
      <c r="BD95" s="880"/>
      <c r="BE95" s="711"/>
      <c r="BF95" s="711"/>
      <c r="BG95" s="711"/>
      <c r="BH95" s="711"/>
      <c r="BI95" s="880"/>
      <c r="BJ95" s="711"/>
      <c r="BK95" s="711"/>
      <c r="BL95" s="711"/>
      <c r="BM95" s="711"/>
      <c r="BN95" s="880"/>
      <c r="BO95" s="711"/>
      <c r="BP95" s="711"/>
      <c r="BQ95" s="711"/>
      <c r="BR95" s="711"/>
      <c r="BS95" s="880"/>
      <c r="BT95" s="1003"/>
      <c r="BU95" s="1003"/>
      <c r="BV95" s="1003"/>
      <c r="BW95" s="1003"/>
      <c r="BX95" s="880"/>
      <c r="BY95" s="1003"/>
      <c r="BZ95" s="1003"/>
      <c r="CA95" s="1003"/>
      <c r="CB95" s="1127"/>
      <c r="CC95" s="880"/>
      <c r="CD95" s="1127"/>
      <c r="CE95" s="1127"/>
      <c r="CF95" s="1127"/>
      <c r="CG95" s="1127"/>
      <c r="CH95" s="880"/>
      <c r="CI95" s="1127"/>
      <c r="CJ95" s="1127"/>
      <c r="CK95" s="1127"/>
      <c r="CL95" s="1127"/>
      <c r="CM95" s="880"/>
      <c r="CN95" s="1127"/>
      <c r="CO95" s="1127"/>
      <c r="CP95" s="1127"/>
      <c r="CQ95" s="1104"/>
      <c r="CR95" s="880"/>
      <c r="CS95" s="1104"/>
      <c r="CT95" s="1104"/>
      <c r="CU95" s="1104"/>
      <c r="CV95" s="721">
        <f t="shared" ref="CV95:EB95" si="335">CV94/CQ94-1</f>
        <v>4.5582023204123967E-2</v>
      </c>
      <c r="CW95" s="741">
        <f t="shared" si="335"/>
        <v>3.3060058417604408</v>
      </c>
      <c r="CX95" s="721">
        <f t="shared" si="335"/>
        <v>6.3085571517801364E-2</v>
      </c>
      <c r="CY95" s="721">
        <f t="shared" si="335"/>
        <v>-3.7144802823008138E-4</v>
      </c>
      <c r="CZ95" s="721">
        <f t="shared" si="335"/>
        <v>-3.8055492428155202E-2</v>
      </c>
      <c r="DA95" s="721">
        <f t="shared" si="335"/>
        <v>-7.6683361157483532E-3</v>
      </c>
      <c r="DB95" s="741">
        <f t="shared" si="335"/>
        <v>2.824110607845931E-3</v>
      </c>
      <c r="DC95" s="721">
        <f t="shared" si="335"/>
        <v>-3.4980632806719814E-2</v>
      </c>
      <c r="DD95" s="721">
        <f t="shared" si="335"/>
        <v>-8.4195206539914635E-2</v>
      </c>
      <c r="DE95" s="721">
        <f t="shared" si="335"/>
        <v>-9.0494190416872566E-2</v>
      </c>
      <c r="DF95" s="721">
        <f t="shared" si="335"/>
        <v>-7.3608416235798169E-2</v>
      </c>
      <c r="DG95" s="881">
        <f t="shared" si="335"/>
        <v>-7.1042625036044194E-2</v>
      </c>
      <c r="DH95" s="721">
        <f t="shared" si="335"/>
        <v>-8.7132017182866672E-2</v>
      </c>
      <c r="DI95" s="721">
        <f t="shared" si="335"/>
        <v>-7.9628064243448815E-2</v>
      </c>
      <c r="DJ95" s="721">
        <f t="shared" si="335"/>
        <v>-1.8123856189857679E-2</v>
      </c>
      <c r="DK95" s="721">
        <f t="shared" si="335"/>
        <v>-1.5787307198721567E-2</v>
      </c>
      <c r="DL95" s="881">
        <f t="shared" si="335"/>
        <v>-5.1150093846729638E-2</v>
      </c>
      <c r="DM95" s="721">
        <f t="shared" si="335"/>
        <v>1.3326746124868727E-2</v>
      </c>
      <c r="DN95" s="721">
        <f t="shared" si="335"/>
        <v>2.1809943668871012E-2</v>
      </c>
      <c r="DO95" s="721">
        <f t="shared" si="335"/>
        <v>-1.1411736411736428E-2</v>
      </c>
      <c r="DP95" s="721">
        <f t="shared" si="335"/>
        <v>-3.3766329618421853E-2</v>
      </c>
      <c r="DQ95" s="881">
        <f t="shared" si="335"/>
        <v>-2.5498426985529621E-3</v>
      </c>
      <c r="DR95" s="743">
        <f t="shared" si="335"/>
        <v>-2.6888011311003934E-2</v>
      </c>
      <c r="DS95" s="743">
        <f t="shared" si="335"/>
        <v>-8.5329753957886778E-3</v>
      </c>
      <c r="DT95" s="721">
        <f t="shared" si="335"/>
        <v>8.2713992044860518E-3</v>
      </c>
      <c r="DU95" s="721">
        <f t="shared" si="335"/>
        <v>1.3927612063807215E-2</v>
      </c>
      <c r="DV95" s="881">
        <f t="shared" si="335"/>
        <v>-3.5065671504543872E-3</v>
      </c>
      <c r="DW95" s="743">
        <f t="shared" si="335"/>
        <v>-8.5923996092085453E-3</v>
      </c>
      <c r="DX95" s="743">
        <f t="shared" si="335"/>
        <v>-1.4033772921224763E-2</v>
      </c>
      <c r="DY95" s="721">
        <f t="shared" si="335"/>
        <v>-3.6843565646451415E-2</v>
      </c>
      <c r="DZ95" s="721">
        <f t="shared" si="335"/>
        <v>-3.4265409389400148E-2</v>
      </c>
      <c r="EA95" s="881">
        <f t="shared" si="335"/>
        <v>-2.346962943823605E-2</v>
      </c>
      <c r="EB95" s="743">
        <f t="shared" si="335"/>
        <v>-5.1925409338993367E-2</v>
      </c>
      <c r="EC95" s="743">
        <f>EC94/DX94-1</f>
        <v>-5.5904276186739876E-2</v>
      </c>
      <c r="ED95" s="721"/>
      <c r="EE95" s="883"/>
      <c r="EF95" s="753"/>
      <c r="EG95" s="882"/>
      <c r="EH95" s="882"/>
      <c r="EI95" s="882"/>
      <c r="EJ95" s="883"/>
      <c r="EK95" s="753"/>
      <c r="EL95" s="884"/>
      <c r="EM95" s="882"/>
      <c r="EN95" s="882"/>
      <c r="EO95" s="883"/>
      <c r="EP95" s="753"/>
      <c r="EQ95" s="884"/>
      <c r="ER95" s="882"/>
      <c r="ES95" s="882"/>
      <c r="ET95" s="883"/>
      <c r="EU95" s="753"/>
      <c r="EV95" s="884"/>
      <c r="EW95" s="882"/>
      <c r="EX95" s="882"/>
      <c r="EY95" s="883"/>
      <c r="EZ95" s="753"/>
      <c r="FA95" s="884"/>
      <c r="FB95" s="882"/>
      <c r="FC95" s="882"/>
      <c r="FD95" s="883"/>
      <c r="FE95" s="753"/>
      <c r="FF95" s="721"/>
      <c r="FG95" s="690"/>
      <c r="FH95" s="754"/>
      <c r="FI95" s="754"/>
      <c r="FJ95" s="754"/>
      <c r="FK95" s="754"/>
      <c r="FL95" s="690"/>
      <c r="FM95" s="708"/>
      <c r="FN95" s="708"/>
      <c r="FO95" s="723"/>
      <c r="FP95" s="723"/>
      <c r="FQ95" s="723"/>
      <c r="FR95" s="723"/>
      <c r="FS95" s="723"/>
      <c r="FT95" s="723"/>
      <c r="FU95" s="690"/>
      <c r="FV95"/>
      <c r="FW95"/>
      <c r="FX95"/>
      <c r="FY95"/>
      <c r="FZ95"/>
      <c r="GA95"/>
      <c r="GB95" s="725"/>
      <c r="GC95" s="1092"/>
      <c r="GD95" s="1092"/>
      <c r="GE95" s="1092"/>
      <c r="GF95" s="1092"/>
      <c r="GG95" s="1092"/>
      <c r="GH95" s="1092"/>
      <c r="GI95" s="1092"/>
      <c r="GJ95" s="1092"/>
      <c r="GK95" s="1092"/>
      <c r="GL95" s="1092"/>
      <c r="GM95" s="1092"/>
      <c r="GN95" s="1092"/>
      <c r="GO95" s="1092"/>
      <c r="GP95" s="1092"/>
      <c r="GQ95" s="1092"/>
      <c r="GR95" s="1092"/>
      <c r="GS95" s="1092"/>
      <c r="GT95" s="1092"/>
      <c r="GU95" s="1092"/>
      <c r="GV95" s="1092"/>
      <c r="GW95" s="1092"/>
      <c r="GX95" s="1092"/>
      <c r="GY95" s="1092"/>
      <c r="GZ95" s="1092"/>
      <c r="HA95" s="1092"/>
      <c r="HB95" s="1092"/>
      <c r="HC95" s="1092"/>
      <c r="HD95" s="1092"/>
      <c r="HE95" s="1092"/>
      <c r="HF95" s="1092"/>
      <c r="HG95" s="1092"/>
      <c r="HH95" s="1092"/>
      <c r="HI95" s="1092"/>
      <c r="HJ95" s="1092"/>
      <c r="HK95" s="1092"/>
      <c r="HL95" s="1092"/>
      <c r="HM95" s="1092"/>
      <c r="HN95" s="1092"/>
      <c r="HO95" s="1092"/>
      <c r="HP95" s="1092"/>
      <c r="HQ95" s="1092"/>
      <c r="HR95" s="1092"/>
      <c r="HS95" s="1092"/>
      <c r="HT95" s="1092"/>
      <c r="HU95" s="1092"/>
      <c r="HV95" s="1092"/>
      <c r="HW95" s="1092"/>
      <c r="HX95" s="1092"/>
      <c r="HY95" s="1092"/>
      <c r="HZ95" s="1092"/>
      <c r="IA95" s="1092"/>
      <c r="IB95" s="1092"/>
      <c r="IC95" s="1092"/>
      <c r="ID95" s="1092"/>
      <c r="IE95" s="1092"/>
      <c r="IF95" s="1092"/>
      <c r="IG95" s="1092"/>
      <c r="IH95" s="1092"/>
      <c r="II95" s="1092"/>
      <c r="IJ95" s="1092"/>
      <c r="IK95" s="1092"/>
      <c r="IL95" s="1092"/>
      <c r="IM95" s="1092"/>
      <c r="IN95" s="1092"/>
      <c r="IO95" s="1092"/>
      <c r="IP95" s="1092"/>
      <c r="IQ95" s="1092"/>
      <c r="IR95" s="1092"/>
      <c r="IS95" s="1092"/>
      <c r="IT95" s="1092"/>
      <c r="IU95" s="1092"/>
      <c r="IV95" s="1092"/>
      <c r="IW95" s="1092"/>
      <c r="IX95" s="1092"/>
      <c r="IY95" s="1092"/>
      <c r="IZ95" s="1092"/>
      <c r="JA95" s="1092"/>
      <c r="JB95" s="1092"/>
      <c r="JC95" s="1092"/>
      <c r="JD95" s="1092"/>
      <c r="JE95" s="1092"/>
      <c r="JF95" s="1092"/>
      <c r="JG95" s="1092"/>
      <c r="JH95" s="1092"/>
      <c r="JI95" s="1092"/>
      <c r="JJ95" s="1092"/>
      <c r="JK95" s="1092"/>
      <c r="JL95" s="1092"/>
    </row>
    <row r="96" spans="1:272" s="1170" customFormat="1" ht="12.75" hidden="1" customHeight="1" outlineLevel="1">
      <c r="A96" s="1159" t="s">
        <v>323</v>
      </c>
      <c r="B96" s="1160"/>
      <c r="C96" s="1161"/>
      <c r="D96" s="1161"/>
      <c r="E96" s="1161"/>
      <c r="F96" s="1162"/>
      <c r="G96" s="1163"/>
      <c r="H96" s="1163"/>
      <c r="I96" s="1163"/>
      <c r="J96" s="1163"/>
      <c r="K96" s="1162"/>
      <c r="L96" s="1163"/>
      <c r="M96" s="1163"/>
      <c r="N96" s="1163"/>
      <c r="O96" s="1163"/>
      <c r="P96" s="1162"/>
      <c r="Q96" s="1163"/>
      <c r="R96" s="1163"/>
      <c r="S96" s="1163"/>
      <c r="T96" s="1163"/>
      <c r="U96" s="1162"/>
      <c r="V96" s="1163"/>
      <c r="W96" s="1163"/>
      <c r="X96" s="1163"/>
      <c r="Y96" s="1163"/>
      <c r="Z96" s="1162"/>
      <c r="AA96" s="1163"/>
      <c r="AB96" s="1163"/>
      <c r="AC96" s="1163"/>
      <c r="AD96" s="1163"/>
      <c r="AE96" s="1162"/>
      <c r="AF96" s="1163"/>
      <c r="AG96" s="1163"/>
      <c r="AH96" s="1163"/>
      <c r="AI96" s="1163"/>
      <c r="AJ96" s="1162"/>
      <c r="AK96" s="1164"/>
      <c r="AL96" s="1163"/>
      <c r="AM96" s="1163"/>
      <c r="AN96" s="1163"/>
      <c r="AO96" s="1162"/>
      <c r="AP96" s="1164"/>
      <c r="AQ96" s="1163"/>
      <c r="AR96" s="1163"/>
      <c r="AS96" s="1163"/>
      <c r="AT96" s="1162"/>
      <c r="AU96" s="1164"/>
      <c r="AV96" s="1163"/>
      <c r="AW96" s="1163"/>
      <c r="AX96" s="1163"/>
      <c r="AY96" s="1162"/>
      <c r="AZ96" s="1164"/>
      <c r="BA96" s="1163"/>
      <c r="BB96" s="1163"/>
      <c r="BC96" s="1163"/>
      <c r="BD96" s="1162"/>
      <c r="BE96" s="1164"/>
      <c r="BF96" s="1163"/>
      <c r="BG96" s="1163"/>
      <c r="BH96" s="1163"/>
      <c r="BI96" s="1162"/>
      <c r="BJ96" s="1164"/>
      <c r="BK96" s="1163"/>
      <c r="BL96" s="1163"/>
      <c r="BM96" s="1163"/>
      <c r="BN96" s="1162"/>
      <c r="BO96" s="1164"/>
      <c r="BP96" s="1163"/>
      <c r="BQ96" s="1163"/>
      <c r="BR96" s="1163"/>
      <c r="BS96" s="1162"/>
      <c r="BT96" s="1164"/>
      <c r="BU96" s="1163"/>
      <c r="BV96" s="1163"/>
      <c r="BW96" s="1163"/>
      <c r="BX96" s="1162"/>
      <c r="BY96" s="1164"/>
      <c r="BZ96" s="1163"/>
      <c r="CA96" s="1163"/>
      <c r="CB96" s="1163"/>
      <c r="CC96" s="1162"/>
      <c r="CD96" s="1164"/>
      <c r="CE96" s="1164"/>
      <c r="CF96" s="1164"/>
      <c r="CG96" s="1164"/>
      <c r="CH96" s="1162"/>
      <c r="CI96" s="1164"/>
      <c r="CJ96" s="1164"/>
      <c r="CK96" s="1164"/>
      <c r="CL96" s="1164"/>
      <c r="CM96" s="1162"/>
      <c r="CN96" s="1164"/>
      <c r="CO96" s="1164"/>
      <c r="CP96" s="1163"/>
      <c r="CQ96" s="1165">
        <f>CQ99</f>
        <v>2695</v>
      </c>
      <c r="CR96" s="1162"/>
      <c r="CS96" s="1163">
        <f>AVERAGE(CR99:CS99)</f>
        <v>2721</v>
      </c>
      <c r="CT96" s="1163">
        <f>AVERAGE(CS99:CT99)</f>
        <v>2779.5</v>
      </c>
      <c r="CU96" s="1163">
        <f>AVERAGE(CT99:CU99)</f>
        <v>2848.5</v>
      </c>
      <c r="CV96" s="1163">
        <f>AVERAGE(CU99:CV99)</f>
        <v>2924</v>
      </c>
      <c r="CW96" s="1162">
        <f>AVERAGE(CS96:CV96)</f>
        <v>2818.25</v>
      </c>
      <c r="CX96" s="1163">
        <f>AVERAGE(CW99:CX99)</f>
        <v>2961.5</v>
      </c>
      <c r="CY96" s="1163">
        <f>AVERAGE(CX99:CY99)</f>
        <v>2914</v>
      </c>
      <c r="CZ96" s="1163">
        <f>AVERAGE(CY99:CZ99)</f>
        <v>2815.5</v>
      </c>
      <c r="DA96" s="1163">
        <f>AVERAGE(CZ99:DA99)</f>
        <v>2764</v>
      </c>
      <c r="DB96" s="1162">
        <f>AVERAGE(CX96:DA96)</f>
        <v>2863.75</v>
      </c>
      <c r="DC96" s="1163">
        <f>AVERAGE(DB99:DC99)</f>
        <v>2765.5</v>
      </c>
      <c r="DD96" s="1163">
        <f>AVERAGE(DC99:DD99)</f>
        <v>2745</v>
      </c>
      <c r="DE96" s="1163">
        <f>AVERAGE(DD99:DE99)</f>
        <v>2715</v>
      </c>
      <c r="DF96" s="1163">
        <f>AVERAGE(DE99:DF99)</f>
        <v>2692</v>
      </c>
      <c r="DG96" s="1162">
        <f>AVERAGE(DC96:DF96)</f>
        <v>2729.375</v>
      </c>
      <c r="DH96" s="1163">
        <f>AVERAGE(DG99:DH99)</f>
        <v>2681.5</v>
      </c>
      <c r="DI96" s="1163">
        <f>AVERAGE(DH99:DI99)</f>
        <v>2692</v>
      </c>
      <c r="DJ96" s="1163">
        <f>AVERAGE(DI99:DJ99)</f>
        <v>2702</v>
      </c>
      <c r="DK96" s="1163">
        <f>AVERAGE(DJ99:DK99)</f>
        <v>2723</v>
      </c>
      <c r="DL96" s="1162">
        <f>AVERAGE(DH96:DK96)</f>
        <v>2699.625</v>
      </c>
      <c r="DM96" s="1163">
        <f>AVERAGE(DL99:DM99)</f>
        <v>2743</v>
      </c>
      <c r="DN96" s="1163">
        <v>2739.5</v>
      </c>
      <c r="DO96" s="1163">
        <v>2749</v>
      </c>
      <c r="DP96" s="1163">
        <f>AVERAGE(DO99:DP99)</f>
        <v>2763.5</v>
      </c>
      <c r="DQ96" s="1162">
        <f>AVERAGE(DM96:DP96)</f>
        <v>2748.75</v>
      </c>
      <c r="DR96" s="999">
        <v>2779.5</v>
      </c>
      <c r="DS96" s="999">
        <v>2803.5</v>
      </c>
      <c r="DT96" s="1163">
        <v>2828.5</v>
      </c>
      <c r="DU96" s="1163">
        <v>2851</v>
      </c>
      <c r="DV96" s="1162">
        <f>AVERAGE(DR96:DU96)</f>
        <v>2815.625</v>
      </c>
      <c r="DW96" s="999">
        <v>2864</v>
      </c>
      <c r="DX96" s="999">
        <v>2863</v>
      </c>
      <c r="DY96" s="1163">
        <v>2855.5</v>
      </c>
      <c r="DZ96" s="1163">
        <v>2845</v>
      </c>
      <c r="EA96" s="1162">
        <f>AVERAGE(DW96:DZ96)</f>
        <v>2856.875</v>
      </c>
      <c r="EB96" s="999">
        <v>2845</v>
      </c>
      <c r="EC96" s="999">
        <v>2844</v>
      </c>
      <c r="ED96" s="1719"/>
      <c r="EE96" s="1163"/>
      <c r="EF96" s="1162"/>
      <c r="EG96" s="1163"/>
      <c r="EH96" s="1163"/>
      <c r="EI96" s="1163"/>
      <c r="EJ96" s="1163"/>
      <c r="EK96" s="1162"/>
      <c r="EL96" s="1166"/>
      <c r="EM96" s="1163"/>
      <c r="EN96" s="1163"/>
      <c r="EO96" s="1167"/>
      <c r="EP96" s="1162"/>
      <c r="EQ96" s="1166"/>
      <c r="ER96" s="1163"/>
      <c r="ES96" s="1163"/>
      <c r="ET96" s="1167"/>
      <c r="EU96" s="1162"/>
      <c r="EV96" s="1166"/>
      <c r="EW96" s="1163"/>
      <c r="EX96" s="1163"/>
      <c r="EY96" s="1167"/>
      <c r="EZ96" s="1162"/>
      <c r="FA96" s="1166"/>
      <c r="FB96" s="1163"/>
      <c r="FC96" s="1163"/>
      <c r="FD96" s="1167"/>
      <c r="FE96" s="1162"/>
      <c r="FF96" s="721"/>
      <c r="FG96" s="690"/>
      <c r="FH96" s="754"/>
      <c r="FI96" s="754"/>
      <c r="FJ96" s="754"/>
      <c r="FK96" s="754"/>
      <c r="FL96" s="690"/>
      <c r="FM96" s="1168" t="s">
        <v>324</v>
      </c>
      <c r="FN96" s="708"/>
      <c r="FO96" s="723"/>
      <c r="FP96" s="723"/>
      <c r="FQ96" s="723"/>
      <c r="FR96" s="723"/>
      <c r="FS96" s="723"/>
      <c r="FT96" s="723"/>
      <c r="FU96" s="690"/>
      <c r="FV96"/>
      <c r="FW96"/>
      <c r="FX96"/>
      <c r="FY96"/>
      <c r="FZ96"/>
      <c r="GA96"/>
      <c r="GB96" s="725"/>
      <c r="GC96" s="1169"/>
      <c r="GD96" s="1169"/>
      <c r="GE96" s="1169"/>
      <c r="GF96" s="1169"/>
      <c r="GG96" s="1169"/>
      <c r="GH96" s="1169"/>
      <c r="GI96" s="1169"/>
      <c r="GJ96" s="1169"/>
      <c r="GK96" s="1169"/>
      <c r="GL96" s="1169"/>
      <c r="GM96" s="1169"/>
      <c r="GN96" s="1169"/>
      <c r="GO96" s="1169"/>
      <c r="GP96" s="1169"/>
      <c r="GQ96" s="1169"/>
      <c r="GR96" s="1169"/>
      <c r="GS96" s="1169"/>
      <c r="GT96" s="1169"/>
      <c r="GU96" s="1169"/>
      <c r="GV96" s="1169"/>
      <c r="GW96" s="1169"/>
      <c r="GX96" s="1169"/>
      <c r="GY96" s="1169"/>
      <c r="GZ96" s="1169"/>
      <c r="HA96" s="1169"/>
      <c r="HB96" s="1169"/>
      <c r="HC96" s="1169"/>
      <c r="HD96" s="1169"/>
      <c r="HE96" s="1169"/>
      <c r="HF96" s="1169"/>
      <c r="HG96" s="1169"/>
      <c r="HH96" s="1169"/>
      <c r="HI96" s="1169"/>
      <c r="HJ96" s="1169"/>
      <c r="HK96" s="1169"/>
      <c r="HL96" s="1169"/>
      <c r="HM96" s="1169"/>
      <c r="HN96" s="1169"/>
      <c r="HO96" s="1169"/>
      <c r="HP96" s="1169"/>
      <c r="HQ96" s="1169"/>
      <c r="HR96" s="1169"/>
      <c r="HS96" s="1169"/>
      <c r="HT96" s="1169"/>
      <c r="HU96" s="1169"/>
      <c r="HV96" s="1169"/>
      <c r="HW96" s="1169"/>
      <c r="HX96" s="1169"/>
      <c r="HY96" s="1169"/>
      <c r="HZ96" s="1169"/>
      <c r="IA96" s="1169"/>
      <c r="IB96" s="1169"/>
      <c r="IC96" s="1169"/>
      <c r="ID96" s="1169"/>
      <c r="IE96" s="1169"/>
      <c r="IF96" s="1169"/>
      <c r="IG96" s="1169"/>
      <c r="IH96" s="1169"/>
      <c r="II96" s="1169"/>
      <c r="IJ96" s="1169"/>
      <c r="IK96" s="1169"/>
      <c r="IL96" s="1169"/>
      <c r="IM96" s="1169"/>
      <c r="IN96" s="1169"/>
      <c r="IO96" s="1169"/>
      <c r="IP96" s="1169"/>
      <c r="IQ96" s="1169"/>
      <c r="IR96" s="1169"/>
      <c r="IS96" s="1169"/>
      <c r="IT96" s="1169"/>
      <c r="IU96" s="1169"/>
      <c r="IV96" s="1169"/>
      <c r="IW96" s="1169"/>
      <c r="IX96" s="1169"/>
      <c r="IY96" s="1169"/>
      <c r="IZ96" s="1169"/>
      <c r="JA96" s="1169"/>
      <c r="JB96" s="1169"/>
      <c r="JC96" s="1169"/>
      <c r="JD96" s="1169"/>
      <c r="JE96" s="1169"/>
      <c r="JF96" s="1169"/>
      <c r="JG96" s="1169"/>
      <c r="JH96" s="1169"/>
      <c r="JI96" s="1169"/>
      <c r="JJ96" s="1169"/>
      <c r="JK96" s="1169"/>
      <c r="JL96" s="1169"/>
    </row>
    <row r="97" spans="1:272" s="749" customFormat="1" ht="12.75" hidden="1" customHeight="1" outlineLevel="1">
      <c r="A97" s="1171" t="s">
        <v>85</v>
      </c>
      <c r="B97" s="739"/>
      <c r="C97" s="740"/>
      <c r="D97" s="740"/>
      <c r="E97" s="740"/>
      <c r="F97" s="741"/>
      <c r="G97" s="721"/>
      <c r="H97" s="721"/>
      <c r="I97" s="721"/>
      <c r="J97" s="721"/>
      <c r="K97" s="741"/>
      <c r="L97" s="721"/>
      <c r="M97" s="721"/>
      <c r="N97" s="721"/>
      <c r="O97" s="721"/>
      <c r="P97" s="741"/>
      <c r="Q97" s="721"/>
      <c r="R97" s="721"/>
      <c r="S97" s="721"/>
      <c r="T97" s="721"/>
      <c r="U97" s="741"/>
      <c r="V97" s="721"/>
      <c r="W97" s="721"/>
      <c r="X97" s="721"/>
      <c r="Y97" s="721"/>
      <c r="Z97" s="741"/>
      <c r="AA97" s="721"/>
      <c r="AB97" s="721"/>
      <c r="AC97" s="721"/>
      <c r="AD97" s="721"/>
      <c r="AE97" s="741"/>
      <c r="AF97" s="721"/>
      <c r="AG97" s="721"/>
      <c r="AH97" s="721"/>
      <c r="AI97" s="721"/>
      <c r="AJ97" s="741"/>
      <c r="AK97" s="721"/>
      <c r="AL97" s="721"/>
      <c r="AM97" s="721"/>
      <c r="AN97" s="721"/>
      <c r="AO97" s="741"/>
      <c r="AP97" s="721"/>
      <c r="AQ97" s="721"/>
      <c r="AR97" s="721"/>
      <c r="AS97" s="721"/>
      <c r="AT97" s="741"/>
      <c r="AU97" s="721"/>
      <c r="AV97" s="721"/>
      <c r="AW97" s="721"/>
      <c r="AX97" s="721"/>
      <c r="AY97" s="741"/>
      <c r="AZ97" s="721"/>
      <c r="BA97" s="721"/>
      <c r="BB97" s="721"/>
      <c r="BC97" s="721"/>
      <c r="BD97" s="741"/>
      <c r="BE97" s="721"/>
      <c r="BF97" s="721"/>
      <c r="BG97" s="721"/>
      <c r="BH97" s="721"/>
      <c r="BI97" s="741"/>
      <c r="BJ97" s="721"/>
      <c r="BK97" s="721"/>
      <c r="BL97" s="721"/>
      <c r="BM97" s="721"/>
      <c r="BN97" s="741"/>
      <c r="BO97" s="721"/>
      <c r="BP97" s="721"/>
      <c r="BQ97" s="721"/>
      <c r="BR97" s="721"/>
      <c r="BS97" s="741"/>
      <c r="BT97" s="721"/>
      <c r="BU97" s="721"/>
      <c r="BV97" s="721"/>
      <c r="BW97" s="721"/>
      <c r="BX97" s="741"/>
      <c r="BY97" s="721"/>
      <c r="BZ97" s="721"/>
      <c r="CA97" s="721"/>
      <c r="CB97" s="721"/>
      <c r="CC97" s="741"/>
      <c r="CD97" s="721"/>
      <c r="CE97" s="721"/>
      <c r="CF97" s="721"/>
      <c r="CG97" s="721"/>
      <c r="CH97" s="741"/>
      <c r="CI97" s="721"/>
      <c r="CJ97" s="721"/>
      <c r="CK97" s="721"/>
      <c r="CL97" s="721"/>
      <c r="CM97" s="741"/>
      <c r="CN97" s="721"/>
      <c r="CO97" s="721"/>
      <c r="CP97" s="721"/>
      <c r="CQ97" s="721"/>
      <c r="CR97" s="741"/>
      <c r="CS97" s="721"/>
      <c r="CT97" s="721"/>
      <c r="CU97" s="721"/>
      <c r="CV97" s="721">
        <f>CV96/CQ96-1</f>
        <v>8.497217068645635E-2</v>
      </c>
      <c r="CW97" s="741"/>
      <c r="CX97" s="721">
        <f t="shared" ref="CX97:EB97" si="336">CX96/CS96-1</f>
        <v>8.8386622565233441E-2</v>
      </c>
      <c r="CY97" s="721">
        <f t="shared" si="336"/>
        <v>4.8389998201115336E-2</v>
      </c>
      <c r="CZ97" s="721">
        <f t="shared" si="336"/>
        <v>-1.1585044760400232E-2</v>
      </c>
      <c r="DA97" s="721">
        <f t="shared" si="336"/>
        <v>-5.4719562243502051E-2</v>
      </c>
      <c r="DB97" s="741">
        <f t="shared" si="336"/>
        <v>1.6144770691031596E-2</v>
      </c>
      <c r="DC97" s="721">
        <f t="shared" si="336"/>
        <v>-6.6182677697112946E-2</v>
      </c>
      <c r="DD97" s="721">
        <f t="shared" si="336"/>
        <v>-5.7995881949210681E-2</v>
      </c>
      <c r="DE97" s="721">
        <f t="shared" si="336"/>
        <v>-3.5695258391049589E-2</v>
      </c>
      <c r="DF97" s="721">
        <f t="shared" si="336"/>
        <v>-2.6049204052098429E-2</v>
      </c>
      <c r="DG97" s="741">
        <f t="shared" si="336"/>
        <v>-4.6922741161064985E-2</v>
      </c>
      <c r="DH97" s="721">
        <f t="shared" si="336"/>
        <v>-3.0374254203579865E-2</v>
      </c>
      <c r="DI97" s="721">
        <f t="shared" si="336"/>
        <v>-1.9307832422586491E-2</v>
      </c>
      <c r="DJ97" s="721">
        <f t="shared" si="336"/>
        <v>-4.7882136279926435E-3</v>
      </c>
      <c r="DK97" s="721">
        <f t="shared" si="336"/>
        <v>1.151560178306088E-2</v>
      </c>
      <c r="DL97" s="741">
        <f t="shared" si="336"/>
        <v>-1.0899931302953969E-2</v>
      </c>
      <c r="DM97" s="721">
        <f t="shared" si="336"/>
        <v>2.2934924482565622E-2</v>
      </c>
      <c r="DN97" s="721">
        <f t="shared" si="336"/>
        <v>1.7644873699851349E-2</v>
      </c>
      <c r="DO97" s="721">
        <f t="shared" si="336"/>
        <v>1.739452257586982E-2</v>
      </c>
      <c r="DP97" s="721">
        <f t="shared" si="336"/>
        <v>1.4873301505692327E-2</v>
      </c>
      <c r="DQ97" s="741">
        <f>DQ96/DL96-1</f>
        <v>1.8196971801639039E-2</v>
      </c>
      <c r="DR97" s="743">
        <f t="shared" si="336"/>
        <v>1.330659861465544E-2</v>
      </c>
      <c r="DS97" s="743">
        <f t="shared" si="336"/>
        <v>2.3361927359007106E-2</v>
      </c>
      <c r="DT97" s="721">
        <f t="shared" si="336"/>
        <v>2.891960712986541E-2</v>
      </c>
      <c r="DU97" s="721">
        <f t="shared" si="336"/>
        <v>3.1662746517097773E-2</v>
      </c>
      <c r="DV97" s="741">
        <f>DV96/DQ96-1</f>
        <v>2.4329240563892629E-2</v>
      </c>
      <c r="DW97" s="743">
        <f t="shared" si="336"/>
        <v>3.0401151286202577E-2</v>
      </c>
      <c r="DX97" s="743">
        <f t="shared" si="336"/>
        <v>2.1223470661672961E-2</v>
      </c>
      <c r="DY97" s="721">
        <f t="shared" si="336"/>
        <v>9.5456955983737046E-3</v>
      </c>
      <c r="DZ97" s="721">
        <f t="shared" si="336"/>
        <v>-2.1045247281655799E-3</v>
      </c>
      <c r="EA97" s="741">
        <f>EA96/DV96-1</f>
        <v>1.4650388457269736E-2</v>
      </c>
      <c r="EB97" s="743">
        <f t="shared" si="336"/>
        <v>-6.6340782122904507E-3</v>
      </c>
      <c r="EC97" s="743">
        <f>EC96/DX96-1</f>
        <v>-6.6363953894515992E-3</v>
      </c>
      <c r="ED97" s="721"/>
      <c r="EE97" s="1105"/>
      <c r="EF97" s="741"/>
      <c r="EG97" s="1105"/>
      <c r="EH97" s="1105"/>
      <c r="EI97" s="1105"/>
      <c r="EJ97" s="1105"/>
      <c r="EK97" s="741"/>
      <c r="EL97" s="745"/>
      <c r="EM97" s="712"/>
      <c r="EN97" s="712"/>
      <c r="EO97" s="744"/>
      <c r="EP97" s="753"/>
      <c r="EQ97" s="745"/>
      <c r="ER97" s="712"/>
      <c r="ES97" s="712"/>
      <c r="ET97" s="744"/>
      <c r="EU97" s="753"/>
      <c r="EV97" s="745"/>
      <c r="EW97" s="712"/>
      <c r="EX97" s="712"/>
      <c r="EY97" s="744"/>
      <c r="EZ97" s="753"/>
      <c r="FA97" s="745"/>
      <c r="FB97" s="712"/>
      <c r="FC97" s="712"/>
      <c r="FD97" s="744"/>
      <c r="FE97" s="753"/>
      <c r="FF97" s="721"/>
      <c r="FG97" s="690"/>
      <c r="FH97" s="754"/>
      <c r="FI97" s="754"/>
      <c r="FJ97" s="754"/>
      <c r="FK97" s="754"/>
      <c r="FL97" s="690"/>
      <c r="FM97" s="708"/>
      <c r="FN97" s="708"/>
      <c r="FO97" s="723"/>
      <c r="FP97" s="723"/>
      <c r="FQ97" s="723"/>
      <c r="FR97" s="723"/>
      <c r="FS97" s="723"/>
      <c r="FT97" s="723"/>
      <c r="FU97" s="690"/>
      <c r="FV97"/>
      <c r="FW97"/>
      <c r="FX97"/>
      <c r="FY97"/>
      <c r="FZ97"/>
      <c r="GA97"/>
      <c r="GB97" s="725"/>
      <c r="GC97" s="532"/>
      <c r="GD97" s="532"/>
      <c r="GE97" s="532"/>
      <c r="GF97" s="532"/>
      <c r="GG97" s="532"/>
      <c r="GH97" s="532"/>
      <c r="GI97" s="532"/>
      <c r="GJ97" s="532"/>
      <c r="GK97" s="532"/>
      <c r="GL97" s="532"/>
      <c r="GM97" s="532"/>
      <c r="GN97" s="532"/>
      <c r="GO97" s="532"/>
      <c r="GP97" s="532"/>
      <c r="GQ97" s="532"/>
      <c r="GR97" s="532"/>
      <c r="GS97" s="532"/>
      <c r="GT97" s="532"/>
      <c r="GU97" s="532"/>
      <c r="GV97" s="532"/>
      <c r="GW97" s="532"/>
      <c r="GX97" s="532"/>
      <c r="GY97" s="532"/>
      <c r="GZ97" s="532"/>
      <c r="HA97" s="532"/>
      <c r="HB97" s="532"/>
      <c r="HC97" s="532"/>
      <c r="HD97" s="532"/>
      <c r="HE97" s="532"/>
      <c r="HF97" s="532"/>
      <c r="HG97" s="532"/>
      <c r="HH97" s="532"/>
      <c r="HI97" s="532"/>
      <c r="HJ97" s="532"/>
      <c r="HK97" s="532"/>
      <c r="HL97" s="532"/>
      <c r="HM97" s="532"/>
      <c r="HN97" s="532"/>
      <c r="HO97" s="532"/>
      <c r="HP97" s="532"/>
      <c r="HQ97" s="532"/>
      <c r="HR97" s="532"/>
      <c r="HS97" s="532"/>
      <c r="HT97" s="532"/>
      <c r="HU97" s="532"/>
      <c r="HV97" s="532"/>
      <c r="HW97" s="532"/>
      <c r="HX97" s="532"/>
      <c r="HY97" s="532"/>
      <c r="HZ97" s="532"/>
      <c r="IA97" s="532"/>
      <c r="IB97" s="532"/>
      <c r="IC97" s="532"/>
      <c r="ID97" s="532"/>
      <c r="IE97" s="532"/>
      <c r="IF97" s="532"/>
      <c r="IG97" s="532"/>
      <c r="IH97" s="532"/>
      <c r="II97" s="532"/>
      <c r="IJ97" s="532"/>
      <c r="IK97" s="532"/>
      <c r="IL97" s="532"/>
      <c r="IM97" s="532"/>
      <c r="IN97" s="532"/>
      <c r="IO97" s="532"/>
      <c r="IP97" s="532"/>
      <c r="IQ97" s="532"/>
      <c r="IR97" s="532"/>
      <c r="IS97" s="532"/>
      <c r="IT97" s="532"/>
      <c r="IU97" s="532"/>
      <c r="IV97" s="532"/>
      <c r="IW97" s="532"/>
      <c r="IX97" s="532"/>
      <c r="IY97" s="532"/>
      <c r="IZ97" s="532"/>
      <c r="JA97" s="532"/>
      <c r="JB97" s="532"/>
      <c r="JC97" s="532"/>
      <c r="JD97" s="532"/>
      <c r="JE97" s="532"/>
      <c r="JF97" s="532"/>
      <c r="JG97" s="532"/>
      <c r="JH97" s="532"/>
      <c r="JI97" s="532"/>
      <c r="JJ97" s="532"/>
      <c r="JK97" s="532"/>
      <c r="JL97" s="532"/>
    </row>
    <row r="98" spans="1:272" s="749" customFormat="1" ht="12.75" hidden="1" customHeight="1" outlineLevel="1">
      <c r="A98" s="76" t="s">
        <v>290</v>
      </c>
      <c r="B98" s="1172"/>
      <c r="C98" s="1173"/>
      <c r="D98" s="1173"/>
      <c r="E98" s="1173"/>
      <c r="F98" s="741"/>
      <c r="G98" s="742"/>
      <c r="H98" s="742"/>
      <c r="I98" s="742"/>
      <c r="J98" s="742"/>
      <c r="K98" s="741"/>
      <c r="L98" s="721"/>
      <c r="M98" s="721"/>
      <c r="N98" s="721"/>
      <c r="O98" s="721"/>
      <c r="P98" s="741"/>
      <c r="Q98" s="721"/>
      <c r="R98" s="721"/>
      <c r="S98" s="721"/>
      <c r="T98" s="721"/>
      <c r="U98" s="741"/>
      <c r="V98" s="721"/>
      <c r="W98" s="721"/>
      <c r="X98" s="721"/>
      <c r="Y98" s="721"/>
      <c r="Z98" s="741"/>
      <c r="AA98" s="721"/>
      <c r="AB98" s="721"/>
      <c r="AC98" s="721"/>
      <c r="AD98" s="721"/>
      <c r="AE98" s="741"/>
      <c r="AF98" s="721"/>
      <c r="AG98" s="742"/>
      <c r="AH98" s="721"/>
      <c r="AI98" s="721"/>
      <c r="AJ98" s="741"/>
      <c r="AK98" s="721"/>
      <c r="AL98" s="742"/>
      <c r="AM98" s="721"/>
      <c r="AN98" s="721"/>
      <c r="AO98" s="741"/>
      <c r="AP98" s="721"/>
      <c r="AQ98" s="742"/>
      <c r="AR98" s="721"/>
      <c r="AS98" s="721"/>
      <c r="AT98" s="741"/>
      <c r="AU98" s="721"/>
      <c r="AV98" s="742"/>
      <c r="AW98" s="721"/>
      <c r="AX98" s="721"/>
      <c r="AY98" s="741"/>
      <c r="AZ98" s="721"/>
      <c r="BA98" s="742"/>
      <c r="BB98" s="721"/>
      <c r="BC98" s="721"/>
      <c r="BD98" s="741"/>
      <c r="BE98" s="721"/>
      <c r="BF98" s="742"/>
      <c r="BG98" s="721"/>
      <c r="BH98" s="721"/>
      <c r="BI98" s="741"/>
      <c r="BJ98" s="721"/>
      <c r="BK98" s="742"/>
      <c r="BL98" s="721"/>
      <c r="BM98" s="721"/>
      <c r="BN98" s="741"/>
      <c r="BO98" s="721"/>
      <c r="BP98" s="742"/>
      <c r="BQ98" s="721"/>
      <c r="BR98" s="721"/>
      <c r="BS98" s="741"/>
      <c r="BT98" s="721"/>
      <c r="BU98" s="742"/>
      <c r="BV98" s="721"/>
      <c r="BW98" s="721"/>
      <c r="BX98" s="741"/>
      <c r="BY98" s="721"/>
      <c r="BZ98" s="742"/>
      <c r="CA98" s="721"/>
      <c r="CB98" s="721"/>
      <c r="CC98" s="741"/>
      <c r="CD98" s="721"/>
      <c r="CE98" s="721"/>
      <c r="CF98" s="721"/>
      <c r="CG98" s="721"/>
      <c r="CH98" s="741"/>
      <c r="CI98" s="721"/>
      <c r="CJ98" s="721"/>
      <c r="CK98" s="721"/>
      <c r="CL98" s="721"/>
      <c r="CM98" s="741"/>
      <c r="CN98" s="721" t="str">
        <f>IF(ISERROR(CN96/CL96-1)," ",(CN96/CL96-1))</f>
        <v xml:space="preserve"> </v>
      </c>
      <c r="CO98" s="721" t="str">
        <f>IF(ISERROR(CO96/CN96-1)," ",(CO96/CN96-1))</f>
        <v xml:space="preserve"> </v>
      </c>
      <c r="CP98" s="721" t="str">
        <f>IF(ISERROR(CP96/CO96-1)," ",(CP96/CO96-1))</f>
        <v xml:space="preserve"> </v>
      </c>
      <c r="CQ98" s="721" t="str">
        <f>IF(ISERROR(CQ96/CP96-1)," ",(CQ96/CP96-1))</f>
        <v xml:space="preserve"> </v>
      </c>
      <c r="CR98" s="741"/>
      <c r="CS98" s="721">
        <f>IF(ISERROR(CS96/CQ96-1)," ",(CS96/CQ96-1))</f>
        <v>9.647495361781111E-3</v>
      </c>
      <c r="CT98" s="721">
        <f>IF(ISERROR(CT96/CS96-1)," ",(CT96/CS96-1))</f>
        <v>2.149944873208387E-2</v>
      </c>
      <c r="CU98" s="721">
        <f>IF(ISERROR(CU96/CT96-1)," ",(CU96/CT96-1))</f>
        <v>2.4824608742579635E-2</v>
      </c>
      <c r="CV98" s="721">
        <f>IF(ISERROR(CV96/CU96-1)," ",(CV96/CU96-1))</f>
        <v>2.6505178163946042E-2</v>
      </c>
      <c r="CW98" s="741"/>
      <c r="CX98" s="721">
        <f>IF(ISERROR(CX96/CV96-1)," ",(CX96/CV96-1))</f>
        <v>1.2824897400820712E-2</v>
      </c>
      <c r="CY98" s="721">
        <f>IF(ISERROR(CY96/CX96-1)," ",(CY96/CX96-1))</f>
        <v>-1.6039169339861603E-2</v>
      </c>
      <c r="CZ98" s="721">
        <f>IF(ISERROR(CZ96/CY96-1)," ",(CZ96/CY96-1))</f>
        <v>-3.3802333562113929E-2</v>
      </c>
      <c r="DA98" s="721">
        <f>IF(ISERROR(DA96/CZ96-1)," ",(DA96/CZ96-1))</f>
        <v>-1.8291600071035363E-2</v>
      </c>
      <c r="DB98" s="741">
        <f>DB97</f>
        <v>1.6144770691031596E-2</v>
      </c>
      <c r="DC98" s="721">
        <f>IF(ISERROR(DC96/DA96-1)," ",(DC96/DA96-1))</f>
        <v>5.4269175108534462E-4</v>
      </c>
      <c r="DD98" s="721">
        <f>IF(ISERROR(DD96/DC96-1)," ",(DD96/DC96-1))</f>
        <v>-7.4127644187308439E-3</v>
      </c>
      <c r="DE98" s="721">
        <f>IF(ISERROR(DE96/DD96-1)," ",(DE96/DD96-1))</f>
        <v>-1.0928961748633892E-2</v>
      </c>
      <c r="DF98" s="721">
        <f>IF(ISERROR(DF96/DE96-1)," ",(DF96/DE96-1))</f>
        <v>-8.4714548802946599E-3</v>
      </c>
      <c r="DG98" s="741">
        <f>DG97</f>
        <v>-4.6922741161064985E-2</v>
      </c>
      <c r="DH98" s="721">
        <f>IF(ISERROR(DH96/DF96-1)," ",(DH96/DF96-1))</f>
        <v>-3.9004457652302982E-3</v>
      </c>
      <c r="DI98" s="721">
        <f>IF(ISERROR(DI96/DH96-1)," ",(DI96/DH96-1))</f>
        <v>3.9157188140965804E-3</v>
      </c>
      <c r="DJ98" s="721">
        <f>IF(ISERROR(DJ96/DI96-1)," ",(DJ96/DI96-1))</f>
        <v>3.714710252600284E-3</v>
      </c>
      <c r="DK98" s="721">
        <f>IF(ISERROR(DK96/DJ96-1)," ",(DK96/DJ96-1))</f>
        <v>7.7720207253886286E-3</v>
      </c>
      <c r="DL98" s="741">
        <f>DL97</f>
        <v>-1.0899931302953969E-2</v>
      </c>
      <c r="DM98" s="721">
        <f>IF(ISERROR(DM96/DK96-1)," ",(DM96/DK96-1))</f>
        <v>7.3448402497244825E-3</v>
      </c>
      <c r="DN98" s="721">
        <f>IF(ISERROR(DN96/DM96-1)," ",(DN96/DM96-1))</f>
        <v>-1.2759752096245247E-3</v>
      </c>
      <c r="DO98" s="721">
        <f>IF(ISERROR(DO96/DN96-1)," ",(DO96/DN96-1))</f>
        <v>3.4677860923526538E-3</v>
      </c>
      <c r="DP98" s="721">
        <f>IF(ISERROR(DP96/DO96-1)," ",(DP96/DO96-1))</f>
        <v>5.2746453255729797E-3</v>
      </c>
      <c r="DQ98" s="741"/>
      <c r="DR98" s="743">
        <f>IF(ISERROR(DR96/DP96-1)," ",(DR96/DP96-1))</f>
        <v>5.7897593631264233E-3</v>
      </c>
      <c r="DS98" s="743">
        <f>IF(ISERROR(DS96/DR96-1)," ",(DS96/DR96-1))</f>
        <v>8.634646519158018E-3</v>
      </c>
      <c r="DT98" s="721">
        <f>IF(ISERROR(DT96/DS96-1)," ",(DT96/DS96-1))</f>
        <v>8.9174246477616848E-3</v>
      </c>
      <c r="DU98" s="721">
        <f>IF(ISERROR(DU96/DT96-1)," ",(DU96/DT96-1))</f>
        <v>7.9547463319780132E-3</v>
      </c>
      <c r="DV98" s="741"/>
      <c r="DW98" s="743">
        <f>IF(ISERROR(DW96/DU96-1)," ",(DW96/DU96-1))</f>
        <v>4.5598035776921453E-3</v>
      </c>
      <c r="DX98" s="743">
        <f>IF(ISERROR(DX96/DW96-1)," ",(DX96/DW96-1))</f>
        <v>-3.4916201117318746E-4</v>
      </c>
      <c r="DY98" s="721">
        <f>IF(ISERROR(DY96/DX96-1)," ",(DY96/DX96-1))</f>
        <v>-2.619629758994102E-3</v>
      </c>
      <c r="DZ98" s="721">
        <f>IF(ISERROR(DZ96/DY96-1)," ",(DZ96/DY96-1))</f>
        <v>-3.6771143407459128E-3</v>
      </c>
      <c r="EA98" s="741"/>
      <c r="EB98" s="743">
        <f>IF(ISERROR(EB96/DZ96-1)," ",(EB96/DZ96-1))</f>
        <v>0</v>
      </c>
      <c r="EC98" s="743">
        <f>IF(ISERROR(EC96/EB96-1)," ",(EC96/EB96-1))</f>
        <v>-3.5149384885768686E-4</v>
      </c>
      <c r="ED98" s="721"/>
      <c r="EE98" s="721"/>
      <c r="EF98" s="741"/>
      <c r="EG98" s="721"/>
      <c r="EH98" s="721"/>
      <c r="EI98" s="721"/>
      <c r="EJ98" s="721"/>
      <c r="EK98" s="741"/>
      <c r="EL98" s="1041"/>
      <c r="EM98" s="721"/>
      <c r="EN98" s="721"/>
      <c r="EO98" s="1042"/>
      <c r="EP98" s="741"/>
      <c r="EQ98" s="1041"/>
      <c r="ER98" s="721"/>
      <c r="ES98" s="721"/>
      <c r="ET98" s="1042"/>
      <c r="EU98" s="741"/>
      <c r="EV98" s="1041"/>
      <c r="EW98" s="721"/>
      <c r="EX98" s="721"/>
      <c r="EY98" s="1042"/>
      <c r="EZ98" s="741"/>
      <c r="FA98" s="1041"/>
      <c r="FB98" s="721"/>
      <c r="FC98" s="721"/>
      <c r="FD98" s="1042"/>
      <c r="FE98" s="741"/>
      <c r="FF98" s="721"/>
      <c r="FG98" s="690"/>
      <c r="FH98" s="955">
        <f>AVERAGE(CI98,CN98,DH98,DM98,DC98,CS98,CX98,CD98,BY98,BT98,DR98,DW98)</f>
        <v>5.2584345627142747E-3</v>
      </c>
      <c r="FI98" s="955">
        <f>AVERAGE(CJ98,CO98,DI98,DN98,DD98,CT98,CY98,CE98,BZ98,BU98,DS98,DX98)</f>
        <v>1.2818204408497585E-3</v>
      </c>
      <c r="FJ98" s="955">
        <f>AVERAGE(CK98,CP98,DJ98,DO98,DE98,CU98,CZ98,CF98,CA98,BV98,DT98,DY98)</f>
        <v>-9.1805647634966652E-4</v>
      </c>
      <c r="FK98" s="955">
        <f>AVERAGE(CL98,CQ98,DK98,DP98,DF98,CV98,DA98,CG98,CB98,BW98,DU98,DZ98)</f>
        <v>2.4380601792585326E-3</v>
      </c>
      <c r="FL98" s="690"/>
      <c r="FM98" s="708"/>
      <c r="FN98" s="708"/>
      <c r="FO98" s="723"/>
      <c r="FP98" s="723"/>
      <c r="FQ98" s="723"/>
      <c r="FR98" s="723"/>
      <c r="FS98" s="723"/>
      <c r="FT98" s="723"/>
      <c r="FU98" s="690"/>
      <c r="FV98"/>
      <c r="FW98"/>
      <c r="FX98"/>
      <c r="FY98"/>
      <c r="FZ98"/>
      <c r="GA98"/>
      <c r="GB98" s="1117"/>
      <c r="GC98" s="532"/>
      <c r="GD98" s="532"/>
      <c r="GE98" s="532"/>
      <c r="GF98" s="532"/>
      <c r="GG98" s="532"/>
      <c r="GH98" s="532"/>
      <c r="GI98" s="532"/>
      <c r="GJ98" s="532"/>
      <c r="GK98" s="532"/>
      <c r="GL98" s="532"/>
      <c r="GM98" s="532"/>
      <c r="GN98" s="532"/>
      <c r="GO98" s="532"/>
      <c r="GP98" s="532"/>
      <c r="GQ98" s="532"/>
      <c r="GR98" s="532"/>
      <c r="GS98" s="532"/>
      <c r="GT98" s="532"/>
      <c r="GU98" s="532"/>
      <c r="GV98" s="532"/>
      <c r="GW98" s="532"/>
      <c r="GX98" s="532"/>
      <c r="GY98" s="532"/>
      <c r="GZ98" s="532"/>
      <c r="HA98" s="532"/>
      <c r="HB98" s="532"/>
      <c r="HC98" s="532"/>
      <c r="HD98" s="532"/>
      <c r="HE98" s="532"/>
      <c r="HF98" s="532"/>
      <c r="HG98" s="532"/>
      <c r="HH98" s="532"/>
      <c r="HI98" s="532"/>
      <c r="HJ98" s="532"/>
      <c r="HK98" s="532"/>
      <c r="HL98" s="532"/>
      <c r="HM98" s="532"/>
      <c r="HN98" s="532"/>
      <c r="HO98" s="532"/>
      <c r="HP98" s="532"/>
      <c r="HQ98" s="532"/>
      <c r="HR98" s="532"/>
      <c r="HS98" s="532"/>
      <c r="HT98" s="532"/>
      <c r="HU98" s="532"/>
      <c r="HV98" s="532"/>
      <c r="HW98" s="532"/>
      <c r="HX98" s="532"/>
      <c r="HY98" s="532"/>
      <c r="HZ98" s="532"/>
      <c r="IA98" s="532"/>
      <c r="IB98" s="532"/>
      <c r="IC98" s="532"/>
      <c r="ID98" s="532"/>
      <c r="IE98" s="532"/>
      <c r="IF98" s="532"/>
      <c r="IG98" s="532"/>
      <c r="IH98" s="532"/>
      <c r="II98" s="532"/>
      <c r="IJ98" s="532"/>
      <c r="IK98" s="532"/>
      <c r="IL98" s="532"/>
      <c r="IM98" s="532"/>
      <c r="IN98" s="532"/>
      <c r="IO98" s="532"/>
      <c r="IP98" s="532"/>
      <c r="IQ98" s="532"/>
      <c r="IR98" s="532"/>
      <c r="IS98" s="532"/>
      <c r="IT98" s="532"/>
      <c r="IU98" s="532"/>
      <c r="IV98" s="532"/>
      <c r="IW98" s="532"/>
      <c r="IX98" s="532"/>
      <c r="IY98" s="532"/>
      <c r="IZ98" s="532"/>
      <c r="JA98" s="532"/>
      <c r="JB98" s="532"/>
      <c r="JC98" s="532"/>
      <c r="JD98" s="532"/>
      <c r="JE98" s="532"/>
      <c r="JF98" s="532"/>
      <c r="JG98" s="532"/>
      <c r="JH98" s="532"/>
      <c r="JI98" s="532"/>
      <c r="JJ98" s="532"/>
      <c r="JK98" s="532"/>
      <c r="JL98" s="532"/>
    </row>
    <row r="99" spans="1:272" s="1180" customFormat="1" ht="12.75" hidden="1" customHeight="1" outlineLevel="1">
      <c r="A99" s="1174" t="s">
        <v>325</v>
      </c>
      <c r="B99" s="1175"/>
      <c r="C99" s="731"/>
      <c r="D99" s="731"/>
      <c r="E99" s="731"/>
      <c r="F99" s="730"/>
      <c r="G99" s="731"/>
      <c r="H99" s="731"/>
      <c r="I99" s="731"/>
      <c r="J99" s="731"/>
      <c r="K99" s="730"/>
      <c r="L99" s="732"/>
      <c r="M99" s="732"/>
      <c r="N99" s="732"/>
      <c r="O99" s="732"/>
      <c r="P99" s="730"/>
      <c r="Q99" s="732"/>
      <c r="R99" s="732"/>
      <c r="S99" s="732"/>
      <c r="T99" s="732"/>
      <c r="U99" s="730"/>
      <c r="V99" s="732"/>
      <c r="W99" s="732"/>
      <c r="X99" s="732"/>
      <c r="Y99" s="732"/>
      <c r="Z99" s="730"/>
      <c r="AA99" s="732"/>
      <c r="AB99" s="732"/>
      <c r="AC99" s="732"/>
      <c r="AD99" s="732"/>
      <c r="AE99" s="730"/>
      <c r="AF99" s="732"/>
      <c r="AG99" s="732"/>
      <c r="AH99" s="732"/>
      <c r="AI99" s="732"/>
      <c r="AJ99" s="730"/>
      <c r="AK99" s="732"/>
      <c r="AL99" s="732"/>
      <c r="AM99" s="732"/>
      <c r="AN99" s="732"/>
      <c r="AO99" s="730"/>
      <c r="AP99" s="732"/>
      <c r="AQ99" s="732"/>
      <c r="AR99" s="732"/>
      <c r="AS99" s="732"/>
      <c r="AT99" s="730"/>
      <c r="AU99" s="732"/>
      <c r="AV99" s="732"/>
      <c r="AW99" s="732"/>
      <c r="AX99" s="732"/>
      <c r="AY99" s="730"/>
      <c r="AZ99" s="732"/>
      <c r="BA99" s="732"/>
      <c r="BB99" s="732"/>
      <c r="BC99" s="732"/>
      <c r="BD99" s="730"/>
      <c r="BE99" s="732"/>
      <c r="BF99" s="732"/>
      <c r="BG99" s="732"/>
      <c r="BH99" s="732"/>
      <c r="BI99" s="730"/>
      <c r="BJ99" s="732"/>
      <c r="BK99" s="732"/>
      <c r="BL99" s="732"/>
      <c r="BM99" s="732"/>
      <c r="BN99" s="730"/>
      <c r="BO99" s="732"/>
      <c r="BP99" s="732"/>
      <c r="BQ99" s="732"/>
      <c r="BR99" s="732"/>
      <c r="BS99" s="730"/>
      <c r="BT99" s="732"/>
      <c r="BU99" s="732"/>
      <c r="BV99" s="732"/>
      <c r="BW99" s="732"/>
      <c r="BX99" s="730"/>
      <c r="BY99" s="732"/>
      <c r="BZ99" s="732"/>
      <c r="CA99" s="732"/>
      <c r="CB99" s="731"/>
      <c r="CC99" s="730"/>
      <c r="CD99" s="731"/>
      <c r="CE99" s="731"/>
      <c r="CF99" s="731"/>
      <c r="CG99" s="731"/>
      <c r="CH99" s="730"/>
      <c r="CI99" s="731"/>
      <c r="CJ99" s="731"/>
      <c r="CK99" s="731"/>
      <c r="CL99" s="731"/>
      <c r="CM99" s="730"/>
      <c r="CN99" s="731"/>
      <c r="CO99" s="731"/>
      <c r="CP99" s="731"/>
      <c r="CQ99" s="866">
        <f>CQ101+CQ102</f>
        <v>2695</v>
      </c>
      <c r="CR99" s="730">
        <f>CQ99</f>
        <v>2695</v>
      </c>
      <c r="CS99" s="866">
        <f>CS101+CS102</f>
        <v>2747</v>
      </c>
      <c r="CT99" s="866">
        <f>CT101+CT102</f>
        <v>2812</v>
      </c>
      <c r="CU99" s="866">
        <f>CU101+CU102</f>
        <v>2885</v>
      </c>
      <c r="CV99" s="866">
        <f>CV101+CV102</f>
        <v>2963</v>
      </c>
      <c r="CW99" s="730">
        <f>CV99</f>
        <v>2963</v>
      </c>
      <c r="CX99" s="866">
        <f>CX101+CX102</f>
        <v>2960</v>
      </c>
      <c r="CY99" s="866">
        <f>CY101+CY102</f>
        <v>2868</v>
      </c>
      <c r="CZ99" s="866">
        <f>CZ101+CZ102</f>
        <v>2763</v>
      </c>
      <c r="DA99" s="866">
        <f>DA101+DA102</f>
        <v>2765</v>
      </c>
      <c r="DB99" s="730">
        <f>DA99</f>
        <v>2765</v>
      </c>
      <c r="DC99" s="866">
        <f>DC101+DC102</f>
        <v>2766</v>
      </c>
      <c r="DD99" s="866">
        <f>DD101+DD102</f>
        <v>2724</v>
      </c>
      <c r="DE99" s="866">
        <f>DE101+DE102</f>
        <v>2706</v>
      </c>
      <c r="DF99" s="866">
        <f>DF101+DF102</f>
        <v>2678</v>
      </c>
      <c r="DG99" s="730">
        <f>DF99</f>
        <v>2678</v>
      </c>
      <c r="DH99" s="866">
        <f>DH101+DH102</f>
        <v>2685</v>
      </c>
      <c r="DI99" s="866">
        <f>DI101+DI102</f>
        <v>2699</v>
      </c>
      <c r="DJ99" s="866">
        <f>DJ101+DJ102</f>
        <v>2705</v>
      </c>
      <c r="DK99" s="866">
        <f>DK101+DK102</f>
        <v>2741</v>
      </c>
      <c r="DL99" s="730">
        <f>DK99</f>
        <v>2741</v>
      </c>
      <c r="DM99" s="866">
        <f>DM101+DM102</f>
        <v>2745</v>
      </c>
      <c r="DN99" s="866">
        <f>DN101+DN102</f>
        <v>2734</v>
      </c>
      <c r="DO99" s="866">
        <f>DO101+DO102</f>
        <v>2764</v>
      </c>
      <c r="DP99" s="866">
        <f>DP101+DP102</f>
        <v>2763</v>
      </c>
      <c r="DQ99" s="730">
        <f>DP99</f>
        <v>2763</v>
      </c>
      <c r="DR99" s="1176">
        <f>DR101+DR102</f>
        <v>2796</v>
      </c>
      <c r="DS99" s="1176">
        <f>DS101+DS102</f>
        <v>2811</v>
      </c>
      <c r="DT99" s="866">
        <f>DT101+DT102</f>
        <v>2846</v>
      </c>
      <c r="DU99" s="866">
        <f>DU101+DU102</f>
        <v>2856</v>
      </c>
      <c r="DV99" s="730">
        <f>DU99</f>
        <v>2856</v>
      </c>
      <c r="DW99" s="1176">
        <f>DW101+DW102</f>
        <v>2872</v>
      </c>
      <c r="DX99" s="1176">
        <f>DX101+DX102</f>
        <v>2854</v>
      </c>
      <c r="DY99" s="866">
        <f>DY101+DY102</f>
        <v>2857</v>
      </c>
      <c r="DZ99" s="866">
        <f>DZ101+DZ102</f>
        <v>2833</v>
      </c>
      <c r="EA99" s="730">
        <f>DZ99</f>
        <v>2833</v>
      </c>
      <c r="EB99" s="1176">
        <f>EB101+EB102</f>
        <v>2843</v>
      </c>
      <c r="EC99" s="1176">
        <f>EC101+EC102</f>
        <v>2845</v>
      </c>
      <c r="ED99" s="866"/>
      <c r="EE99" s="866"/>
      <c r="EF99" s="867"/>
      <c r="EG99" s="866"/>
      <c r="EH99" s="866"/>
      <c r="EI99" s="866"/>
      <c r="EJ99" s="866"/>
      <c r="EK99" s="867"/>
      <c r="EL99" s="1177"/>
      <c r="EM99" s="866"/>
      <c r="EN99" s="866"/>
      <c r="EO99" s="1178"/>
      <c r="EP99" s="867"/>
      <c r="EQ99" s="1177"/>
      <c r="ER99" s="866"/>
      <c r="ES99" s="866"/>
      <c r="ET99" s="1178"/>
      <c r="EU99" s="867"/>
      <c r="EV99" s="1177"/>
      <c r="EW99" s="866"/>
      <c r="EX99" s="866"/>
      <c r="EY99" s="1178"/>
      <c r="EZ99" s="867"/>
      <c r="FA99" s="1177"/>
      <c r="FB99" s="866"/>
      <c r="FC99" s="866"/>
      <c r="FD99" s="1178"/>
      <c r="FE99" s="867"/>
      <c r="FF99" s="721"/>
      <c r="FG99" s="690"/>
      <c r="FH99" s="754"/>
      <c r="FI99" s="754"/>
      <c r="FJ99" s="754"/>
      <c r="FK99" s="754"/>
      <c r="FL99" s="690"/>
      <c r="FM99" s="708"/>
      <c r="FN99" s="708"/>
      <c r="FO99" s="723"/>
      <c r="FP99" s="723"/>
      <c r="FQ99" s="723"/>
      <c r="FR99" s="723"/>
      <c r="FS99" s="723"/>
      <c r="FT99" s="723"/>
      <c r="FU99" s="690"/>
      <c r="FV99"/>
      <c r="FW99"/>
      <c r="FX99"/>
      <c r="FY99"/>
      <c r="FZ99"/>
      <c r="GA99"/>
      <c r="GB99" s="725"/>
      <c r="GC99" s="1179"/>
      <c r="GD99" s="1179"/>
      <c r="GE99" s="1179"/>
      <c r="GF99" s="1179"/>
      <c r="GG99" s="1179"/>
      <c r="GH99" s="1179"/>
      <c r="GI99" s="1179"/>
      <c r="GJ99" s="1179"/>
      <c r="GK99" s="1179"/>
      <c r="GL99" s="1179"/>
      <c r="GM99" s="1179"/>
      <c r="GN99" s="1179"/>
      <c r="GO99" s="1179"/>
      <c r="GP99" s="1179"/>
      <c r="GQ99" s="1179"/>
      <c r="GR99" s="1179"/>
      <c r="GS99" s="1179"/>
      <c r="GT99" s="1179"/>
      <c r="GU99" s="1179"/>
      <c r="GV99" s="1179"/>
      <c r="GW99" s="1179"/>
      <c r="GX99" s="1179"/>
      <c r="GY99" s="1179"/>
      <c r="GZ99" s="1179"/>
      <c r="HA99" s="1179"/>
      <c r="HB99" s="1179"/>
      <c r="HC99" s="1179"/>
      <c r="HD99" s="1179"/>
      <c r="HE99" s="1179"/>
      <c r="HF99" s="1179"/>
      <c r="HG99" s="1179"/>
      <c r="HH99" s="1179"/>
      <c r="HI99" s="1179"/>
      <c r="HJ99" s="1179"/>
      <c r="HK99" s="1179"/>
      <c r="HL99" s="1179"/>
      <c r="HM99" s="1179"/>
      <c r="HN99" s="1179"/>
      <c r="HO99" s="1179"/>
      <c r="HP99" s="1179"/>
      <c r="HQ99" s="1179"/>
      <c r="HR99" s="1179"/>
      <c r="HS99" s="1179"/>
      <c r="HT99" s="1179"/>
      <c r="HU99" s="1179"/>
      <c r="HV99" s="1179"/>
      <c r="HW99" s="1179"/>
      <c r="HX99" s="1179"/>
      <c r="HY99" s="1179"/>
      <c r="HZ99" s="1179"/>
      <c r="IA99" s="1179"/>
      <c r="IB99" s="1179"/>
      <c r="IC99" s="1179"/>
      <c r="ID99" s="1179"/>
      <c r="IE99" s="1179"/>
      <c r="IF99" s="1179"/>
      <c r="IG99" s="1179"/>
      <c r="IH99" s="1179"/>
      <c r="II99" s="1179"/>
      <c r="IJ99" s="1179"/>
      <c r="IK99" s="1179"/>
      <c r="IL99" s="1179"/>
      <c r="IM99" s="1179"/>
      <c r="IN99" s="1179"/>
      <c r="IO99" s="1179"/>
      <c r="IP99" s="1179"/>
      <c r="IQ99" s="1179"/>
      <c r="IR99" s="1179"/>
      <c r="IS99" s="1179"/>
      <c r="IT99" s="1179"/>
      <c r="IU99" s="1179"/>
      <c r="IV99" s="1179"/>
      <c r="IW99" s="1179"/>
      <c r="IX99" s="1179"/>
      <c r="IY99" s="1179"/>
      <c r="IZ99" s="1179"/>
      <c r="JA99" s="1179"/>
      <c r="JB99" s="1179"/>
      <c r="JC99" s="1179"/>
      <c r="JD99" s="1179"/>
      <c r="JE99" s="1179"/>
      <c r="JF99" s="1179"/>
      <c r="JG99" s="1179"/>
      <c r="JH99" s="1179"/>
      <c r="JI99" s="1179"/>
      <c r="JJ99" s="1179"/>
      <c r="JK99" s="1179"/>
      <c r="JL99" s="1179"/>
    </row>
    <row r="100" spans="1:272" s="749" customFormat="1" ht="12.75" hidden="1" customHeight="1" outlineLevel="1">
      <c r="A100" s="58" t="s">
        <v>85</v>
      </c>
      <c r="B100" s="739"/>
      <c r="C100" s="740"/>
      <c r="D100" s="740"/>
      <c r="E100" s="740"/>
      <c r="F100" s="741"/>
      <c r="G100" s="721"/>
      <c r="H100" s="721"/>
      <c r="I100" s="721"/>
      <c r="J100" s="721"/>
      <c r="K100" s="741"/>
      <c r="L100" s="721"/>
      <c r="M100" s="721"/>
      <c r="N100" s="721"/>
      <c r="O100" s="721"/>
      <c r="P100" s="741"/>
      <c r="Q100" s="721"/>
      <c r="R100" s="721"/>
      <c r="S100" s="721"/>
      <c r="T100" s="721"/>
      <c r="U100" s="741"/>
      <c r="V100" s="721"/>
      <c r="W100" s="721"/>
      <c r="X100" s="721"/>
      <c r="Y100" s="721"/>
      <c r="Z100" s="741"/>
      <c r="AA100" s="721"/>
      <c r="AB100" s="721"/>
      <c r="AC100" s="721"/>
      <c r="AD100" s="721"/>
      <c r="AE100" s="741"/>
      <c r="AF100" s="721"/>
      <c r="AG100" s="721"/>
      <c r="AH100" s="721"/>
      <c r="AI100" s="721"/>
      <c r="AJ100" s="741"/>
      <c r="AK100" s="721"/>
      <c r="AL100" s="721"/>
      <c r="AM100" s="721"/>
      <c r="AN100" s="721"/>
      <c r="AO100" s="741"/>
      <c r="AP100" s="721"/>
      <c r="AQ100" s="721"/>
      <c r="AR100" s="721"/>
      <c r="AS100" s="721"/>
      <c r="AT100" s="741"/>
      <c r="AU100" s="721"/>
      <c r="AV100" s="721"/>
      <c r="AW100" s="721"/>
      <c r="AX100" s="721"/>
      <c r="AY100" s="741"/>
      <c r="AZ100" s="721"/>
      <c r="BA100" s="721"/>
      <c r="BB100" s="721"/>
      <c r="BC100" s="721"/>
      <c r="BD100" s="741"/>
      <c r="BE100" s="721"/>
      <c r="BF100" s="721"/>
      <c r="BG100" s="721"/>
      <c r="BH100" s="721"/>
      <c r="BI100" s="741"/>
      <c r="BJ100" s="721"/>
      <c r="BK100" s="721"/>
      <c r="BL100" s="721"/>
      <c r="BM100" s="721"/>
      <c r="BN100" s="741"/>
      <c r="BO100" s="721"/>
      <c r="BP100" s="721"/>
      <c r="BQ100" s="721"/>
      <c r="BR100" s="721"/>
      <c r="BS100" s="741"/>
      <c r="BT100" s="721"/>
      <c r="BU100" s="721"/>
      <c r="BV100" s="721"/>
      <c r="BW100" s="721"/>
      <c r="BX100" s="741"/>
      <c r="BY100" s="721"/>
      <c r="BZ100" s="721"/>
      <c r="CA100" s="721"/>
      <c r="CB100" s="721"/>
      <c r="CC100" s="741"/>
      <c r="CD100" s="721"/>
      <c r="CE100" s="721"/>
      <c r="CF100" s="721"/>
      <c r="CG100" s="721"/>
      <c r="CH100" s="741"/>
      <c r="CI100" s="721"/>
      <c r="CJ100" s="721"/>
      <c r="CK100" s="721"/>
      <c r="CL100" s="721"/>
      <c r="CM100" s="741"/>
      <c r="CN100" s="721"/>
      <c r="CO100" s="721"/>
      <c r="CP100" s="721"/>
      <c r="CQ100" s="721"/>
      <c r="CR100" s="741"/>
      <c r="CS100" s="721"/>
      <c r="CT100" s="721"/>
      <c r="CU100" s="721"/>
      <c r="CV100" s="721">
        <f t="shared" ref="CV100:EB100" si="337">CV99/CQ99-1</f>
        <v>9.9443413729128016E-2</v>
      </c>
      <c r="CW100" s="741"/>
      <c r="CX100" s="721">
        <f t="shared" si="337"/>
        <v>7.7539133600291299E-2</v>
      </c>
      <c r="CY100" s="721">
        <f t="shared" si="337"/>
        <v>1.9914651493598834E-2</v>
      </c>
      <c r="CZ100" s="721">
        <f t="shared" si="337"/>
        <v>-4.228769497400342E-2</v>
      </c>
      <c r="DA100" s="721">
        <f t="shared" si="337"/>
        <v>-6.682416469794128E-2</v>
      </c>
      <c r="DB100" s="741">
        <f t="shared" si="337"/>
        <v>-6.682416469794128E-2</v>
      </c>
      <c r="DC100" s="721">
        <f t="shared" si="337"/>
        <v>-6.5540540540540593E-2</v>
      </c>
      <c r="DD100" s="721">
        <f t="shared" si="337"/>
        <v>-5.0209205020920522E-2</v>
      </c>
      <c r="DE100" s="721">
        <f t="shared" si="337"/>
        <v>-2.0629750271444092E-2</v>
      </c>
      <c r="DF100" s="721">
        <f t="shared" si="337"/>
        <v>-3.1464737793851727E-2</v>
      </c>
      <c r="DG100" s="741">
        <f t="shared" si="337"/>
        <v>-3.1464737793851727E-2</v>
      </c>
      <c r="DH100" s="721">
        <f t="shared" si="337"/>
        <v>-2.9284164859002204E-2</v>
      </c>
      <c r="DI100" s="721">
        <f t="shared" si="337"/>
        <v>-9.1776798825257133E-3</v>
      </c>
      <c r="DJ100" s="721">
        <f t="shared" si="337"/>
        <v>-3.6954915003695188E-4</v>
      </c>
      <c r="DK100" s="721">
        <f t="shared" si="337"/>
        <v>2.3525018670649711E-2</v>
      </c>
      <c r="DL100" s="741">
        <f t="shared" si="337"/>
        <v>2.3525018670649711E-2</v>
      </c>
      <c r="DM100" s="721">
        <f t="shared" si="337"/>
        <v>2.2346368715083775E-2</v>
      </c>
      <c r="DN100" s="721">
        <f t="shared" si="337"/>
        <v>1.2967765839199785E-2</v>
      </c>
      <c r="DO100" s="721">
        <f t="shared" si="337"/>
        <v>2.1811460258780002E-2</v>
      </c>
      <c r="DP100" s="721">
        <f t="shared" si="337"/>
        <v>8.0262677854796571E-3</v>
      </c>
      <c r="DQ100" s="741">
        <f t="shared" si="337"/>
        <v>8.0262677854796571E-3</v>
      </c>
      <c r="DR100" s="743">
        <f t="shared" si="337"/>
        <v>1.8579234972677661E-2</v>
      </c>
      <c r="DS100" s="743">
        <f t="shared" si="337"/>
        <v>2.8163862472567747E-2</v>
      </c>
      <c r="DT100" s="721">
        <f t="shared" si="337"/>
        <v>2.9667149059334319E-2</v>
      </c>
      <c r="DU100" s="721">
        <f t="shared" si="337"/>
        <v>3.365906623235615E-2</v>
      </c>
      <c r="DV100" s="741">
        <f t="shared" si="337"/>
        <v>3.365906623235615E-2</v>
      </c>
      <c r="DW100" s="743">
        <f t="shared" si="337"/>
        <v>2.7181688125894166E-2</v>
      </c>
      <c r="DX100" s="743">
        <f t="shared" si="337"/>
        <v>1.529704731412318E-2</v>
      </c>
      <c r="DY100" s="721">
        <f t="shared" si="337"/>
        <v>3.865073787772344E-3</v>
      </c>
      <c r="DZ100" s="721">
        <f t="shared" si="337"/>
        <v>-8.0532212885153776E-3</v>
      </c>
      <c r="EA100" s="741">
        <f t="shared" si="337"/>
        <v>-8.0532212885153776E-3</v>
      </c>
      <c r="EB100" s="743">
        <f t="shared" si="337"/>
        <v>-1.0097493036211658E-2</v>
      </c>
      <c r="EC100" s="743">
        <f>EC99/DX99-1</f>
        <v>-3.1534688156972246E-3</v>
      </c>
      <c r="ED100" s="721"/>
      <c r="EE100" s="1105"/>
      <c r="EF100" s="1181"/>
      <c r="EG100" s="1105"/>
      <c r="EH100" s="1105"/>
      <c r="EI100" s="1105"/>
      <c r="EJ100" s="1105"/>
      <c r="EK100" s="1181"/>
      <c r="EL100" s="745"/>
      <c r="EM100" s="712"/>
      <c r="EN100" s="712"/>
      <c r="EO100" s="744"/>
      <c r="EP100" s="753"/>
      <c r="EQ100" s="745"/>
      <c r="ER100" s="712"/>
      <c r="ES100" s="712"/>
      <c r="ET100" s="744"/>
      <c r="EU100" s="753"/>
      <c r="EV100" s="745"/>
      <c r="EW100" s="712"/>
      <c r="EX100" s="712"/>
      <c r="EY100" s="744"/>
      <c r="EZ100" s="753"/>
      <c r="FA100" s="745"/>
      <c r="FB100" s="712"/>
      <c r="FC100" s="712"/>
      <c r="FD100" s="744"/>
      <c r="FE100" s="753"/>
      <c r="FF100" s="721"/>
      <c r="FG100" s="690"/>
      <c r="FH100" s="754"/>
      <c r="FI100" s="754"/>
      <c r="FJ100" s="754"/>
      <c r="FK100" s="754"/>
      <c r="FL100" s="690"/>
      <c r="FM100" s="708"/>
      <c r="FN100" s="708"/>
      <c r="FO100" s="723"/>
      <c r="FP100" s="723"/>
      <c r="FQ100" s="723"/>
      <c r="FR100" s="723"/>
      <c r="FS100" s="723"/>
      <c r="FT100" s="723"/>
      <c r="FU100" s="690"/>
      <c r="FV100"/>
      <c r="FW100"/>
      <c r="FX100"/>
      <c r="FY100"/>
      <c r="FZ100"/>
      <c r="GA100"/>
      <c r="GB100" s="725"/>
      <c r="GC100" s="532"/>
      <c r="GD100" s="532"/>
      <c r="GE100" s="532"/>
      <c r="GF100" s="532"/>
      <c r="GG100" s="532"/>
      <c r="GH100" s="532"/>
      <c r="GI100" s="532"/>
      <c r="GJ100" s="532"/>
      <c r="GK100" s="532"/>
      <c r="GL100" s="532"/>
      <c r="GM100" s="532"/>
      <c r="GN100" s="532"/>
      <c r="GO100" s="532"/>
      <c r="GP100" s="532"/>
      <c r="GQ100" s="532"/>
      <c r="GR100" s="532"/>
      <c r="GS100" s="532"/>
      <c r="GT100" s="532"/>
      <c r="GU100" s="532"/>
      <c r="GV100" s="532"/>
      <c r="GW100" s="532"/>
      <c r="GX100" s="532"/>
      <c r="GY100" s="532"/>
      <c r="GZ100" s="532"/>
      <c r="HA100" s="532"/>
      <c r="HB100" s="532"/>
      <c r="HC100" s="532"/>
      <c r="HD100" s="532"/>
      <c r="HE100" s="532"/>
      <c r="HF100" s="532"/>
      <c r="HG100" s="532"/>
      <c r="HH100" s="532"/>
      <c r="HI100" s="532"/>
      <c r="HJ100" s="532"/>
      <c r="HK100" s="532"/>
      <c r="HL100" s="532"/>
      <c r="HM100" s="532"/>
      <c r="HN100" s="532"/>
      <c r="HO100" s="532"/>
      <c r="HP100" s="532"/>
      <c r="HQ100" s="532"/>
      <c r="HR100" s="532"/>
      <c r="HS100" s="532"/>
      <c r="HT100" s="532"/>
      <c r="HU100" s="532"/>
      <c r="HV100" s="532"/>
      <c r="HW100" s="532"/>
      <c r="HX100" s="532"/>
      <c r="HY100" s="532"/>
      <c r="HZ100" s="532"/>
      <c r="IA100" s="532"/>
      <c r="IB100" s="532"/>
      <c r="IC100" s="532"/>
      <c r="ID100" s="532"/>
      <c r="IE100" s="532"/>
      <c r="IF100" s="532"/>
      <c r="IG100" s="532"/>
      <c r="IH100" s="532"/>
      <c r="II100" s="532"/>
      <c r="IJ100" s="532"/>
      <c r="IK100" s="532"/>
      <c r="IL100" s="532"/>
      <c r="IM100" s="532"/>
      <c r="IN100" s="532"/>
      <c r="IO100" s="532"/>
      <c r="IP100" s="532"/>
      <c r="IQ100" s="532"/>
      <c r="IR100" s="532"/>
      <c r="IS100" s="532"/>
      <c r="IT100" s="532"/>
      <c r="IU100" s="532"/>
      <c r="IV100" s="532"/>
      <c r="IW100" s="532"/>
      <c r="IX100" s="532"/>
      <c r="IY100" s="532"/>
      <c r="IZ100" s="532"/>
      <c r="JA100" s="532"/>
      <c r="JB100" s="532"/>
      <c r="JC100" s="532"/>
      <c r="JD100" s="532"/>
      <c r="JE100" s="532"/>
      <c r="JF100" s="532"/>
      <c r="JG100" s="532"/>
      <c r="JH100" s="532"/>
      <c r="JI100" s="532"/>
      <c r="JJ100" s="532"/>
      <c r="JK100" s="532"/>
      <c r="JL100" s="532"/>
    </row>
    <row r="101" spans="1:272" s="1180" customFormat="1" ht="12.75" hidden="1" customHeight="1" outlineLevel="1">
      <c r="A101" s="1171" t="s">
        <v>326</v>
      </c>
      <c r="B101" s="1182"/>
      <c r="C101" s="1127"/>
      <c r="D101" s="1127"/>
      <c r="E101" s="1127"/>
      <c r="F101" s="1183"/>
      <c r="G101" s="1127"/>
      <c r="H101" s="1127"/>
      <c r="I101" s="1127"/>
      <c r="J101" s="1127"/>
      <c r="K101" s="1183"/>
      <c r="L101" s="1003"/>
      <c r="M101" s="1003"/>
      <c r="N101" s="1003"/>
      <c r="O101" s="1003"/>
      <c r="P101" s="1183"/>
      <c r="Q101" s="1003"/>
      <c r="R101" s="1003"/>
      <c r="S101" s="1003"/>
      <c r="T101" s="1003"/>
      <c r="U101" s="1183"/>
      <c r="V101" s="1003"/>
      <c r="W101" s="1003"/>
      <c r="X101" s="1003"/>
      <c r="Y101" s="1003"/>
      <c r="Z101" s="1183"/>
      <c r="AA101" s="1003"/>
      <c r="AB101" s="1003"/>
      <c r="AC101" s="1003"/>
      <c r="AD101" s="1003"/>
      <c r="AE101" s="1183"/>
      <c r="AF101" s="1003"/>
      <c r="AG101" s="1003"/>
      <c r="AH101" s="1003"/>
      <c r="AI101" s="1003"/>
      <c r="AJ101" s="1183"/>
      <c r="AK101" s="1003"/>
      <c r="AL101" s="1003"/>
      <c r="AM101" s="1003"/>
      <c r="AN101" s="1003"/>
      <c r="AO101" s="1183"/>
      <c r="AP101" s="1003"/>
      <c r="AQ101" s="1003"/>
      <c r="AR101" s="1003"/>
      <c r="AS101" s="1003"/>
      <c r="AT101" s="1183"/>
      <c r="AU101" s="1003"/>
      <c r="AV101" s="1003"/>
      <c r="AW101" s="1003"/>
      <c r="AX101" s="1003"/>
      <c r="AY101" s="1183"/>
      <c r="AZ101" s="1003"/>
      <c r="BA101" s="1003"/>
      <c r="BB101" s="1003"/>
      <c r="BC101" s="1003"/>
      <c r="BD101" s="1183"/>
      <c r="BE101" s="1003"/>
      <c r="BF101" s="1003"/>
      <c r="BG101" s="1003"/>
      <c r="BH101" s="1003"/>
      <c r="BI101" s="1183"/>
      <c r="BJ101" s="1003"/>
      <c r="BK101" s="1003"/>
      <c r="BL101" s="1003"/>
      <c r="BM101" s="1003"/>
      <c r="BN101" s="1183"/>
      <c r="BO101" s="1003"/>
      <c r="BP101" s="1003"/>
      <c r="BQ101" s="1003"/>
      <c r="BR101" s="1003"/>
      <c r="BS101" s="1183"/>
      <c r="BT101" s="1003"/>
      <c r="BU101" s="1003"/>
      <c r="BV101" s="1003"/>
      <c r="BW101" s="1003"/>
      <c r="BX101" s="1183"/>
      <c r="BY101" s="1003"/>
      <c r="BZ101" s="1003"/>
      <c r="CA101" s="1003"/>
      <c r="CB101" s="1127"/>
      <c r="CC101" s="1183"/>
      <c r="CD101" s="1127"/>
      <c r="CE101" s="1127"/>
      <c r="CF101" s="1127"/>
      <c r="CG101" s="1127"/>
      <c r="CH101" s="1183"/>
      <c r="CI101" s="1127"/>
      <c r="CJ101" s="1127"/>
      <c r="CK101" s="1127"/>
      <c r="CL101" s="1127"/>
      <c r="CM101" s="1183"/>
      <c r="CN101" s="1184"/>
      <c r="CO101" s="1184"/>
      <c r="CP101" s="1184"/>
      <c r="CQ101" s="1184">
        <v>2556</v>
      </c>
      <c r="CR101" s="1183">
        <f>CQ101</f>
        <v>2556</v>
      </c>
      <c r="CS101" s="1184">
        <v>2623</v>
      </c>
      <c r="CT101" s="1184">
        <v>2697</v>
      </c>
      <c r="CU101" s="1184">
        <v>2774</v>
      </c>
      <c r="CV101" s="1184">
        <v>2852</v>
      </c>
      <c r="CW101" s="1183">
        <f>CV101</f>
        <v>2852</v>
      </c>
      <c r="CX101" s="1184">
        <v>2853</v>
      </c>
      <c r="CY101" s="1184">
        <v>2761</v>
      </c>
      <c r="CZ101" s="1184">
        <v>2663</v>
      </c>
      <c r="DA101" s="1184">
        <v>2664</v>
      </c>
      <c r="DB101" s="1183">
        <f>DA101</f>
        <v>2664</v>
      </c>
      <c r="DC101" s="1184">
        <v>2662</v>
      </c>
      <c r="DD101" s="1184">
        <v>2623</v>
      </c>
      <c r="DE101" s="1184">
        <v>2606</v>
      </c>
      <c r="DF101" s="1184">
        <v>2586</v>
      </c>
      <c r="DG101" s="1183">
        <f>DF101</f>
        <v>2586</v>
      </c>
      <c r="DH101" s="1184">
        <v>2593</v>
      </c>
      <c r="DI101" s="1184">
        <v>2591</v>
      </c>
      <c r="DJ101" s="1104">
        <v>2587</v>
      </c>
      <c r="DK101" s="1104">
        <v>2613</v>
      </c>
      <c r="DL101" s="1183">
        <f>DK101</f>
        <v>2613</v>
      </c>
      <c r="DM101" s="1104">
        <v>2609</v>
      </c>
      <c r="DN101" s="1104">
        <v>2586</v>
      </c>
      <c r="DO101" s="1104">
        <v>2611</v>
      </c>
      <c r="DP101" s="1104">
        <v>2608</v>
      </c>
      <c r="DQ101" s="1183">
        <f>DP101</f>
        <v>2608</v>
      </c>
      <c r="DR101" s="1185">
        <v>2630</v>
      </c>
      <c r="DS101" s="1185">
        <v>2610</v>
      </c>
      <c r="DT101" s="1104">
        <v>2615</v>
      </c>
      <c r="DU101" s="1104">
        <v>2610</v>
      </c>
      <c r="DV101" s="1183">
        <f>DU101</f>
        <v>2610</v>
      </c>
      <c r="DW101" s="1185">
        <v>2603</v>
      </c>
      <c r="DX101" s="1185">
        <v>2566</v>
      </c>
      <c r="DY101" s="1104">
        <v>2553</v>
      </c>
      <c r="DZ101" s="1104">
        <v>2530</v>
      </c>
      <c r="EA101" s="1183">
        <f>DZ101</f>
        <v>2530</v>
      </c>
      <c r="EB101" s="1185">
        <v>2508</v>
      </c>
      <c r="EC101" s="1185">
        <v>2492</v>
      </c>
      <c r="ED101" s="1720"/>
      <c r="EE101" s="1104"/>
      <c r="EF101" s="1181"/>
      <c r="EG101" s="1104"/>
      <c r="EH101" s="1104"/>
      <c r="EI101" s="1104"/>
      <c r="EJ101" s="1104"/>
      <c r="EK101" s="1181"/>
      <c r="EL101" s="1186"/>
      <c r="EM101" s="1184"/>
      <c r="EN101" s="1184"/>
      <c r="EO101" s="1187"/>
      <c r="EP101" s="1181"/>
      <c r="EQ101" s="1186"/>
      <c r="ER101" s="1184"/>
      <c r="ES101" s="1184"/>
      <c r="ET101" s="1187"/>
      <c r="EU101" s="1181"/>
      <c r="EV101" s="1186"/>
      <c r="EW101" s="1184"/>
      <c r="EX101" s="1184"/>
      <c r="EY101" s="1187"/>
      <c r="EZ101" s="1181"/>
      <c r="FA101" s="1186"/>
      <c r="FB101" s="1184"/>
      <c r="FC101" s="1184"/>
      <c r="FD101" s="1187"/>
      <c r="FE101" s="1181"/>
      <c r="FF101" s="721"/>
      <c r="FG101" s="690"/>
      <c r="FH101" s="754"/>
      <c r="FI101" s="754"/>
      <c r="FJ101" s="754"/>
      <c r="FK101" s="754"/>
      <c r="FL101" s="690"/>
      <c r="FM101" s="708"/>
      <c r="FN101" s="708"/>
      <c r="FO101" s="723"/>
      <c r="FP101" s="723"/>
      <c r="FQ101" s="723"/>
      <c r="FR101" s="723"/>
      <c r="FS101" s="723"/>
      <c r="FT101" s="723"/>
      <c r="FU101" s="690"/>
      <c r="FV101"/>
      <c r="FW101"/>
      <c r="FX101"/>
      <c r="FY101"/>
      <c r="FZ101"/>
      <c r="GA101"/>
      <c r="GB101" s="725"/>
      <c r="GC101" s="1179"/>
      <c r="GD101" s="1179"/>
      <c r="GE101" s="1179"/>
      <c r="GF101" s="1179"/>
      <c r="GG101" s="1179"/>
      <c r="GH101" s="1179"/>
      <c r="GI101" s="1179"/>
      <c r="GJ101" s="1179"/>
      <c r="GK101" s="1179"/>
      <c r="GL101" s="1179"/>
      <c r="GM101" s="1179"/>
      <c r="GN101" s="1179"/>
      <c r="GO101" s="1179"/>
      <c r="GP101" s="1179"/>
      <c r="GQ101" s="1179"/>
      <c r="GR101" s="1179"/>
      <c r="GS101" s="1179"/>
      <c r="GT101" s="1179"/>
      <c r="GU101" s="1179"/>
      <c r="GV101" s="1179"/>
      <c r="GW101" s="1179"/>
      <c r="GX101" s="1179"/>
      <c r="GY101" s="1179"/>
      <c r="GZ101" s="1179"/>
      <c r="HA101" s="1179"/>
      <c r="HB101" s="1179"/>
      <c r="HC101" s="1179"/>
      <c r="HD101" s="1179"/>
      <c r="HE101" s="1179"/>
      <c r="HF101" s="1179"/>
      <c r="HG101" s="1179"/>
      <c r="HH101" s="1179"/>
      <c r="HI101" s="1179"/>
      <c r="HJ101" s="1179"/>
      <c r="HK101" s="1179"/>
      <c r="HL101" s="1179"/>
      <c r="HM101" s="1179"/>
      <c r="HN101" s="1179"/>
      <c r="HO101" s="1179"/>
      <c r="HP101" s="1179"/>
      <c r="HQ101" s="1179"/>
      <c r="HR101" s="1179"/>
      <c r="HS101" s="1179"/>
      <c r="HT101" s="1179"/>
      <c r="HU101" s="1179"/>
      <c r="HV101" s="1179"/>
      <c r="HW101" s="1179"/>
      <c r="HX101" s="1179"/>
      <c r="HY101" s="1179"/>
      <c r="HZ101" s="1179"/>
      <c r="IA101" s="1179"/>
      <c r="IB101" s="1179"/>
      <c r="IC101" s="1179"/>
      <c r="ID101" s="1179"/>
      <c r="IE101" s="1179"/>
      <c r="IF101" s="1179"/>
      <c r="IG101" s="1179"/>
      <c r="IH101" s="1179"/>
      <c r="II101" s="1179"/>
      <c r="IJ101" s="1179"/>
      <c r="IK101" s="1179"/>
      <c r="IL101" s="1179"/>
      <c r="IM101" s="1179"/>
      <c r="IN101" s="1179"/>
      <c r="IO101" s="1179"/>
      <c r="IP101" s="1179"/>
      <c r="IQ101" s="1179"/>
      <c r="IR101" s="1179"/>
      <c r="IS101" s="1179"/>
      <c r="IT101" s="1179"/>
      <c r="IU101" s="1179"/>
      <c r="IV101" s="1179"/>
      <c r="IW101" s="1179"/>
      <c r="IX101" s="1179"/>
      <c r="IY101" s="1179"/>
      <c r="IZ101" s="1179"/>
      <c r="JA101" s="1179"/>
      <c r="JB101" s="1179"/>
      <c r="JC101" s="1179"/>
      <c r="JD101" s="1179"/>
      <c r="JE101" s="1179"/>
      <c r="JF101" s="1179"/>
      <c r="JG101" s="1179"/>
      <c r="JH101" s="1179"/>
      <c r="JI101" s="1179"/>
      <c r="JJ101" s="1179"/>
      <c r="JK101" s="1179"/>
      <c r="JL101" s="1179"/>
    </row>
    <row r="102" spans="1:272" s="1180" customFormat="1" ht="12.75" hidden="1" customHeight="1" outlineLevel="1">
      <c r="A102" s="1171" t="s">
        <v>327</v>
      </c>
      <c r="B102" s="1182"/>
      <c r="C102" s="1127"/>
      <c r="D102" s="1127"/>
      <c r="E102" s="1127"/>
      <c r="F102" s="1183"/>
      <c r="G102" s="1127"/>
      <c r="H102" s="1127"/>
      <c r="I102" s="1127"/>
      <c r="J102" s="1127"/>
      <c r="K102" s="1183"/>
      <c r="L102" s="1003"/>
      <c r="M102" s="1003"/>
      <c r="N102" s="1003"/>
      <c r="O102" s="1003"/>
      <c r="P102" s="1183"/>
      <c r="Q102" s="1003"/>
      <c r="R102" s="1003"/>
      <c r="S102" s="1003"/>
      <c r="T102" s="1003"/>
      <c r="U102" s="1183"/>
      <c r="V102" s="1003"/>
      <c r="W102" s="1003"/>
      <c r="X102" s="1003"/>
      <c r="Y102" s="1003"/>
      <c r="Z102" s="1183"/>
      <c r="AA102" s="1003"/>
      <c r="AB102" s="1003"/>
      <c r="AC102" s="1003"/>
      <c r="AD102" s="1003"/>
      <c r="AE102" s="1183"/>
      <c r="AF102" s="1003"/>
      <c r="AG102" s="1003"/>
      <c r="AH102" s="1003"/>
      <c r="AI102" s="1003"/>
      <c r="AJ102" s="1183"/>
      <c r="AK102" s="1003"/>
      <c r="AL102" s="1003"/>
      <c r="AM102" s="1003"/>
      <c r="AN102" s="1003"/>
      <c r="AO102" s="1183"/>
      <c r="AP102" s="1003"/>
      <c r="AQ102" s="1003"/>
      <c r="AR102" s="1003"/>
      <c r="AS102" s="1003"/>
      <c r="AT102" s="1183"/>
      <c r="AU102" s="1003"/>
      <c r="AV102" s="1003"/>
      <c r="AW102" s="1003"/>
      <c r="AX102" s="1003"/>
      <c r="AY102" s="1183"/>
      <c r="AZ102" s="1003"/>
      <c r="BA102" s="1003"/>
      <c r="BB102" s="1003"/>
      <c r="BC102" s="1003"/>
      <c r="BD102" s="1183"/>
      <c r="BE102" s="1003"/>
      <c r="BF102" s="1003"/>
      <c r="BG102" s="1003"/>
      <c r="BH102" s="1003"/>
      <c r="BI102" s="1183"/>
      <c r="BJ102" s="1003"/>
      <c r="BK102" s="1003"/>
      <c r="BL102" s="1003"/>
      <c r="BM102" s="1003"/>
      <c r="BN102" s="1183"/>
      <c r="BO102" s="1003"/>
      <c r="BP102" s="1003"/>
      <c r="BQ102" s="1003"/>
      <c r="BR102" s="1003"/>
      <c r="BS102" s="1183"/>
      <c r="BT102" s="1003"/>
      <c r="BU102" s="1003"/>
      <c r="BV102" s="1003"/>
      <c r="BW102" s="1003"/>
      <c r="BX102" s="1183"/>
      <c r="BY102" s="1003"/>
      <c r="BZ102" s="1003"/>
      <c r="CA102" s="1003"/>
      <c r="CB102" s="1127"/>
      <c r="CC102" s="1183"/>
      <c r="CD102" s="1184"/>
      <c r="CE102" s="1184"/>
      <c r="CF102" s="1184"/>
      <c r="CG102" s="1184"/>
      <c r="CH102" s="1183"/>
      <c r="CI102" s="1184"/>
      <c r="CJ102" s="1184"/>
      <c r="CK102" s="1184"/>
      <c r="CL102" s="1184"/>
      <c r="CM102" s="1183"/>
      <c r="CN102" s="1184"/>
      <c r="CO102" s="1184"/>
      <c r="CP102" s="1184"/>
      <c r="CQ102" s="1184">
        <v>139</v>
      </c>
      <c r="CR102" s="1183">
        <f>CQ102</f>
        <v>139</v>
      </c>
      <c r="CS102" s="1184">
        <v>124</v>
      </c>
      <c r="CT102" s="1184">
        <v>115</v>
      </c>
      <c r="CU102" s="1184">
        <v>111</v>
      </c>
      <c r="CV102" s="1184">
        <v>111</v>
      </c>
      <c r="CW102" s="1183">
        <f>CV102</f>
        <v>111</v>
      </c>
      <c r="CX102" s="1184">
        <v>107</v>
      </c>
      <c r="CY102" s="1184">
        <v>107</v>
      </c>
      <c r="CZ102" s="1184">
        <v>100</v>
      </c>
      <c r="DA102" s="1184">
        <v>101</v>
      </c>
      <c r="DB102" s="1183">
        <f>DA102</f>
        <v>101</v>
      </c>
      <c r="DC102" s="1184">
        <v>104</v>
      </c>
      <c r="DD102" s="1184">
        <v>101</v>
      </c>
      <c r="DE102" s="1184">
        <v>100</v>
      </c>
      <c r="DF102" s="1184">
        <v>92</v>
      </c>
      <c r="DG102" s="1183">
        <f>DF102</f>
        <v>92</v>
      </c>
      <c r="DH102" s="1184">
        <v>92</v>
      </c>
      <c r="DI102" s="1184">
        <v>108</v>
      </c>
      <c r="DJ102" s="1104">
        <v>118</v>
      </c>
      <c r="DK102" s="1104">
        <v>128</v>
      </c>
      <c r="DL102" s="1183">
        <f>DK102</f>
        <v>128</v>
      </c>
      <c r="DM102" s="1104">
        <v>136</v>
      </c>
      <c r="DN102" s="1104">
        <v>148</v>
      </c>
      <c r="DO102" s="1104">
        <v>153</v>
      </c>
      <c r="DP102" s="1104">
        <v>155</v>
      </c>
      <c r="DQ102" s="1183">
        <f>DP102</f>
        <v>155</v>
      </c>
      <c r="DR102" s="1185">
        <v>166</v>
      </c>
      <c r="DS102" s="1185">
        <v>201</v>
      </c>
      <c r="DT102" s="1104">
        <v>231</v>
      </c>
      <c r="DU102" s="1104">
        <v>246</v>
      </c>
      <c r="DV102" s="1183">
        <f>DU102</f>
        <v>246</v>
      </c>
      <c r="DW102" s="1185">
        <v>269</v>
      </c>
      <c r="DX102" s="1185">
        <v>288</v>
      </c>
      <c r="DY102" s="1104">
        <v>304</v>
      </c>
      <c r="DZ102" s="1104">
        <v>303</v>
      </c>
      <c r="EA102" s="1183">
        <f>DZ102</f>
        <v>303</v>
      </c>
      <c r="EB102" s="1185">
        <v>335</v>
      </c>
      <c r="EC102" s="1185">
        <v>353</v>
      </c>
      <c r="ED102" s="1720"/>
      <c r="EE102" s="1104"/>
      <c r="EF102" s="1181"/>
      <c r="EG102" s="1104"/>
      <c r="EH102" s="1104"/>
      <c r="EI102" s="1104"/>
      <c r="EJ102" s="1104"/>
      <c r="EK102" s="1181"/>
      <c r="EL102" s="1186"/>
      <c r="EM102" s="1184"/>
      <c r="EN102" s="1184"/>
      <c r="EO102" s="1187"/>
      <c r="EP102" s="1181"/>
      <c r="EQ102" s="1186"/>
      <c r="ER102" s="1184"/>
      <c r="ES102" s="1184"/>
      <c r="ET102" s="1187"/>
      <c r="EU102" s="1181"/>
      <c r="EV102" s="1186"/>
      <c r="EW102" s="1184"/>
      <c r="EX102" s="1184"/>
      <c r="EY102" s="1187"/>
      <c r="EZ102" s="1181"/>
      <c r="FA102" s="1186"/>
      <c r="FB102" s="1184"/>
      <c r="FC102" s="1184"/>
      <c r="FD102" s="1187"/>
      <c r="FE102" s="1181"/>
      <c r="FF102" s="721"/>
      <c r="FG102" s="690"/>
      <c r="FH102" s="754"/>
      <c r="FI102" s="754"/>
      <c r="FJ102" s="754"/>
      <c r="FK102" s="754"/>
      <c r="FL102" s="690"/>
      <c r="FM102" s="708"/>
      <c r="FN102" s="708"/>
      <c r="FO102" s="723"/>
      <c r="FP102" s="723"/>
      <c r="FQ102" s="723"/>
      <c r="FR102" s="723"/>
      <c r="FS102" s="723"/>
      <c r="FT102" s="723"/>
      <c r="FU102" s="690"/>
      <c r="FV102"/>
      <c r="FW102"/>
      <c r="FX102"/>
      <c r="FY102"/>
      <c r="FZ102"/>
      <c r="GA102"/>
      <c r="GB102" s="725"/>
      <c r="GC102" s="1179"/>
      <c r="GD102" s="1179"/>
      <c r="GE102" s="1179"/>
      <c r="GF102" s="1179"/>
      <c r="GG102" s="1179"/>
      <c r="GH102" s="1179"/>
      <c r="GI102" s="1179"/>
      <c r="GJ102" s="1179"/>
      <c r="GK102" s="1179"/>
      <c r="GL102" s="1179"/>
      <c r="GM102" s="1179"/>
      <c r="GN102" s="1179"/>
      <c r="GO102" s="1179"/>
      <c r="GP102" s="1179"/>
      <c r="GQ102" s="1179"/>
      <c r="GR102" s="1179"/>
      <c r="GS102" s="1179"/>
      <c r="GT102" s="1179"/>
      <c r="GU102" s="1179"/>
      <c r="GV102" s="1179"/>
      <c r="GW102" s="1179"/>
      <c r="GX102" s="1179"/>
      <c r="GY102" s="1179"/>
      <c r="GZ102" s="1179"/>
      <c r="HA102" s="1179"/>
      <c r="HB102" s="1179"/>
      <c r="HC102" s="1179"/>
      <c r="HD102" s="1179"/>
      <c r="HE102" s="1179"/>
      <c r="HF102" s="1179"/>
      <c r="HG102" s="1179"/>
      <c r="HH102" s="1179"/>
      <c r="HI102" s="1179"/>
      <c r="HJ102" s="1179"/>
      <c r="HK102" s="1179"/>
      <c r="HL102" s="1179"/>
      <c r="HM102" s="1179"/>
      <c r="HN102" s="1179"/>
      <c r="HO102" s="1179"/>
      <c r="HP102" s="1179"/>
      <c r="HQ102" s="1179"/>
      <c r="HR102" s="1179"/>
      <c r="HS102" s="1179"/>
      <c r="HT102" s="1179"/>
      <c r="HU102" s="1179"/>
      <c r="HV102" s="1179"/>
      <c r="HW102" s="1179"/>
      <c r="HX102" s="1179"/>
      <c r="HY102" s="1179"/>
      <c r="HZ102" s="1179"/>
      <c r="IA102" s="1179"/>
      <c r="IB102" s="1179"/>
      <c r="IC102" s="1179"/>
      <c r="ID102" s="1179"/>
      <c r="IE102" s="1179"/>
      <c r="IF102" s="1179"/>
      <c r="IG102" s="1179"/>
      <c r="IH102" s="1179"/>
      <c r="II102" s="1179"/>
      <c r="IJ102" s="1179"/>
      <c r="IK102" s="1179"/>
      <c r="IL102" s="1179"/>
      <c r="IM102" s="1179"/>
      <c r="IN102" s="1179"/>
      <c r="IO102" s="1179"/>
      <c r="IP102" s="1179"/>
      <c r="IQ102" s="1179"/>
      <c r="IR102" s="1179"/>
      <c r="IS102" s="1179"/>
      <c r="IT102" s="1179"/>
      <c r="IU102" s="1179"/>
      <c r="IV102" s="1179"/>
      <c r="IW102" s="1179"/>
      <c r="IX102" s="1179"/>
      <c r="IY102" s="1179"/>
      <c r="IZ102" s="1179"/>
      <c r="JA102" s="1179"/>
      <c r="JB102" s="1179"/>
      <c r="JC102" s="1179"/>
      <c r="JD102" s="1179"/>
      <c r="JE102" s="1179"/>
      <c r="JF102" s="1179"/>
      <c r="JG102" s="1179"/>
      <c r="JH102" s="1179"/>
      <c r="JI102" s="1179"/>
      <c r="JJ102" s="1179"/>
      <c r="JK102" s="1179"/>
      <c r="JL102" s="1179"/>
    </row>
    <row r="103" spans="1:272" s="1194" customFormat="1" ht="12.75" hidden="1" customHeight="1" outlineLevel="1">
      <c r="A103" s="1098" t="s">
        <v>328</v>
      </c>
      <c r="B103" s="1188"/>
      <c r="C103" s="1095"/>
      <c r="D103" s="1095"/>
      <c r="E103" s="1095"/>
      <c r="F103" s="1096"/>
      <c r="G103" s="1095"/>
      <c r="H103" s="1095"/>
      <c r="I103" s="1095"/>
      <c r="J103" s="1095"/>
      <c r="K103" s="1096"/>
      <c r="L103" s="1097"/>
      <c r="M103" s="1097"/>
      <c r="N103" s="1097"/>
      <c r="O103" s="1097"/>
      <c r="P103" s="1096"/>
      <c r="Q103" s="1097"/>
      <c r="R103" s="1097"/>
      <c r="S103" s="1097"/>
      <c r="T103" s="1097"/>
      <c r="U103" s="1096"/>
      <c r="V103" s="1097"/>
      <c r="W103" s="1097"/>
      <c r="X103" s="1097"/>
      <c r="Y103" s="1097"/>
      <c r="Z103" s="1096"/>
      <c r="AA103" s="1097"/>
      <c r="AB103" s="1097"/>
      <c r="AC103" s="1097"/>
      <c r="AD103" s="1097"/>
      <c r="AE103" s="1096"/>
      <c r="AF103" s="1097"/>
      <c r="AG103" s="1097"/>
      <c r="AH103" s="1097"/>
      <c r="AI103" s="1097"/>
      <c r="AJ103" s="1096"/>
      <c r="AK103" s="1097"/>
      <c r="AL103" s="1097"/>
      <c r="AM103" s="1097"/>
      <c r="AN103" s="1097"/>
      <c r="AO103" s="1096"/>
      <c r="AP103" s="1097"/>
      <c r="AQ103" s="1097"/>
      <c r="AR103" s="1097"/>
      <c r="AS103" s="1097"/>
      <c r="AT103" s="1096"/>
      <c r="AU103" s="1097"/>
      <c r="AV103" s="1097"/>
      <c r="AW103" s="1097"/>
      <c r="AX103" s="1097"/>
      <c r="AY103" s="1096"/>
      <c r="AZ103" s="1097"/>
      <c r="BA103" s="1097"/>
      <c r="BB103" s="1097"/>
      <c r="BC103" s="1097"/>
      <c r="BD103" s="1096"/>
      <c r="BE103" s="1097"/>
      <c r="BF103" s="1097"/>
      <c r="BG103" s="1097"/>
      <c r="BH103" s="1097"/>
      <c r="BI103" s="1096"/>
      <c r="BJ103" s="1097"/>
      <c r="BK103" s="1097"/>
      <c r="BL103" s="1097"/>
      <c r="BM103" s="1097"/>
      <c r="BN103" s="1096"/>
      <c r="BO103" s="1097"/>
      <c r="BP103" s="1097"/>
      <c r="BQ103" s="1097"/>
      <c r="BR103" s="1097"/>
      <c r="BS103" s="1096"/>
      <c r="BT103" s="1097"/>
      <c r="BU103" s="1097"/>
      <c r="BV103" s="1097"/>
      <c r="BW103" s="1097"/>
      <c r="BX103" s="1096"/>
      <c r="BY103" s="1097"/>
      <c r="BZ103" s="1097"/>
      <c r="CA103" s="1097"/>
      <c r="CB103" s="1095"/>
      <c r="CC103" s="1096"/>
      <c r="CD103" s="1095"/>
      <c r="CE103" s="1095"/>
      <c r="CF103" s="1095"/>
      <c r="CG103" s="1095"/>
      <c r="CH103" s="1096"/>
      <c r="CI103" s="1095"/>
      <c r="CJ103" s="1095"/>
      <c r="CK103" s="1095"/>
      <c r="CL103" s="1095"/>
      <c r="CM103" s="1096"/>
      <c r="CN103" s="1189"/>
      <c r="CO103" s="1189"/>
      <c r="CP103" s="1189"/>
      <c r="CQ103" s="1189">
        <v>29.407</v>
      </c>
      <c r="CR103" s="1096"/>
      <c r="CS103" s="1189">
        <v>31.797999999999998</v>
      </c>
      <c r="CT103" s="1189">
        <v>49.247</v>
      </c>
      <c r="CU103" s="1189">
        <v>50.664000000000001</v>
      </c>
      <c r="CV103" s="1189">
        <v>27.838999999999999</v>
      </c>
      <c r="CW103" s="1096">
        <f>SUM(CS103:CV103)</f>
        <v>159.548</v>
      </c>
      <c r="CX103" s="1189">
        <v>12.066000000000001</v>
      </c>
      <c r="CY103" s="1189">
        <v>13.62</v>
      </c>
      <c r="CZ103" s="1189">
        <v>17.986000000000001</v>
      </c>
      <c r="DA103" s="1189">
        <v>19.154</v>
      </c>
      <c r="DB103" s="1096">
        <f>SUM(CX103:DA103)</f>
        <v>62.825999999999993</v>
      </c>
      <c r="DC103" s="1189">
        <v>20.745000000000001</v>
      </c>
      <c r="DD103" s="1189">
        <v>25.039000000000001</v>
      </c>
      <c r="DE103" s="1189">
        <v>23.210999999999999</v>
      </c>
      <c r="DF103" s="1189">
        <v>25.18</v>
      </c>
      <c r="DG103" s="1096">
        <f>SUM(DC103:DF103)</f>
        <v>94.175000000000011</v>
      </c>
      <c r="DH103" s="1189">
        <v>30.317</v>
      </c>
      <c r="DI103" s="1189">
        <v>37.152000000000001</v>
      </c>
      <c r="DJ103" s="1189">
        <v>35.829000000000001</v>
      </c>
      <c r="DK103" s="1189">
        <v>35.250999999999998</v>
      </c>
      <c r="DL103" s="1190">
        <f>SUM(DH103:DK103)</f>
        <v>138.54900000000001</v>
      </c>
      <c r="DM103" s="1189">
        <v>36.405999999999999</v>
      </c>
      <c r="DN103" s="1189">
        <v>38.015999999999998</v>
      </c>
      <c r="DO103" s="1189">
        <v>35.628</v>
      </c>
      <c r="DP103" s="1189">
        <v>35.921999999999997</v>
      </c>
      <c r="DQ103" s="1190">
        <f>SUM(DM103:DP103)</f>
        <v>145.97199999999998</v>
      </c>
      <c r="DR103" s="1191">
        <v>36.082000000000001</v>
      </c>
      <c r="DS103" s="1191">
        <v>35.875999999999998</v>
      </c>
      <c r="DT103" s="1189">
        <v>35.984999999999999</v>
      </c>
      <c r="DU103" s="1189">
        <v>34.094000000000001</v>
      </c>
      <c r="DV103" s="1190">
        <f>SUM(DR103:DU103)</f>
        <v>142.03700000000001</v>
      </c>
      <c r="DW103" s="1191">
        <v>34.921999999999997</v>
      </c>
      <c r="DX103" s="1191">
        <v>36.262999999999998</v>
      </c>
      <c r="DY103" s="1189">
        <v>34.04</v>
      </c>
      <c r="DZ103" s="1189">
        <v>29.896000000000001</v>
      </c>
      <c r="EA103" s="1190">
        <f>SUM(DW103:DZ103)</f>
        <v>135.12099999999998</v>
      </c>
      <c r="EB103" s="1191">
        <v>20.948</v>
      </c>
      <c r="EC103" s="1191">
        <v>20.48</v>
      </c>
      <c r="ED103" s="1721">
        <f>+ED78-ED80</f>
        <v>18.972000000000008</v>
      </c>
      <c r="EE103" s="1191">
        <f>EE105*EE80</f>
        <v>17.337299999999999</v>
      </c>
      <c r="EF103" s="1190">
        <f>SUM(EB103:EE103)</f>
        <v>77.737300000000005</v>
      </c>
      <c r="EG103" s="1191">
        <f>EG105*EG80</f>
        <v>15.710380000000001</v>
      </c>
      <c r="EH103" s="1191">
        <f>EH105*EH80</f>
        <v>15.843913799999999</v>
      </c>
      <c r="EI103" s="1191">
        <f>EI105*EI80</f>
        <v>15.53596044</v>
      </c>
      <c r="EJ103" s="1191">
        <f>EJ105*EJ80</f>
        <v>16.362943739999999</v>
      </c>
      <c r="EK103" s="1190">
        <f>SUM(EG103:EJ103)</f>
        <v>63.453197979999999</v>
      </c>
      <c r="EL103" s="1192"/>
      <c r="EM103" s="1189"/>
      <c r="EN103" s="1189"/>
      <c r="EO103" s="1193"/>
      <c r="EP103" s="1190">
        <f>EP105*EP80</f>
        <v>64.746696714699993</v>
      </c>
      <c r="EQ103" s="1192"/>
      <c r="ER103" s="1189"/>
      <c r="ES103" s="1189"/>
      <c r="ET103" s="1193"/>
      <c r="EU103" s="1190">
        <f>EU105*EU80</f>
        <v>0</v>
      </c>
      <c r="EV103" s="1192"/>
      <c r="EW103" s="1189"/>
      <c r="EX103" s="1189"/>
      <c r="EY103" s="1193"/>
      <c r="EZ103" s="1190">
        <f>EZ105*EZ80</f>
        <v>0</v>
      </c>
      <c r="FA103" s="1192"/>
      <c r="FB103" s="1189"/>
      <c r="FC103" s="1189"/>
      <c r="FD103" s="1193"/>
      <c r="FE103" s="1190">
        <f>FE105*FE80</f>
        <v>0</v>
      </c>
      <c r="FF103" s="938"/>
      <c r="FG103" s="690"/>
      <c r="FH103" s="754"/>
      <c r="FI103" s="754"/>
      <c r="FJ103" s="754"/>
      <c r="FK103" s="754"/>
      <c r="FL103" s="690"/>
      <c r="FM103" s="940"/>
      <c r="FN103" s="940"/>
      <c r="FO103" s="941"/>
      <c r="FP103" s="941"/>
      <c r="FQ103" s="941"/>
      <c r="FR103" s="941"/>
      <c r="FS103" s="941"/>
      <c r="FT103" s="941"/>
      <c r="FU103" s="690"/>
      <c r="FV103"/>
      <c r="FW103"/>
      <c r="FX103"/>
      <c r="FY103"/>
      <c r="FZ103"/>
      <c r="GA103"/>
      <c r="GB103" s="943"/>
      <c r="GC103" s="944"/>
      <c r="GD103" s="944"/>
      <c r="GE103" s="944"/>
      <c r="GF103" s="944"/>
      <c r="GG103" s="944"/>
      <c r="GH103" s="944"/>
      <c r="GI103" s="944"/>
      <c r="GJ103" s="944"/>
      <c r="GK103" s="944"/>
      <c r="GL103" s="944"/>
      <c r="GM103" s="944"/>
      <c r="GN103" s="944"/>
      <c r="GO103" s="944"/>
      <c r="GP103" s="944"/>
      <c r="GQ103" s="944"/>
      <c r="GR103" s="944"/>
      <c r="GS103" s="944"/>
      <c r="GT103" s="944"/>
      <c r="GU103" s="944"/>
      <c r="GV103" s="944"/>
      <c r="GW103" s="944"/>
      <c r="GX103" s="944"/>
      <c r="GY103" s="944"/>
      <c r="GZ103" s="944"/>
      <c r="HA103" s="944"/>
      <c r="HB103" s="944"/>
      <c r="HC103" s="944"/>
      <c r="HD103" s="944"/>
      <c r="HE103" s="944"/>
      <c r="HF103" s="944"/>
      <c r="HG103" s="944"/>
      <c r="HH103" s="944"/>
      <c r="HI103" s="944"/>
      <c r="HJ103" s="944"/>
      <c r="HK103" s="944"/>
      <c r="HL103" s="944"/>
      <c r="HM103" s="944"/>
      <c r="HN103" s="944"/>
      <c r="HO103" s="944"/>
      <c r="HP103" s="944"/>
      <c r="HQ103" s="944"/>
      <c r="HR103" s="944"/>
      <c r="HS103" s="944"/>
      <c r="HT103" s="944"/>
      <c r="HU103" s="944"/>
      <c r="HV103" s="944"/>
      <c r="HW103" s="944"/>
      <c r="HX103" s="944"/>
      <c r="HY103" s="944"/>
      <c r="HZ103" s="944"/>
      <c r="IA103" s="944"/>
      <c r="IB103" s="944"/>
      <c r="IC103" s="944"/>
      <c r="ID103" s="944"/>
      <c r="IE103" s="944"/>
      <c r="IF103" s="944"/>
      <c r="IG103" s="944"/>
      <c r="IH103" s="944"/>
      <c r="II103" s="944"/>
      <c r="IJ103" s="944"/>
      <c r="IK103" s="944"/>
      <c r="IL103" s="944"/>
      <c r="IM103" s="944"/>
      <c r="IN103" s="944"/>
      <c r="IO103" s="944"/>
      <c r="IP103" s="944"/>
      <c r="IQ103" s="944"/>
      <c r="IR103" s="944"/>
      <c r="IS103" s="944"/>
      <c r="IT103" s="944"/>
      <c r="IU103" s="944"/>
      <c r="IV103" s="944"/>
      <c r="IW103" s="944"/>
      <c r="IX103" s="944"/>
      <c r="IY103" s="944"/>
      <c r="IZ103" s="944"/>
      <c r="JA103" s="944"/>
      <c r="JB103" s="944"/>
      <c r="JC103" s="944"/>
      <c r="JD103" s="944"/>
      <c r="JE103" s="944"/>
      <c r="JF103" s="944"/>
      <c r="JG103" s="944"/>
      <c r="JH103" s="944"/>
      <c r="JI103" s="944"/>
      <c r="JJ103" s="944"/>
      <c r="JK103" s="944"/>
      <c r="JL103" s="944"/>
    </row>
    <row r="104" spans="1:272" s="749" customFormat="1" ht="12.75" hidden="1" customHeight="1" outlineLevel="1">
      <c r="A104" s="1068" t="s">
        <v>85</v>
      </c>
      <c r="B104" s="739"/>
      <c r="C104" s="740"/>
      <c r="D104" s="740"/>
      <c r="E104" s="740"/>
      <c r="F104" s="741"/>
      <c r="G104" s="742"/>
      <c r="H104" s="742"/>
      <c r="I104" s="742"/>
      <c r="J104" s="742"/>
      <c r="K104" s="741"/>
      <c r="L104" s="742"/>
      <c r="M104" s="742"/>
      <c r="N104" s="742"/>
      <c r="O104" s="742"/>
      <c r="P104" s="741"/>
      <c r="Q104" s="742"/>
      <c r="R104" s="742"/>
      <c r="S104" s="742"/>
      <c r="T104" s="742"/>
      <c r="U104" s="741"/>
      <c r="V104" s="721"/>
      <c r="W104" s="721"/>
      <c r="X104" s="721"/>
      <c r="Y104" s="721"/>
      <c r="Z104" s="741"/>
      <c r="AA104" s="721"/>
      <c r="AB104" s="742"/>
      <c r="AC104" s="721"/>
      <c r="AD104" s="721"/>
      <c r="AE104" s="741"/>
      <c r="AF104" s="721"/>
      <c r="AG104" s="742"/>
      <c r="AH104" s="721"/>
      <c r="AI104" s="721"/>
      <c r="AJ104" s="741"/>
      <c r="AK104" s="721"/>
      <c r="AL104" s="721"/>
      <c r="AM104" s="721"/>
      <c r="AN104" s="721"/>
      <c r="AO104" s="741"/>
      <c r="AP104" s="721"/>
      <c r="AQ104" s="721"/>
      <c r="AR104" s="721"/>
      <c r="AS104" s="721"/>
      <c r="AT104" s="741"/>
      <c r="AU104" s="721"/>
      <c r="AV104" s="721"/>
      <c r="AW104" s="721"/>
      <c r="AX104" s="721"/>
      <c r="AY104" s="741"/>
      <c r="AZ104" s="721"/>
      <c r="BA104" s="721"/>
      <c r="BB104" s="721"/>
      <c r="BC104" s="721"/>
      <c r="BD104" s="741"/>
      <c r="BE104" s="721"/>
      <c r="BF104" s="721"/>
      <c r="BG104" s="721"/>
      <c r="BH104" s="721"/>
      <c r="BI104" s="741"/>
      <c r="BJ104" s="721"/>
      <c r="BK104" s="721"/>
      <c r="BL104" s="721"/>
      <c r="BM104" s="721"/>
      <c r="BN104" s="741"/>
      <c r="BO104" s="721"/>
      <c r="BP104" s="721"/>
      <c r="BQ104" s="721"/>
      <c r="BR104" s="721"/>
      <c r="BS104" s="741"/>
      <c r="BT104" s="721"/>
      <c r="BU104" s="721"/>
      <c r="BV104" s="721"/>
      <c r="BW104" s="721"/>
      <c r="BX104" s="741"/>
      <c r="BY104" s="721"/>
      <c r="BZ104" s="721"/>
      <c r="CA104" s="721"/>
      <c r="CB104" s="721"/>
      <c r="CC104" s="741"/>
      <c r="CD104" s="721"/>
      <c r="CE104" s="721"/>
      <c r="CF104" s="721"/>
      <c r="CG104" s="721"/>
      <c r="CH104" s="741"/>
      <c r="CI104" s="721"/>
      <c r="CJ104" s="721"/>
      <c r="CK104" s="721"/>
      <c r="CL104" s="721"/>
      <c r="CM104" s="741"/>
      <c r="CN104" s="721"/>
      <c r="CO104" s="721"/>
      <c r="CP104" s="721"/>
      <c r="CQ104" s="721"/>
      <c r="CR104" s="741"/>
      <c r="CS104" s="721"/>
      <c r="CT104" s="721"/>
      <c r="CU104" s="721"/>
      <c r="CV104" s="721">
        <f>CV103/CQ103-1</f>
        <v>-5.3320637943346849E-2</v>
      </c>
      <c r="CW104" s="741"/>
      <c r="CX104" s="721">
        <f t="shared" ref="CX104:EF104" si="338">CX103/CS103-1</f>
        <v>-0.62054217246367693</v>
      </c>
      <c r="CY104" s="721">
        <f t="shared" si="338"/>
        <v>-0.72343493004650039</v>
      </c>
      <c r="CZ104" s="721">
        <f t="shared" si="338"/>
        <v>-0.64499447339333649</v>
      </c>
      <c r="DA104" s="721">
        <f t="shared" si="338"/>
        <v>-0.31197241280218391</v>
      </c>
      <c r="DB104" s="741">
        <f t="shared" si="338"/>
        <v>-0.60622508586757595</v>
      </c>
      <c r="DC104" s="721">
        <f t="shared" si="338"/>
        <v>0.71929388363998004</v>
      </c>
      <c r="DD104" s="721">
        <f t="shared" si="338"/>
        <v>0.83839941262848772</v>
      </c>
      <c r="DE104" s="721">
        <f t="shared" si="338"/>
        <v>0.29050372511953726</v>
      </c>
      <c r="DF104" s="721">
        <f t="shared" si="338"/>
        <v>0.31460791479586514</v>
      </c>
      <c r="DG104" s="741">
        <f t="shared" si="338"/>
        <v>0.49898131346894625</v>
      </c>
      <c r="DH104" s="721">
        <f t="shared" si="338"/>
        <v>0.461412388527356</v>
      </c>
      <c r="DI104" s="721">
        <f t="shared" si="338"/>
        <v>0.48376532609129752</v>
      </c>
      <c r="DJ104" s="721">
        <f>DJ103/DE103-1</f>
        <v>0.54362155874369922</v>
      </c>
      <c r="DK104" s="721">
        <f>DK103/DF103-1</f>
        <v>0.39996028594122301</v>
      </c>
      <c r="DL104" s="741">
        <f t="shared" si="338"/>
        <v>0.47118662065303951</v>
      </c>
      <c r="DM104" s="721">
        <f t="shared" si="338"/>
        <v>0.20084441072665493</v>
      </c>
      <c r="DN104" s="721">
        <f t="shared" si="338"/>
        <v>2.3255813953488191E-2</v>
      </c>
      <c r="DO104" s="721">
        <f t="shared" si="338"/>
        <v>-5.6099807418571457E-3</v>
      </c>
      <c r="DP104" s="721">
        <f>DP103/DK103-1</f>
        <v>1.9034920995149029E-2</v>
      </c>
      <c r="DQ104" s="741">
        <f t="shared" si="338"/>
        <v>5.3576712931886705E-2</v>
      </c>
      <c r="DR104" s="743">
        <f t="shared" si="338"/>
        <v>-8.8996319288029424E-3</v>
      </c>
      <c r="DS104" s="743">
        <f t="shared" si="338"/>
        <v>-5.6292087542087588E-2</v>
      </c>
      <c r="DT104" s="721">
        <f t="shared" si="338"/>
        <v>1.0020208824520038E-2</v>
      </c>
      <c r="DU104" s="721">
        <f>DU103/DP103-1</f>
        <v>-5.08880351873503E-2</v>
      </c>
      <c r="DV104" s="741">
        <f t="shared" si="338"/>
        <v>-2.6957224673224811E-2</v>
      </c>
      <c r="DW104" s="743">
        <f t="shared" si="338"/>
        <v>-3.2148993958206362E-2</v>
      </c>
      <c r="DX104" s="743">
        <f t="shared" si="338"/>
        <v>1.0787155758724465E-2</v>
      </c>
      <c r="DY104" s="721">
        <f t="shared" si="338"/>
        <v>-5.4050298735584312E-2</v>
      </c>
      <c r="DZ104" s="721">
        <f t="shared" si="338"/>
        <v>-0.12313016953129585</v>
      </c>
      <c r="EA104" s="741">
        <f t="shared" si="338"/>
        <v>-4.8691538120349098E-2</v>
      </c>
      <c r="EB104" s="743">
        <f t="shared" si="338"/>
        <v>-0.40014890327014485</v>
      </c>
      <c r="EC104" s="743">
        <f>EC103/DX103-1</f>
        <v>-0.43523701844855633</v>
      </c>
      <c r="ED104" s="721">
        <f t="shared" si="338"/>
        <v>-0.44265569917743808</v>
      </c>
      <c r="EE104" s="721">
        <f t="shared" si="338"/>
        <v>-0.42007960931228261</v>
      </c>
      <c r="EF104" s="741">
        <f t="shared" si="338"/>
        <v>-0.42468380192568134</v>
      </c>
      <c r="EG104" s="721">
        <f t="shared" ref="EG104:EJ104" si="339">EG103/EB103-1</f>
        <v>-0.25002959709757488</v>
      </c>
      <c r="EH104" s="721">
        <f t="shared" si="339"/>
        <v>-0.2263713964843751</v>
      </c>
      <c r="EI104" s="721">
        <f t="shared" si="339"/>
        <v>-0.18111108791903896</v>
      </c>
      <c r="EJ104" s="721">
        <f t="shared" si="339"/>
        <v>-5.6200000000000028E-2</v>
      </c>
      <c r="EK104" s="741">
        <f t="shared" ref="EK104" si="340">EK103/EF103-1</f>
        <v>-0.18374836815788564</v>
      </c>
      <c r="EL104" s="745"/>
      <c r="EM104" s="712"/>
      <c r="EN104" s="712"/>
      <c r="EO104" s="744"/>
      <c r="EP104" s="741">
        <f>EP103/EK103-1</f>
        <v>2.0385083429643736E-2</v>
      </c>
      <c r="EQ104" s="745"/>
      <c r="ER104" s="712"/>
      <c r="ES104" s="712"/>
      <c r="ET104" s="744"/>
      <c r="EU104" s="741">
        <f>EU103/EP103-1</f>
        <v>-1</v>
      </c>
      <c r="EV104" s="745"/>
      <c r="EW104" s="712"/>
      <c r="EX104" s="712"/>
      <c r="EY104" s="744"/>
      <c r="EZ104" s="741" t="e">
        <f>EZ103/EU103-1</f>
        <v>#DIV/0!</v>
      </c>
      <c r="FA104" s="745"/>
      <c r="FB104" s="712"/>
      <c r="FC104" s="712"/>
      <c r="FD104" s="744"/>
      <c r="FE104" s="741" t="e">
        <f>FE103/EZ103-1</f>
        <v>#DIV/0!</v>
      </c>
      <c r="FF104" s="721"/>
      <c r="FG104" s="690"/>
      <c r="FH104" s="754"/>
      <c r="FI104" s="754"/>
      <c r="FJ104" s="754"/>
      <c r="FK104" s="754"/>
      <c r="FL104" s="690"/>
      <c r="FM104" s="708"/>
      <c r="FN104" s="708"/>
      <c r="FO104" s="723" t="s">
        <v>306</v>
      </c>
      <c r="FP104" s="723">
        <f>+RSQ(CS105:DZ105,CS106:DZ106)</f>
        <v>0.96480233390310488</v>
      </c>
      <c r="FQ104" s="723"/>
      <c r="FR104" s="723"/>
      <c r="FS104" s="723"/>
      <c r="FT104" s="723"/>
      <c r="FU104" s="690"/>
      <c r="FV104"/>
      <c r="FW104"/>
      <c r="FX104"/>
      <c r="FY104"/>
      <c r="FZ104"/>
      <c r="GA104"/>
      <c r="GB104" s="725"/>
      <c r="GC104" s="532"/>
      <c r="GD104" s="532"/>
      <c r="GE104" s="532"/>
      <c r="GF104" s="532"/>
      <c r="GG104" s="532"/>
      <c r="GH104" s="532"/>
      <c r="GI104" s="532"/>
      <c r="GJ104" s="532"/>
      <c r="GK104" s="532"/>
      <c r="GL104" s="532"/>
      <c r="GM104" s="532"/>
      <c r="GN104" s="532"/>
      <c r="GO104" s="532"/>
      <c r="GP104" s="532"/>
      <c r="GQ104" s="532"/>
      <c r="GR104" s="532"/>
      <c r="GS104" s="532"/>
      <c r="GT104" s="532"/>
      <c r="GU104" s="532"/>
      <c r="GV104" s="532"/>
      <c r="GW104" s="532"/>
      <c r="GX104" s="532"/>
      <c r="GY104" s="532"/>
      <c r="GZ104" s="532"/>
      <c r="HA104" s="532"/>
      <c r="HB104" s="532"/>
      <c r="HC104" s="532"/>
      <c r="HD104" s="532"/>
      <c r="HE104" s="532"/>
      <c r="HF104" s="532"/>
      <c r="HG104" s="532"/>
      <c r="HH104" s="532"/>
      <c r="HI104" s="532"/>
      <c r="HJ104" s="532"/>
      <c r="HK104" s="532"/>
      <c r="HL104" s="532"/>
      <c r="HM104" s="532"/>
      <c r="HN104" s="532"/>
      <c r="HO104" s="532"/>
      <c r="HP104" s="532"/>
      <c r="HQ104" s="532"/>
      <c r="HR104" s="532"/>
      <c r="HS104" s="532"/>
      <c r="HT104" s="532"/>
      <c r="HU104" s="532"/>
      <c r="HV104" s="532"/>
      <c r="HW104" s="532"/>
      <c r="HX104" s="532"/>
      <c r="HY104" s="532"/>
      <c r="HZ104" s="532"/>
      <c r="IA104" s="532"/>
      <c r="IB104" s="532"/>
      <c r="IC104" s="532"/>
      <c r="ID104" s="532"/>
      <c r="IE104" s="532"/>
      <c r="IF104" s="532"/>
      <c r="IG104" s="532"/>
      <c r="IH104" s="532"/>
      <c r="II104" s="532"/>
      <c r="IJ104" s="532"/>
      <c r="IK104" s="532"/>
      <c r="IL104" s="532"/>
      <c r="IM104" s="532"/>
      <c r="IN104" s="532"/>
      <c r="IO104" s="532"/>
      <c r="IP104" s="532"/>
      <c r="IQ104" s="532"/>
      <c r="IR104" s="532"/>
      <c r="IS104" s="532"/>
      <c r="IT104" s="532"/>
      <c r="IU104" s="532"/>
      <c r="IV104" s="532"/>
      <c r="IW104" s="532"/>
      <c r="IX104" s="532"/>
      <c r="IY104" s="532"/>
      <c r="IZ104" s="532"/>
      <c r="JA104" s="532"/>
      <c r="JB104" s="532"/>
      <c r="JC104" s="532"/>
      <c r="JD104" s="532"/>
      <c r="JE104" s="532"/>
      <c r="JF104" s="532"/>
      <c r="JG104" s="532"/>
      <c r="JH104" s="532"/>
      <c r="JI104" s="532"/>
      <c r="JJ104" s="532"/>
      <c r="JK104" s="532"/>
      <c r="JL104" s="532"/>
    </row>
    <row r="105" spans="1:272" s="749" customFormat="1" ht="12.75" hidden="1" customHeight="1" outlineLevel="1">
      <c r="A105" s="1195" t="s">
        <v>329</v>
      </c>
      <c r="B105" s="740"/>
      <c r="C105" s="740"/>
      <c r="D105" s="740"/>
      <c r="E105" s="740"/>
      <c r="F105" s="1196"/>
      <c r="G105" s="938"/>
      <c r="H105" s="938"/>
      <c r="I105" s="938"/>
      <c r="J105" s="938"/>
      <c r="K105" s="1196"/>
      <c r="L105" s="938"/>
      <c r="M105" s="938"/>
      <c r="N105" s="938"/>
      <c r="O105" s="938"/>
      <c r="P105" s="1196"/>
      <c r="Q105" s="938"/>
      <c r="R105" s="938"/>
      <c r="S105" s="938"/>
      <c r="T105" s="938"/>
      <c r="U105" s="1196"/>
      <c r="V105" s="938"/>
      <c r="W105" s="938"/>
      <c r="X105" s="938"/>
      <c r="Y105" s="938"/>
      <c r="Z105" s="1196"/>
      <c r="AA105" s="938"/>
      <c r="AB105" s="938"/>
      <c r="AC105" s="938"/>
      <c r="AD105" s="938"/>
      <c r="AE105" s="1196"/>
      <c r="AF105" s="938"/>
      <c r="AG105" s="938"/>
      <c r="AH105" s="938"/>
      <c r="AI105" s="938"/>
      <c r="AJ105" s="1196"/>
      <c r="AK105" s="938"/>
      <c r="AL105" s="938"/>
      <c r="AM105" s="938"/>
      <c r="AN105" s="938"/>
      <c r="AO105" s="1196"/>
      <c r="AP105" s="938"/>
      <c r="AQ105" s="938"/>
      <c r="AR105" s="938"/>
      <c r="AS105" s="938"/>
      <c r="AT105" s="1196"/>
      <c r="AU105" s="938"/>
      <c r="AV105" s="938"/>
      <c r="AW105" s="938"/>
      <c r="AX105" s="938"/>
      <c r="AY105" s="1196"/>
      <c r="AZ105" s="938"/>
      <c r="BA105" s="938"/>
      <c r="BB105" s="938"/>
      <c r="BC105" s="938"/>
      <c r="BD105" s="1196"/>
      <c r="BE105" s="938"/>
      <c r="BF105" s="938"/>
      <c r="BG105" s="938"/>
      <c r="BH105" s="938"/>
      <c r="BI105" s="1196"/>
      <c r="BJ105" s="938"/>
      <c r="BK105" s="938"/>
      <c r="BL105" s="938"/>
      <c r="BM105" s="938"/>
      <c r="BN105" s="1196"/>
      <c r="BO105" s="938"/>
      <c r="BP105" s="938"/>
      <c r="BQ105" s="938"/>
      <c r="BR105" s="938"/>
      <c r="BS105" s="1196"/>
      <c r="BT105" s="938"/>
      <c r="BU105" s="938"/>
      <c r="BV105" s="938"/>
      <c r="BW105" s="938"/>
      <c r="BX105" s="1196"/>
      <c r="BY105" s="938"/>
      <c r="BZ105" s="938"/>
      <c r="CA105" s="938"/>
      <c r="CB105" s="938"/>
      <c r="CC105" s="1196"/>
      <c r="CD105" s="721"/>
      <c r="CE105" s="721"/>
      <c r="CF105" s="721"/>
      <c r="CG105" s="721"/>
      <c r="CH105" s="1196"/>
      <c r="CI105" s="721"/>
      <c r="CJ105" s="721"/>
      <c r="CK105" s="721"/>
      <c r="CL105" s="721"/>
      <c r="CM105" s="1196"/>
      <c r="CN105" s="721"/>
      <c r="CO105" s="721"/>
      <c r="CP105" s="721"/>
      <c r="CQ105" s="721">
        <f>CQ103/CQ80</f>
        <v>0.25333827254087771</v>
      </c>
      <c r="CR105" s="881"/>
      <c r="CS105" s="721">
        <f t="shared" ref="CS105:EA105" si="341">CS103/CS80</f>
        <v>0.2749764352856735</v>
      </c>
      <c r="CT105" s="721">
        <f t="shared" si="341"/>
        <v>0.38203214695752014</v>
      </c>
      <c r="CU105" s="721">
        <f t="shared" si="341"/>
        <v>0.38992103683408502</v>
      </c>
      <c r="CV105" s="721">
        <f t="shared" si="341"/>
        <v>0.23502942194530979</v>
      </c>
      <c r="CW105" s="881">
        <f t="shared" si="341"/>
        <v>0.32367273243665429</v>
      </c>
      <c r="CX105" s="721">
        <f t="shared" si="341"/>
        <v>0.10036766540784242</v>
      </c>
      <c r="CY105" s="721">
        <f t="shared" si="341"/>
        <v>0.10755575210057489</v>
      </c>
      <c r="CZ105" s="721">
        <f t="shared" si="341"/>
        <v>0.1464646053370901</v>
      </c>
      <c r="DA105" s="721">
        <f t="shared" si="341"/>
        <v>0.16330045271243807</v>
      </c>
      <c r="DB105" s="881">
        <f t="shared" si="341"/>
        <v>0.12902099625418936</v>
      </c>
      <c r="DC105" s="721">
        <f t="shared" si="341"/>
        <v>0.17852532658646153</v>
      </c>
      <c r="DD105" s="721">
        <f t="shared" si="341"/>
        <v>0.21493072842452232</v>
      </c>
      <c r="DE105" s="721">
        <f t="shared" si="341"/>
        <v>0.20460008620864428</v>
      </c>
      <c r="DF105" s="721">
        <f t="shared" si="341"/>
        <v>0.22167249165867015</v>
      </c>
      <c r="DG105" s="881">
        <f t="shared" si="341"/>
        <v>0.20484551265974635</v>
      </c>
      <c r="DH105" s="721">
        <f t="shared" si="341"/>
        <v>0.27408170829830131</v>
      </c>
      <c r="DI105" s="721">
        <f t="shared" si="341"/>
        <v>0.32599482297196508</v>
      </c>
      <c r="DJ105" s="721">
        <f t="shared" si="341"/>
        <v>0.30262257696693273</v>
      </c>
      <c r="DK105" s="721">
        <f t="shared" si="341"/>
        <v>0.30323962562796775</v>
      </c>
      <c r="DL105" s="741">
        <f>DL103/DL80</f>
        <v>0.3017044081172246</v>
      </c>
      <c r="DM105" s="721">
        <f t="shared" si="341"/>
        <v>0.31316181087799883</v>
      </c>
      <c r="DN105" s="721">
        <f t="shared" si="341"/>
        <v>0.31634393749011841</v>
      </c>
      <c r="DO105" s="721">
        <f t="shared" si="341"/>
        <v>0.29836946963796696</v>
      </c>
      <c r="DP105" s="721">
        <f t="shared" si="341"/>
        <v>0.31347190952405884</v>
      </c>
      <c r="DQ105" s="754">
        <f t="shared" si="341"/>
        <v>0.31029549623853969</v>
      </c>
      <c r="DR105" s="743">
        <f t="shared" si="341"/>
        <v>0.31030271757825939</v>
      </c>
      <c r="DS105" s="743">
        <f t="shared" si="341"/>
        <v>0.29680248190279213</v>
      </c>
      <c r="DT105" s="721">
        <f t="shared" si="341"/>
        <v>0.29657315223841235</v>
      </c>
      <c r="DU105" s="721">
        <f t="shared" si="341"/>
        <v>0.29153127885898011</v>
      </c>
      <c r="DV105" s="754">
        <f t="shared" si="341"/>
        <v>0.29874915604315172</v>
      </c>
      <c r="DW105" s="743">
        <f t="shared" si="341"/>
        <v>0.30258289794043997</v>
      </c>
      <c r="DX105" s="743">
        <f t="shared" si="341"/>
        <v>0.30030475180946387</v>
      </c>
      <c r="DY105" s="721">
        <f t="shared" si="341"/>
        <v>0.2851207826582236</v>
      </c>
      <c r="DZ105" s="721">
        <f t="shared" si="341"/>
        <v>0.25865619214064478</v>
      </c>
      <c r="EA105" s="754">
        <f t="shared" si="341"/>
        <v>0.2867976830518511</v>
      </c>
      <c r="EB105" s="743">
        <f>EB103/EB80</f>
        <v>0.18667403334610622</v>
      </c>
      <c r="EC105" s="743">
        <f>EC103/EC80</f>
        <v>0.17560105635010462</v>
      </c>
      <c r="ED105" s="721">
        <f t="shared" ref="ED105" si="342">ED103/ED80</f>
        <v>0.15891044326062928</v>
      </c>
      <c r="EE105" s="1021">
        <v>0.15</v>
      </c>
      <c r="EF105" s="1197">
        <f>EF103/EF80</f>
        <v>0.16760410939706566</v>
      </c>
      <c r="EG105" s="1021">
        <v>0.14000000000000001</v>
      </c>
      <c r="EH105" s="1021">
        <v>0.14299999999999999</v>
      </c>
      <c r="EI105" s="1021">
        <f>+EH105</f>
        <v>0.14299999999999999</v>
      </c>
      <c r="EJ105" s="1021">
        <f>+EI105</f>
        <v>0.14299999999999999</v>
      </c>
      <c r="EK105" s="1197">
        <f>EK103/EK80</f>
        <v>0.14224531733857695</v>
      </c>
      <c r="EL105" s="1198"/>
      <c r="EM105" s="1199"/>
      <c r="EN105" s="1199"/>
      <c r="EO105" s="1200"/>
      <c r="EP105" s="1201">
        <f>+EJ105</f>
        <v>0.14299999999999999</v>
      </c>
      <c r="EQ105" s="1198"/>
      <c r="ER105" s="1199"/>
      <c r="ES105" s="1199"/>
      <c r="ET105" s="1200"/>
      <c r="EU105" s="1201">
        <f>+EO105</f>
        <v>0</v>
      </c>
      <c r="EV105" s="1198"/>
      <c r="EW105" s="1199"/>
      <c r="EX105" s="1199"/>
      <c r="EY105" s="1200"/>
      <c r="EZ105" s="1201">
        <f>+ET105</f>
        <v>0</v>
      </c>
      <c r="FA105" s="1198"/>
      <c r="FB105" s="1199"/>
      <c r="FC105" s="1199"/>
      <c r="FD105" s="1200"/>
      <c r="FE105" s="1201">
        <f>+EY105</f>
        <v>0</v>
      </c>
      <c r="FF105" s="721"/>
      <c r="FG105" s="690"/>
      <c r="FH105" s="754"/>
      <c r="FI105" s="754"/>
      <c r="FJ105" s="754"/>
      <c r="FK105" s="754"/>
      <c r="FL105" s="690"/>
      <c r="FM105" s="708"/>
      <c r="FN105" s="708"/>
      <c r="FO105" s="723" t="s">
        <v>308</v>
      </c>
      <c r="FP105" s="1054">
        <f>+SLOPE(CS105:DZ105,CS106:DZ106)</f>
        <v>0.11896930872998646</v>
      </c>
      <c r="FQ105" s="723"/>
      <c r="FR105" s="723"/>
      <c r="FS105" s="723"/>
      <c r="FT105" s="723"/>
      <c r="FU105" s="690"/>
      <c r="FV105"/>
      <c r="FW105"/>
      <c r="FX105"/>
      <c r="FY105"/>
      <c r="FZ105"/>
      <c r="GA105"/>
      <c r="GB105" s="725"/>
      <c r="GC105" s="532"/>
      <c r="GD105" s="532"/>
      <c r="GE105" s="532"/>
      <c r="GF105" s="532"/>
      <c r="GG105" s="532"/>
      <c r="GH105" s="532"/>
      <c r="GI105" s="532"/>
      <c r="GJ105" s="532"/>
      <c r="GK105" s="532"/>
      <c r="GL105" s="532"/>
      <c r="GM105" s="532"/>
      <c r="GN105" s="532"/>
      <c r="GO105" s="532"/>
      <c r="GP105" s="532"/>
      <c r="GQ105" s="532"/>
      <c r="GR105" s="532"/>
      <c r="GS105" s="532"/>
      <c r="GT105" s="532"/>
      <c r="GU105" s="532"/>
      <c r="GV105" s="532"/>
      <c r="GW105" s="532"/>
      <c r="GX105" s="532"/>
      <c r="GY105" s="532"/>
      <c r="GZ105" s="532"/>
      <c r="HA105" s="532"/>
      <c r="HB105" s="532"/>
      <c r="HC105" s="532"/>
      <c r="HD105" s="532"/>
      <c r="HE105" s="532"/>
      <c r="HF105" s="532"/>
      <c r="HG105" s="532"/>
      <c r="HH105" s="532"/>
      <c r="HI105" s="532"/>
      <c r="HJ105" s="532"/>
      <c r="HK105" s="532"/>
      <c r="HL105" s="532"/>
      <c r="HM105" s="532"/>
      <c r="HN105" s="532"/>
      <c r="HO105" s="532"/>
      <c r="HP105" s="532"/>
      <c r="HQ105" s="532"/>
      <c r="HR105" s="532"/>
      <c r="HS105" s="532"/>
      <c r="HT105" s="532"/>
      <c r="HU105" s="532"/>
      <c r="HV105" s="532"/>
      <c r="HW105" s="532"/>
      <c r="HX105" s="532"/>
      <c r="HY105" s="532"/>
      <c r="HZ105" s="532"/>
      <c r="IA105" s="532"/>
      <c r="IB105" s="532"/>
      <c r="IC105" s="532"/>
      <c r="ID105" s="532"/>
      <c r="IE105" s="532"/>
      <c r="IF105" s="532"/>
      <c r="IG105" s="532"/>
      <c r="IH105" s="532"/>
      <c r="II105" s="532"/>
      <c r="IJ105" s="532"/>
      <c r="IK105" s="532"/>
      <c r="IL105" s="532"/>
      <c r="IM105" s="532"/>
      <c r="IN105" s="532"/>
      <c r="IO105" s="532"/>
      <c r="IP105" s="532"/>
      <c r="IQ105" s="532"/>
      <c r="IR105" s="532"/>
      <c r="IS105" s="532"/>
      <c r="IT105" s="532"/>
      <c r="IU105" s="532"/>
      <c r="IV105" s="532"/>
      <c r="IW105" s="532"/>
      <c r="IX105" s="532"/>
      <c r="IY105" s="532"/>
      <c r="IZ105" s="532"/>
      <c r="JA105" s="532"/>
      <c r="JB105" s="532"/>
      <c r="JC105" s="532"/>
      <c r="JD105" s="532"/>
      <c r="JE105" s="532"/>
      <c r="JF105" s="532"/>
      <c r="JG105" s="532"/>
      <c r="JH105" s="532"/>
      <c r="JI105" s="532"/>
      <c r="JJ105" s="532"/>
      <c r="JK105" s="532"/>
      <c r="JL105" s="532"/>
    </row>
    <row r="106" spans="1:272" s="726" customFormat="1" ht="12.75" hidden="1" customHeight="1" outlineLevel="1">
      <c r="A106" s="1055" t="s">
        <v>309</v>
      </c>
      <c r="B106" s="1202"/>
      <c r="C106" s="1203"/>
      <c r="D106" s="1203"/>
      <c r="E106" s="1203"/>
      <c r="F106" s="1204"/>
      <c r="G106" s="1205"/>
      <c r="H106" s="1205"/>
      <c r="I106" s="1205"/>
      <c r="J106" s="1205"/>
      <c r="K106" s="1204"/>
      <c r="L106" s="1206"/>
      <c r="M106" s="1206"/>
      <c r="N106" s="1206"/>
      <c r="O106" s="1206"/>
      <c r="P106" s="1204"/>
      <c r="Q106" s="1206"/>
      <c r="R106" s="1206"/>
      <c r="S106" s="1206"/>
      <c r="T106" s="1206"/>
      <c r="U106" s="1204"/>
      <c r="V106" s="1206"/>
      <c r="W106" s="1206"/>
      <c r="X106" s="1206"/>
      <c r="Y106" s="1206"/>
      <c r="Z106" s="1204"/>
      <c r="AA106" s="1206"/>
      <c r="AB106" s="1206"/>
      <c r="AC106" s="1206"/>
      <c r="AD106" s="1206"/>
      <c r="AE106" s="1204"/>
      <c r="AF106" s="1207"/>
      <c r="AG106" s="1207"/>
      <c r="AH106" s="1207"/>
      <c r="AI106" s="1207"/>
      <c r="AJ106" s="1204"/>
      <c r="AK106" s="1207"/>
      <c r="AL106" s="1207"/>
      <c r="AM106" s="1207"/>
      <c r="AN106" s="1207"/>
      <c r="AO106" s="1204"/>
      <c r="AP106" s="1207"/>
      <c r="AQ106" s="1207"/>
      <c r="AR106" s="1207"/>
      <c r="AS106" s="1207"/>
      <c r="AT106" s="1204"/>
      <c r="AU106" s="1207"/>
      <c r="AV106" s="1207"/>
      <c r="AW106" s="1207"/>
      <c r="AX106" s="1207"/>
      <c r="AY106" s="1204"/>
      <c r="AZ106" s="1207"/>
      <c r="BA106" s="1207"/>
      <c r="BB106" s="1207"/>
      <c r="BC106" s="1207"/>
      <c r="BD106" s="1204"/>
      <c r="BE106" s="1207"/>
      <c r="BF106" s="1207"/>
      <c r="BG106" s="1207"/>
      <c r="BH106" s="1207"/>
      <c r="BI106" s="1204"/>
      <c r="BJ106" s="1207"/>
      <c r="BK106" s="1207"/>
      <c r="BL106" s="1207"/>
      <c r="BM106" s="1207"/>
      <c r="BN106" s="1204"/>
      <c r="BO106" s="1207"/>
      <c r="BP106" s="1207"/>
      <c r="BQ106" s="1207"/>
      <c r="BR106" s="1207"/>
      <c r="BS106" s="1204"/>
      <c r="BT106" s="1207"/>
      <c r="BU106" s="1207"/>
      <c r="BV106" s="1207"/>
      <c r="BW106" s="1207"/>
      <c r="BX106" s="1204"/>
      <c r="BY106" s="1207"/>
      <c r="BZ106" s="1207"/>
      <c r="CA106" s="1207"/>
      <c r="CB106" s="1207"/>
      <c r="CC106" s="1204"/>
      <c r="CD106" s="1207"/>
      <c r="CE106" s="1207"/>
      <c r="CF106" s="1207"/>
      <c r="CG106" s="1207"/>
      <c r="CH106" s="1204"/>
      <c r="CI106" s="1207"/>
      <c r="CJ106" s="1207"/>
      <c r="CK106" s="1207"/>
      <c r="CL106" s="1207"/>
      <c r="CM106" s="1204"/>
      <c r="CN106" s="1207"/>
      <c r="CO106" s="1207"/>
      <c r="CP106" s="1207"/>
      <c r="CQ106" s="1207">
        <f t="shared" ref="CQ106:EG106" si="343">CQ71</f>
        <v>3.2612857142857137</v>
      </c>
      <c r="CR106" s="1204"/>
      <c r="CS106" s="1207">
        <f t="shared" si="343"/>
        <v>3.549461538461538</v>
      </c>
      <c r="CT106" s="1207">
        <f t="shared" si="343"/>
        <v>4.4167692307692299</v>
      </c>
      <c r="CU106" s="1207">
        <f t="shared" si="343"/>
        <v>4.3183846153846153</v>
      </c>
      <c r="CV106" s="1207">
        <f t="shared" si="343"/>
        <v>2.9272307692307686</v>
      </c>
      <c r="CW106" s="1204">
        <f t="shared" si="343"/>
        <v>3.8029615384615374</v>
      </c>
      <c r="CX106" s="1207">
        <f t="shared" si="343"/>
        <v>2.1853846153846153</v>
      </c>
      <c r="CY106" s="1207">
        <f t="shared" si="343"/>
        <v>2.340846153846154</v>
      </c>
      <c r="CZ106" s="1207">
        <f t="shared" si="343"/>
        <v>2.6025384615384612</v>
      </c>
      <c r="DA106" s="1207">
        <f t="shared" si="343"/>
        <v>2.7405384615384611</v>
      </c>
      <c r="DB106" s="1204">
        <f t="shared" si="343"/>
        <v>2.4673269230769233</v>
      </c>
      <c r="DC106" s="1207">
        <f t="shared" si="343"/>
        <v>2.8531538461538464</v>
      </c>
      <c r="DD106" s="1207">
        <f t="shared" si="343"/>
        <v>3.0285384615384618</v>
      </c>
      <c r="DE106" s="1207">
        <f t="shared" si="343"/>
        <v>2.940230769230769</v>
      </c>
      <c r="DF106" s="1207">
        <f t="shared" si="343"/>
        <v>3.1443076923076916</v>
      </c>
      <c r="DG106" s="1204">
        <f t="shared" si="343"/>
        <v>2.9915576923076923</v>
      </c>
      <c r="DH106" s="1207">
        <f t="shared" si="343"/>
        <v>3.6071538461538464</v>
      </c>
      <c r="DI106" s="1207">
        <f t="shared" si="343"/>
        <v>4.0171538461538461</v>
      </c>
      <c r="DJ106" s="1207">
        <f t="shared" si="343"/>
        <v>3.8668461538461538</v>
      </c>
      <c r="DK106" s="1207">
        <f t="shared" si="343"/>
        <v>3.8676923076923071</v>
      </c>
      <c r="DL106" s="1204">
        <f t="shared" si="343"/>
        <v>3.8397115384615383</v>
      </c>
      <c r="DM106" s="1207">
        <f t="shared" si="343"/>
        <v>3.9599230769230767</v>
      </c>
      <c r="DN106" s="1207">
        <f t="shared" si="343"/>
        <v>3.9633076923076915</v>
      </c>
      <c r="DO106" s="1207">
        <f t="shared" si="343"/>
        <v>3.9242307692307694</v>
      </c>
      <c r="DP106" s="1207">
        <f t="shared" si="343"/>
        <v>4.0194999999999999</v>
      </c>
      <c r="DQ106" s="1204">
        <f t="shared" si="343"/>
        <v>3.9667403846153846</v>
      </c>
      <c r="DR106" s="1208">
        <f>DR71</f>
        <v>4.0289166666666665</v>
      </c>
      <c r="DS106" s="1208">
        <f>DS71</f>
        <v>3.8867692307692314</v>
      </c>
      <c r="DT106" s="1207">
        <f>DT71</f>
        <v>3.9108571428571426</v>
      </c>
      <c r="DU106" s="1207">
        <f>DU71</f>
        <v>3.8694615384615383</v>
      </c>
      <c r="DV106" s="1204">
        <f t="shared" si="343"/>
        <v>3.9240011446886447</v>
      </c>
      <c r="DW106" s="1208">
        <f t="shared" si="343"/>
        <v>3.9623076923076925</v>
      </c>
      <c r="DX106" s="1208">
        <f t="shared" si="343"/>
        <v>3.9353076923076924</v>
      </c>
      <c r="DY106" s="1207">
        <f t="shared" ref="DY106:ED106" si="344">DY71</f>
        <v>3.834461538461539</v>
      </c>
      <c r="DZ106" s="1207">
        <f t="shared" si="344"/>
        <v>3.5664615384615379</v>
      </c>
      <c r="EA106" s="1204">
        <f t="shared" si="344"/>
        <v>3.8246346153846158</v>
      </c>
      <c r="EB106" s="1208">
        <f t="shared" si="344"/>
        <v>2.9157692307692296</v>
      </c>
      <c r="EC106" s="1208">
        <f t="shared" si="344"/>
        <v>2.8495384615384611</v>
      </c>
      <c r="ED106" s="1207">
        <f t="shared" si="344"/>
        <v>2.6266153846153846</v>
      </c>
      <c r="EE106" s="1207">
        <f t="shared" si="343"/>
        <v>2.4346153846153844</v>
      </c>
      <c r="EF106" s="1204">
        <f t="shared" si="343"/>
        <v>2.7066346153846146</v>
      </c>
      <c r="EG106" s="1207">
        <f t="shared" si="343"/>
        <v>2.0709230769230769</v>
      </c>
      <c r="EH106" s="1207">
        <f t="shared" ref="EH106" si="345">EH71</f>
        <v>2.2976153846153853</v>
      </c>
      <c r="EI106" s="1207">
        <f t="shared" ref="EI106" si="346">EI71</f>
        <v>2.3806153846153846</v>
      </c>
      <c r="EJ106" s="1207">
        <f t="shared" ref="EJ106:EK106" si="347">EJ71</f>
        <v>2.4666153846153844</v>
      </c>
      <c r="EK106" s="1204">
        <f t="shared" si="347"/>
        <v>2.3039423076923078</v>
      </c>
      <c r="EL106" s="745"/>
      <c r="EM106" s="712"/>
      <c r="EN106" s="712"/>
      <c r="EO106" s="744"/>
      <c r="EP106" s="1204">
        <f>EP71</f>
        <v>2.6500384615384616</v>
      </c>
      <c r="EQ106" s="745"/>
      <c r="ER106" s="712"/>
      <c r="ES106" s="712"/>
      <c r="ET106" s="744"/>
      <c r="EU106" s="1204">
        <f>EU71</f>
        <v>3.0118269230769217</v>
      </c>
      <c r="EV106" s="745"/>
      <c r="EW106" s="712"/>
      <c r="EX106" s="712"/>
      <c r="EY106" s="744"/>
      <c r="EZ106" s="1204">
        <f>EZ71</f>
        <v>3.0099999999999989</v>
      </c>
      <c r="FA106" s="745"/>
      <c r="FB106" s="712"/>
      <c r="FC106" s="712"/>
      <c r="FD106" s="744"/>
      <c r="FE106" s="1204">
        <f>FE71</f>
        <v>3.0099999999999989</v>
      </c>
      <c r="FF106" s="721"/>
      <c r="FG106" s="690"/>
      <c r="FH106" s="754"/>
      <c r="FI106" s="754"/>
      <c r="FJ106" s="754"/>
      <c r="FK106" s="754"/>
      <c r="FL106" s="690"/>
      <c r="FM106" s="708"/>
      <c r="FN106" s="708"/>
      <c r="FO106" s="1065" t="s">
        <v>310</v>
      </c>
      <c r="FP106" s="1054">
        <f>INTERCEPT(CS105:DZ105,CS106:DZ106)</f>
        <v>-0.15677731214289331</v>
      </c>
      <c r="FQ106" s="723"/>
      <c r="FR106" s="723"/>
      <c r="FS106" s="723"/>
      <c r="FT106" s="723"/>
      <c r="FU106" s="690"/>
      <c r="FV106"/>
      <c r="FW106"/>
      <c r="FX106"/>
      <c r="FY106"/>
      <c r="FZ106"/>
      <c r="GA106"/>
      <c r="GB106" s="725"/>
      <c r="GC106" s="535"/>
      <c r="GD106" s="535"/>
      <c r="GE106" s="535"/>
      <c r="GF106" s="535"/>
      <c r="GG106" s="535"/>
      <c r="GH106" s="535"/>
      <c r="GI106" s="535"/>
      <c r="GJ106" s="535"/>
      <c r="GK106" s="535"/>
      <c r="GL106" s="535"/>
      <c r="GM106" s="535"/>
      <c r="GN106" s="535"/>
      <c r="GO106" s="535"/>
      <c r="GP106" s="535"/>
      <c r="GQ106" s="535"/>
      <c r="GR106" s="535"/>
      <c r="GS106" s="535"/>
      <c r="GT106" s="535"/>
      <c r="GU106" s="535"/>
      <c r="GV106" s="535"/>
      <c r="GW106" s="535"/>
      <c r="GX106" s="535"/>
      <c r="GY106" s="535"/>
      <c r="GZ106" s="535"/>
      <c r="HA106" s="535"/>
      <c r="HB106" s="535"/>
      <c r="HC106" s="535"/>
      <c r="HD106" s="535"/>
      <c r="HE106" s="535"/>
      <c r="HF106" s="535"/>
      <c r="HG106" s="535"/>
      <c r="HH106" s="535"/>
      <c r="HI106" s="535"/>
      <c r="HJ106" s="535"/>
      <c r="HK106" s="535"/>
      <c r="HL106" s="535"/>
      <c r="HM106" s="535"/>
      <c r="HN106" s="535"/>
      <c r="HO106" s="535"/>
      <c r="HP106" s="535"/>
      <c r="HQ106" s="535"/>
      <c r="HR106" s="535"/>
      <c r="HS106" s="535"/>
      <c r="HT106" s="535"/>
      <c r="HU106" s="535"/>
      <c r="HV106" s="535"/>
      <c r="HW106" s="535"/>
      <c r="HX106" s="535"/>
      <c r="HY106" s="535"/>
      <c r="HZ106" s="535"/>
      <c r="IA106" s="535"/>
      <c r="IB106" s="535"/>
      <c r="IC106" s="535"/>
      <c r="ID106" s="535"/>
      <c r="IE106" s="535"/>
      <c r="IF106" s="535"/>
      <c r="IG106" s="535"/>
      <c r="IH106" s="535"/>
      <c r="II106" s="535"/>
      <c r="IJ106" s="535"/>
      <c r="IK106" s="535"/>
      <c r="IL106" s="535"/>
      <c r="IM106" s="535"/>
      <c r="IN106" s="535"/>
      <c r="IO106" s="535"/>
      <c r="IP106" s="535"/>
      <c r="IQ106" s="535"/>
      <c r="IR106" s="535"/>
      <c r="IS106" s="535"/>
      <c r="IT106" s="535"/>
      <c r="IU106" s="535"/>
      <c r="IV106" s="535"/>
      <c r="IW106" s="535"/>
      <c r="IX106" s="535"/>
      <c r="IY106" s="535"/>
      <c r="IZ106" s="535"/>
      <c r="JA106" s="535"/>
      <c r="JB106" s="535"/>
      <c r="JC106" s="535"/>
      <c r="JD106" s="535"/>
      <c r="JE106" s="535"/>
      <c r="JF106" s="535"/>
      <c r="JG106" s="535"/>
      <c r="JH106" s="535"/>
      <c r="JI106" s="535"/>
      <c r="JJ106" s="535"/>
      <c r="JK106" s="535"/>
      <c r="JL106" s="535"/>
    </row>
    <row r="107" spans="1:272" s="749" customFormat="1" ht="12.75" hidden="1" customHeight="1" outlineLevel="1">
      <c r="A107" s="1209" t="s">
        <v>85</v>
      </c>
      <c r="B107" s="1210"/>
      <c r="C107" s="1211"/>
      <c r="D107" s="1211"/>
      <c r="E107" s="1211"/>
      <c r="F107" s="1212"/>
      <c r="G107" s="1213"/>
      <c r="H107" s="1213"/>
      <c r="I107" s="1213"/>
      <c r="J107" s="1213"/>
      <c r="K107" s="1212"/>
      <c r="L107" s="1213"/>
      <c r="M107" s="1213"/>
      <c r="N107" s="1213"/>
      <c r="O107" s="1213"/>
      <c r="P107" s="1212"/>
      <c r="Q107" s="1213"/>
      <c r="R107" s="1213"/>
      <c r="S107" s="1213"/>
      <c r="T107" s="1213"/>
      <c r="U107" s="1212"/>
      <c r="V107" s="1213"/>
      <c r="W107" s="1213"/>
      <c r="X107" s="1213"/>
      <c r="Y107" s="1213"/>
      <c r="Z107" s="1212"/>
      <c r="AA107" s="1213"/>
      <c r="AB107" s="1213"/>
      <c r="AC107" s="1213"/>
      <c r="AD107" s="1213"/>
      <c r="AE107" s="1212"/>
      <c r="AF107" s="1213"/>
      <c r="AG107" s="1213"/>
      <c r="AH107" s="1213"/>
      <c r="AI107" s="1213"/>
      <c r="AJ107" s="1212"/>
      <c r="AK107" s="1213"/>
      <c r="AL107" s="1213"/>
      <c r="AM107" s="1213"/>
      <c r="AN107" s="1213"/>
      <c r="AO107" s="1212"/>
      <c r="AP107" s="1213"/>
      <c r="AQ107" s="1213"/>
      <c r="AR107" s="1213"/>
      <c r="AS107" s="1213"/>
      <c r="AT107" s="1212"/>
      <c r="AU107" s="1213"/>
      <c r="AV107" s="1213"/>
      <c r="AW107" s="1213"/>
      <c r="AX107" s="1213"/>
      <c r="AY107" s="1212"/>
      <c r="AZ107" s="1213"/>
      <c r="BA107" s="1213"/>
      <c r="BB107" s="1213"/>
      <c r="BC107" s="1213"/>
      <c r="BD107" s="1212"/>
      <c r="BE107" s="1213"/>
      <c r="BF107" s="1213"/>
      <c r="BG107" s="1213"/>
      <c r="BH107" s="1213"/>
      <c r="BI107" s="1212"/>
      <c r="BJ107" s="1213"/>
      <c r="BK107" s="1213"/>
      <c r="BL107" s="1213"/>
      <c r="BM107" s="1213"/>
      <c r="BN107" s="1212"/>
      <c r="BO107" s="1213"/>
      <c r="BP107" s="1213"/>
      <c r="BQ107" s="1213"/>
      <c r="BR107" s="1213"/>
      <c r="BS107" s="1212"/>
      <c r="BT107" s="1213"/>
      <c r="BU107" s="1213"/>
      <c r="BV107" s="1213"/>
      <c r="BW107" s="1213"/>
      <c r="BX107" s="1212"/>
      <c r="BY107" s="1213"/>
      <c r="BZ107" s="1213"/>
      <c r="CA107" s="1213"/>
      <c r="CB107" s="1213"/>
      <c r="CC107" s="1212"/>
      <c r="CD107" s="1213"/>
      <c r="CE107" s="1213"/>
      <c r="CF107" s="1213"/>
      <c r="CG107" s="1213"/>
      <c r="CH107" s="1212"/>
      <c r="CI107" s="1213"/>
      <c r="CJ107" s="1213"/>
      <c r="CK107" s="1213"/>
      <c r="CL107" s="1213"/>
      <c r="CM107" s="1212"/>
      <c r="CN107" s="1213"/>
      <c r="CO107" s="1213"/>
      <c r="CP107" s="1213"/>
      <c r="CQ107" s="1213"/>
      <c r="CR107" s="1212"/>
      <c r="CS107" s="1213"/>
      <c r="CT107" s="1213"/>
      <c r="CU107" s="1213"/>
      <c r="CV107" s="1213">
        <f t="shared" ref="CV107:EF107" si="348">CV106/CQ106-1</f>
        <v>-0.10243044440775395</v>
      </c>
      <c r="CW107" s="1212"/>
      <c r="CX107" s="1213">
        <f t="shared" si="348"/>
        <v>-0.38430531174826077</v>
      </c>
      <c r="CY107" s="1213">
        <f t="shared" si="348"/>
        <v>-0.47000940471629093</v>
      </c>
      <c r="CZ107" s="1213">
        <f t="shared" si="348"/>
        <v>-0.39733518587791028</v>
      </c>
      <c r="DA107" s="1213">
        <f t="shared" si="348"/>
        <v>-6.3777789457087231E-2</v>
      </c>
      <c r="DB107" s="1212">
        <f t="shared" si="348"/>
        <v>-0.35120907794532574</v>
      </c>
      <c r="DC107" s="1213">
        <f t="shared" si="348"/>
        <v>0.3055614220344951</v>
      </c>
      <c r="DD107" s="1213">
        <f t="shared" si="348"/>
        <v>0.29377936972166552</v>
      </c>
      <c r="DE107" s="1213">
        <f t="shared" si="348"/>
        <v>0.12975497295539862</v>
      </c>
      <c r="DF107" s="1213">
        <f t="shared" si="348"/>
        <v>0.14733207960254857</v>
      </c>
      <c r="DG107" s="1212">
        <f t="shared" si="348"/>
        <v>0.21246911559535775</v>
      </c>
      <c r="DH107" s="1213">
        <f t="shared" si="348"/>
        <v>0.26426896012509782</v>
      </c>
      <c r="DI107" s="1213">
        <f t="shared" si="348"/>
        <v>0.32643316146402168</v>
      </c>
      <c r="DJ107" s="1213">
        <f t="shared" si="348"/>
        <v>0.31515056379666695</v>
      </c>
      <c r="DK107" s="1213">
        <f t="shared" si="348"/>
        <v>0.23006164986789313</v>
      </c>
      <c r="DL107" s="1212">
        <f t="shared" si="348"/>
        <v>0.28351579123302106</v>
      </c>
      <c r="DM107" s="1213">
        <f t="shared" si="348"/>
        <v>9.779711257543755E-2</v>
      </c>
      <c r="DN107" s="1213">
        <f t="shared" si="348"/>
        <v>-1.3404055684277272E-2</v>
      </c>
      <c r="DO107" s="1213">
        <f t="shared" si="348"/>
        <v>1.4840159939525366E-2</v>
      </c>
      <c r="DP107" s="1213">
        <f t="shared" si="348"/>
        <v>3.9250198886237264E-2</v>
      </c>
      <c r="DQ107" s="1212">
        <f t="shared" si="348"/>
        <v>3.3082913880750242E-2</v>
      </c>
      <c r="DR107" s="1214">
        <f t="shared" si="348"/>
        <v>1.7422962114001184E-2</v>
      </c>
      <c r="DS107" s="1214">
        <f t="shared" si="348"/>
        <v>-1.9311763678356852E-2</v>
      </c>
      <c r="DT107" s="1213">
        <f t="shared" si="348"/>
        <v>-3.4079612438919771E-3</v>
      </c>
      <c r="DU107" s="1213">
        <f t="shared" si="348"/>
        <v>-3.7327643124383969E-2</v>
      </c>
      <c r="DV107" s="1212">
        <f>DV106/DQ106-1</f>
        <v>-1.0774398065600654E-2</v>
      </c>
      <c r="DW107" s="1214">
        <f t="shared" si="348"/>
        <v>-1.6532725759771827E-2</v>
      </c>
      <c r="DX107" s="1214">
        <f t="shared" si="348"/>
        <v>1.2488125395820004E-2</v>
      </c>
      <c r="DY107" s="1213">
        <f>DY106/DT106-1</f>
        <v>-1.9534235489816809E-2</v>
      </c>
      <c r="DZ107" s="1213">
        <f t="shared" si="348"/>
        <v>-7.8305468858716254E-2</v>
      </c>
      <c r="EA107" s="1212">
        <f t="shared" si="348"/>
        <v>-2.5322757471293533E-2</v>
      </c>
      <c r="EB107" s="1214">
        <f t="shared" si="348"/>
        <v>-0.26412347117064683</v>
      </c>
      <c r="EC107" s="1214">
        <f>EC106/DX106-1</f>
        <v>-0.27590453292675787</v>
      </c>
      <c r="ED107" s="1213">
        <f>ED106/DY106-1</f>
        <v>-0.31499759268175265</v>
      </c>
      <c r="EE107" s="1213">
        <f t="shared" si="348"/>
        <v>-0.31735829522905701</v>
      </c>
      <c r="EF107" s="1212">
        <f t="shared" si="348"/>
        <v>-0.29231550525188454</v>
      </c>
      <c r="EG107" s="1213">
        <f t="shared" ref="EG107:EJ107" si="349">EG106/EB106-1</f>
        <v>-0.28975069252077534</v>
      </c>
      <c r="EH107" s="1213">
        <f t="shared" si="349"/>
        <v>-0.19368858654572907</v>
      </c>
      <c r="EI107" s="1213">
        <f t="shared" si="349"/>
        <v>-9.3656650852222856E-2</v>
      </c>
      <c r="EJ107" s="1213">
        <f t="shared" si="349"/>
        <v>1.3143759873617711E-2</v>
      </c>
      <c r="EK107" s="1212">
        <f t="shared" ref="EK107" si="350">EK106/EF106-1</f>
        <v>-0.14877970798252127</v>
      </c>
      <c r="EL107" s="1215"/>
      <c r="EM107" s="1216"/>
      <c r="EN107" s="1216"/>
      <c r="EO107" s="1217"/>
      <c r="EP107" s="1212">
        <f>EP106/EK106-1</f>
        <v>0.1502191060473268</v>
      </c>
      <c r="EQ107" s="1215"/>
      <c r="ER107" s="1216"/>
      <c r="ES107" s="1216"/>
      <c r="ET107" s="1217"/>
      <c r="EU107" s="1212">
        <f>EU106/EP106-1</f>
        <v>0.13652196629947255</v>
      </c>
      <c r="EV107" s="1215"/>
      <c r="EW107" s="1216"/>
      <c r="EX107" s="1216"/>
      <c r="EY107" s="1217"/>
      <c r="EZ107" s="1212">
        <f>EZ106/EU106-1</f>
        <v>-6.0658302206040293E-4</v>
      </c>
      <c r="FA107" s="1215"/>
      <c r="FB107" s="1216"/>
      <c r="FC107" s="1216"/>
      <c r="FD107" s="1217"/>
      <c r="FE107" s="1212">
        <f>FE106/EZ106-1</f>
        <v>0</v>
      </c>
      <c r="FF107" s="721"/>
      <c r="FG107" s="690"/>
      <c r="FH107" s="754"/>
      <c r="FI107" s="754"/>
      <c r="FJ107" s="754"/>
      <c r="FK107" s="754"/>
      <c r="FL107" s="690"/>
      <c r="FM107" s="708"/>
      <c r="FN107" s="708"/>
      <c r="FO107" s="723"/>
      <c r="FP107" s="723">
        <f>+DZ106*FP105+FP106</f>
        <v>0.26752215169995985</v>
      </c>
      <c r="FQ107" s="723">
        <f>+EB106*FP105+FP106</f>
        <v>0.1901097376578863</v>
      </c>
      <c r="FR107" s="723"/>
      <c r="FS107" s="723"/>
      <c r="FT107" s="723"/>
      <c r="FU107" s="690"/>
      <c r="FV107"/>
      <c r="FW107"/>
      <c r="FX107"/>
      <c r="FY107"/>
      <c r="FZ107"/>
      <c r="GA107"/>
      <c r="GB107" s="725"/>
      <c r="GC107" s="532"/>
      <c r="GD107" s="532"/>
      <c r="GE107" s="532"/>
      <c r="GF107" s="532"/>
      <c r="GG107" s="532"/>
      <c r="GH107" s="532"/>
      <c r="GI107" s="532"/>
      <c r="GJ107" s="532"/>
      <c r="GK107" s="532"/>
      <c r="GL107" s="532"/>
      <c r="GM107" s="532"/>
      <c r="GN107" s="532"/>
      <c r="GO107" s="532"/>
      <c r="GP107" s="532"/>
      <c r="GQ107" s="532"/>
      <c r="GR107" s="532"/>
      <c r="GS107" s="532"/>
      <c r="GT107" s="532"/>
      <c r="GU107" s="532"/>
      <c r="GV107" s="532"/>
      <c r="GW107" s="532"/>
      <c r="GX107" s="532"/>
      <c r="GY107" s="532"/>
      <c r="GZ107" s="532"/>
      <c r="HA107" s="532"/>
      <c r="HB107" s="532"/>
      <c r="HC107" s="532"/>
      <c r="HD107" s="532"/>
      <c r="HE107" s="532"/>
      <c r="HF107" s="532"/>
      <c r="HG107" s="532"/>
      <c r="HH107" s="532"/>
      <c r="HI107" s="532"/>
      <c r="HJ107" s="532"/>
      <c r="HK107" s="532"/>
      <c r="HL107" s="532"/>
      <c r="HM107" s="532"/>
      <c r="HN107" s="532"/>
      <c r="HO107" s="532"/>
      <c r="HP107" s="532"/>
      <c r="HQ107" s="532"/>
      <c r="HR107" s="532"/>
      <c r="HS107" s="532"/>
      <c r="HT107" s="532"/>
      <c r="HU107" s="532"/>
      <c r="HV107" s="532"/>
      <c r="HW107" s="532"/>
      <c r="HX107" s="532"/>
      <c r="HY107" s="532"/>
      <c r="HZ107" s="532"/>
      <c r="IA107" s="532"/>
      <c r="IB107" s="532"/>
      <c r="IC107" s="532"/>
      <c r="ID107" s="532"/>
      <c r="IE107" s="532"/>
      <c r="IF107" s="532"/>
      <c r="IG107" s="532"/>
      <c r="IH107" s="532"/>
      <c r="II107" s="532"/>
      <c r="IJ107" s="532"/>
      <c r="IK107" s="532"/>
      <c r="IL107" s="532"/>
      <c r="IM107" s="532"/>
      <c r="IN107" s="532"/>
      <c r="IO107" s="532"/>
      <c r="IP107" s="532"/>
      <c r="IQ107" s="532"/>
      <c r="IR107" s="532"/>
      <c r="IS107" s="532"/>
      <c r="IT107" s="532"/>
      <c r="IU107" s="532"/>
      <c r="IV107" s="532"/>
      <c r="IW107" s="532"/>
      <c r="IX107" s="532"/>
      <c r="IY107" s="532"/>
      <c r="IZ107" s="532"/>
      <c r="JA107" s="532"/>
      <c r="JB107" s="532"/>
      <c r="JC107" s="532"/>
      <c r="JD107" s="532"/>
      <c r="JE107" s="532"/>
      <c r="JF107" s="532"/>
      <c r="JG107" s="532"/>
      <c r="JH107" s="532"/>
      <c r="JI107" s="532"/>
      <c r="JJ107" s="532"/>
      <c r="JK107" s="532"/>
      <c r="JL107" s="532"/>
    </row>
    <row r="108" spans="1:272" s="1233" customFormat="1" ht="12.75" hidden="1" customHeight="1" outlineLevel="1">
      <c r="A108" s="1218" t="s">
        <v>330</v>
      </c>
      <c r="B108" s="1219"/>
      <c r="C108" s="1220"/>
      <c r="D108" s="1220"/>
      <c r="E108" s="1220"/>
      <c r="F108" s="1221"/>
      <c r="G108" s="1220"/>
      <c r="H108" s="1220"/>
      <c r="I108" s="1220"/>
      <c r="J108" s="1220"/>
      <c r="K108" s="1221"/>
      <c r="L108" s="854"/>
      <c r="M108" s="854"/>
      <c r="N108" s="854"/>
      <c r="O108" s="854"/>
      <c r="P108" s="1221"/>
      <c r="Q108" s="854"/>
      <c r="R108" s="854"/>
      <c r="S108" s="854"/>
      <c r="T108" s="854"/>
      <c r="U108" s="1221"/>
      <c r="V108" s="854"/>
      <c r="W108" s="854"/>
      <c r="X108" s="854"/>
      <c r="Y108" s="854"/>
      <c r="Z108" s="1221"/>
      <c r="AA108" s="854"/>
      <c r="AB108" s="854"/>
      <c r="AC108" s="854"/>
      <c r="AD108" s="854"/>
      <c r="AE108" s="1221"/>
      <c r="AF108" s="854"/>
      <c r="AG108" s="854"/>
      <c r="AH108" s="854"/>
      <c r="AI108" s="854"/>
      <c r="AJ108" s="1221"/>
      <c r="AK108" s="854"/>
      <c r="AL108" s="854"/>
      <c r="AM108" s="854"/>
      <c r="AN108" s="854"/>
      <c r="AO108" s="1221"/>
      <c r="AP108" s="854"/>
      <c r="AQ108" s="854"/>
      <c r="AR108" s="854"/>
      <c r="AS108" s="854"/>
      <c r="AT108" s="1221"/>
      <c r="AU108" s="854"/>
      <c r="AV108" s="854"/>
      <c r="AW108" s="854"/>
      <c r="AX108" s="854"/>
      <c r="AY108" s="1221"/>
      <c r="AZ108" s="854"/>
      <c r="BA108" s="854"/>
      <c r="BB108" s="854"/>
      <c r="BC108" s="854"/>
      <c r="BD108" s="1221"/>
      <c r="BE108" s="854"/>
      <c r="BF108" s="854"/>
      <c r="BG108" s="854"/>
      <c r="BH108" s="854"/>
      <c r="BI108" s="1221"/>
      <c r="BJ108" s="854"/>
      <c r="BK108" s="854"/>
      <c r="BL108" s="854"/>
      <c r="BM108" s="854"/>
      <c r="BN108" s="1221"/>
      <c r="BO108" s="854"/>
      <c r="BP108" s="854"/>
      <c r="BQ108" s="854"/>
      <c r="BR108" s="854"/>
      <c r="BS108" s="1221"/>
      <c r="BT108" s="846"/>
      <c r="BU108" s="846"/>
      <c r="BV108" s="846"/>
      <c r="BW108" s="846"/>
      <c r="BX108" s="1221"/>
      <c r="BY108" s="846"/>
      <c r="BZ108" s="846"/>
      <c r="CA108" s="846"/>
      <c r="CB108" s="843"/>
      <c r="CC108" s="1221"/>
      <c r="CD108" s="843"/>
      <c r="CE108" s="843"/>
      <c r="CF108" s="843"/>
      <c r="CG108" s="843"/>
      <c r="CH108" s="1221"/>
      <c r="CI108" s="843"/>
      <c r="CJ108" s="843"/>
      <c r="CK108" s="843"/>
      <c r="CL108" s="843"/>
      <c r="CM108" s="1221"/>
      <c r="CN108" s="1222"/>
      <c r="CO108" s="1222"/>
      <c r="CP108" s="1222"/>
      <c r="CQ108" s="1222">
        <v>3.802</v>
      </c>
      <c r="CR108" s="1221"/>
      <c r="CS108" s="1222">
        <v>3.6549999999999998</v>
      </c>
      <c r="CT108" s="1222">
        <v>3.4279999999999999</v>
      </c>
      <c r="CU108" s="1222">
        <v>3.0640000000000001</v>
      </c>
      <c r="CV108" s="1222">
        <v>3.0920000000000001</v>
      </c>
      <c r="CW108" s="1221">
        <f>SUM(CS108:CV108)</f>
        <v>13.239000000000001</v>
      </c>
      <c r="CX108" s="1222">
        <v>2.4990000000000001</v>
      </c>
      <c r="CY108" s="1222">
        <v>3.0459999999999998</v>
      </c>
      <c r="CZ108" s="1222">
        <v>5.4640000000000004</v>
      </c>
      <c r="DA108" s="1222">
        <v>3.2919999999999998</v>
      </c>
      <c r="DB108" s="1221">
        <f>SUM(CX108:DA108)</f>
        <v>14.301</v>
      </c>
      <c r="DC108" s="1222">
        <v>3.669</v>
      </c>
      <c r="DD108" s="1222">
        <v>3.9169999999999998</v>
      </c>
      <c r="DE108" s="1222">
        <v>3.9870000000000001</v>
      </c>
      <c r="DF108" s="1222">
        <v>4.2450000000000001</v>
      </c>
      <c r="DG108" s="1221">
        <f>SUM(DC108:DF108)</f>
        <v>15.818000000000001</v>
      </c>
      <c r="DH108" s="1222">
        <v>4.2850000000000001</v>
      </c>
      <c r="DI108" s="1222">
        <v>4.3339999999999996</v>
      </c>
      <c r="DJ108" s="1222">
        <v>4.4809999999999999</v>
      </c>
      <c r="DK108" s="1222">
        <v>4.1440000000000001</v>
      </c>
      <c r="DL108" s="1223">
        <f>SUM(DH108:DK108)</f>
        <v>17.244</v>
      </c>
      <c r="DM108" s="1222">
        <v>4.6639999999999997</v>
      </c>
      <c r="DN108" s="1222">
        <v>4.7309999999999999</v>
      </c>
      <c r="DO108" s="1222">
        <v>5.0570000000000004</v>
      </c>
      <c r="DP108" s="1222">
        <v>4.7030000000000003</v>
      </c>
      <c r="DQ108" s="1223">
        <f>SUM(DM108:DP108)</f>
        <v>19.155000000000001</v>
      </c>
      <c r="DR108" s="1224">
        <v>4.641</v>
      </c>
      <c r="DS108" s="1224">
        <v>5.0529999999999999</v>
      </c>
      <c r="DT108" s="1222">
        <v>4.8579999999999997</v>
      </c>
      <c r="DU108" s="1222">
        <v>4.782</v>
      </c>
      <c r="DV108" s="1223">
        <f>SUM(DR108:DU108)</f>
        <v>19.334</v>
      </c>
      <c r="DW108" s="1224">
        <v>5.6749999999999998</v>
      </c>
      <c r="DX108" s="1224">
        <v>7.0469999999999997</v>
      </c>
      <c r="DY108" s="1222">
        <v>5.758</v>
      </c>
      <c r="DZ108" s="1222">
        <v>6.7729999999999997</v>
      </c>
      <c r="EA108" s="1223">
        <f>SUM(DW108:DZ108)</f>
        <v>25.253</v>
      </c>
      <c r="EB108" s="1224">
        <f>+EB75-EB78</f>
        <v>5.5600000000000023</v>
      </c>
      <c r="EC108" s="1224">
        <f>+EC75-EC78</f>
        <v>5.6399999999999864</v>
      </c>
      <c r="ED108" s="1224">
        <f>+EC108</f>
        <v>5.6399999999999864</v>
      </c>
      <c r="EE108" s="1225">
        <f>+ED108</f>
        <v>5.6399999999999864</v>
      </c>
      <c r="EF108" s="1223">
        <f>SUM(EB108:EE108)</f>
        <v>22.479999999999961</v>
      </c>
      <c r="EG108" s="1225">
        <v>5.3</v>
      </c>
      <c r="EH108" s="1225">
        <f>+EG108</f>
        <v>5.3</v>
      </c>
      <c r="EI108" s="1225">
        <f>+EH108</f>
        <v>5.3</v>
      </c>
      <c r="EJ108" s="1225">
        <f>+EI108</f>
        <v>5.3</v>
      </c>
      <c r="EK108" s="1223">
        <f>SUM(EG108:EJ108)</f>
        <v>21.2</v>
      </c>
      <c r="EL108" s="1226"/>
      <c r="EM108" s="1222"/>
      <c r="EN108" s="1222"/>
      <c r="EO108" s="1227"/>
      <c r="EP108" s="1228">
        <v>24</v>
      </c>
      <c r="EQ108" s="1226"/>
      <c r="ER108" s="1222"/>
      <c r="ES108" s="1222"/>
      <c r="ET108" s="1227"/>
      <c r="EU108" s="1228">
        <v>24</v>
      </c>
      <c r="EV108" s="1226"/>
      <c r="EW108" s="1222"/>
      <c r="EX108" s="1222"/>
      <c r="EY108" s="1227"/>
      <c r="EZ108" s="1228">
        <v>24</v>
      </c>
      <c r="FA108" s="1226"/>
      <c r="FB108" s="1222"/>
      <c r="FC108" s="1222"/>
      <c r="FD108" s="1227"/>
      <c r="FE108" s="1228">
        <v>24</v>
      </c>
      <c r="FF108" s="846"/>
      <c r="FG108" s="690"/>
      <c r="FH108" s="1229"/>
      <c r="FI108" s="1229"/>
      <c r="FJ108" s="1229"/>
      <c r="FK108" s="1229"/>
      <c r="FL108" s="690"/>
      <c r="FM108" s="708"/>
      <c r="FN108" s="1230"/>
      <c r="FO108" s="1231"/>
      <c r="FP108" s="1231"/>
      <c r="FQ108" s="1231"/>
      <c r="FR108" s="1231"/>
      <c r="FS108" s="1231"/>
      <c r="FT108" s="1231"/>
      <c r="FU108" s="690"/>
      <c r="FV108"/>
      <c r="FW108"/>
      <c r="FX108"/>
      <c r="FY108"/>
      <c r="FZ108"/>
      <c r="GA108"/>
      <c r="GB108" s="1232"/>
    </row>
    <row r="109" spans="1:272" s="749" customFormat="1" ht="12.75" hidden="1" customHeight="1" outlineLevel="1">
      <c r="A109" s="58" t="s">
        <v>331</v>
      </c>
      <c r="B109" s="815"/>
      <c r="C109" s="815"/>
      <c r="D109" s="815"/>
      <c r="E109" s="815"/>
      <c r="F109" s="816"/>
      <c r="G109" s="817"/>
      <c r="H109" s="817"/>
      <c r="I109" s="817"/>
      <c r="J109" s="817"/>
      <c r="K109" s="816"/>
      <c r="L109" s="817"/>
      <c r="M109" s="817"/>
      <c r="N109" s="817"/>
      <c r="O109" s="817"/>
      <c r="P109" s="816"/>
      <c r="Q109" s="817"/>
      <c r="R109" s="817"/>
      <c r="S109" s="817"/>
      <c r="T109" s="817"/>
      <c r="U109" s="816"/>
      <c r="V109" s="817"/>
      <c r="W109" s="817"/>
      <c r="X109" s="817"/>
      <c r="Y109" s="817"/>
      <c r="Z109" s="816"/>
      <c r="AA109" s="817"/>
      <c r="AB109" s="817"/>
      <c r="AC109" s="817"/>
      <c r="AD109" s="817"/>
      <c r="AE109" s="816"/>
      <c r="AF109" s="817"/>
      <c r="AG109" s="817"/>
      <c r="AH109" s="817"/>
      <c r="AI109" s="817"/>
      <c r="AJ109" s="816"/>
      <c r="AK109" s="817"/>
      <c r="AL109" s="817"/>
      <c r="AM109" s="817"/>
      <c r="AN109" s="817"/>
      <c r="AO109" s="816"/>
      <c r="AP109" s="817"/>
      <c r="AQ109" s="817"/>
      <c r="AR109" s="817"/>
      <c r="AS109" s="817"/>
      <c r="AT109" s="816"/>
      <c r="AU109" s="817"/>
      <c r="AV109" s="817"/>
      <c r="AW109" s="817"/>
      <c r="AX109" s="817"/>
      <c r="AY109" s="816"/>
      <c r="AZ109" s="817"/>
      <c r="BA109" s="817"/>
      <c r="BB109" s="817"/>
      <c r="BC109" s="817"/>
      <c r="BD109" s="816"/>
      <c r="BE109" s="817"/>
      <c r="BF109" s="817"/>
      <c r="BG109" s="817"/>
      <c r="BH109" s="817"/>
      <c r="BI109" s="816"/>
      <c r="BJ109" s="817"/>
      <c r="BK109" s="817"/>
      <c r="BL109" s="817"/>
      <c r="BM109" s="817"/>
      <c r="BN109" s="816"/>
      <c r="BO109" s="817"/>
      <c r="BP109" s="817"/>
      <c r="BQ109" s="817"/>
      <c r="BR109" s="817"/>
      <c r="BS109" s="816"/>
      <c r="BT109" s="817"/>
      <c r="BU109" s="817"/>
      <c r="BV109" s="817"/>
      <c r="BW109" s="817"/>
      <c r="BX109" s="816"/>
      <c r="BY109" s="817"/>
      <c r="BZ109" s="817"/>
      <c r="CA109" s="817"/>
      <c r="CB109" s="817"/>
      <c r="CC109" s="816"/>
      <c r="CD109" s="817"/>
      <c r="CE109" s="817"/>
      <c r="CF109" s="817"/>
      <c r="CG109" s="817"/>
      <c r="CH109" s="816"/>
      <c r="CI109" s="817"/>
      <c r="CJ109" s="817"/>
      <c r="CK109" s="817"/>
      <c r="CL109" s="817"/>
      <c r="CM109" s="816"/>
      <c r="CN109" s="817"/>
      <c r="CO109" s="817"/>
      <c r="CP109" s="817"/>
      <c r="CQ109" s="817">
        <f>CQ108/CQ75</f>
        <v>2.5467723244488802E-2</v>
      </c>
      <c r="CR109" s="818"/>
      <c r="CS109" s="817">
        <f t="shared" ref="CS109:EG109" si="351">CS108/CS75</f>
        <v>2.4190559394276338E-2</v>
      </c>
      <c r="CT109" s="817">
        <f t="shared" si="351"/>
        <v>1.8878419235280837E-2</v>
      </c>
      <c r="CU109" s="817">
        <f t="shared" si="351"/>
        <v>1.668281952717492E-2</v>
      </c>
      <c r="CV109" s="817">
        <f t="shared" si="351"/>
        <v>2.0698888740125852E-2</v>
      </c>
      <c r="CW109" s="818">
        <f t="shared" si="351"/>
        <v>1.9886828787607946E-2</v>
      </c>
      <c r="CX109" s="817">
        <f t="shared" si="351"/>
        <v>1.8540913913475739E-2</v>
      </c>
      <c r="CY109" s="817">
        <f t="shared" si="351"/>
        <v>2.1256402741140837E-2</v>
      </c>
      <c r="CZ109" s="817">
        <f t="shared" si="351"/>
        <v>3.7360428304763729E-2</v>
      </c>
      <c r="DA109" s="817">
        <f t="shared" si="351"/>
        <v>2.3558204939208092E-2</v>
      </c>
      <c r="DB109" s="818">
        <f t="shared" si="351"/>
        <v>2.5353191353570736E-2</v>
      </c>
      <c r="DC109" s="817">
        <f t="shared" si="351"/>
        <v>2.6092336576207541E-2</v>
      </c>
      <c r="DD109" s="817">
        <f t="shared" si="351"/>
        <v>2.6929475985534943E-2</v>
      </c>
      <c r="DE109" s="817">
        <f t="shared" si="351"/>
        <v>2.8348230315328737E-2</v>
      </c>
      <c r="DF109" s="817">
        <f t="shared" si="351"/>
        <v>2.9681993623091124E-2</v>
      </c>
      <c r="DG109" s="818">
        <f t="shared" si="351"/>
        <v>2.7764043194518386E-2</v>
      </c>
      <c r="DH109" s="817">
        <f t="shared" si="351"/>
        <v>2.950797093964122E-2</v>
      </c>
      <c r="DI109" s="817">
        <f t="shared" si="351"/>
        <v>2.7880168027224008E-2</v>
      </c>
      <c r="DJ109" s="817">
        <f t="shared" si="351"/>
        <v>2.8234775211871083E-2</v>
      </c>
      <c r="DK109" s="817">
        <f t="shared" si="351"/>
        <v>2.6625032927918377E-2</v>
      </c>
      <c r="DL109" s="818">
        <f t="shared" si="351"/>
        <v>2.8038386118039587E-2</v>
      </c>
      <c r="DM109" s="817">
        <f t="shared" si="351"/>
        <v>2.9646014886570943E-2</v>
      </c>
      <c r="DN109" s="817">
        <f t="shared" si="351"/>
        <v>2.9038792045175548E-2</v>
      </c>
      <c r="DO109" s="817">
        <f t="shared" si="351"/>
        <v>3.1587692230814403E-2</v>
      </c>
      <c r="DP109" s="817">
        <f t="shared" si="351"/>
        <v>3.029912575135776E-2</v>
      </c>
      <c r="DQ109" s="818">
        <f t="shared" si="351"/>
        <v>3.0138964937786762E-2</v>
      </c>
      <c r="DR109" s="1076">
        <f t="shared" si="351"/>
        <v>2.9559944714432212E-2</v>
      </c>
      <c r="DS109" s="1076">
        <f t="shared" si="351"/>
        <v>3.1229141430372549E-2</v>
      </c>
      <c r="DT109" s="817">
        <f t="shared" si="351"/>
        <v>2.9954556385228665E-2</v>
      </c>
      <c r="DU109" s="817">
        <f t="shared" si="351"/>
        <v>3.0688469041996097E-2</v>
      </c>
      <c r="DV109" s="818">
        <f>DV108/DV75</f>
        <v>3.0360704134671256E-2</v>
      </c>
      <c r="DW109" s="1076">
        <f t="shared" si="351"/>
        <v>3.6375873341452473E-2</v>
      </c>
      <c r="DX109" s="1076">
        <f t="shared" si="351"/>
        <v>4.2952750146284378E-2</v>
      </c>
      <c r="DY109" s="817">
        <f t="shared" si="351"/>
        <v>3.6171522621336043E-2</v>
      </c>
      <c r="DZ109" s="817">
        <f t="shared" si="351"/>
        <v>4.4485750504101779E-2</v>
      </c>
      <c r="EA109" s="818">
        <f t="shared" si="351"/>
        <v>3.9988218732531972E-2</v>
      </c>
      <c r="EB109" s="1076">
        <f t="shared" si="351"/>
        <v>4.007929356640838E-2</v>
      </c>
      <c r="EC109" s="1076">
        <f t="shared" si="351"/>
        <v>3.951018578193731E-2</v>
      </c>
      <c r="ED109" s="817">
        <f t="shared" ref="ED109" si="352">ED108/ED75</f>
        <v>3.9166666666666572E-2</v>
      </c>
      <c r="EE109" s="817">
        <f t="shared" si="351"/>
        <v>4.070459362886495E-2</v>
      </c>
      <c r="EF109" s="818">
        <f t="shared" si="351"/>
        <v>3.985587350227985E-2</v>
      </c>
      <c r="EG109" s="817">
        <f t="shared" si="351"/>
        <v>4.1149068322981361E-2</v>
      </c>
      <c r="EH109" s="817">
        <f t="shared" ref="EH109" si="353">EH108/EH75</f>
        <v>3.9730134932533731E-2</v>
      </c>
      <c r="EI109" s="817">
        <f t="shared" ref="EI109" si="354">EI108/EI75</f>
        <v>4.021244309559939E-2</v>
      </c>
      <c r="EJ109" s="817">
        <f t="shared" ref="EJ109:EK109" si="355">EJ108/EJ75</f>
        <v>3.8945066691190675E-2</v>
      </c>
      <c r="EK109" s="818">
        <f t="shared" si="355"/>
        <v>3.9944525496699697E-2</v>
      </c>
      <c r="EL109" s="764"/>
      <c r="EM109" s="761"/>
      <c r="EN109" s="761"/>
      <c r="EO109" s="763"/>
      <c r="EP109" s="818">
        <f>EP108/EP75</f>
        <v>4.4319627273922545E-2</v>
      </c>
      <c r="EQ109" s="764"/>
      <c r="ER109" s="761"/>
      <c r="ES109" s="761"/>
      <c r="ET109" s="763"/>
      <c r="EU109" s="818">
        <f>EU108/EU75</f>
        <v>4.9631310250396535E-2</v>
      </c>
      <c r="EV109" s="764"/>
      <c r="EW109" s="761"/>
      <c r="EX109" s="761"/>
      <c r="EY109" s="763"/>
      <c r="EZ109" s="818">
        <f>EZ108/EZ75</f>
        <v>4.8933733921523233E-2</v>
      </c>
      <c r="FA109" s="764"/>
      <c r="FB109" s="761"/>
      <c r="FC109" s="761"/>
      <c r="FD109" s="763"/>
      <c r="FE109" s="818">
        <f>FE108/FE75</f>
        <v>4.8245464416062145E-2</v>
      </c>
      <c r="FF109" s="721"/>
      <c r="FG109" s="690"/>
      <c r="FH109" s="1229"/>
      <c r="FI109" s="1229"/>
      <c r="FJ109" s="1229"/>
      <c r="FK109" s="1229"/>
      <c r="FL109" s="690"/>
      <c r="FM109" s="708"/>
      <c r="FN109" s="708"/>
      <c r="FO109" s="723"/>
      <c r="FP109" s="723"/>
      <c r="FQ109" s="723"/>
      <c r="FR109" s="723"/>
      <c r="FS109" s="723"/>
      <c r="FT109" s="723"/>
      <c r="FU109" s="690"/>
      <c r="FV109"/>
      <c r="FW109"/>
      <c r="FX109"/>
      <c r="FY109"/>
      <c r="FZ109"/>
      <c r="GA109"/>
      <c r="GB109" s="725"/>
      <c r="GC109" s="532"/>
      <c r="GD109" s="532"/>
      <c r="GE109" s="532"/>
      <c r="GF109" s="532"/>
      <c r="GG109" s="532"/>
      <c r="GH109" s="532"/>
      <c r="GI109" s="532"/>
      <c r="GJ109" s="532"/>
      <c r="GK109" s="532"/>
      <c r="GL109" s="532"/>
      <c r="GM109" s="532"/>
      <c r="GN109" s="532"/>
      <c r="GO109" s="532"/>
      <c r="GP109" s="532"/>
      <c r="GQ109" s="532"/>
      <c r="GR109" s="532"/>
      <c r="GS109" s="532"/>
      <c r="GT109" s="532"/>
      <c r="GU109" s="532"/>
      <c r="GV109" s="532"/>
      <c r="GW109" s="532"/>
      <c r="GX109" s="532"/>
      <c r="GY109" s="532"/>
      <c r="GZ109" s="532"/>
      <c r="HA109" s="532"/>
      <c r="HB109" s="532"/>
      <c r="HC109" s="532"/>
      <c r="HD109" s="532"/>
      <c r="HE109" s="532"/>
      <c r="HF109" s="532"/>
      <c r="HG109" s="532"/>
      <c r="HH109" s="532"/>
      <c r="HI109" s="532"/>
      <c r="HJ109" s="532"/>
      <c r="HK109" s="532"/>
      <c r="HL109" s="532"/>
      <c r="HM109" s="532"/>
      <c r="HN109" s="532"/>
      <c r="HO109" s="532"/>
      <c r="HP109" s="532"/>
      <c r="HQ109" s="532"/>
      <c r="HR109" s="532"/>
      <c r="HS109" s="532"/>
      <c r="HT109" s="532"/>
      <c r="HU109" s="532"/>
      <c r="HV109" s="532"/>
      <c r="HW109" s="532"/>
      <c r="HX109" s="532"/>
      <c r="HY109" s="532"/>
      <c r="HZ109" s="532"/>
      <c r="IA109" s="532"/>
      <c r="IB109" s="532"/>
      <c r="IC109" s="532"/>
      <c r="ID109" s="532"/>
      <c r="IE109" s="532"/>
      <c r="IF109" s="532"/>
      <c r="IG109" s="532"/>
      <c r="IH109" s="532"/>
      <c r="II109" s="532"/>
      <c r="IJ109" s="532"/>
      <c r="IK109" s="532"/>
      <c r="IL109" s="532"/>
      <c r="IM109" s="532"/>
      <c r="IN109" s="532"/>
      <c r="IO109" s="532"/>
      <c r="IP109" s="532"/>
      <c r="IQ109" s="532"/>
      <c r="IR109" s="532"/>
      <c r="IS109" s="532"/>
      <c r="IT109" s="532"/>
      <c r="IU109" s="532"/>
      <c r="IV109" s="532"/>
      <c r="IW109" s="532"/>
      <c r="IX109" s="532"/>
      <c r="IY109" s="532"/>
      <c r="IZ109" s="532"/>
      <c r="JA109" s="532"/>
      <c r="JB109" s="532"/>
      <c r="JC109" s="532"/>
      <c r="JD109" s="532"/>
      <c r="JE109" s="532"/>
      <c r="JF109" s="532"/>
      <c r="JG109" s="532"/>
      <c r="JH109" s="532"/>
      <c r="JI109" s="532"/>
      <c r="JJ109" s="532"/>
      <c r="JK109" s="532"/>
      <c r="JL109" s="532"/>
    </row>
    <row r="110" spans="1:272" s="945" customFormat="1" ht="12.75" hidden="1" customHeight="1" outlineLevel="1">
      <c r="A110" s="932" t="s">
        <v>332</v>
      </c>
      <c r="B110" s="933"/>
      <c r="C110" s="934"/>
      <c r="D110" s="934"/>
      <c r="E110" s="934"/>
      <c r="F110" s="718"/>
      <c r="G110" s="934"/>
      <c r="H110" s="934"/>
      <c r="I110" s="934"/>
      <c r="J110" s="934"/>
      <c r="K110" s="718"/>
      <c r="L110" s="719"/>
      <c r="M110" s="719"/>
      <c r="N110" s="719"/>
      <c r="O110" s="719"/>
      <c r="P110" s="718"/>
      <c r="Q110" s="719"/>
      <c r="R110" s="719"/>
      <c r="S110" s="719"/>
      <c r="T110" s="719"/>
      <c r="U110" s="718"/>
      <c r="V110" s="719"/>
      <c r="W110" s="719"/>
      <c r="X110" s="719"/>
      <c r="Y110" s="719"/>
      <c r="Z110" s="718"/>
      <c r="AA110" s="719"/>
      <c r="AB110" s="719"/>
      <c r="AC110" s="719"/>
      <c r="AD110" s="719"/>
      <c r="AE110" s="718"/>
      <c r="AF110" s="719"/>
      <c r="AG110" s="719"/>
      <c r="AH110" s="719"/>
      <c r="AI110" s="719"/>
      <c r="AJ110" s="718"/>
      <c r="AK110" s="719"/>
      <c r="AL110" s="719"/>
      <c r="AM110" s="719"/>
      <c r="AN110" s="719"/>
      <c r="AO110" s="718"/>
      <c r="AP110" s="719">
        <v>89.774000000000001</v>
      </c>
      <c r="AQ110" s="719">
        <v>109.619</v>
      </c>
      <c r="AR110" s="719">
        <v>129.73500000000001</v>
      </c>
      <c r="AS110" s="719">
        <v>126.761</v>
      </c>
      <c r="AT110" s="718">
        <f>SUM(AP110:AS110)</f>
        <v>455.88900000000001</v>
      </c>
      <c r="AU110" s="719">
        <v>120.075</v>
      </c>
      <c r="AV110" s="719">
        <v>148.565</v>
      </c>
      <c r="AW110" s="719">
        <v>162.46</v>
      </c>
      <c r="AX110" s="719">
        <v>155.732</v>
      </c>
      <c r="AY110" s="718">
        <f>SUM(AU110:AX110)</f>
        <v>586.83199999999999</v>
      </c>
      <c r="AZ110" s="719">
        <v>160.559</v>
      </c>
      <c r="BA110" s="719">
        <v>181.60300000000001</v>
      </c>
      <c r="BB110" s="719">
        <v>178.68199999999999</v>
      </c>
      <c r="BC110" s="719">
        <v>195.16399999999999</v>
      </c>
      <c r="BD110" s="718">
        <f>SUM(AZ110:BC110)</f>
        <v>716.00800000000004</v>
      </c>
      <c r="BE110" s="719">
        <v>209.90299999999999</v>
      </c>
      <c r="BF110" s="719">
        <v>238.55099999999999</v>
      </c>
      <c r="BG110" s="719">
        <v>225.63900000000001</v>
      </c>
      <c r="BH110" s="719">
        <v>216.70699999999999</v>
      </c>
      <c r="BI110" s="718">
        <f>SUM(BE110:BH110)</f>
        <v>890.8</v>
      </c>
      <c r="BJ110" s="719">
        <v>222.595</v>
      </c>
      <c r="BK110" s="719">
        <v>234.50299999999999</v>
      </c>
      <c r="BL110" s="719">
        <v>221.71799999999999</v>
      </c>
      <c r="BM110" s="719">
        <v>219.36600000000001</v>
      </c>
      <c r="BN110" s="718">
        <f>SUM(BJ110:BM110)</f>
        <v>898.1819999999999</v>
      </c>
      <c r="BO110" s="935">
        <v>216.50899999999999</v>
      </c>
      <c r="BP110" s="935">
        <v>241.61099999999999</v>
      </c>
      <c r="BQ110" s="935">
        <v>255</v>
      </c>
      <c r="BR110" s="935">
        <v>255.947</v>
      </c>
      <c r="BS110" s="718">
        <f>SUM(BO110:BR110)</f>
        <v>969.06700000000001</v>
      </c>
      <c r="BT110" s="935">
        <v>253.22</v>
      </c>
      <c r="BU110" s="935">
        <v>265.11200000000002</v>
      </c>
      <c r="BV110" s="935">
        <v>275.79300000000001</v>
      </c>
      <c r="BW110" s="935">
        <v>268.88499999999999</v>
      </c>
      <c r="BX110" s="718">
        <f>SUM(BT110:BW110)</f>
        <v>1063.01</v>
      </c>
      <c r="BY110" s="935">
        <v>268.18599999999998</v>
      </c>
      <c r="BZ110" s="935">
        <v>282.56900000000002</v>
      </c>
      <c r="CA110" s="935">
        <v>305.47899999999998</v>
      </c>
      <c r="CB110" s="935">
        <v>318.59699999999998</v>
      </c>
      <c r="CC110" s="718">
        <f>SUM(BY110:CB110)</f>
        <v>1174.8309999999999</v>
      </c>
      <c r="CD110" s="935">
        <v>301.94900000000001</v>
      </c>
      <c r="CE110" s="935">
        <v>317.036</v>
      </c>
      <c r="CF110" s="935">
        <v>354.79700000000003</v>
      </c>
      <c r="CG110" s="935">
        <v>365.892</v>
      </c>
      <c r="CH110" s="718">
        <f>SUM(CD110:CG110)</f>
        <v>1339.674</v>
      </c>
      <c r="CI110" s="935">
        <v>349.86200000000002</v>
      </c>
      <c r="CJ110" s="935">
        <v>345.92500000000001</v>
      </c>
      <c r="CK110" s="935">
        <v>340.86900000000003</v>
      </c>
      <c r="CL110" s="935">
        <v>318.87099999999998</v>
      </c>
      <c r="CM110" s="718">
        <f>SUM(CI110:CL110)</f>
        <v>1355.527</v>
      </c>
      <c r="CN110" s="935">
        <v>320.59800000000001</v>
      </c>
      <c r="CO110" s="935">
        <v>324.03199999999998</v>
      </c>
      <c r="CP110" s="935">
        <v>312.63600000000002</v>
      </c>
      <c r="CQ110" s="935">
        <v>340.108</v>
      </c>
      <c r="CR110" s="718">
        <f>SUM(CN110:CQ110)</f>
        <v>1297.374</v>
      </c>
      <c r="CS110" s="935">
        <v>341.46800000000002</v>
      </c>
      <c r="CT110" s="935">
        <v>377.15300000000002</v>
      </c>
      <c r="CU110" s="935">
        <v>420.22800000000001</v>
      </c>
      <c r="CV110" s="935">
        <v>373.13</v>
      </c>
      <c r="CW110" s="718">
        <f>SUM(CS110:CV110)</f>
        <v>1511.9790000000003</v>
      </c>
      <c r="CX110" s="935">
        <v>316.47699999999998</v>
      </c>
      <c r="CY110" s="935">
        <v>327.62200000000001</v>
      </c>
      <c r="CZ110" s="935">
        <v>346.35199999999998</v>
      </c>
      <c r="DA110" s="935">
        <v>341.44299999999998</v>
      </c>
      <c r="DB110" s="718">
        <f>SUM(CX110:DA110)</f>
        <v>1331.8939999999998</v>
      </c>
      <c r="DC110" s="935">
        <v>355.18299999999999</v>
      </c>
      <c r="DD110" s="935">
        <v>385.77499999999998</v>
      </c>
      <c r="DE110" s="935">
        <v>370.04899999999998</v>
      </c>
      <c r="DF110" s="935">
        <v>366.98099999999999</v>
      </c>
      <c r="DG110" s="718">
        <f>SUM(DC110:DF110)</f>
        <v>1477.9880000000001</v>
      </c>
      <c r="DH110" s="935">
        <v>369.97500000000002</v>
      </c>
      <c r="DI110" s="935">
        <v>394.012</v>
      </c>
      <c r="DJ110" s="935">
        <v>417.142</v>
      </c>
      <c r="DK110" s="935">
        <v>408.86500000000001</v>
      </c>
      <c r="DL110" s="718">
        <f>SUM(DH110:DK110)</f>
        <v>1589.9940000000001</v>
      </c>
      <c r="DM110" s="935">
        <v>419.14600000000002</v>
      </c>
      <c r="DN110" s="935">
        <v>448.029</v>
      </c>
      <c r="DO110" s="935">
        <v>427.79</v>
      </c>
      <c r="DP110" s="935">
        <v>431.23399999999998</v>
      </c>
      <c r="DQ110" s="718">
        <f>SUM(DM110:DP110)</f>
        <v>1726.1989999999998</v>
      </c>
      <c r="DR110" s="935">
        <v>392.35700000000003</v>
      </c>
      <c r="DS110" s="935">
        <v>370.37799999999999</v>
      </c>
      <c r="DT110" s="935">
        <v>380.54899999999998</v>
      </c>
      <c r="DU110" s="935">
        <v>397.11500000000001</v>
      </c>
      <c r="DV110" s="718">
        <f>SUM(DR110:DU110)</f>
        <v>1540.3990000000001</v>
      </c>
      <c r="DW110" s="935">
        <v>406.36500000000001</v>
      </c>
      <c r="DX110" s="935">
        <v>433.65</v>
      </c>
      <c r="DY110" s="935">
        <v>443.94499999999999</v>
      </c>
      <c r="DZ110" s="935">
        <v>433.75099999999998</v>
      </c>
      <c r="EA110" s="718">
        <f>SUM(DW110:DZ110)</f>
        <v>1717.711</v>
      </c>
      <c r="EB110" s="935">
        <v>417.07</v>
      </c>
      <c r="EC110" s="935">
        <v>405.93599999999998</v>
      </c>
      <c r="ED110" s="1729">
        <v>397</v>
      </c>
      <c r="EE110" s="935">
        <f>DZ110*(1+EE111)</f>
        <v>399.05092000000002</v>
      </c>
      <c r="EF110" s="718">
        <f>SUM(EB110:EE110)</f>
        <v>1619.05692</v>
      </c>
      <c r="EG110" s="935">
        <f>EB110*(1+EG111)</f>
        <v>375.363</v>
      </c>
      <c r="EH110" s="935">
        <f>EC110*(1+EH111)</f>
        <v>405.93599999999998</v>
      </c>
      <c r="EI110" s="935">
        <f>ED110*(1+EI111)</f>
        <v>404.94</v>
      </c>
      <c r="EJ110" s="935">
        <f>EE110*(1+EJ111)</f>
        <v>415.01295680000004</v>
      </c>
      <c r="EK110" s="718">
        <f>SUM(EG110:EJ110)</f>
        <v>1601.2519568</v>
      </c>
      <c r="EL110" s="935">
        <f>EG110*(1+EL111)</f>
        <v>337.82670000000002</v>
      </c>
      <c r="EM110" s="935">
        <f>EH110*(1+EM111)</f>
        <v>405.93599999999998</v>
      </c>
      <c r="EN110" s="935">
        <f>EI110*(1+EN111)</f>
        <v>413.03879999999998</v>
      </c>
      <c r="EO110" s="935">
        <f>EJ110*(1+EO111)</f>
        <v>431.61347507200003</v>
      </c>
      <c r="EP110" s="718">
        <f>SUM(EL110:EO110)</f>
        <v>1588.4149750720001</v>
      </c>
      <c r="EQ110" s="935">
        <f>EL110*(1+EQ111)</f>
        <v>304.04403000000002</v>
      </c>
      <c r="ER110" s="935">
        <f>EM110*(1+ER111)</f>
        <v>405.93599999999998</v>
      </c>
      <c r="ES110" s="935">
        <f>EN110*(1+ES111)</f>
        <v>421.299576</v>
      </c>
      <c r="ET110" s="935">
        <f>EO110*(1+ET111)</f>
        <v>448.87801407488007</v>
      </c>
      <c r="EU110" s="718">
        <f>SUM(EQ110:ET110)</f>
        <v>1580.15762007488</v>
      </c>
      <c r="EV110" s="935">
        <f>EQ110*(1+EV111)</f>
        <v>273.63962700000002</v>
      </c>
      <c r="EW110" s="935">
        <f>ER110*(1+EW111)</f>
        <v>405.93599999999998</v>
      </c>
      <c r="EX110" s="935">
        <f>ES110*(1+EX111)</f>
        <v>429.72556752000003</v>
      </c>
      <c r="EY110" s="935">
        <f>ET110*(1+EY111)</f>
        <v>466.83313463787528</v>
      </c>
      <c r="EZ110" s="718">
        <f>SUM(EV110:EY110)</f>
        <v>1576.1343291578753</v>
      </c>
      <c r="FA110" s="935">
        <f>EV110*(1+FA111)</f>
        <v>246.27566430000002</v>
      </c>
      <c r="FB110" s="935">
        <f>EW110*(1+FB111)</f>
        <v>405.93599999999998</v>
      </c>
      <c r="FC110" s="935">
        <f>EX110*(1+FC111)</f>
        <v>438.32007887040004</v>
      </c>
      <c r="FD110" s="935">
        <f>EY110*(1+FD111)</f>
        <v>485.50646002339028</v>
      </c>
      <c r="FE110" s="718">
        <f>SUM(FA110:FD110)</f>
        <v>1576.0382031937902</v>
      </c>
      <c r="FF110" s="938"/>
      <c r="FG110" s="690"/>
      <c r="FH110" s="754"/>
      <c r="FI110" s="754"/>
      <c r="FJ110" s="754"/>
      <c r="FK110" s="754"/>
      <c r="FL110" s="690"/>
      <c r="FM110" s="1234" t="s">
        <v>333</v>
      </c>
      <c r="FN110" s="940"/>
      <c r="FO110" s="941"/>
      <c r="FP110" s="941"/>
      <c r="FQ110" s="941"/>
      <c r="FR110" s="941"/>
      <c r="FS110" s="941"/>
      <c r="FT110" s="941"/>
      <c r="FU110" s="690"/>
      <c r="FV110"/>
      <c r="FW110"/>
      <c r="FX110"/>
      <c r="FY110"/>
      <c r="FZ110"/>
      <c r="GA110"/>
      <c r="GB110" s="943"/>
      <c r="GC110" s="944"/>
      <c r="GD110" s="944"/>
      <c r="GE110" s="944"/>
      <c r="GF110" s="944"/>
      <c r="GG110" s="944"/>
      <c r="GH110" s="944"/>
      <c r="GI110" s="944"/>
      <c r="GJ110" s="944"/>
      <c r="GK110" s="944"/>
      <c r="GL110" s="944"/>
      <c r="GM110" s="944"/>
      <c r="GN110" s="944"/>
      <c r="GO110" s="944"/>
      <c r="GP110" s="944"/>
      <c r="GQ110" s="944"/>
      <c r="GR110" s="944"/>
      <c r="GS110" s="944"/>
      <c r="GT110" s="944"/>
      <c r="GU110" s="944"/>
      <c r="GV110" s="944"/>
      <c r="GW110" s="944"/>
      <c r="GX110" s="944"/>
      <c r="GY110" s="944"/>
      <c r="GZ110" s="944"/>
      <c r="HA110" s="944"/>
      <c r="HB110" s="944"/>
      <c r="HC110" s="944"/>
      <c r="HD110" s="944"/>
      <c r="HE110" s="944"/>
      <c r="HF110" s="944"/>
      <c r="HG110" s="944"/>
      <c r="HH110" s="944"/>
      <c r="HI110" s="944"/>
      <c r="HJ110" s="944"/>
      <c r="HK110" s="944"/>
      <c r="HL110" s="944"/>
      <c r="HM110" s="944"/>
      <c r="HN110" s="944"/>
      <c r="HO110" s="944"/>
      <c r="HP110" s="944"/>
      <c r="HQ110" s="944"/>
      <c r="HR110" s="944"/>
      <c r="HS110" s="944"/>
      <c r="HT110" s="944"/>
      <c r="HU110" s="944"/>
      <c r="HV110" s="944"/>
      <c r="HW110" s="944"/>
      <c r="HX110" s="944"/>
      <c r="HY110" s="944"/>
      <c r="HZ110" s="944"/>
      <c r="IA110" s="944"/>
      <c r="IB110" s="944"/>
      <c r="IC110" s="944"/>
      <c r="ID110" s="944"/>
      <c r="IE110" s="944"/>
      <c r="IF110" s="944"/>
      <c r="IG110" s="944"/>
      <c r="IH110" s="944"/>
      <c r="II110" s="944"/>
      <c r="IJ110" s="944"/>
      <c r="IK110" s="944"/>
      <c r="IL110" s="944"/>
      <c r="IM110" s="944"/>
      <c r="IN110" s="944"/>
      <c r="IO110" s="944"/>
      <c r="IP110" s="944"/>
      <c r="IQ110" s="944"/>
      <c r="IR110" s="944"/>
      <c r="IS110" s="944"/>
      <c r="IT110" s="944"/>
      <c r="IU110" s="944"/>
      <c r="IV110" s="944"/>
      <c r="IW110" s="944"/>
      <c r="IX110" s="944"/>
      <c r="IY110" s="944"/>
      <c r="IZ110" s="944"/>
      <c r="JA110" s="944"/>
      <c r="JB110" s="944"/>
      <c r="JC110" s="944"/>
      <c r="JD110" s="944"/>
      <c r="JE110" s="944"/>
      <c r="JF110" s="944"/>
      <c r="JG110" s="944"/>
      <c r="JH110" s="944"/>
      <c r="JI110" s="944"/>
      <c r="JJ110" s="944"/>
      <c r="JK110" s="944"/>
      <c r="JL110" s="944"/>
    </row>
    <row r="111" spans="1:272" s="749" customFormat="1" ht="12.75" hidden="1" customHeight="1" outlineLevel="1">
      <c r="A111" s="58" t="s">
        <v>85</v>
      </c>
      <c r="B111" s="1235"/>
      <c r="C111" s="961"/>
      <c r="D111" s="961"/>
      <c r="E111" s="961"/>
      <c r="F111" s="741"/>
      <c r="G111" s="961"/>
      <c r="H111" s="961"/>
      <c r="I111" s="961"/>
      <c r="J111" s="961"/>
      <c r="K111" s="741"/>
      <c r="L111" s="961"/>
      <c r="M111" s="961"/>
      <c r="N111" s="961"/>
      <c r="O111" s="961"/>
      <c r="P111" s="741"/>
      <c r="Q111" s="961"/>
      <c r="R111" s="961"/>
      <c r="S111" s="961"/>
      <c r="T111" s="961"/>
      <c r="U111" s="741"/>
      <c r="V111" s="961"/>
      <c r="W111" s="961"/>
      <c r="X111" s="1236"/>
      <c r="Y111" s="1236"/>
      <c r="Z111" s="741"/>
      <c r="AA111" s="1236"/>
      <c r="AB111" s="1236"/>
      <c r="AC111" s="1236"/>
      <c r="AD111" s="1236"/>
      <c r="AE111" s="741"/>
      <c r="AF111" s="721"/>
      <c r="AG111" s="742"/>
      <c r="AH111" s="742"/>
      <c r="AI111" s="721"/>
      <c r="AJ111" s="741"/>
      <c r="AK111" s="721"/>
      <c r="AL111" s="742"/>
      <c r="AM111" s="742"/>
      <c r="AN111" s="721"/>
      <c r="AO111" s="741"/>
      <c r="AP111" s="721"/>
      <c r="AQ111" s="742"/>
      <c r="AR111" s="742"/>
      <c r="AS111" s="721"/>
      <c r="AT111" s="741"/>
      <c r="AU111" s="721">
        <f t="shared" ref="AU111:DF111" si="356">AU110/AP110-1</f>
        <v>0.33752534141288115</v>
      </c>
      <c r="AV111" s="742">
        <f t="shared" si="356"/>
        <v>0.35528512392924583</v>
      </c>
      <c r="AW111" s="742">
        <f t="shared" si="356"/>
        <v>0.25224496088179738</v>
      </c>
      <c r="AX111" s="721">
        <f t="shared" si="356"/>
        <v>0.22854821277837822</v>
      </c>
      <c r="AY111" s="741">
        <f t="shared" si="356"/>
        <v>0.28722561851678807</v>
      </c>
      <c r="AZ111" s="721">
        <f t="shared" si="356"/>
        <v>0.3371559442015406</v>
      </c>
      <c r="BA111" s="742">
        <f t="shared" si="356"/>
        <v>0.22238077609127327</v>
      </c>
      <c r="BB111" s="742">
        <f t="shared" si="356"/>
        <v>9.9852271328326747E-2</v>
      </c>
      <c r="BC111" s="721">
        <f t="shared" si="356"/>
        <v>0.25320422263889242</v>
      </c>
      <c r="BD111" s="741">
        <f t="shared" si="356"/>
        <v>0.22012432859830411</v>
      </c>
      <c r="BE111" s="721">
        <f t="shared" si="356"/>
        <v>0.30732627881339569</v>
      </c>
      <c r="BF111" s="742">
        <f t="shared" si="356"/>
        <v>0.31358512799898675</v>
      </c>
      <c r="BG111" s="742">
        <f t="shared" si="356"/>
        <v>0.26279647642179982</v>
      </c>
      <c r="BH111" s="721">
        <f t="shared" si="356"/>
        <v>0.11038408722920212</v>
      </c>
      <c r="BI111" s="741">
        <f t="shared" si="356"/>
        <v>0.24412017742818493</v>
      </c>
      <c r="BJ111" s="721">
        <f t="shared" si="356"/>
        <v>6.0466024782875882E-2</v>
      </c>
      <c r="BK111" s="742">
        <f t="shared" si="356"/>
        <v>-1.6969117714870197E-2</v>
      </c>
      <c r="BL111" s="742">
        <f t="shared" si="356"/>
        <v>-1.7377315091806067E-2</v>
      </c>
      <c r="BM111" s="721">
        <f t="shared" si="356"/>
        <v>1.2270023580225997E-2</v>
      </c>
      <c r="BN111" s="741">
        <f t="shared" si="356"/>
        <v>8.2869330938482033E-3</v>
      </c>
      <c r="BO111" s="721">
        <f t="shared" si="356"/>
        <v>-2.7341135245625536E-2</v>
      </c>
      <c r="BP111" s="742">
        <f t="shared" si="356"/>
        <v>3.0310912866786444E-2</v>
      </c>
      <c r="BQ111" s="742">
        <f t="shared" si="356"/>
        <v>0.15010959867940366</v>
      </c>
      <c r="BR111" s="721">
        <f t="shared" si="356"/>
        <v>0.16675783849821757</v>
      </c>
      <c r="BS111" s="741">
        <f t="shared" si="356"/>
        <v>7.8920530582888615E-2</v>
      </c>
      <c r="BT111" s="721">
        <f t="shared" si="356"/>
        <v>0.16955877122890972</v>
      </c>
      <c r="BU111" s="742">
        <f t="shared" si="356"/>
        <v>9.7267922404195239E-2</v>
      </c>
      <c r="BV111" s="742">
        <f t="shared" si="356"/>
        <v>8.1541176470588228E-2</v>
      </c>
      <c r="BW111" s="721">
        <f t="shared" si="356"/>
        <v>5.0549527831933894E-2</v>
      </c>
      <c r="BX111" s="741">
        <f t="shared" si="356"/>
        <v>9.6941697529685733E-2</v>
      </c>
      <c r="BY111" s="721">
        <f t="shared" si="356"/>
        <v>5.9102756496327125E-2</v>
      </c>
      <c r="BZ111" s="742">
        <f t="shared" si="356"/>
        <v>6.5847641751410668E-2</v>
      </c>
      <c r="CA111" s="742">
        <f t="shared" si="356"/>
        <v>0.10763870003952225</v>
      </c>
      <c r="CB111" s="721">
        <f t="shared" si="356"/>
        <v>0.18488201275638283</v>
      </c>
      <c r="CC111" s="741">
        <f t="shared" si="356"/>
        <v>0.10519280157289201</v>
      </c>
      <c r="CD111" s="721">
        <f t="shared" si="356"/>
        <v>0.12589396911099038</v>
      </c>
      <c r="CE111" s="721">
        <f t="shared" si="356"/>
        <v>0.12197728696353805</v>
      </c>
      <c r="CF111" s="721">
        <f t="shared" si="356"/>
        <v>0.16144481290039581</v>
      </c>
      <c r="CG111" s="721">
        <f t="shared" si="356"/>
        <v>0.14844772549647356</v>
      </c>
      <c r="CH111" s="741">
        <f t="shared" si="356"/>
        <v>0.14031209595252436</v>
      </c>
      <c r="CI111" s="721">
        <f t="shared" si="356"/>
        <v>0.15867911468493023</v>
      </c>
      <c r="CJ111" s="721">
        <f t="shared" si="356"/>
        <v>9.1122143857479854E-2</v>
      </c>
      <c r="CK111" s="721">
        <f t="shared" si="356"/>
        <v>-3.9256250757475408E-2</v>
      </c>
      <c r="CL111" s="721">
        <f t="shared" si="356"/>
        <v>-0.12851059875591708</v>
      </c>
      <c r="CM111" s="741">
        <f t="shared" si="356"/>
        <v>1.1833475905332236E-2</v>
      </c>
      <c r="CN111" s="721">
        <f t="shared" si="356"/>
        <v>-8.3644408366727485E-2</v>
      </c>
      <c r="CO111" s="721">
        <f t="shared" si="356"/>
        <v>-6.3288285032882974E-2</v>
      </c>
      <c r="CP111" s="721">
        <f t="shared" si="356"/>
        <v>-8.2826540401151227E-2</v>
      </c>
      <c r="CQ111" s="721">
        <f t="shared" si="356"/>
        <v>6.6600600242731511E-2</v>
      </c>
      <c r="CR111" s="741">
        <f t="shared" si="356"/>
        <v>-4.2900657825332922E-2</v>
      </c>
      <c r="CS111" s="721">
        <f t="shared" si="356"/>
        <v>6.5097099794758639E-2</v>
      </c>
      <c r="CT111" s="721">
        <f t="shared" si="356"/>
        <v>0.16393751234445997</v>
      </c>
      <c r="CU111" s="721">
        <f t="shared" si="356"/>
        <v>0.34414462825778225</v>
      </c>
      <c r="CV111" s="721">
        <f t="shared" si="356"/>
        <v>9.7092688204923006E-2</v>
      </c>
      <c r="CW111" s="741">
        <f t="shared" si="356"/>
        <v>0.16541490734360353</v>
      </c>
      <c r="CX111" s="721">
        <f t="shared" si="356"/>
        <v>-7.3186945775299717E-2</v>
      </c>
      <c r="CY111" s="721">
        <f t="shared" si="356"/>
        <v>-0.1313286650245391</v>
      </c>
      <c r="CZ111" s="721">
        <f t="shared" si="356"/>
        <v>-0.1757998039159695</v>
      </c>
      <c r="DA111" s="721">
        <f t="shared" si="356"/>
        <v>-8.4922145096883117E-2</v>
      </c>
      <c r="DB111" s="741">
        <f t="shared" si="356"/>
        <v>-0.11910549022175598</v>
      </c>
      <c r="DC111" s="721">
        <f t="shared" si="356"/>
        <v>0.12230272658044661</v>
      </c>
      <c r="DD111" s="721">
        <f t="shared" si="356"/>
        <v>0.17750028996831713</v>
      </c>
      <c r="DE111" s="721">
        <f t="shared" si="356"/>
        <v>6.841883401857074E-2</v>
      </c>
      <c r="DF111" s="721">
        <f t="shared" si="356"/>
        <v>7.4794328775227514E-2</v>
      </c>
      <c r="DG111" s="741">
        <f t="shared" ref="DG111:ED111" si="357">DG110/DB110-1</f>
        <v>0.10968890917745733</v>
      </c>
      <c r="DH111" s="721">
        <f t="shared" si="357"/>
        <v>4.1646137343285039E-2</v>
      </c>
      <c r="DI111" s="721">
        <f t="shared" si="357"/>
        <v>2.1351824249886686E-2</v>
      </c>
      <c r="DJ111" s="721">
        <f t="shared" si="357"/>
        <v>0.12726152482509079</v>
      </c>
      <c r="DK111" s="721">
        <f t="shared" si="357"/>
        <v>0.11413124930173502</v>
      </c>
      <c r="DL111" s="741">
        <f t="shared" si="357"/>
        <v>7.5782753310581707E-2</v>
      </c>
      <c r="DM111" s="721">
        <f t="shared" si="357"/>
        <v>0.13290357456584911</v>
      </c>
      <c r="DN111" s="721">
        <f t="shared" si="357"/>
        <v>0.13709480929514828</v>
      </c>
      <c r="DO111" s="721">
        <f t="shared" si="357"/>
        <v>2.5526079848109395E-2</v>
      </c>
      <c r="DP111" s="721">
        <f t="shared" si="357"/>
        <v>5.4709989849950347E-2</v>
      </c>
      <c r="DQ111" s="741">
        <f t="shared" si="357"/>
        <v>8.5663845272371919E-2</v>
      </c>
      <c r="DR111" s="721">
        <f t="shared" si="357"/>
        <v>-6.3913290357059283E-2</v>
      </c>
      <c r="DS111" s="721">
        <f t="shared" si="357"/>
        <v>-0.17331690582529258</v>
      </c>
      <c r="DT111" s="721">
        <f t="shared" si="357"/>
        <v>-0.11043035134061119</v>
      </c>
      <c r="DU111" s="721">
        <f t="shared" si="357"/>
        <v>-7.9119457185657827E-2</v>
      </c>
      <c r="DV111" s="741">
        <f t="shared" si="357"/>
        <v>-0.10763533057312613</v>
      </c>
      <c r="DW111" s="721">
        <f t="shared" si="357"/>
        <v>3.570217939274678E-2</v>
      </c>
      <c r="DX111" s="721">
        <f t="shared" si="357"/>
        <v>0.17083088088385368</v>
      </c>
      <c r="DY111" s="721">
        <f t="shared" si="357"/>
        <v>0.16659089893811307</v>
      </c>
      <c r="DZ111" s="721">
        <f t="shared" si="357"/>
        <v>9.22553920149074E-2</v>
      </c>
      <c r="EA111" s="741">
        <f t="shared" si="357"/>
        <v>0.11510783894302712</v>
      </c>
      <c r="EB111" s="721">
        <f t="shared" si="357"/>
        <v>2.6343312047051315E-2</v>
      </c>
      <c r="EC111" s="721">
        <f>EC110/DX110-1</f>
        <v>-6.3908682116914584E-2</v>
      </c>
      <c r="ED111" s="721">
        <f t="shared" si="357"/>
        <v>-0.10574508103481284</v>
      </c>
      <c r="EE111" s="1105">
        <v>-0.08</v>
      </c>
      <c r="EF111" s="741">
        <f>EF110/EA110-1</f>
        <v>-5.7433456501122748E-2</v>
      </c>
      <c r="EG111" s="1105">
        <v>-0.1</v>
      </c>
      <c r="EH111" s="1105">
        <v>0</v>
      </c>
      <c r="EI111" s="1105">
        <v>0.02</v>
      </c>
      <c r="EJ111" s="1105">
        <v>0.04</v>
      </c>
      <c r="EK111" s="741">
        <f>EK110/EF110-1</f>
        <v>-1.0997119977721348E-2</v>
      </c>
      <c r="EL111" s="1105">
        <v>-0.1</v>
      </c>
      <c r="EM111" s="1105">
        <v>0</v>
      </c>
      <c r="EN111" s="1105">
        <v>0.02</v>
      </c>
      <c r="EO111" s="1105">
        <v>0.04</v>
      </c>
      <c r="EP111" s="741">
        <f>EP110/EK110-1</f>
        <v>-8.0168406186705843E-3</v>
      </c>
      <c r="EQ111" s="1105">
        <v>-0.1</v>
      </c>
      <c r="ER111" s="1105">
        <v>0</v>
      </c>
      <c r="ES111" s="1105">
        <v>0.02</v>
      </c>
      <c r="ET111" s="1105">
        <v>0.04</v>
      </c>
      <c r="EU111" s="741">
        <f>EU110/EP110-1</f>
        <v>-5.1984872509438507E-3</v>
      </c>
      <c r="EV111" s="1105">
        <v>-0.1</v>
      </c>
      <c r="EW111" s="1105">
        <v>0</v>
      </c>
      <c r="EX111" s="1105">
        <v>0.02</v>
      </c>
      <c r="EY111" s="1105">
        <v>0.04</v>
      </c>
      <c r="EZ111" s="741">
        <f>EZ110/EU110-1</f>
        <v>-2.5461326553068986E-3</v>
      </c>
      <c r="FA111" s="1105">
        <v>-0.1</v>
      </c>
      <c r="FB111" s="1105">
        <v>0</v>
      </c>
      <c r="FC111" s="1105">
        <v>0.02</v>
      </c>
      <c r="FD111" s="1105">
        <v>0.04</v>
      </c>
      <c r="FE111" s="741">
        <f>FE110/EZ110-1</f>
        <v>-6.098843373103513E-5</v>
      </c>
      <c r="FF111" s="721"/>
      <c r="FG111" s="690"/>
      <c r="FH111" s="754"/>
      <c r="FI111" s="754"/>
      <c r="FJ111" s="754"/>
      <c r="FK111" s="754"/>
      <c r="FL111" s="690"/>
      <c r="FM111" s="708"/>
      <c r="FN111" s="708"/>
      <c r="FO111" s="723"/>
      <c r="FP111" s="723"/>
      <c r="FQ111" s="723"/>
      <c r="FR111" s="723"/>
      <c r="FS111" s="723"/>
      <c r="FT111" s="723"/>
      <c r="FU111" s="690"/>
      <c r="FV111"/>
      <c r="FW111"/>
      <c r="FX111"/>
      <c r="FY111"/>
      <c r="FZ111"/>
      <c r="GA111"/>
      <c r="GB111" s="1117"/>
      <c r="GC111" s="532"/>
      <c r="GD111" s="532"/>
      <c r="GE111" s="532"/>
      <c r="GF111" s="532"/>
      <c r="GG111" s="532"/>
      <c r="GH111" s="532"/>
      <c r="GI111" s="532"/>
      <c r="GJ111" s="532"/>
      <c r="GK111" s="532"/>
      <c r="GL111" s="532"/>
      <c r="GM111" s="532"/>
      <c r="GN111" s="532"/>
      <c r="GO111" s="532"/>
      <c r="GP111" s="532"/>
      <c r="GQ111" s="532"/>
      <c r="GR111" s="532"/>
      <c r="GS111" s="532"/>
      <c r="GT111" s="532"/>
      <c r="GU111" s="532"/>
      <c r="GV111" s="532"/>
      <c r="GW111" s="532"/>
      <c r="GX111" s="532"/>
      <c r="GY111" s="532"/>
      <c r="GZ111" s="532"/>
      <c r="HA111" s="532"/>
      <c r="HB111" s="532"/>
      <c r="HC111" s="532"/>
      <c r="HD111" s="532"/>
      <c r="HE111" s="532"/>
      <c r="HF111" s="532"/>
      <c r="HG111" s="532"/>
      <c r="HH111" s="532"/>
      <c r="HI111" s="532"/>
      <c r="HJ111" s="532"/>
      <c r="HK111" s="532"/>
      <c r="HL111" s="532"/>
      <c r="HM111" s="532"/>
      <c r="HN111" s="532"/>
      <c r="HO111" s="532"/>
      <c r="HP111" s="532"/>
      <c r="HQ111" s="532"/>
      <c r="HR111" s="532"/>
      <c r="HS111" s="532"/>
      <c r="HT111" s="532"/>
      <c r="HU111" s="532"/>
      <c r="HV111" s="532"/>
      <c r="HW111" s="532"/>
      <c r="HX111" s="532"/>
      <c r="HY111" s="532"/>
      <c r="HZ111" s="532"/>
      <c r="IA111" s="532"/>
      <c r="IB111" s="532"/>
      <c r="IC111" s="532"/>
      <c r="ID111" s="532"/>
      <c r="IE111" s="532"/>
      <c r="IF111" s="532"/>
      <c r="IG111" s="532"/>
      <c r="IH111" s="532"/>
      <c r="II111" s="532"/>
      <c r="IJ111" s="532"/>
      <c r="IK111" s="532"/>
      <c r="IL111" s="532"/>
      <c r="IM111" s="532"/>
      <c r="IN111" s="532"/>
      <c r="IO111" s="532"/>
      <c r="IP111" s="532"/>
      <c r="IQ111" s="532"/>
      <c r="IR111" s="532"/>
      <c r="IS111" s="532"/>
      <c r="IT111" s="532"/>
      <c r="IU111" s="532"/>
      <c r="IV111" s="532"/>
      <c r="IW111" s="532"/>
      <c r="IX111" s="532"/>
      <c r="IY111" s="532"/>
      <c r="IZ111" s="532"/>
      <c r="JA111" s="532"/>
      <c r="JB111" s="532"/>
      <c r="JC111" s="532"/>
      <c r="JD111" s="532"/>
      <c r="JE111" s="532"/>
      <c r="JF111" s="532"/>
      <c r="JG111" s="532"/>
      <c r="JH111" s="532"/>
      <c r="JI111" s="532"/>
      <c r="JJ111" s="532"/>
      <c r="JK111" s="532"/>
      <c r="JL111" s="532"/>
    </row>
    <row r="112" spans="1:272" s="799" customFormat="1" ht="12.75" hidden="1" customHeight="1" outlineLevel="1">
      <c r="A112" s="58" t="s">
        <v>291</v>
      </c>
      <c r="B112" s="790"/>
      <c r="C112" s="721"/>
      <c r="D112" s="721"/>
      <c r="E112" s="721"/>
      <c r="F112" s="741"/>
      <c r="G112" s="721"/>
      <c r="H112" s="721"/>
      <c r="I112" s="721"/>
      <c r="J112" s="721"/>
      <c r="K112" s="741"/>
      <c r="L112" s="721"/>
      <c r="M112" s="721"/>
      <c r="N112" s="721"/>
      <c r="O112" s="721"/>
      <c r="P112" s="741"/>
      <c r="Q112" s="721"/>
      <c r="R112" s="721"/>
      <c r="S112" s="721"/>
      <c r="T112" s="721"/>
      <c r="U112" s="741"/>
      <c r="V112" s="721"/>
      <c r="W112" s="721"/>
      <c r="X112" s="721"/>
      <c r="Y112" s="721"/>
      <c r="Z112" s="741"/>
      <c r="AA112" s="721"/>
      <c r="AB112" s="721"/>
      <c r="AC112" s="721"/>
      <c r="AD112" s="721"/>
      <c r="AE112" s="741"/>
      <c r="AF112" s="721"/>
      <c r="AG112" s="721"/>
      <c r="AH112" s="721"/>
      <c r="AI112" s="721"/>
      <c r="AJ112" s="741"/>
      <c r="AK112" s="721"/>
      <c r="AL112" s="721"/>
      <c r="AM112" s="721"/>
      <c r="AN112" s="721"/>
      <c r="AO112" s="741"/>
      <c r="AP112" s="721"/>
      <c r="AQ112" s="721"/>
      <c r="AR112" s="721"/>
      <c r="AS112" s="721"/>
      <c r="AT112" s="741"/>
      <c r="AU112" s="721"/>
      <c r="AV112" s="721"/>
      <c r="AW112" s="721"/>
      <c r="AX112" s="721"/>
      <c r="AY112" s="741"/>
      <c r="AZ112" s="721"/>
      <c r="BA112" s="721"/>
      <c r="BB112" s="721"/>
      <c r="BC112" s="721"/>
      <c r="BD112" s="741"/>
      <c r="BE112" s="721"/>
      <c r="BF112" s="721"/>
      <c r="BG112" s="721"/>
      <c r="BH112" s="721"/>
      <c r="BI112" s="741"/>
      <c r="BJ112" s="721"/>
      <c r="BK112" s="721"/>
      <c r="BL112" s="721"/>
      <c r="BM112" s="721"/>
      <c r="BN112" s="741"/>
      <c r="BO112" s="721">
        <f>BO110/BS110</f>
        <v>0.22342005248347119</v>
      </c>
      <c r="BP112" s="721">
        <f>BP110/BS110</f>
        <v>0.24932331820194062</v>
      </c>
      <c r="BQ112" s="721">
        <f>BQ110/BS110</f>
        <v>0.26313970035095613</v>
      </c>
      <c r="BR112" s="721">
        <f>BR110/BS110</f>
        <v>0.26411692896363204</v>
      </c>
      <c r="BS112" s="741"/>
      <c r="BT112" s="721">
        <f>BT110/BX110</f>
        <v>0.23821036490719749</v>
      </c>
      <c r="BU112" s="721">
        <f>BU110/BX110</f>
        <v>0.24939746568705848</v>
      </c>
      <c r="BV112" s="721">
        <f>BV110/BX110</f>
        <v>0.25944534858562007</v>
      </c>
      <c r="BW112" s="721">
        <f>BW110/BX110</f>
        <v>0.25294682082012399</v>
      </c>
      <c r="BX112" s="741"/>
      <c r="BY112" s="721">
        <f>BY110/CC110</f>
        <v>0.22827623717794304</v>
      </c>
      <c r="BZ112" s="721">
        <f>BZ110/CC110</f>
        <v>0.24051884909403995</v>
      </c>
      <c r="CA112" s="721">
        <f>CA110/CC110</f>
        <v>0.26001952621270635</v>
      </c>
      <c r="CB112" s="721">
        <f>CB110/CC110</f>
        <v>0.27118538751531074</v>
      </c>
      <c r="CC112" s="741"/>
      <c r="CD112" s="721">
        <f>CD110/CH110</f>
        <v>0.22538990829112157</v>
      </c>
      <c r="CE112" s="721">
        <f>CE110/CH110</f>
        <v>0.23665160330050444</v>
      </c>
      <c r="CF112" s="721">
        <f>CF110/CH110</f>
        <v>0.26483831141008934</v>
      </c>
      <c r="CG112" s="721">
        <f>CG110/CH110</f>
        <v>0.27312017699828467</v>
      </c>
      <c r="CH112" s="741"/>
      <c r="CI112" s="721">
        <f>CI110/CM110</f>
        <v>0.25810035506485668</v>
      </c>
      <c r="CJ112" s="721">
        <f>CJ110/CM110</f>
        <v>0.25519594961959446</v>
      </c>
      <c r="CK112" s="721">
        <f>CK110/CM110</f>
        <v>0.25146603498122871</v>
      </c>
      <c r="CL112" s="721">
        <f>CL110/CM110</f>
        <v>0.23523766033432014</v>
      </c>
      <c r="CM112" s="741"/>
      <c r="CN112" s="721">
        <f>CN110/CR110</f>
        <v>0.24711301444302106</v>
      </c>
      <c r="CO112" s="721">
        <f>CO110/CR110</f>
        <v>0.24975989961260206</v>
      </c>
      <c r="CP112" s="721">
        <f>CP110/CR110</f>
        <v>0.2409760022938644</v>
      </c>
      <c r="CQ112" s="721">
        <f>CQ110/CR110</f>
        <v>0.26215108365051248</v>
      </c>
      <c r="CR112" s="741"/>
      <c r="CS112" s="721">
        <f>CS110/CW110</f>
        <v>0.22584176102974973</v>
      </c>
      <c r="CT112" s="721">
        <f>CT110/CW110</f>
        <v>0.24944327930480512</v>
      </c>
      <c r="CU112" s="721">
        <f>CU110/CW110</f>
        <v>0.27793243160123249</v>
      </c>
      <c r="CV112" s="721">
        <f>CV110/CW110</f>
        <v>0.2467825280642125</v>
      </c>
      <c r="CW112" s="741"/>
      <c r="CX112" s="721">
        <f>CX110/DB110</f>
        <v>0.23761425458782759</v>
      </c>
      <c r="CY112" s="721">
        <f>CY110/DB110</f>
        <v>0.24598203760959961</v>
      </c>
      <c r="CZ112" s="721">
        <f>CZ110/DB110</f>
        <v>0.26004471827337611</v>
      </c>
      <c r="DA112" s="721">
        <f>DA110/DB110</f>
        <v>0.25635898952919678</v>
      </c>
      <c r="DB112" s="741"/>
      <c r="DC112" s="721">
        <f>DC110/DG110</f>
        <v>0.24031521230212963</v>
      </c>
      <c r="DD112" s="721">
        <f>DD110/DG110</f>
        <v>0.26101362122019933</v>
      </c>
      <c r="DE112" s="721">
        <f>DE110/DG110</f>
        <v>0.2503734807048501</v>
      </c>
      <c r="DF112" s="721">
        <f>DF110/DG110</f>
        <v>0.24829768577282088</v>
      </c>
      <c r="DG112" s="741"/>
      <c r="DH112" s="721">
        <f>DH110/DL110</f>
        <v>0.23268955731908422</v>
      </c>
      <c r="DI112" s="721">
        <f>DI110/DL110</f>
        <v>0.24780722442977771</v>
      </c>
      <c r="DJ112" s="721">
        <f>DJ110/DL110</f>
        <v>0.26235444913628603</v>
      </c>
      <c r="DK112" s="721">
        <f>DK110/DL110</f>
        <v>0.25714876911485202</v>
      </c>
      <c r="DL112" s="741"/>
      <c r="DM112" s="721">
        <f>DM110/DQ110</f>
        <v>0.24281441479226906</v>
      </c>
      <c r="DN112" s="721">
        <f>DN110/DQ110</f>
        <v>0.2595465528597804</v>
      </c>
      <c r="DO112" s="721">
        <f>DO110/DQ110</f>
        <v>0.24782194868610169</v>
      </c>
      <c r="DP112" s="721">
        <f>DP110/DQ110</f>
        <v>0.24981708366184896</v>
      </c>
      <c r="DQ112" s="741"/>
      <c r="DR112" s="721">
        <f>DR110/DV110</f>
        <v>0.25471127935035015</v>
      </c>
      <c r="DS112" s="721">
        <f>DS110/DV110</f>
        <v>0.24044289823610634</v>
      </c>
      <c r="DT112" s="721">
        <f>DT110/DV110</f>
        <v>0.24704573295620158</v>
      </c>
      <c r="DU112" s="721">
        <f>DU110/DV110</f>
        <v>0.2578000894573419</v>
      </c>
      <c r="DV112" s="741"/>
      <c r="DW112" s="721">
        <f>DW110/EA110</f>
        <v>0.23657355632000959</v>
      </c>
      <c r="DX112" s="721">
        <f>DX110/EA110</f>
        <v>0.2524580677424782</v>
      </c>
      <c r="DY112" s="721">
        <f>DY110/EA110</f>
        <v>0.25845150901403086</v>
      </c>
      <c r="DZ112" s="721">
        <f>DZ110/EA110</f>
        <v>0.2525168669234813</v>
      </c>
      <c r="EA112" s="741"/>
      <c r="EB112" s="721">
        <f>EB110/EF110</f>
        <v>0.25760057898396804</v>
      </c>
      <c r="EC112" s="721">
        <f>EC110/EF110</f>
        <v>0.25072373613646637</v>
      </c>
      <c r="ED112" s="721">
        <f>ED110/EF110</f>
        <v>0.24520447372535858</v>
      </c>
      <c r="EE112" s="721">
        <f>EE110/EF110</f>
        <v>0.246471211154207</v>
      </c>
      <c r="EF112" s="741"/>
      <c r="EG112" s="721">
        <f>EG110/EK110</f>
        <v>0.23441844889303931</v>
      </c>
      <c r="EH112" s="721">
        <f>EH110/EK110</f>
        <v>0.25351163399121596</v>
      </c>
      <c r="EI112" s="721">
        <f>EI110/EK110</f>
        <v>0.25288962069982213</v>
      </c>
      <c r="EJ112" s="721">
        <f>EJ110/EK110</f>
        <v>0.25918029641592255</v>
      </c>
      <c r="EK112" s="741"/>
      <c r="EL112" s="721">
        <f>EL110/EP110</f>
        <v>0.21268163880454913</v>
      </c>
      <c r="EM112" s="721">
        <f>EM110/EP110</f>
        <v>0.25556042115606448</v>
      </c>
      <c r="EN112" s="721">
        <f>EN110/EP110</f>
        <v>0.26003204860321694</v>
      </c>
      <c r="EO112" s="721">
        <f>EO110/EP110</f>
        <v>0.27172589143616943</v>
      </c>
      <c r="EP112" s="741"/>
      <c r="EQ112" s="721">
        <f>EQ110/EU110</f>
        <v>0.19241373527382166</v>
      </c>
      <c r="ER112" s="721">
        <f>ER110/EU110</f>
        <v>0.25689589117113748</v>
      </c>
      <c r="ES112" s="721">
        <f>ES110/EU110</f>
        <v>0.26661870350632211</v>
      </c>
      <c r="ET112" s="721">
        <f>ET110/EU110</f>
        <v>0.28407167004871881</v>
      </c>
      <c r="EU112" s="741"/>
      <c r="EV112" s="721">
        <f>EV110/EZ110</f>
        <v>0.1736144070576808</v>
      </c>
      <c r="EW112" s="721">
        <f>EW110/EZ110</f>
        <v>0.25755165184232143</v>
      </c>
      <c r="EX112" s="721">
        <f>EX110/EZ110</f>
        <v>0.2726452685981412</v>
      </c>
      <c r="EY112" s="721">
        <f>EY110/EZ110</f>
        <v>0.29618867250185654</v>
      </c>
      <c r="EZ112" s="741"/>
      <c r="FA112" s="721">
        <f>FA110/FE110</f>
        <v>0.15626249655682864</v>
      </c>
      <c r="FB112" s="721">
        <f>FB110/FE110</f>
        <v>0.2575673604722169</v>
      </c>
      <c r="FC112" s="721">
        <f>FC110/FE110</f>
        <v>0.27811513577663194</v>
      </c>
      <c r="FD112" s="721">
        <f>FD110/FE110</f>
        <v>0.30805500719432261</v>
      </c>
      <c r="FE112" s="741"/>
      <c r="FF112" s="721"/>
      <c r="FG112" s="690"/>
      <c r="FH112" s="955">
        <f>AVERAGE(CI112,CN112,DH112,DM112,DC112,CS112,CX112,CD112,BY112,BT112,DR112,DW112)</f>
        <v>0.23897082629879662</v>
      </c>
      <c r="FI112" s="955">
        <f>AVERAGE(CJ112,CO112,DI112,DN112,DD112,CT112,CY112,CE112,BZ112,BU112,DS112,DX112)</f>
        <v>0.24901812072637883</v>
      </c>
      <c r="FJ112" s="955">
        <f>AVERAGE(CK112,CP112,DJ112,DO112,DE112,CU112,CZ112,CF112,CA112,BV112,DT112,DY112)</f>
        <v>0.25673079115463232</v>
      </c>
      <c r="FK112" s="955">
        <f>AVERAGE(CL112,CQ112,DK112,DP112,DF112,CV112,DA112,CG112,CB112,BW112,DU112,DZ112)</f>
        <v>0.2552802618201922</v>
      </c>
      <c r="FL112" s="690"/>
      <c r="FM112" s="747"/>
      <c r="FN112" s="708"/>
      <c r="FO112" s="723"/>
      <c r="FP112" s="723"/>
      <c r="FQ112" s="723"/>
      <c r="FR112" s="723"/>
      <c r="FS112" s="723"/>
      <c r="FT112" s="723"/>
      <c r="FU112" s="690"/>
      <c r="FV112"/>
      <c r="FW112"/>
      <c r="FX112"/>
      <c r="FY112"/>
      <c r="FZ112"/>
      <c r="GA112"/>
      <c r="GB112" s="949"/>
      <c r="GC112" s="950"/>
      <c r="GD112" s="950"/>
      <c r="GE112" s="950"/>
      <c r="GF112" s="950"/>
      <c r="GG112" s="950"/>
      <c r="GH112" s="950"/>
      <c r="GI112" s="950"/>
      <c r="GJ112" s="950"/>
      <c r="GK112" s="950"/>
      <c r="GL112" s="950"/>
      <c r="GM112" s="950"/>
      <c r="GN112" s="950"/>
      <c r="GO112" s="950"/>
      <c r="GP112" s="950"/>
      <c r="GQ112" s="950"/>
      <c r="GR112" s="950"/>
      <c r="GS112" s="950"/>
      <c r="GT112" s="950"/>
      <c r="GU112" s="950"/>
      <c r="GV112" s="950"/>
      <c r="GW112" s="950"/>
      <c r="GX112" s="950"/>
      <c r="GY112" s="950"/>
      <c r="GZ112" s="950"/>
      <c r="HA112" s="950"/>
      <c r="HB112" s="950"/>
      <c r="HC112" s="950"/>
      <c r="HD112" s="950"/>
      <c r="HE112" s="950"/>
      <c r="HF112" s="950"/>
      <c r="HG112" s="950"/>
      <c r="HH112" s="950"/>
      <c r="HI112" s="950"/>
      <c r="HJ112" s="950"/>
      <c r="HK112" s="950"/>
      <c r="HL112" s="950"/>
      <c r="HM112" s="950"/>
      <c r="HN112" s="950"/>
      <c r="HO112" s="950"/>
      <c r="HP112" s="950"/>
      <c r="HQ112" s="950"/>
      <c r="HR112" s="950"/>
      <c r="HS112" s="950"/>
      <c r="HT112" s="950"/>
      <c r="HU112" s="950"/>
      <c r="HV112" s="950"/>
      <c r="HW112" s="950"/>
      <c r="HX112" s="950"/>
      <c r="HY112" s="950"/>
      <c r="HZ112" s="950"/>
      <c r="IA112" s="950"/>
      <c r="IB112" s="950"/>
      <c r="IC112" s="950"/>
      <c r="ID112" s="950"/>
      <c r="IE112" s="950"/>
      <c r="IF112" s="950"/>
      <c r="IG112" s="950"/>
      <c r="IH112" s="950"/>
      <c r="II112" s="950"/>
      <c r="IJ112" s="950"/>
      <c r="IK112" s="950"/>
      <c r="IL112" s="950"/>
      <c r="IM112" s="950"/>
      <c r="IN112" s="950"/>
      <c r="IO112" s="950"/>
      <c r="IP112" s="950"/>
      <c r="IQ112" s="950"/>
      <c r="IR112" s="950"/>
      <c r="IS112" s="950"/>
      <c r="IT112" s="950"/>
      <c r="IU112" s="950"/>
      <c r="IV112" s="950"/>
      <c r="IW112" s="950"/>
      <c r="IX112" s="950"/>
      <c r="IY112" s="950"/>
      <c r="IZ112" s="950"/>
      <c r="JA112" s="950"/>
      <c r="JB112" s="950"/>
      <c r="JC112" s="950"/>
      <c r="JD112" s="950"/>
      <c r="JE112" s="950"/>
      <c r="JF112" s="950"/>
      <c r="JG112" s="950"/>
      <c r="JH112" s="950"/>
      <c r="JI112" s="950"/>
      <c r="JJ112" s="950"/>
      <c r="JK112" s="950"/>
      <c r="JL112" s="950"/>
    </row>
    <row r="113" spans="1:272" s="1247" customFormat="1" ht="12.75" hidden="1" customHeight="1" outlineLevel="1">
      <c r="A113" s="1237" t="s">
        <v>334</v>
      </c>
      <c r="B113" s="1238"/>
      <c r="C113" s="1239"/>
      <c r="D113" s="1239"/>
      <c r="E113" s="1239"/>
      <c r="F113" s="1240"/>
      <c r="G113" s="1239"/>
      <c r="H113" s="1239"/>
      <c r="I113" s="1239"/>
      <c r="J113" s="1239"/>
      <c r="K113" s="1240"/>
      <c r="L113" s="1231"/>
      <c r="M113" s="1231"/>
      <c r="N113" s="1231"/>
      <c r="O113" s="1231"/>
      <c r="P113" s="1240"/>
      <c r="Q113" s="1231"/>
      <c r="R113" s="1231"/>
      <c r="S113" s="1231"/>
      <c r="T113" s="1231"/>
      <c r="U113" s="1240"/>
      <c r="V113" s="1231"/>
      <c r="W113" s="1231"/>
      <c r="X113" s="1231"/>
      <c r="Y113" s="1231"/>
      <c r="Z113" s="1240"/>
      <c r="AA113" s="1231"/>
      <c r="AB113" s="1231"/>
      <c r="AC113" s="1231"/>
      <c r="AD113" s="1231"/>
      <c r="AE113" s="1240"/>
      <c r="AF113" s="1231"/>
      <c r="AG113" s="1231"/>
      <c r="AH113" s="1231"/>
      <c r="AI113" s="1231"/>
      <c r="AJ113" s="1240"/>
      <c r="AK113" s="1231"/>
      <c r="AL113" s="1231"/>
      <c r="AM113" s="1231"/>
      <c r="AN113" s="1231"/>
      <c r="AO113" s="1240"/>
      <c r="AP113" s="1231">
        <v>9.8439999999999994</v>
      </c>
      <c r="AQ113" s="1231">
        <v>8.5890000000000004</v>
      </c>
      <c r="AR113" s="1231">
        <v>11.016</v>
      </c>
      <c r="AS113" s="1231">
        <v>58.676000000000002</v>
      </c>
      <c r="AT113" s="1240">
        <f>SUM(AP113:AS113)</f>
        <v>88.125</v>
      </c>
      <c r="AU113" s="1231">
        <v>11.634</v>
      </c>
      <c r="AV113" s="1231">
        <v>12.122</v>
      </c>
      <c r="AW113" s="1231">
        <v>14.395</v>
      </c>
      <c r="AX113" s="1231">
        <v>18.234999999999999</v>
      </c>
      <c r="AY113" s="1240">
        <f>SUM(AU113:AX113)</f>
        <v>56.385999999999996</v>
      </c>
      <c r="AZ113" s="1231">
        <v>13.778</v>
      </c>
      <c r="BA113" s="1231">
        <v>12.433999999999999</v>
      </c>
      <c r="BB113" s="1231">
        <v>3.5259999999999998</v>
      </c>
      <c r="BC113" s="1231">
        <v>4.923</v>
      </c>
      <c r="BD113" s="1240">
        <f>SUM(AZ113:BC113)</f>
        <v>34.661000000000001</v>
      </c>
      <c r="BE113" s="1231">
        <v>5.8520000000000003</v>
      </c>
      <c r="BF113" s="1231">
        <v>4.5519999999999996</v>
      </c>
      <c r="BG113" s="1231">
        <v>9.3520000000000003</v>
      </c>
      <c r="BH113" s="1231">
        <v>8.7829999999999995</v>
      </c>
      <c r="BI113" s="1240">
        <f>SUM(BE113:BH113)</f>
        <v>28.539000000000001</v>
      </c>
      <c r="BJ113" s="1231">
        <v>3.702</v>
      </c>
      <c r="BK113" s="1231">
        <v>2.754</v>
      </c>
      <c r="BL113" s="1231">
        <v>0.60499999999999998</v>
      </c>
      <c r="BM113" s="1231">
        <v>0.38100000000000001</v>
      </c>
      <c r="BN113" s="1240">
        <f>SUM(BJ113:BM113)</f>
        <v>7.4420000000000002</v>
      </c>
      <c r="BO113" s="1241">
        <v>1.073</v>
      </c>
      <c r="BP113" s="1241">
        <v>0.90700000000000003</v>
      </c>
      <c r="BQ113" s="1241">
        <v>0.63900000000000001</v>
      </c>
      <c r="BR113" s="1241">
        <v>0.222</v>
      </c>
      <c r="BS113" s="1240">
        <f>SUM(BO113:BR113)</f>
        <v>2.8409999999999997</v>
      </c>
      <c r="BT113" s="1241"/>
      <c r="BU113" s="1241"/>
      <c r="BV113" s="1241"/>
      <c r="BW113" s="1241"/>
      <c r="BX113" s="1240"/>
      <c r="BY113" s="1241"/>
      <c r="BZ113" s="1241"/>
      <c r="CA113" s="1241"/>
      <c r="CB113" s="1241"/>
      <c r="CC113" s="1240"/>
      <c r="CD113" s="1241">
        <v>15.01</v>
      </c>
      <c r="CE113" s="1241">
        <v>14.257999999999999</v>
      </c>
      <c r="CF113" s="1241">
        <v>18.263000000000002</v>
      </c>
      <c r="CG113" s="1241">
        <v>18.408999999999999</v>
      </c>
      <c r="CH113" s="1240">
        <f>SUM(CD113:CG113)</f>
        <v>65.94</v>
      </c>
      <c r="CI113" s="1241">
        <v>24.282</v>
      </c>
      <c r="CJ113" s="1241">
        <v>26.324999999999999</v>
      </c>
      <c r="CK113" s="1241">
        <v>26.773</v>
      </c>
      <c r="CL113" s="1241">
        <v>19.834</v>
      </c>
      <c r="CM113" s="1240">
        <f>SUM(CI113:CL113)</f>
        <v>97.213999999999999</v>
      </c>
      <c r="CN113" s="1241">
        <v>10.808</v>
      </c>
      <c r="CO113" s="1241">
        <v>10.698</v>
      </c>
      <c r="CP113" s="1241">
        <v>10.195</v>
      </c>
      <c r="CQ113" s="1241">
        <v>9.3190000000000008</v>
      </c>
      <c r="CR113" s="1240">
        <f>SUM(CN113:CQ113)</f>
        <v>41.02</v>
      </c>
      <c r="CS113" s="1241">
        <v>12.054</v>
      </c>
      <c r="CT113" s="1241">
        <v>13.500999999999999</v>
      </c>
      <c r="CU113" s="1241">
        <v>12.587999999999999</v>
      </c>
      <c r="CV113" s="1241">
        <v>8.8979999999999997</v>
      </c>
      <c r="CW113" s="1240">
        <f>SUM(CS113:CV113)</f>
        <v>47.040999999999997</v>
      </c>
      <c r="CX113" s="1241">
        <v>5.9889999999999999</v>
      </c>
      <c r="CY113" s="1241">
        <v>4.5369999999999999</v>
      </c>
      <c r="CZ113" s="1241">
        <v>3.8580000000000001</v>
      </c>
      <c r="DA113" s="1241">
        <v>6.0579999999999998</v>
      </c>
      <c r="DB113" s="1240">
        <f>SUM(CX113:DA113)</f>
        <v>20.442</v>
      </c>
      <c r="DC113" s="1241">
        <v>11.839</v>
      </c>
      <c r="DD113" s="1241">
        <v>14.019</v>
      </c>
      <c r="DE113" s="1241">
        <v>10.416</v>
      </c>
      <c r="DF113" s="1241">
        <v>16.616</v>
      </c>
      <c r="DG113" s="1240">
        <f>SUM(DC113:DF113)</f>
        <v>52.89</v>
      </c>
      <c r="DH113" s="1241">
        <v>11.997</v>
      </c>
      <c r="DI113" s="1241">
        <v>12.297000000000001</v>
      </c>
      <c r="DJ113" s="1241">
        <v>12.13</v>
      </c>
      <c r="DK113" s="1241">
        <v>10.231</v>
      </c>
      <c r="DL113" s="1240">
        <f>SUM(DH113:DK113)</f>
        <v>46.655000000000001</v>
      </c>
      <c r="DM113" s="1241">
        <v>14.291</v>
      </c>
      <c r="DN113" s="1241">
        <v>14.635999999999999</v>
      </c>
      <c r="DO113" s="1241">
        <v>15.228999999999999</v>
      </c>
      <c r="DP113" s="1241">
        <v>13.507999999999999</v>
      </c>
      <c r="DQ113" s="1240">
        <f>SUM(DM113:DP113)</f>
        <v>57.664000000000001</v>
      </c>
      <c r="DR113" s="1241">
        <v>16.603000000000002</v>
      </c>
      <c r="DS113" s="1241">
        <v>17.920999999999999</v>
      </c>
      <c r="DT113" s="1241">
        <v>0</v>
      </c>
      <c r="DU113" s="1241">
        <v>0</v>
      </c>
      <c r="DV113" s="1240">
        <f>SUM(DR113:DU113)</f>
        <v>34.524000000000001</v>
      </c>
      <c r="DW113" s="1241">
        <v>0</v>
      </c>
      <c r="DX113" s="1241">
        <v>0</v>
      </c>
      <c r="DY113" s="1241">
        <v>0</v>
      </c>
      <c r="DZ113" s="1241">
        <v>0</v>
      </c>
      <c r="EA113" s="1240">
        <f>SUM(DW113:DZ113)</f>
        <v>0</v>
      </c>
      <c r="EB113" s="1241">
        <v>0</v>
      </c>
      <c r="EC113" s="935">
        <v>0</v>
      </c>
      <c r="ED113" s="1730">
        <v>0</v>
      </c>
      <c r="EE113" s="1241">
        <f>(EE36+EE75+EE110)*EE115</f>
        <v>0</v>
      </c>
      <c r="EF113" s="1240">
        <f>SUM(EB113:EE113)</f>
        <v>0</v>
      </c>
      <c r="EG113" s="1241">
        <f>(EG36+EG75+EG110)*EG115</f>
        <v>0</v>
      </c>
      <c r="EH113" s="1241">
        <f>(EH36+EH75+EH110)*EH115</f>
        <v>0</v>
      </c>
      <c r="EI113" s="1241">
        <f>(EI36+EI75+EI110)*EI115</f>
        <v>0</v>
      </c>
      <c r="EJ113" s="1241">
        <f>(EJ36+EJ75+EJ110)*EJ115</f>
        <v>0</v>
      </c>
      <c r="EK113" s="1240">
        <f>SUM(EG113:EJ113)</f>
        <v>0</v>
      </c>
      <c r="EL113" s="1242"/>
      <c r="EM113" s="1241"/>
      <c r="EN113" s="1241"/>
      <c r="EO113" s="1243"/>
      <c r="EP113" s="1240">
        <f>(EP36+EP75+EP110)*EP115</f>
        <v>0</v>
      </c>
      <c r="EQ113" s="1242"/>
      <c r="ER113" s="1241"/>
      <c r="ES113" s="1241"/>
      <c r="ET113" s="1243"/>
      <c r="EU113" s="1240">
        <f>(EU36+EU75+EU110)*EU115</f>
        <v>0</v>
      </c>
      <c r="EV113" s="1242"/>
      <c r="EW113" s="1241"/>
      <c r="EX113" s="1241"/>
      <c r="EY113" s="1243"/>
      <c r="EZ113" s="1240">
        <f>(EZ36+EZ75+EZ110)*EZ115</f>
        <v>0</v>
      </c>
      <c r="FA113" s="1242"/>
      <c r="FB113" s="1241"/>
      <c r="FC113" s="1241"/>
      <c r="FD113" s="1243"/>
      <c r="FE113" s="1240">
        <f>(FE36+FE75+FE110)*FE115</f>
        <v>0</v>
      </c>
      <c r="FF113" s="994"/>
      <c r="FG113" s="690"/>
      <c r="FH113" s="1229"/>
      <c r="FI113" s="1229"/>
      <c r="FJ113" s="1229"/>
      <c r="FK113" s="1229"/>
      <c r="FL113" s="690"/>
      <c r="FM113" s="1230"/>
      <c r="FN113" s="1230"/>
      <c r="FO113" s="1244"/>
      <c r="FP113" s="1244"/>
      <c r="FQ113" s="1244"/>
      <c r="FR113" s="1244"/>
      <c r="FS113" s="1244"/>
      <c r="FT113" s="1244"/>
      <c r="FU113" s="690"/>
      <c r="FV113"/>
      <c r="FW113"/>
      <c r="FX113"/>
      <c r="FY113"/>
      <c r="FZ113"/>
      <c r="GA113"/>
      <c r="GB113" s="1245"/>
      <c r="GC113" s="1246"/>
      <c r="GD113" s="1246"/>
      <c r="GE113" s="1246"/>
      <c r="GF113" s="1246"/>
      <c r="GG113" s="1246"/>
      <c r="GH113" s="1246"/>
      <c r="GI113" s="1246"/>
      <c r="GJ113" s="1246"/>
      <c r="GK113" s="1246"/>
      <c r="GL113" s="1246"/>
      <c r="GM113" s="1246"/>
      <c r="GN113" s="1246"/>
      <c r="GO113" s="1246"/>
      <c r="GP113" s="1246"/>
      <c r="GQ113" s="1246"/>
      <c r="GR113" s="1246"/>
      <c r="GS113" s="1246"/>
      <c r="GT113" s="1246"/>
      <c r="GU113" s="1246"/>
      <c r="GV113" s="1246"/>
      <c r="GW113" s="1246"/>
      <c r="GX113" s="1246"/>
      <c r="GY113" s="1246"/>
      <c r="GZ113" s="1246"/>
      <c r="HA113" s="1246"/>
      <c r="HB113" s="1246"/>
      <c r="HC113" s="1246"/>
      <c r="HD113" s="1246"/>
      <c r="HE113" s="1246"/>
      <c r="HF113" s="1246"/>
      <c r="HG113" s="1246"/>
      <c r="HH113" s="1246"/>
      <c r="HI113" s="1246"/>
      <c r="HJ113" s="1246"/>
      <c r="HK113" s="1246"/>
      <c r="HL113" s="1246"/>
      <c r="HM113" s="1246"/>
      <c r="HN113" s="1246"/>
      <c r="HO113" s="1246"/>
      <c r="HP113" s="1246"/>
      <c r="HQ113" s="1246"/>
      <c r="HR113" s="1246"/>
      <c r="HS113" s="1246"/>
      <c r="HT113" s="1246"/>
      <c r="HU113" s="1246"/>
      <c r="HV113" s="1246"/>
      <c r="HW113" s="1246"/>
      <c r="HX113" s="1246"/>
      <c r="HY113" s="1246"/>
      <c r="HZ113" s="1246"/>
      <c r="IA113" s="1246"/>
      <c r="IB113" s="1246"/>
      <c r="IC113" s="1246"/>
      <c r="ID113" s="1246"/>
      <c r="IE113" s="1246"/>
      <c r="IF113" s="1246"/>
      <c r="IG113" s="1246"/>
      <c r="IH113" s="1246"/>
      <c r="II113" s="1246"/>
      <c r="IJ113" s="1246"/>
      <c r="IK113" s="1246"/>
      <c r="IL113" s="1246"/>
      <c r="IM113" s="1246"/>
      <c r="IN113" s="1246"/>
      <c r="IO113" s="1246"/>
      <c r="IP113" s="1246"/>
      <c r="IQ113" s="1246"/>
      <c r="IR113" s="1246"/>
      <c r="IS113" s="1246"/>
      <c r="IT113" s="1246"/>
      <c r="IU113" s="1246"/>
      <c r="IV113" s="1246"/>
      <c r="IW113" s="1246"/>
      <c r="IX113" s="1246"/>
      <c r="IY113" s="1246"/>
      <c r="IZ113" s="1246"/>
      <c r="JA113" s="1246"/>
      <c r="JB113" s="1246"/>
      <c r="JC113" s="1246"/>
      <c r="JD113" s="1246"/>
      <c r="JE113" s="1246"/>
      <c r="JF113" s="1246"/>
      <c r="JG113" s="1246"/>
      <c r="JH113" s="1246"/>
      <c r="JI113" s="1246"/>
      <c r="JJ113" s="1246"/>
      <c r="JK113" s="1246"/>
      <c r="JL113" s="1246"/>
    </row>
    <row r="114" spans="1:272" s="532" customFormat="1" ht="12.75" hidden="1" customHeight="1" outlineLevel="1">
      <c r="A114" s="58" t="s">
        <v>85</v>
      </c>
      <c r="B114" s="1248"/>
      <c r="C114" s="1249"/>
      <c r="D114" s="1249"/>
      <c r="E114" s="1249"/>
      <c r="F114" s="1250"/>
      <c r="G114" s="1251"/>
      <c r="H114" s="1251"/>
      <c r="I114" s="1251"/>
      <c r="J114" s="1251"/>
      <c r="K114" s="1250"/>
      <c r="L114" s="1251"/>
      <c r="M114" s="1251"/>
      <c r="N114" s="1251"/>
      <c r="O114" s="1251"/>
      <c r="P114" s="1250"/>
      <c r="Q114" s="1251"/>
      <c r="R114" s="1251"/>
      <c r="S114" s="1251"/>
      <c r="T114" s="1251"/>
      <c r="U114" s="1250"/>
      <c r="V114" s="1251"/>
      <c r="W114" s="1251"/>
      <c r="X114" s="743"/>
      <c r="Y114" s="743"/>
      <c r="Z114" s="1250"/>
      <c r="AA114" s="743"/>
      <c r="AB114" s="743"/>
      <c r="AC114" s="743"/>
      <c r="AD114" s="743"/>
      <c r="AE114" s="1250"/>
      <c r="AF114" s="743"/>
      <c r="AG114" s="743"/>
      <c r="AH114" s="743"/>
      <c r="AI114" s="743"/>
      <c r="AJ114" s="1250"/>
      <c r="AK114" s="1252"/>
      <c r="AL114" s="743"/>
      <c r="AM114" s="743"/>
      <c r="AN114" s="743"/>
      <c r="AO114" s="1250"/>
      <c r="AP114" s="1252"/>
      <c r="AQ114" s="743"/>
      <c r="AR114" s="743"/>
      <c r="AS114" s="743"/>
      <c r="AT114" s="1250"/>
      <c r="AU114" s="1253">
        <f t="shared" ref="AU114:BS114" si="358">AU113/AP113-1</f>
        <v>0.18183665176757424</v>
      </c>
      <c r="AV114" s="1253">
        <f t="shared" si="358"/>
        <v>0.41134008615671203</v>
      </c>
      <c r="AW114" s="1253">
        <f t="shared" si="358"/>
        <v>0.30673565722585328</v>
      </c>
      <c r="AX114" s="1253">
        <f t="shared" si="358"/>
        <v>-0.68922557774899451</v>
      </c>
      <c r="AY114" s="1250">
        <f t="shared" si="358"/>
        <v>-0.36015886524822704</v>
      </c>
      <c r="AZ114" s="1253">
        <f t="shared" si="358"/>
        <v>0.18428743338490627</v>
      </c>
      <c r="BA114" s="1253">
        <f t="shared" si="358"/>
        <v>2.5738327008744344E-2</v>
      </c>
      <c r="BB114" s="1253">
        <f t="shared" si="358"/>
        <v>-0.75505383813824245</v>
      </c>
      <c r="BC114" s="1253">
        <f t="shared" si="358"/>
        <v>-0.73002467781738412</v>
      </c>
      <c r="BD114" s="1250">
        <f t="shared" si="358"/>
        <v>-0.38529067499024572</v>
      </c>
      <c r="BE114" s="1253">
        <f t="shared" si="358"/>
        <v>-0.57526491508201483</v>
      </c>
      <c r="BF114" s="1253">
        <f t="shared" si="358"/>
        <v>-0.63390702911372043</v>
      </c>
      <c r="BG114" s="1253">
        <f t="shared" si="358"/>
        <v>1.6522972206466253</v>
      </c>
      <c r="BH114" s="1253">
        <f t="shared" si="358"/>
        <v>0.78407475116798686</v>
      </c>
      <c r="BI114" s="1250">
        <f t="shared" si="358"/>
        <v>-0.17662502524451107</v>
      </c>
      <c r="BJ114" s="1253">
        <f t="shared" si="358"/>
        <v>-0.36739576213260428</v>
      </c>
      <c r="BK114" s="1253">
        <f t="shared" si="358"/>
        <v>-0.39499121265377846</v>
      </c>
      <c r="BL114" s="1253">
        <f t="shared" si="358"/>
        <v>-0.93530795551753632</v>
      </c>
      <c r="BM114" s="1253">
        <f t="shared" si="358"/>
        <v>-0.95662074462028923</v>
      </c>
      <c r="BN114" s="1250">
        <f t="shared" si="358"/>
        <v>-0.73923403062475912</v>
      </c>
      <c r="BO114" s="1253">
        <f t="shared" si="358"/>
        <v>-0.7101566720691519</v>
      </c>
      <c r="BP114" s="1253">
        <f t="shared" si="358"/>
        <v>-0.6706608569353667</v>
      </c>
      <c r="BQ114" s="1253">
        <f t="shared" si="358"/>
        <v>5.6198347107438096E-2</v>
      </c>
      <c r="BR114" s="1253">
        <f t="shared" si="358"/>
        <v>-0.41732283464566933</v>
      </c>
      <c r="BS114" s="1250">
        <f t="shared" si="358"/>
        <v>-0.61824778285407156</v>
      </c>
      <c r="BT114" s="1253"/>
      <c r="BU114" s="1253"/>
      <c r="BV114" s="1253"/>
      <c r="BW114" s="1253"/>
      <c r="BX114" s="1250"/>
      <c r="BY114" s="1253" t="str">
        <f t="shared" ref="BY114:CH114" si="359">IF(ISERROR(BY113/BT113-1),"",BY113/BT113-1)</f>
        <v/>
      </c>
      <c r="BZ114" s="1253" t="str">
        <f t="shared" si="359"/>
        <v/>
      </c>
      <c r="CA114" s="1253" t="str">
        <f t="shared" si="359"/>
        <v/>
      </c>
      <c r="CB114" s="1253" t="str">
        <f t="shared" si="359"/>
        <v/>
      </c>
      <c r="CC114" s="1250" t="str">
        <f t="shared" si="359"/>
        <v/>
      </c>
      <c r="CD114" s="1253" t="str">
        <f t="shared" si="359"/>
        <v/>
      </c>
      <c r="CE114" s="1253" t="str">
        <f t="shared" si="359"/>
        <v/>
      </c>
      <c r="CF114" s="1253" t="str">
        <f t="shared" si="359"/>
        <v/>
      </c>
      <c r="CG114" s="1253" t="str">
        <f t="shared" si="359"/>
        <v/>
      </c>
      <c r="CH114" s="1250" t="str">
        <f t="shared" si="359"/>
        <v/>
      </c>
      <c r="CI114" s="1253">
        <f t="shared" ref="CI114:DS114" si="360">CI113/CD113-1</f>
        <v>0.61772151898734173</v>
      </c>
      <c r="CJ114" s="1253">
        <f t="shared" si="360"/>
        <v>0.84633188385467806</v>
      </c>
      <c r="CK114" s="1253">
        <f t="shared" si="360"/>
        <v>0.46596944642172677</v>
      </c>
      <c r="CL114" s="1253">
        <f t="shared" si="360"/>
        <v>7.7407789668097138E-2</v>
      </c>
      <c r="CM114" s="1250">
        <f t="shared" si="360"/>
        <v>0.47427964816499846</v>
      </c>
      <c r="CN114" s="1253">
        <f t="shared" si="360"/>
        <v>-0.55489663124948518</v>
      </c>
      <c r="CO114" s="1253">
        <f t="shared" si="360"/>
        <v>-0.59361823361823363</v>
      </c>
      <c r="CP114" s="1253">
        <f t="shared" si="360"/>
        <v>-0.61920591640832179</v>
      </c>
      <c r="CQ114" s="1253">
        <f t="shared" si="360"/>
        <v>-0.53015024705051927</v>
      </c>
      <c r="CR114" s="1250">
        <f t="shared" si="360"/>
        <v>-0.57804431460489225</v>
      </c>
      <c r="CS114" s="1253">
        <f t="shared" si="360"/>
        <v>0.11528497409326421</v>
      </c>
      <c r="CT114" s="1253">
        <f t="shared" si="360"/>
        <v>0.26201159095157966</v>
      </c>
      <c r="CU114" s="1253">
        <f t="shared" si="360"/>
        <v>0.23472290338401169</v>
      </c>
      <c r="CV114" s="1253">
        <f t="shared" si="360"/>
        <v>-4.5176521085953603E-2</v>
      </c>
      <c r="CW114" s="1250">
        <f t="shared" si="360"/>
        <v>0.14678205753291063</v>
      </c>
      <c r="CX114" s="1253">
        <f t="shared" si="360"/>
        <v>-0.50315248050439698</v>
      </c>
      <c r="CY114" s="1253">
        <f t="shared" si="360"/>
        <v>-0.66395081845789194</v>
      </c>
      <c r="CZ114" s="1253">
        <f t="shared" si="360"/>
        <v>-0.69351763584366055</v>
      </c>
      <c r="DA114" s="1253">
        <f t="shared" si="360"/>
        <v>-0.31917284783097322</v>
      </c>
      <c r="DB114" s="1250">
        <f t="shared" si="360"/>
        <v>-0.56544291150273163</v>
      </c>
      <c r="DC114" s="1253">
        <f t="shared" si="360"/>
        <v>0.97679078310235434</v>
      </c>
      <c r="DD114" s="1253">
        <f t="shared" si="360"/>
        <v>2.0899272647123652</v>
      </c>
      <c r="DE114" s="1253">
        <f>DE113/CZ113-1</f>
        <v>1.6998444790046658</v>
      </c>
      <c r="DF114" s="1253">
        <f>DF113/DA113-1</f>
        <v>1.7428194123473095</v>
      </c>
      <c r="DG114" s="1250">
        <f t="shared" si="360"/>
        <v>1.5873202230701495</v>
      </c>
      <c r="DH114" s="1253">
        <f t="shared" si="360"/>
        <v>1.3345721767041185E-2</v>
      </c>
      <c r="DI114" s="1253">
        <f t="shared" si="360"/>
        <v>-0.12283329766745132</v>
      </c>
      <c r="DJ114" s="1253">
        <f t="shared" si="360"/>
        <v>0.16455453149001542</v>
      </c>
      <c r="DK114" s="1253">
        <f t="shared" si="360"/>
        <v>-0.38426817525276846</v>
      </c>
      <c r="DL114" s="1250">
        <f t="shared" si="360"/>
        <v>-0.11788617886178865</v>
      </c>
      <c r="DM114" s="1253">
        <f t="shared" si="360"/>
        <v>0.19121447028423777</v>
      </c>
      <c r="DN114" s="1253">
        <f t="shared" si="360"/>
        <v>0.19020899406359271</v>
      </c>
      <c r="DO114" s="1253">
        <f t="shared" si="360"/>
        <v>0.25548227535037094</v>
      </c>
      <c r="DP114" s="1253">
        <f t="shared" si="360"/>
        <v>0.32030104584107111</v>
      </c>
      <c r="DQ114" s="1250">
        <f t="shared" si="360"/>
        <v>0.23596613439074043</v>
      </c>
      <c r="DR114" s="1253">
        <f>DR113/DM113-1</f>
        <v>0.16178014134770136</v>
      </c>
      <c r="DS114" s="1253">
        <f t="shared" si="360"/>
        <v>0.22444657010112046</v>
      </c>
      <c r="DT114" s="1253"/>
      <c r="DU114" s="1253"/>
      <c r="DV114" s="1250"/>
      <c r="DW114" s="1253"/>
      <c r="DX114" s="1253"/>
      <c r="DY114" s="1253"/>
      <c r="DZ114" s="1253"/>
      <c r="EA114" s="1250"/>
      <c r="EB114" s="1253"/>
      <c r="EC114" s="1253"/>
      <c r="ED114" s="1253"/>
      <c r="EE114" s="1253"/>
      <c r="EF114" s="1250"/>
      <c r="EG114" s="1253"/>
      <c r="EH114" s="1253"/>
      <c r="EI114" s="1253"/>
      <c r="EJ114" s="1253"/>
      <c r="EK114" s="1250"/>
      <c r="EL114" s="1254"/>
      <c r="EM114" s="1255"/>
      <c r="EN114" s="1255"/>
      <c r="EO114" s="1256"/>
      <c r="EP114" s="1250"/>
      <c r="EQ114" s="1254"/>
      <c r="ER114" s="1255"/>
      <c r="ES114" s="1255"/>
      <c r="ET114" s="1256"/>
      <c r="EU114" s="1250"/>
      <c r="EV114" s="1254"/>
      <c r="EW114" s="1255"/>
      <c r="EX114" s="1255"/>
      <c r="EY114" s="1256"/>
      <c r="EZ114" s="1250"/>
      <c r="FA114" s="1254"/>
      <c r="FB114" s="1255"/>
      <c r="FC114" s="1255"/>
      <c r="FD114" s="1256"/>
      <c r="FE114" s="1250"/>
      <c r="FF114" s="721"/>
      <c r="FG114" s="690"/>
      <c r="FH114" s="754"/>
      <c r="FI114" s="754"/>
      <c r="FJ114" s="754"/>
      <c r="FK114" s="754"/>
      <c r="FL114" s="690"/>
      <c r="FM114" s="530"/>
      <c r="FN114" s="708"/>
      <c r="FO114" s="723"/>
      <c r="FP114" s="723"/>
      <c r="FQ114" s="723"/>
      <c r="FR114" s="723"/>
      <c r="FS114" s="723"/>
      <c r="FT114" s="723"/>
      <c r="FU114" s="690"/>
      <c r="FV114"/>
      <c r="FW114"/>
      <c r="FX114"/>
      <c r="FY114"/>
      <c r="FZ114"/>
      <c r="GA114"/>
      <c r="GB114" s="1257"/>
    </row>
    <row r="115" spans="1:272" s="950" customFormat="1" ht="12.75" hidden="1" customHeight="1" outlineLevel="1">
      <c r="A115" s="58" t="s">
        <v>335</v>
      </c>
      <c r="B115" s="1022"/>
      <c r="C115" s="954"/>
      <c r="D115" s="954"/>
      <c r="E115" s="954"/>
      <c r="F115" s="1250"/>
      <c r="G115" s="743"/>
      <c r="H115" s="743"/>
      <c r="I115" s="743"/>
      <c r="J115" s="743"/>
      <c r="K115" s="1250"/>
      <c r="L115" s="743"/>
      <c r="M115" s="743"/>
      <c r="N115" s="743"/>
      <c r="O115" s="743"/>
      <c r="P115" s="1250"/>
      <c r="Q115" s="743"/>
      <c r="R115" s="743"/>
      <c r="S115" s="743"/>
      <c r="T115" s="743"/>
      <c r="U115" s="1250"/>
      <c r="V115" s="743"/>
      <c r="W115" s="743"/>
      <c r="X115" s="743"/>
      <c r="Y115" s="743"/>
      <c r="Z115" s="1250"/>
      <c r="AA115" s="743"/>
      <c r="AB115" s="743"/>
      <c r="AC115" s="743"/>
      <c r="AD115" s="743"/>
      <c r="AE115" s="1250"/>
      <c r="AF115" s="743"/>
      <c r="AG115" s="743"/>
      <c r="AH115" s="743"/>
      <c r="AI115" s="743"/>
      <c r="AJ115" s="1250"/>
      <c r="AK115" s="1252"/>
      <c r="AL115" s="743"/>
      <c r="AM115" s="743"/>
      <c r="AN115" s="743"/>
      <c r="AO115" s="1250"/>
      <c r="AP115" s="1252"/>
      <c r="AQ115" s="743"/>
      <c r="AR115" s="743"/>
      <c r="AS115" s="743"/>
      <c r="AT115" s="1250"/>
      <c r="AU115" s="1253"/>
      <c r="AV115" s="1253"/>
      <c r="AW115" s="1253"/>
      <c r="AX115" s="1253"/>
      <c r="AY115" s="1250"/>
      <c r="AZ115" s="1253"/>
      <c r="BA115" s="1253"/>
      <c r="BB115" s="1253"/>
      <c r="BC115" s="1253"/>
      <c r="BD115" s="1250"/>
      <c r="BE115" s="1253"/>
      <c r="BF115" s="1253"/>
      <c r="BG115" s="1253"/>
      <c r="BH115" s="1253"/>
      <c r="BI115" s="1250"/>
      <c r="BJ115" s="1253"/>
      <c r="BK115" s="1253"/>
      <c r="BL115" s="1253"/>
      <c r="BM115" s="1253"/>
      <c r="BN115" s="1250"/>
      <c r="BO115" s="1253"/>
      <c r="BP115" s="1253"/>
      <c r="BQ115" s="1253"/>
      <c r="BR115" s="1253"/>
      <c r="BS115" s="1250"/>
      <c r="BT115" s="1253"/>
      <c r="BU115" s="1253"/>
      <c r="BV115" s="1253"/>
      <c r="BW115" s="1253"/>
      <c r="BX115" s="1250"/>
      <c r="BY115" s="1253"/>
      <c r="BZ115" s="1253"/>
      <c r="CA115" s="1253"/>
      <c r="CB115" s="1253"/>
      <c r="CC115" s="1250"/>
      <c r="CD115" s="1253">
        <f>CD113/CD120</f>
        <v>1.6043266584366101E-2</v>
      </c>
      <c r="CE115" s="1253">
        <f>CE113/CE120</f>
        <v>1.3957016929906564E-2</v>
      </c>
      <c r="CF115" s="1253">
        <f>CF113/CF120</f>
        <v>1.6840686168285147E-2</v>
      </c>
      <c r="CG115" s="1253">
        <f>CG113/CG120</f>
        <v>1.7141266232012797E-2</v>
      </c>
      <c r="CH115" s="1250">
        <f>CH113/(CH36+CH75+CH110)</f>
        <v>1.5639052378729749E-2</v>
      </c>
      <c r="CI115" s="1253">
        <f t="shared" ref="CI115:EA115" si="361">CI113/(CI36+CI75+CI110)</f>
        <v>2.2401360945872143E-2</v>
      </c>
      <c r="CJ115" s="1253">
        <f t="shared" si="361"/>
        <v>2.3120295799264012E-2</v>
      </c>
      <c r="CK115" s="1253">
        <f t="shared" si="361"/>
        <v>2.4223698020339475E-2</v>
      </c>
      <c r="CL115" s="1253">
        <f t="shared" si="361"/>
        <v>1.9422001090859595E-2</v>
      </c>
      <c r="CM115" s="1250">
        <f t="shared" si="361"/>
        <v>2.2353107542742438E-2</v>
      </c>
      <c r="CN115" s="1253">
        <f t="shared" si="361"/>
        <v>1.0471924526181264E-2</v>
      </c>
      <c r="CO115" s="1253">
        <f t="shared" si="361"/>
        <v>9.726444874387211E-3</v>
      </c>
      <c r="CP115" s="1253">
        <f t="shared" si="361"/>
        <v>8.94704001727099E-3</v>
      </c>
      <c r="CQ115" s="1253">
        <f t="shared" si="361"/>
        <v>7.5128748375529273E-3</v>
      </c>
      <c r="CR115" s="1250">
        <f t="shared" si="361"/>
        <v>9.0915780337545334E-3</v>
      </c>
      <c r="CS115" s="1253">
        <f t="shared" si="361"/>
        <v>9.6655699951968838E-3</v>
      </c>
      <c r="CT115" s="1253">
        <f t="shared" si="361"/>
        <v>9.6708154973725972E-3</v>
      </c>
      <c r="CU115" s="1253">
        <f t="shared" si="361"/>
        <v>8.8099560621987937E-3</v>
      </c>
      <c r="CV115" s="1253">
        <f t="shared" si="361"/>
        <v>7.5617611815995437E-3</v>
      </c>
      <c r="CW115" s="1250">
        <f t="shared" si="361"/>
        <v>8.962390956560571E-3</v>
      </c>
      <c r="CX115" s="1253">
        <f t="shared" si="361"/>
        <v>5.8424993293173669E-3</v>
      </c>
      <c r="CY115" s="1253">
        <f t="shared" si="361"/>
        <v>4.0499201531060845E-3</v>
      </c>
      <c r="CZ115" s="1253">
        <f t="shared" si="361"/>
        <v>3.2228907107568366E-3</v>
      </c>
      <c r="DA115" s="1253">
        <f t="shared" si="361"/>
        <v>5.144588585773149E-3</v>
      </c>
      <c r="DB115" s="1250">
        <f t="shared" si="361"/>
        <v>4.52261239826777E-3</v>
      </c>
      <c r="DC115" s="1253">
        <f t="shared" si="361"/>
        <v>9.6977232999290626E-3</v>
      </c>
      <c r="DD115" s="1253">
        <f t="shared" si="361"/>
        <v>1.0398355132866636E-2</v>
      </c>
      <c r="DE115" s="1253">
        <f t="shared" si="361"/>
        <v>7.9646990103081523E-3</v>
      </c>
      <c r="DF115" s="1253">
        <f t="shared" si="361"/>
        <v>1.3335312977773142E-2</v>
      </c>
      <c r="DG115" s="1250">
        <f t="shared" si="361"/>
        <v>1.032446883301703E-2</v>
      </c>
      <c r="DH115" s="1253">
        <f t="shared" si="361"/>
        <v>9.3512433638286083E-3</v>
      </c>
      <c r="DI115" s="1253">
        <f t="shared" si="361"/>
        <v>8.851271007102899E-3</v>
      </c>
      <c r="DJ115" s="1253">
        <f t="shared" si="361"/>
        <v>8.5473879731979858E-3</v>
      </c>
      <c r="DK115" s="1253">
        <f t="shared" si="361"/>
        <v>7.5186754314732008E-3</v>
      </c>
      <c r="DL115" s="1250">
        <f t="shared" si="361"/>
        <v>8.5572296255673266E-3</v>
      </c>
      <c r="DM115" s="1253">
        <f t="shared" si="361"/>
        <v>1.0153348167978197E-2</v>
      </c>
      <c r="DN115" s="1253">
        <f t="shared" si="361"/>
        <v>9.8262942664955992E-3</v>
      </c>
      <c r="DO115" s="1253">
        <f t="shared" si="361"/>
        <v>1.0530646678099243E-2</v>
      </c>
      <c r="DP115" s="1253">
        <f t="shared" si="361"/>
        <v>9.5719818991186235E-3</v>
      </c>
      <c r="DQ115" s="1250">
        <f t="shared" si="361"/>
        <v>1.0020938938205196E-2</v>
      </c>
      <c r="DR115" s="1253">
        <f t="shared" si="361"/>
        <v>1.2058281816491588E-2</v>
      </c>
      <c r="DS115" s="1253">
        <f t="shared" si="361"/>
        <v>1.2580934349018609E-2</v>
      </c>
      <c r="DT115" s="1253">
        <f t="shared" si="361"/>
        <v>0</v>
      </c>
      <c r="DU115" s="1253">
        <f t="shared" si="361"/>
        <v>0</v>
      </c>
      <c r="DV115" s="1250">
        <f t="shared" si="361"/>
        <v>6.117687335568547E-3</v>
      </c>
      <c r="DW115" s="1253">
        <f t="shared" si="361"/>
        <v>0</v>
      </c>
      <c r="DX115" s="1253">
        <f t="shared" si="361"/>
        <v>0</v>
      </c>
      <c r="DY115" s="1253">
        <f t="shared" si="361"/>
        <v>0</v>
      </c>
      <c r="DZ115" s="1253">
        <f t="shared" si="361"/>
        <v>0</v>
      </c>
      <c r="EA115" s="1250">
        <f t="shared" si="361"/>
        <v>0</v>
      </c>
      <c r="EB115" s="1253">
        <f>EB113/(EB36+EB75+EB110)</f>
        <v>0</v>
      </c>
      <c r="EC115" s="1253">
        <f>EC113/(EC36+EC75+EC110)</f>
        <v>0</v>
      </c>
      <c r="ED115" s="1253">
        <f t="shared" ref="ED115" si="362">ED113/(ED36+ED75+ED110)</f>
        <v>0</v>
      </c>
      <c r="EE115" s="1258">
        <f>ED115</f>
        <v>0</v>
      </c>
      <c r="EF115" s="1250">
        <f>EF113/(EF36+EF75+EF110)</f>
        <v>0</v>
      </c>
      <c r="EG115" s="1258">
        <f>EF115</f>
        <v>0</v>
      </c>
      <c r="EH115" s="1258">
        <f>EG115</f>
        <v>0</v>
      </c>
      <c r="EI115" s="1258">
        <f>EH115</f>
        <v>0</v>
      </c>
      <c r="EJ115" s="1258">
        <f>EI115</f>
        <v>0</v>
      </c>
      <c r="EK115" s="1250">
        <f>EK113/(EK36+EK75+EK110)</f>
        <v>0</v>
      </c>
      <c r="EL115" s="1259"/>
      <c r="EM115" s="1253"/>
      <c r="EN115" s="1253"/>
      <c r="EO115" s="1260"/>
      <c r="EP115" s="1261">
        <f>EK115</f>
        <v>0</v>
      </c>
      <c r="EQ115" s="1259"/>
      <c r="ER115" s="1253"/>
      <c r="ES115" s="1253"/>
      <c r="ET115" s="1260"/>
      <c r="EU115" s="1261">
        <f>EP115</f>
        <v>0</v>
      </c>
      <c r="EV115" s="1259"/>
      <c r="EW115" s="1253"/>
      <c r="EX115" s="1253"/>
      <c r="EY115" s="1260"/>
      <c r="EZ115" s="1261">
        <f>EU115</f>
        <v>0</v>
      </c>
      <c r="FA115" s="1259"/>
      <c r="FB115" s="1253"/>
      <c r="FC115" s="1253"/>
      <c r="FD115" s="1260"/>
      <c r="FE115" s="1261">
        <f>EZ115</f>
        <v>0</v>
      </c>
      <c r="FF115" s="721"/>
      <c r="FG115" s="690"/>
      <c r="FH115" s="754"/>
      <c r="FI115" s="754"/>
      <c r="FJ115" s="754"/>
      <c r="FK115" s="754"/>
      <c r="FL115" s="690"/>
      <c r="FM115" s="708"/>
      <c r="FN115" s="708"/>
      <c r="FO115" s="723"/>
      <c r="FP115" s="723"/>
      <c r="FQ115" s="723"/>
      <c r="FR115" s="723"/>
      <c r="FS115" s="723"/>
      <c r="FT115" s="723"/>
      <c r="FU115" s="690"/>
      <c r="FV115"/>
      <c r="FW115"/>
      <c r="FX115"/>
      <c r="FY115"/>
      <c r="FZ115"/>
      <c r="GA115"/>
      <c r="GB115" s="1236"/>
    </row>
    <row r="116" spans="1:272" s="945" customFormat="1" ht="12.75" hidden="1" customHeight="1" outlineLevel="1">
      <c r="A116" s="932" t="s">
        <v>336</v>
      </c>
      <c r="B116" s="933"/>
      <c r="C116" s="934"/>
      <c r="D116" s="934"/>
      <c r="E116" s="934"/>
      <c r="F116" s="718"/>
      <c r="G116" s="934"/>
      <c r="H116" s="934"/>
      <c r="I116" s="934"/>
      <c r="J116" s="934"/>
      <c r="K116" s="718"/>
      <c r="L116" s="719"/>
      <c r="M116" s="719"/>
      <c r="N116" s="719"/>
      <c r="O116" s="719"/>
      <c r="P116" s="718"/>
      <c r="Q116" s="719"/>
      <c r="R116" s="719"/>
      <c r="S116" s="719"/>
      <c r="T116" s="719"/>
      <c r="U116" s="718"/>
      <c r="V116" s="719"/>
      <c r="W116" s="719"/>
      <c r="X116" s="719"/>
      <c r="Y116" s="719"/>
      <c r="Z116" s="718"/>
      <c r="AA116" s="719"/>
      <c r="AB116" s="719"/>
      <c r="AC116" s="719"/>
      <c r="AD116" s="719"/>
      <c r="AE116" s="718"/>
      <c r="AF116" s="719"/>
      <c r="AG116" s="719"/>
      <c r="AH116" s="719"/>
      <c r="AI116" s="719"/>
      <c r="AJ116" s="718"/>
      <c r="AK116" s="719"/>
      <c r="AL116" s="719"/>
      <c r="AM116" s="719"/>
      <c r="AN116" s="719"/>
      <c r="AO116" s="718"/>
      <c r="AP116" s="719"/>
      <c r="AQ116" s="719"/>
      <c r="AR116" s="719"/>
      <c r="AS116" s="719"/>
      <c r="AT116" s="718"/>
      <c r="AU116" s="719"/>
      <c r="AV116" s="719"/>
      <c r="AW116" s="719"/>
      <c r="AX116" s="719"/>
      <c r="AY116" s="718"/>
      <c r="AZ116" s="719"/>
      <c r="BA116" s="719"/>
      <c r="BB116" s="719"/>
      <c r="BC116" s="719"/>
      <c r="BD116" s="718"/>
      <c r="BE116" s="719"/>
      <c r="BF116" s="719"/>
      <c r="BG116" s="719"/>
      <c r="BH116" s="719"/>
      <c r="BI116" s="718"/>
      <c r="BJ116" s="719"/>
      <c r="BK116" s="719"/>
      <c r="BL116" s="719"/>
      <c r="BM116" s="719"/>
      <c r="BN116" s="718"/>
      <c r="BO116" s="935"/>
      <c r="BP116" s="935"/>
      <c r="BQ116" s="935"/>
      <c r="BR116" s="935"/>
      <c r="BS116" s="718"/>
      <c r="BT116" s="935">
        <v>5.9939999999999998</v>
      </c>
      <c r="BU116" s="935">
        <v>6.5410000000000004</v>
      </c>
      <c r="BV116" s="935">
        <v>9.2050000000000001</v>
      </c>
      <c r="BW116" s="935">
        <v>10.94</v>
      </c>
      <c r="BX116" s="718">
        <f>SUM(BT116:BW116)</f>
        <v>32.68</v>
      </c>
      <c r="BY116" s="935">
        <v>11</v>
      </c>
      <c r="BZ116" s="935">
        <v>12.031000000000001</v>
      </c>
      <c r="CA116" s="935">
        <v>13.382</v>
      </c>
      <c r="CB116" s="935">
        <v>15.327999999999999</v>
      </c>
      <c r="CC116" s="718">
        <f>SUM(BY116:CB116)</f>
        <v>51.741</v>
      </c>
      <c r="CD116" s="935">
        <v>27.439</v>
      </c>
      <c r="CE116" s="935">
        <v>33.134</v>
      </c>
      <c r="CF116" s="935">
        <v>50.981999999999999</v>
      </c>
      <c r="CG116" s="935">
        <v>55.177999999999997</v>
      </c>
      <c r="CH116" s="718">
        <f>SUM(CD116:CG116)</f>
        <v>166.733</v>
      </c>
      <c r="CI116" s="935">
        <v>62.241999999999997</v>
      </c>
      <c r="CJ116" s="935">
        <v>64.882999999999996</v>
      </c>
      <c r="CK116" s="935">
        <v>55.206000000000003</v>
      </c>
      <c r="CL116" s="935">
        <v>42.42</v>
      </c>
      <c r="CM116" s="718">
        <f>SUM(CI116:CL116)</f>
        <v>224.75100000000003</v>
      </c>
      <c r="CN116" s="935">
        <v>40.71</v>
      </c>
      <c r="CO116" s="935">
        <v>36.869</v>
      </c>
      <c r="CP116" s="935">
        <v>38.384999999999998</v>
      </c>
      <c r="CQ116" s="935">
        <v>49.561</v>
      </c>
      <c r="CR116" s="718">
        <f>SUM(CN116:CQ116)</f>
        <v>165.52500000000001</v>
      </c>
      <c r="CS116" s="935">
        <v>57.58</v>
      </c>
      <c r="CT116" s="935">
        <v>69.872</v>
      </c>
      <c r="CU116" s="935">
        <v>71.257000000000005</v>
      </c>
      <c r="CV116" s="935">
        <v>60.225999999999999</v>
      </c>
      <c r="CW116" s="718">
        <f>SUM(CS116:CV116)</f>
        <v>258.935</v>
      </c>
      <c r="CX116" s="935">
        <v>68.132000000000005</v>
      </c>
      <c r="CY116" s="935">
        <v>68.472999999999999</v>
      </c>
      <c r="CZ116" s="935">
        <v>67.478999999999999</v>
      </c>
      <c r="DA116" s="935">
        <v>67.072999999999993</v>
      </c>
      <c r="DB116" s="718">
        <f>SUM(CX116:DA116)</f>
        <v>271.15699999999998</v>
      </c>
      <c r="DC116" s="935">
        <v>70.73</v>
      </c>
      <c r="DD116" s="935">
        <v>55.95</v>
      </c>
      <c r="DE116" s="935">
        <v>48.015000000000001</v>
      </c>
      <c r="DF116" s="935">
        <v>48.988</v>
      </c>
      <c r="DG116" s="718">
        <f>SUM(DC116:DF116)</f>
        <v>223.68299999999999</v>
      </c>
      <c r="DH116" s="935">
        <v>49.301000000000002</v>
      </c>
      <c r="DI116" s="935">
        <v>53.04</v>
      </c>
      <c r="DJ116" s="935">
        <v>54.228000000000002</v>
      </c>
      <c r="DK116" s="935">
        <v>52.277999999999999</v>
      </c>
      <c r="DL116" s="718">
        <f>SUM(DH116:DK116)</f>
        <v>208.84700000000001</v>
      </c>
      <c r="DM116" s="935">
        <v>55.646000000000001</v>
      </c>
      <c r="DN116" s="935">
        <v>58.012999999999998</v>
      </c>
      <c r="DO116" s="935">
        <v>57.276000000000003</v>
      </c>
      <c r="DP116" s="935">
        <v>60.834000000000003</v>
      </c>
      <c r="DQ116" s="718">
        <f>SUM(DM116:DP116)</f>
        <v>231.76900000000001</v>
      </c>
      <c r="DR116" s="935">
        <v>57.335000000000001</v>
      </c>
      <c r="DS116" s="935">
        <v>61.008000000000266</v>
      </c>
      <c r="DT116" s="935">
        <v>43.961000000000013</v>
      </c>
      <c r="DU116" s="935">
        <v>42.173000000000229</v>
      </c>
      <c r="DV116" s="718">
        <f>SUM(DR116:DU116)</f>
        <v>204.47700000000052</v>
      </c>
      <c r="DW116" s="935">
        <v>41.558999999999969</v>
      </c>
      <c r="DX116" s="935">
        <v>45.868000000000166</v>
      </c>
      <c r="DY116" s="935">
        <v>45.286999999999807</v>
      </c>
      <c r="DZ116" s="935">
        <v>42.503999999999905</v>
      </c>
      <c r="EA116" s="718">
        <f>SUM(DW116:DZ116)</f>
        <v>175.21799999999985</v>
      </c>
      <c r="EB116" s="935">
        <v>38.975999999999885</v>
      </c>
      <c r="EC116" s="935">
        <v>38.27599999999984</v>
      </c>
      <c r="ED116" s="1715">
        <f>+EC116</f>
        <v>38.27599999999984</v>
      </c>
      <c r="EE116" s="935">
        <f>(EE36+EE75+EE110+EE113)*EE117</f>
        <v>36.7373100974282</v>
      </c>
      <c r="EF116" s="718">
        <f>SUM(EB116:EE116)</f>
        <v>152.26531009742777</v>
      </c>
      <c r="EG116" s="935">
        <f>(EG36+EG75+EG110+EG113)*EG117</f>
        <v>35.2980638879664</v>
      </c>
      <c r="EH116" s="935">
        <f>(EH36+EH75+EH110+EH113)*EH117</f>
        <v>37.475211846278086</v>
      </c>
      <c r="EI116" s="935">
        <f>(EI36+EI75+EI110+EI113)*EI117</f>
        <v>37.592608778047513</v>
      </c>
      <c r="EJ116" s="935">
        <f>(EJ36+EJ75+EJ110+EJ113)*EJ117</f>
        <v>37.210404474559503</v>
      </c>
      <c r="EK116" s="718">
        <f>SUM(EG116:EJ116)</f>
        <v>147.57628898685152</v>
      </c>
      <c r="EL116" s="936"/>
      <c r="EM116" s="935"/>
      <c r="EN116" s="935"/>
      <c r="EO116" s="937"/>
      <c r="EP116" s="718">
        <f>(EP36+EP75+EP110+EP113)*EP117</f>
        <v>152.59113660501939</v>
      </c>
      <c r="EQ116" s="936"/>
      <c r="ER116" s="935"/>
      <c r="ES116" s="935"/>
      <c r="ET116" s="937"/>
      <c r="EU116" s="718">
        <f>(EU36+EU75+EU110+EU113)*EU117</f>
        <v>156.11625347923277</v>
      </c>
      <c r="EV116" s="936"/>
      <c r="EW116" s="935"/>
      <c r="EX116" s="935"/>
      <c r="EY116" s="937"/>
      <c r="EZ116" s="718">
        <f>(EZ36+EZ75+EZ110+EZ113)*EZ117</f>
        <v>162.28312334496047</v>
      </c>
      <c r="FA116" s="936"/>
      <c r="FB116" s="935"/>
      <c r="FC116" s="935"/>
      <c r="FD116" s="937"/>
      <c r="FE116" s="718">
        <f>(FE36+FE75+FE110+FE113)*FE117</f>
        <v>168.76765765519332</v>
      </c>
      <c r="FF116" s="938"/>
      <c r="FG116" s="690"/>
      <c r="FH116" s="754"/>
      <c r="FI116" s="754"/>
      <c r="FJ116" s="754"/>
      <c r="FK116" s="754"/>
      <c r="FL116" s="690"/>
      <c r="FM116" s="940"/>
      <c r="FN116" s="940"/>
      <c r="FO116" s="941"/>
      <c r="FP116" s="941"/>
      <c r="FQ116" s="941"/>
      <c r="FR116" s="941"/>
      <c r="FS116" s="941"/>
      <c r="FT116" s="941"/>
      <c r="FU116" s="690"/>
      <c r="FV116"/>
      <c r="FW116"/>
      <c r="FX116"/>
      <c r="FY116"/>
      <c r="FZ116"/>
      <c r="GA116"/>
      <c r="GB116" s="943"/>
      <c r="GC116" s="944"/>
      <c r="GD116" s="944"/>
      <c r="GE116" s="944"/>
      <c r="GF116" s="944"/>
      <c r="GG116" s="944"/>
      <c r="GH116" s="944"/>
      <c r="GI116" s="944"/>
      <c r="GJ116" s="944"/>
      <c r="GK116" s="944"/>
      <c r="GL116" s="944"/>
      <c r="GM116" s="944"/>
      <c r="GN116" s="944"/>
      <c r="GO116" s="944"/>
      <c r="GP116" s="944"/>
      <c r="GQ116" s="944"/>
      <c r="GR116" s="944"/>
      <c r="GS116" s="944"/>
      <c r="GT116" s="944"/>
      <c r="GU116" s="944"/>
      <c r="GV116" s="944"/>
      <c r="GW116" s="944"/>
      <c r="GX116" s="944"/>
      <c r="GY116" s="944"/>
      <c r="GZ116" s="944"/>
      <c r="HA116" s="944"/>
      <c r="HB116" s="944"/>
      <c r="HC116" s="944"/>
      <c r="HD116" s="944"/>
      <c r="HE116" s="944"/>
      <c r="HF116" s="944"/>
      <c r="HG116" s="944"/>
      <c r="HH116" s="944"/>
      <c r="HI116" s="944"/>
      <c r="HJ116" s="944"/>
      <c r="HK116" s="944"/>
      <c r="HL116" s="944"/>
      <c r="HM116" s="944"/>
      <c r="HN116" s="944"/>
      <c r="HO116" s="944"/>
      <c r="HP116" s="944"/>
      <c r="HQ116" s="944"/>
      <c r="HR116" s="944"/>
      <c r="HS116" s="944"/>
      <c r="HT116" s="944"/>
      <c r="HU116" s="944"/>
      <c r="HV116" s="944"/>
      <c r="HW116" s="944"/>
      <c r="HX116" s="944"/>
      <c r="HY116" s="944"/>
      <c r="HZ116" s="944"/>
      <c r="IA116" s="944"/>
      <c r="IB116" s="944"/>
      <c r="IC116" s="944"/>
      <c r="ID116" s="944"/>
      <c r="IE116" s="944"/>
      <c r="IF116" s="944"/>
      <c r="IG116" s="944"/>
      <c r="IH116" s="944"/>
      <c r="II116" s="944"/>
      <c r="IJ116" s="944"/>
      <c r="IK116" s="944"/>
      <c r="IL116" s="944"/>
      <c r="IM116" s="944"/>
      <c r="IN116" s="944"/>
      <c r="IO116" s="944"/>
      <c r="IP116" s="944"/>
      <c r="IQ116" s="944"/>
      <c r="IR116" s="944"/>
      <c r="IS116" s="944"/>
      <c r="IT116" s="944"/>
      <c r="IU116" s="944"/>
      <c r="IV116" s="944"/>
      <c r="IW116" s="944"/>
      <c r="IX116" s="944"/>
      <c r="IY116" s="944"/>
      <c r="IZ116" s="944"/>
      <c r="JA116" s="944"/>
      <c r="JB116" s="944"/>
      <c r="JC116" s="944"/>
      <c r="JD116" s="944"/>
      <c r="JE116" s="944"/>
      <c r="JF116" s="944"/>
      <c r="JG116" s="944"/>
      <c r="JH116" s="944"/>
      <c r="JI116" s="944"/>
      <c r="JJ116" s="944"/>
      <c r="JK116" s="944"/>
      <c r="JL116" s="944"/>
    </row>
    <row r="117" spans="1:272" s="1264" customFormat="1" ht="12.75" hidden="1" customHeight="1" outlineLevel="1">
      <c r="A117" s="1262" t="s">
        <v>337</v>
      </c>
      <c r="B117" s="790"/>
      <c r="C117" s="742"/>
      <c r="D117" s="742"/>
      <c r="E117" s="742"/>
      <c r="F117" s="741"/>
      <c r="G117" s="742"/>
      <c r="H117" s="742"/>
      <c r="I117" s="742"/>
      <c r="J117" s="742"/>
      <c r="K117" s="741"/>
      <c r="L117" s="721"/>
      <c r="M117" s="721"/>
      <c r="N117" s="721"/>
      <c r="O117" s="721"/>
      <c r="P117" s="741"/>
      <c r="Q117" s="721"/>
      <c r="R117" s="721"/>
      <c r="S117" s="721"/>
      <c r="T117" s="721"/>
      <c r="U117" s="741"/>
      <c r="V117" s="721"/>
      <c r="W117" s="721"/>
      <c r="X117" s="721"/>
      <c r="Y117" s="721"/>
      <c r="Z117" s="741"/>
      <c r="AA117" s="721"/>
      <c r="AB117" s="721"/>
      <c r="AC117" s="721"/>
      <c r="AD117" s="721"/>
      <c r="AE117" s="741"/>
      <c r="AF117" s="721"/>
      <c r="AG117" s="721"/>
      <c r="AH117" s="721"/>
      <c r="AI117" s="721"/>
      <c r="AJ117" s="741"/>
      <c r="AK117" s="721"/>
      <c r="AL117" s="721"/>
      <c r="AM117" s="721"/>
      <c r="AN117" s="721"/>
      <c r="AO117" s="741"/>
      <c r="AP117" s="721"/>
      <c r="AQ117" s="721"/>
      <c r="AR117" s="721"/>
      <c r="AS117" s="721"/>
      <c r="AT117" s="741"/>
      <c r="AU117" s="721"/>
      <c r="AV117" s="721"/>
      <c r="AW117" s="721"/>
      <c r="AX117" s="721"/>
      <c r="AY117" s="741"/>
      <c r="AZ117" s="721"/>
      <c r="BA117" s="721"/>
      <c r="BB117" s="721"/>
      <c r="BC117" s="721"/>
      <c r="BD117" s="741"/>
      <c r="BE117" s="721"/>
      <c r="BF117" s="721"/>
      <c r="BG117" s="721"/>
      <c r="BH117" s="721"/>
      <c r="BI117" s="741"/>
      <c r="BJ117" s="721"/>
      <c r="BK117" s="721"/>
      <c r="BL117" s="721"/>
      <c r="BM117" s="721"/>
      <c r="BN117" s="741"/>
      <c r="BO117" s="721"/>
      <c r="BP117" s="721"/>
      <c r="BQ117" s="721"/>
      <c r="BR117" s="721"/>
      <c r="BS117" s="741"/>
      <c r="BT117" s="1253">
        <f>BT116/BT120</f>
        <v>7.9480947247405325E-3</v>
      </c>
      <c r="BU117" s="1253">
        <f>BU116/BU120</f>
        <v>8.3079095973439075E-3</v>
      </c>
      <c r="BV117" s="1253">
        <f>BV116/BV120</f>
        <v>1.1144054305019002E-2</v>
      </c>
      <c r="BW117" s="1253">
        <f>BW116/BW120</f>
        <v>1.3352373280607326E-2</v>
      </c>
      <c r="BX117" s="1085">
        <f>BX116/(BX36+BX75+BX110+BX113)</f>
        <v>1.0150720179308681E-2</v>
      </c>
      <c r="BY117" s="1253">
        <f t="shared" ref="BY117:DX117" si="363">BY116/(BY36+BY75+BY110+BY113)</f>
        <v>1.2984560177534349E-2</v>
      </c>
      <c r="BZ117" s="1253">
        <f t="shared" si="363"/>
        <v>1.3032325713901944E-2</v>
      </c>
      <c r="CA117" s="1253">
        <f t="shared" si="363"/>
        <v>1.3765733589542074E-2</v>
      </c>
      <c r="CB117" s="1253">
        <f t="shared" si="363"/>
        <v>1.5837083034132182E-2</v>
      </c>
      <c r="CC117" s="1085">
        <f t="shared" si="363"/>
        <v>1.3945214746496584E-2</v>
      </c>
      <c r="CD117" s="1253">
        <f t="shared" si="363"/>
        <v>2.8492244302901044E-2</v>
      </c>
      <c r="CE117" s="1253">
        <f t="shared" si="363"/>
        <v>3.1415598194366352E-2</v>
      </c>
      <c r="CF117" s="1253">
        <f t="shared" si="363"/>
        <v>4.4900694797342704E-2</v>
      </c>
      <c r="CG117" s="1253">
        <f t="shared" si="363"/>
        <v>4.8867452636352032E-2</v>
      </c>
      <c r="CH117" s="1085">
        <f t="shared" si="363"/>
        <v>3.8935312453004314E-2</v>
      </c>
      <c r="CI117" s="1253">
        <f t="shared" si="363"/>
        <v>5.6163229065341796E-2</v>
      </c>
      <c r="CJ117" s="1253">
        <f t="shared" si="363"/>
        <v>5.5696669771274777E-2</v>
      </c>
      <c r="CK117" s="1253">
        <f t="shared" si="363"/>
        <v>4.876799118031331E-2</v>
      </c>
      <c r="CL117" s="1253">
        <f t="shared" si="363"/>
        <v>4.0747439837010242E-2</v>
      </c>
      <c r="CM117" s="1085">
        <f t="shared" si="363"/>
        <v>5.0548678441888636E-2</v>
      </c>
      <c r="CN117" s="1253">
        <f t="shared" si="363"/>
        <v>3.9035344677970388E-2</v>
      </c>
      <c r="CO117" s="1253">
        <f t="shared" si="363"/>
        <v>3.3197789275211463E-2</v>
      </c>
      <c r="CP117" s="1253">
        <f t="shared" si="363"/>
        <v>3.338760940019727E-2</v>
      </c>
      <c r="CQ117" s="1253">
        <f t="shared" si="363"/>
        <v>3.9657588121527733E-2</v>
      </c>
      <c r="CR117" s="1085">
        <f t="shared" si="363"/>
        <v>3.6356044778610846E-2</v>
      </c>
      <c r="CS117" s="1253">
        <f t="shared" si="363"/>
        <v>4.5728862313874075E-2</v>
      </c>
      <c r="CT117" s="1253">
        <f t="shared" si="363"/>
        <v>4.957018410748909E-2</v>
      </c>
      <c r="CU117" s="1253">
        <f t="shared" si="363"/>
        <v>4.9435073323222979E-2</v>
      </c>
      <c r="CV117" s="1253">
        <f t="shared" si="363"/>
        <v>5.0797565468519108E-2</v>
      </c>
      <c r="CW117" s="1085">
        <f t="shared" si="363"/>
        <v>4.8894850060954502E-2</v>
      </c>
      <c r="CX117" s="1253">
        <f t="shared" si="363"/>
        <v>6.6079312244438748E-2</v>
      </c>
      <c r="CY117" s="1253">
        <f t="shared" si="363"/>
        <v>6.0875386511096134E-2</v>
      </c>
      <c r="CZ117" s="1253">
        <f t="shared" si="363"/>
        <v>5.6189421443559942E-2</v>
      </c>
      <c r="DA117" s="1253">
        <f t="shared" si="363"/>
        <v>5.6668350785649947E-2</v>
      </c>
      <c r="DB117" s="1085">
        <f t="shared" si="363"/>
        <v>5.9721002309049698E-2</v>
      </c>
      <c r="DC117" s="1253">
        <f t="shared" si="363"/>
        <v>5.7380859471654763E-2</v>
      </c>
      <c r="DD117" s="1253">
        <f t="shared" si="363"/>
        <v>4.1072871863651279E-2</v>
      </c>
      <c r="DE117" s="1253">
        <f t="shared" si="363"/>
        <v>3.6425037515550721E-2</v>
      </c>
      <c r="DF117" s="1253">
        <f t="shared" si="363"/>
        <v>3.8798350428589194E-2</v>
      </c>
      <c r="DG117" s="1085">
        <f t="shared" si="363"/>
        <v>4.3218158524235599E-2</v>
      </c>
      <c r="DH117" s="1253">
        <f t="shared" si="363"/>
        <v>3.8072387036190425E-2</v>
      </c>
      <c r="DI117" s="1253">
        <f t="shared" si="363"/>
        <v>3.7842762749993042E-2</v>
      </c>
      <c r="DJ117" s="1253">
        <f t="shared" si="363"/>
        <v>3.7887844211847183E-2</v>
      </c>
      <c r="DK117" s="1253">
        <f t="shared" si="363"/>
        <v>3.8131958546320288E-2</v>
      </c>
      <c r="DL117" s="1085">
        <f t="shared" si="363"/>
        <v>3.798067567837899E-2</v>
      </c>
      <c r="DM117" s="1253">
        <f t="shared" si="363"/>
        <v>3.9137520071289567E-2</v>
      </c>
      <c r="DN117" s="1253">
        <f t="shared" si="363"/>
        <v>3.8569678128380323E-2</v>
      </c>
      <c r="DO117" s="1253">
        <f t="shared" si="363"/>
        <v>3.919285008988025E-2</v>
      </c>
      <c r="DP117" s="1253">
        <f t="shared" si="363"/>
        <v>4.2699215980796096E-2</v>
      </c>
      <c r="DQ117" s="1250">
        <f t="shared" si="363"/>
        <v>3.987756397738134E-2</v>
      </c>
      <c r="DR117" s="1253">
        <f t="shared" si="363"/>
        <v>4.1144629454344779E-2</v>
      </c>
      <c r="DS117" s="1253">
        <f t="shared" si="363"/>
        <v>4.2296818171103742E-2</v>
      </c>
      <c r="DT117" s="1253">
        <f t="shared" si="363"/>
        <v>3.0486510927320878E-2</v>
      </c>
      <c r="DU117" s="1253">
        <f t="shared" si="363"/>
        <v>3.0124130876716448E-2</v>
      </c>
      <c r="DV117" s="1250">
        <f t="shared" si="363"/>
        <v>3.6013211378355177E-2</v>
      </c>
      <c r="DW117" s="1253">
        <f t="shared" si="363"/>
        <v>2.94660671212888E-2</v>
      </c>
      <c r="DX117" s="1253">
        <f t="shared" si="363"/>
        <v>2.9818939720468673E-2</v>
      </c>
      <c r="DY117" s="1253">
        <f t="shared" ref="DY117:ED117" si="364">DY116/(DY36+DY75+DY110+DY113)</f>
        <v>2.9228035731688227E-2</v>
      </c>
      <c r="DZ117" s="1253">
        <f t="shared" si="364"/>
        <v>2.8656358989260545E-2</v>
      </c>
      <c r="EA117" s="1250">
        <f t="shared" si="364"/>
        <v>2.9294364239669458E-2</v>
      </c>
      <c r="EB117" s="1253">
        <f t="shared" si="364"/>
        <v>2.7614996949852089E-2</v>
      </c>
      <c r="EC117" s="1253">
        <f t="shared" si="364"/>
        <v>2.6116444571810563E-2</v>
      </c>
      <c r="ED117" s="1253">
        <f t="shared" si="364"/>
        <v>2.6459283837964774E-2</v>
      </c>
      <c r="EE117" s="1258">
        <f>ED117</f>
        <v>2.6459283837964774E-2</v>
      </c>
      <c r="EF117" s="1250">
        <f>EF116/(EF36+EF75+EF110+EF113)</f>
        <v>2.6656887322758904E-2</v>
      </c>
      <c r="EG117" s="1258">
        <f>EF117</f>
        <v>2.6656887322758904E-2</v>
      </c>
      <c r="EH117" s="1258">
        <f>EG117</f>
        <v>2.6656887322758904E-2</v>
      </c>
      <c r="EI117" s="1258">
        <f>EH117</f>
        <v>2.6656887322758904E-2</v>
      </c>
      <c r="EJ117" s="1258">
        <f>EI117</f>
        <v>2.6656887322758904E-2</v>
      </c>
      <c r="EK117" s="1250">
        <f>EK116/(EK36+EK75+EK110+EK113)</f>
        <v>2.6653772655356997E-2</v>
      </c>
      <c r="EL117" s="1259"/>
      <c r="EM117" s="1253"/>
      <c r="EN117" s="1253"/>
      <c r="EO117" s="1260"/>
      <c r="EP117" s="1261">
        <f>EK117</f>
        <v>2.6653772655356997E-2</v>
      </c>
      <c r="EQ117" s="1259"/>
      <c r="ER117" s="1253"/>
      <c r="ES117" s="1253"/>
      <c r="ET117" s="1260"/>
      <c r="EU117" s="1261">
        <f>EP117</f>
        <v>2.6653772655356997E-2</v>
      </c>
      <c r="EV117" s="1259"/>
      <c r="EW117" s="1253"/>
      <c r="EX117" s="1253"/>
      <c r="EY117" s="1260"/>
      <c r="EZ117" s="1261">
        <f>EU117</f>
        <v>2.6653772655356997E-2</v>
      </c>
      <c r="FA117" s="1259"/>
      <c r="FB117" s="1253"/>
      <c r="FC117" s="1253"/>
      <c r="FD117" s="1260"/>
      <c r="FE117" s="1261">
        <f>EZ117</f>
        <v>2.6653772655356997E-2</v>
      </c>
      <c r="FF117" s="721"/>
      <c r="FG117" s="690"/>
      <c r="FH117" s="754"/>
      <c r="FI117" s="754"/>
      <c r="FJ117" s="754"/>
      <c r="FK117" s="754"/>
      <c r="FL117" s="690"/>
      <c r="FM117" s="708"/>
      <c r="FN117" s="708"/>
      <c r="FO117" s="723"/>
      <c r="FP117" s="723"/>
      <c r="FQ117" s="723"/>
      <c r="FR117" s="723"/>
      <c r="FS117" s="723"/>
      <c r="FT117" s="723"/>
      <c r="FU117" s="690"/>
      <c r="FV117"/>
      <c r="FW117"/>
      <c r="FX117"/>
      <c r="FY117"/>
      <c r="FZ117"/>
      <c r="GA117"/>
      <c r="GB117" s="1263"/>
      <c r="GC117" s="756"/>
      <c r="GD117" s="756"/>
      <c r="GE117" s="756"/>
      <c r="GF117" s="756"/>
      <c r="GG117" s="756"/>
      <c r="GH117" s="756"/>
      <c r="GI117" s="756"/>
      <c r="GJ117" s="756"/>
      <c r="GK117" s="756"/>
      <c r="GL117" s="756"/>
      <c r="GM117" s="756"/>
      <c r="GN117" s="756"/>
      <c r="GO117" s="756"/>
      <c r="GP117" s="756"/>
      <c r="GQ117" s="756"/>
      <c r="GR117" s="756"/>
      <c r="GS117" s="756"/>
      <c r="GT117" s="756"/>
      <c r="GU117" s="756"/>
      <c r="GV117" s="756"/>
      <c r="GW117" s="756"/>
      <c r="GX117" s="756"/>
      <c r="GY117" s="756"/>
      <c r="GZ117" s="756"/>
      <c r="HA117" s="756"/>
      <c r="HB117" s="756"/>
      <c r="HC117" s="756"/>
      <c r="HD117" s="756"/>
      <c r="HE117" s="756"/>
      <c r="HF117" s="756"/>
      <c r="HG117" s="756"/>
      <c r="HH117" s="756"/>
      <c r="HI117" s="756"/>
      <c r="HJ117" s="756"/>
      <c r="HK117" s="756"/>
      <c r="HL117" s="756"/>
      <c r="HM117" s="756"/>
      <c r="HN117" s="756"/>
      <c r="HO117" s="756"/>
      <c r="HP117" s="756"/>
      <c r="HQ117" s="756"/>
      <c r="HR117" s="756"/>
      <c r="HS117" s="756"/>
      <c r="HT117" s="756"/>
      <c r="HU117" s="756"/>
      <c r="HV117" s="756"/>
      <c r="HW117" s="756"/>
      <c r="HX117" s="756"/>
      <c r="HY117" s="756"/>
      <c r="HZ117" s="756"/>
      <c r="IA117" s="756"/>
      <c r="IB117" s="756"/>
      <c r="IC117" s="756"/>
      <c r="ID117" s="756"/>
      <c r="IE117" s="756"/>
      <c r="IF117" s="756"/>
      <c r="IG117" s="756"/>
      <c r="IH117" s="756"/>
      <c r="II117" s="756"/>
      <c r="IJ117" s="756"/>
      <c r="IK117" s="756"/>
      <c r="IL117" s="756"/>
      <c r="IM117" s="756"/>
      <c r="IN117" s="756"/>
      <c r="IO117" s="756"/>
      <c r="IP117" s="756"/>
      <c r="IQ117" s="756"/>
      <c r="IR117" s="756"/>
      <c r="IS117" s="756"/>
      <c r="IT117" s="756"/>
      <c r="IU117" s="756"/>
      <c r="IV117" s="756"/>
      <c r="IW117" s="756"/>
      <c r="IX117" s="756"/>
      <c r="IY117" s="756"/>
      <c r="IZ117" s="756"/>
      <c r="JA117" s="756"/>
      <c r="JB117" s="756"/>
      <c r="JC117" s="756"/>
      <c r="JD117" s="756"/>
      <c r="JE117" s="756"/>
      <c r="JF117" s="756"/>
      <c r="JG117" s="756"/>
      <c r="JH117" s="756"/>
      <c r="JI117" s="756"/>
      <c r="JJ117" s="756"/>
      <c r="JK117" s="756"/>
      <c r="JL117" s="756"/>
    </row>
    <row r="118" spans="1:272" s="945" customFormat="1" ht="12.75" hidden="1" customHeight="1" outlineLevel="1">
      <c r="A118" s="932" t="s">
        <v>338</v>
      </c>
      <c r="B118" s="933"/>
      <c r="C118" s="934"/>
      <c r="D118" s="934"/>
      <c r="E118" s="934"/>
      <c r="F118" s="718"/>
      <c r="G118" s="934"/>
      <c r="H118" s="934"/>
      <c r="I118" s="934"/>
      <c r="J118" s="934"/>
      <c r="K118" s="718"/>
      <c r="L118" s="719"/>
      <c r="M118" s="719"/>
      <c r="N118" s="719"/>
      <c r="O118" s="719"/>
      <c r="P118" s="718"/>
      <c r="Q118" s="719"/>
      <c r="R118" s="719"/>
      <c r="S118" s="719"/>
      <c r="T118" s="719"/>
      <c r="U118" s="718"/>
      <c r="V118" s="719"/>
      <c r="W118" s="719"/>
      <c r="X118" s="719"/>
      <c r="Y118" s="719"/>
      <c r="Z118" s="718"/>
      <c r="AA118" s="719"/>
      <c r="AB118" s="719"/>
      <c r="AC118" s="719"/>
      <c r="AD118" s="719"/>
      <c r="AE118" s="718"/>
      <c r="AF118" s="719"/>
      <c r="AG118" s="719"/>
      <c r="AH118" s="719"/>
      <c r="AI118" s="719"/>
      <c r="AJ118" s="718"/>
      <c r="AK118" s="719"/>
      <c r="AL118" s="719"/>
      <c r="AM118" s="719"/>
      <c r="AN118" s="719"/>
      <c r="AO118" s="718"/>
      <c r="AP118" s="1231">
        <f>+AP113-AP116</f>
        <v>9.8439999999999994</v>
      </c>
      <c r="AQ118" s="1231">
        <f>+AQ113-AQ116</f>
        <v>8.5890000000000004</v>
      </c>
      <c r="AR118" s="1231">
        <f>+AR113-AR116</f>
        <v>11.016</v>
      </c>
      <c r="AS118" s="1231">
        <f>+AS113-AS116</f>
        <v>58.676000000000002</v>
      </c>
      <c r="AT118" s="718">
        <f>SUM(AP118:AS118)</f>
        <v>88.125</v>
      </c>
      <c r="AU118" s="1231">
        <f>+AU113-AU116</f>
        <v>11.634</v>
      </c>
      <c r="AV118" s="1231">
        <f>+AV113-AV116</f>
        <v>12.122</v>
      </c>
      <c r="AW118" s="1231">
        <f>+AW113-AW116</f>
        <v>14.395</v>
      </c>
      <c r="AX118" s="1231">
        <f>+AX113-AX116</f>
        <v>18.234999999999999</v>
      </c>
      <c r="AY118" s="718">
        <f>SUM(AU118:AX118)</f>
        <v>56.385999999999996</v>
      </c>
      <c r="AZ118" s="1231">
        <f>+AZ113-AZ116</f>
        <v>13.778</v>
      </c>
      <c r="BA118" s="1231">
        <f>+BA113-BA116</f>
        <v>12.433999999999999</v>
      </c>
      <c r="BB118" s="1231">
        <f>+BB113-BB116</f>
        <v>3.5259999999999998</v>
      </c>
      <c r="BC118" s="1231">
        <f>+BC113-BC116</f>
        <v>4.923</v>
      </c>
      <c r="BD118" s="718">
        <f>SUM(AZ118:BC118)</f>
        <v>34.661000000000001</v>
      </c>
      <c r="BE118" s="1231">
        <f>+BE113-BE116</f>
        <v>5.8520000000000003</v>
      </c>
      <c r="BF118" s="1231">
        <f>+BF113-BF116</f>
        <v>4.5519999999999996</v>
      </c>
      <c r="BG118" s="1231">
        <f>+BG113-BG116</f>
        <v>9.3520000000000003</v>
      </c>
      <c r="BH118" s="1231">
        <f>+BH113-BH116</f>
        <v>8.7829999999999995</v>
      </c>
      <c r="BI118" s="718">
        <f>SUM(BE118:BH118)</f>
        <v>28.539000000000001</v>
      </c>
      <c r="BJ118" s="1231">
        <f>+BJ113-BJ116</f>
        <v>3.702</v>
      </c>
      <c r="BK118" s="1231">
        <f>+BK113-BK116</f>
        <v>2.754</v>
      </c>
      <c r="BL118" s="1231">
        <f>+BL113-BL116</f>
        <v>0.60499999999999998</v>
      </c>
      <c r="BM118" s="1231">
        <f>+BM113-BM116</f>
        <v>0.38100000000000001</v>
      </c>
      <c r="BN118" s="718">
        <f>SUM(BJ118:BM118)</f>
        <v>7.4420000000000002</v>
      </c>
      <c r="BO118" s="1231">
        <f>+BO113-BO116</f>
        <v>1.073</v>
      </c>
      <c r="BP118" s="1231">
        <f>+BP113-BP116</f>
        <v>0.90700000000000003</v>
      </c>
      <c r="BQ118" s="1231">
        <f>+BQ113-BQ116</f>
        <v>0.63900000000000001</v>
      </c>
      <c r="BR118" s="1231">
        <f>+BR113-BR116</f>
        <v>0.222</v>
      </c>
      <c r="BS118" s="718">
        <f>SUM(BO118:BR118)</f>
        <v>2.8409999999999997</v>
      </c>
      <c r="BT118" s="1231">
        <f>+BT113-BT116</f>
        <v>-5.9939999999999998</v>
      </c>
      <c r="BU118" s="1231">
        <f>+BU113-BU116</f>
        <v>-6.5410000000000004</v>
      </c>
      <c r="BV118" s="1231">
        <f>+BV113-BV116</f>
        <v>-9.2050000000000001</v>
      </c>
      <c r="BW118" s="1231">
        <f>+BW113-BW116</f>
        <v>-10.94</v>
      </c>
      <c r="BX118" s="718">
        <f>SUM(BT118:BW118)</f>
        <v>-32.68</v>
      </c>
      <c r="BY118" s="1231">
        <f>+BY113-BY116</f>
        <v>-11</v>
      </c>
      <c r="BZ118" s="1231">
        <f>+BZ113-BZ116</f>
        <v>-12.031000000000001</v>
      </c>
      <c r="CA118" s="1231">
        <f>+CA113-CA116</f>
        <v>-13.382</v>
      </c>
      <c r="CB118" s="1231">
        <f>+CB113-CB116</f>
        <v>-15.327999999999999</v>
      </c>
      <c r="CC118" s="718">
        <f>SUM(BY118:CB118)</f>
        <v>-51.741</v>
      </c>
      <c r="CD118" s="1231">
        <f>+CD113-CD116</f>
        <v>-12.429</v>
      </c>
      <c r="CE118" s="1231">
        <f>+CE113-CE116</f>
        <v>-18.876000000000001</v>
      </c>
      <c r="CF118" s="1231">
        <f>+CF113-CF116</f>
        <v>-32.718999999999994</v>
      </c>
      <c r="CG118" s="1231">
        <f>+CG113-CG116</f>
        <v>-36.768999999999998</v>
      </c>
      <c r="CH118" s="718">
        <f>SUM(CD118:CG118)</f>
        <v>-100.79300000000001</v>
      </c>
      <c r="CI118" s="1231">
        <f>+CI113-CI116</f>
        <v>-37.959999999999994</v>
      </c>
      <c r="CJ118" s="1231">
        <f>+CJ113-CJ116</f>
        <v>-38.557999999999993</v>
      </c>
      <c r="CK118" s="1231">
        <f>+CK113-CK116</f>
        <v>-28.433000000000003</v>
      </c>
      <c r="CL118" s="1231">
        <f>+CL113-CL116</f>
        <v>-22.586000000000002</v>
      </c>
      <c r="CM118" s="718">
        <f>SUM(CI118:CL118)</f>
        <v>-127.53699999999999</v>
      </c>
      <c r="CN118" s="1231">
        <f>+CN113-CN116</f>
        <v>-29.902000000000001</v>
      </c>
      <c r="CO118" s="1231">
        <f>+CO113-CO116</f>
        <v>-26.170999999999999</v>
      </c>
      <c r="CP118" s="1231">
        <f>+CP113-CP116</f>
        <v>-28.189999999999998</v>
      </c>
      <c r="CQ118" s="1231">
        <f>+CQ113-CQ116</f>
        <v>-40.241999999999997</v>
      </c>
      <c r="CR118" s="718">
        <f>SUM(CN118:CQ118)</f>
        <v>-124.505</v>
      </c>
      <c r="CS118" s="1231">
        <f>+CS113-CS116</f>
        <v>-45.525999999999996</v>
      </c>
      <c r="CT118" s="1231">
        <f>+CT113-CT116</f>
        <v>-56.371000000000002</v>
      </c>
      <c r="CU118" s="1231">
        <f>+CU113-CU116</f>
        <v>-58.669000000000004</v>
      </c>
      <c r="CV118" s="1231">
        <f>+CV113-CV116</f>
        <v>-51.328000000000003</v>
      </c>
      <c r="CW118" s="718">
        <f>SUM(CS118:CV118)</f>
        <v>-211.89400000000001</v>
      </c>
      <c r="CX118" s="1231">
        <f>+CX113-CX116</f>
        <v>-62.143000000000008</v>
      </c>
      <c r="CY118" s="1231">
        <f>+CY113-CY116</f>
        <v>-63.936</v>
      </c>
      <c r="CZ118" s="1231">
        <f>+CZ113-CZ116</f>
        <v>-63.621000000000002</v>
      </c>
      <c r="DA118" s="1231">
        <f>+DA113-DA116</f>
        <v>-61.014999999999993</v>
      </c>
      <c r="DB118" s="718">
        <f>SUM(CX118:DA118)</f>
        <v>-250.715</v>
      </c>
      <c r="DC118" s="1231">
        <f>+DC113-DC116</f>
        <v>-58.891000000000005</v>
      </c>
      <c r="DD118" s="1231">
        <f>+DD113-DD116</f>
        <v>-41.931000000000004</v>
      </c>
      <c r="DE118" s="1231">
        <f>+DE113-DE116</f>
        <v>-37.599000000000004</v>
      </c>
      <c r="DF118" s="1231">
        <f>+DF113-DF116</f>
        <v>-32.372</v>
      </c>
      <c r="DG118" s="718">
        <f>SUM(DC118:DF118)</f>
        <v>-170.79300000000001</v>
      </c>
      <c r="DH118" s="1231">
        <f>+DH113-DH116</f>
        <v>-37.304000000000002</v>
      </c>
      <c r="DI118" s="1231">
        <f>+DI113-DI116</f>
        <v>-40.742999999999995</v>
      </c>
      <c r="DJ118" s="1231">
        <f>+DJ113-DJ116</f>
        <v>-42.097999999999999</v>
      </c>
      <c r="DK118" s="1231">
        <f>+DK113-DK116</f>
        <v>-42.046999999999997</v>
      </c>
      <c r="DL118" s="718">
        <f>SUM(DH118:DK118)</f>
        <v>-162.19200000000001</v>
      </c>
      <c r="DM118" s="1231">
        <f>+DM113-DM116</f>
        <v>-41.355000000000004</v>
      </c>
      <c r="DN118" s="1231">
        <f>+DN113-DN116</f>
        <v>-43.376999999999995</v>
      </c>
      <c r="DO118" s="1231">
        <f>+DO113-DO116</f>
        <v>-42.047000000000004</v>
      </c>
      <c r="DP118" s="1231">
        <f>+DP113-DP116</f>
        <v>-47.326000000000008</v>
      </c>
      <c r="DQ118" s="718">
        <f>SUM(DM118:DP118)</f>
        <v>-174.10500000000002</v>
      </c>
      <c r="DR118" s="1231">
        <f>+DR113-DR116</f>
        <v>-40.731999999999999</v>
      </c>
      <c r="DS118" s="1231">
        <f>+DS113-DS116</f>
        <v>-43.087000000000266</v>
      </c>
      <c r="DT118" s="1231">
        <f>+DT113-DT116</f>
        <v>-43.961000000000013</v>
      </c>
      <c r="DU118" s="1231">
        <f>+DU113-DU116</f>
        <v>-42.173000000000229</v>
      </c>
      <c r="DV118" s="718">
        <f>SUM(DR118:DU118)</f>
        <v>-169.95300000000051</v>
      </c>
      <c r="DW118" s="1231">
        <f>+DW113-DW116</f>
        <v>-41.558999999999969</v>
      </c>
      <c r="DX118" s="1231">
        <f>+DX113-DX116</f>
        <v>-45.868000000000166</v>
      </c>
      <c r="DY118" s="1231">
        <f>+DY113-DY116</f>
        <v>-45.286999999999807</v>
      </c>
      <c r="DZ118" s="1231">
        <f>+DZ113-DZ116</f>
        <v>-42.503999999999905</v>
      </c>
      <c r="EA118" s="718">
        <f>SUM(DW118:DZ118)</f>
        <v>-175.21799999999985</v>
      </c>
      <c r="EB118" s="1231">
        <f>+EB113-EB116</f>
        <v>-38.975999999999885</v>
      </c>
      <c r="EC118" s="1231">
        <f>+EC113-EC116</f>
        <v>-38.27599999999984</v>
      </c>
      <c r="ED118" s="1231">
        <f>+ED113-ED116</f>
        <v>-38.27599999999984</v>
      </c>
      <c r="EE118" s="1231">
        <f>+EE119*(EE110+EE75+EE36)</f>
        <v>-41.65340640631716</v>
      </c>
      <c r="EF118" s="718">
        <f>SUM(EB118:EE118)</f>
        <v>-157.18140640631674</v>
      </c>
      <c r="EG118" s="1231">
        <f>+EG119*(EG110+EG75+EG36)</f>
        <v>-39.724890000000002</v>
      </c>
      <c r="EH118" s="1231">
        <f>+EH119*(EH110+EH75+EH36)</f>
        <v>-42.175080000000001</v>
      </c>
      <c r="EI118" s="1231">
        <f>+EI119*(EI110+EI75+EI36)</f>
        <v>-42.307200000000002</v>
      </c>
      <c r="EJ118" s="1231">
        <f>+EJ119*(EJ110+EJ75+EJ36)</f>
        <v>-41.877062416199998</v>
      </c>
      <c r="EK118" s="718">
        <f>SUM(EG118:EJ118)</f>
        <v>-166.0842324162</v>
      </c>
      <c r="EL118" s="936"/>
      <c r="EM118" s="935"/>
      <c r="EN118" s="935"/>
      <c r="EO118" s="937"/>
      <c r="EP118" s="718">
        <f>+EP119*(EP110+EP75+EP36)</f>
        <v>-275.97642114500445</v>
      </c>
      <c r="EQ118" s="936"/>
      <c r="ER118" s="935"/>
      <c r="ES118" s="935"/>
      <c r="ET118" s="937"/>
      <c r="EU118" s="718">
        <f>+EU119*(EU110+EU75+EU36)</f>
        <v>-282.35194963707852</v>
      </c>
      <c r="EV118" s="936"/>
      <c r="EW118" s="935"/>
      <c r="EX118" s="935"/>
      <c r="EY118" s="937"/>
      <c r="EZ118" s="718">
        <f>+EZ119*(EZ110+EZ75+EZ36)</f>
        <v>-293.50535417338449</v>
      </c>
      <c r="FA118" s="936"/>
      <c r="FB118" s="935"/>
      <c r="FC118" s="935"/>
      <c r="FD118" s="937"/>
      <c r="FE118" s="718">
        <f>+FE119*(FE110+FE75+FE36)</f>
        <v>-305.2332868144681</v>
      </c>
      <c r="FF118" s="938"/>
      <c r="FG118" s="690"/>
      <c r="FH118" s="754"/>
      <c r="FI118" s="754"/>
      <c r="FJ118" s="754"/>
      <c r="FK118" s="754"/>
      <c r="FL118" s="690"/>
      <c r="FM118" s="940"/>
      <c r="FN118" s="940"/>
      <c r="FO118" s="941"/>
      <c r="FP118" s="941"/>
      <c r="FQ118" s="941"/>
      <c r="FR118" s="941"/>
      <c r="FS118" s="941"/>
      <c r="FT118" s="941"/>
      <c r="FU118" s="690"/>
      <c r="FV118"/>
      <c r="FW118"/>
      <c r="FX118"/>
      <c r="FY118"/>
      <c r="FZ118"/>
      <c r="GA118"/>
      <c r="GB118" s="943"/>
      <c r="GC118" s="944"/>
      <c r="GD118" s="944"/>
      <c r="GE118" s="944"/>
      <c r="GF118" s="944"/>
      <c r="GG118" s="944"/>
      <c r="GH118" s="944"/>
      <c r="GI118" s="944"/>
      <c r="GJ118" s="944"/>
      <c r="GK118" s="944"/>
      <c r="GL118" s="944"/>
      <c r="GM118" s="944"/>
      <c r="GN118" s="944"/>
      <c r="GO118" s="944"/>
      <c r="GP118" s="944"/>
      <c r="GQ118" s="944"/>
      <c r="GR118" s="944"/>
      <c r="GS118" s="944"/>
      <c r="GT118" s="944"/>
      <c r="GU118" s="944"/>
      <c r="GV118" s="944"/>
      <c r="GW118" s="944"/>
      <c r="GX118" s="944"/>
      <c r="GY118" s="944"/>
      <c r="GZ118" s="944"/>
      <c r="HA118" s="944"/>
      <c r="HB118" s="944"/>
      <c r="HC118" s="944"/>
      <c r="HD118" s="944"/>
      <c r="HE118" s="944"/>
      <c r="HF118" s="944"/>
      <c r="HG118" s="944"/>
      <c r="HH118" s="944"/>
      <c r="HI118" s="944"/>
      <c r="HJ118" s="944"/>
      <c r="HK118" s="944"/>
      <c r="HL118" s="944"/>
      <c r="HM118" s="944"/>
      <c r="HN118" s="944"/>
      <c r="HO118" s="944"/>
      <c r="HP118" s="944"/>
      <c r="HQ118" s="944"/>
      <c r="HR118" s="944"/>
      <c r="HS118" s="944"/>
      <c r="HT118" s="944"/>
      <c r="HU118" s="944"/>
      <c r="HV118" s="944"/>
      <c r="HW118" s="944"/>
      <c r="HX118" s="944"/>
      <c r="HY118" s="944"/>
      <c r="HZ118" s="944"/>
      <c r="IA118" s="944"/>
      <c r="IB118" s="944"/>
      <c r="IC118" s="944"/>
      <c r="ID118" s="944"/>
      <c r="IE118" s="944"/>
      <c r="IF118" s="944"/>
      <c r="IG118" s="944"/>
      <c r="IH118" s="944"/>
      <c r="II118" s="944"/>
      <c r="IJ118" s="944"/>
      <c r="IK118" s="944"/>
      <c r="IL118" s="944"/>
      <c r="IM118" s="944"/>
      <c r="IN118" s="944"/>
      <c r="IO118" s="944"/>
      <c r="IP118" s="944"/>
      <c r="IQ118" s="944"/>
      <c r="IR118" s="944"/>
      <c r="IS118" s="944"/>
      <c r="IT118" s="944"/>
      <c r="IU118" s="944"/>
      <c r="IV118" s="944"/>
      <c r="IW118" s="944"/>
      <c r="IX118" s="944"/>
      <c r="IY118" s="944"/>
      <c r="IZ118" s="944"/>
      <c r="JA118" s="944"/>
      <c r="JB118" s="944"/>
      <c r="JC118" s="944"/>
      <c r="JD118" s="944"/>
      <c r="JE118" s="944"/>
      <c r="JF118" s="944"/>
      <c r="JG118" s="944"/>
      <c r="JH118" s="944"/>
      <c r="JI118" s="944"/>
      <c r="JJ118" s="944"/>
      <c r="JK118" s="944"/>
      <c r="JL118" s="944"/>
    </row>
    <row r="119" spans="1:272" s="1264" customFormat="1" ht="12.75" hidden="1" customHeight="1" outlineLevel="1">
      <c r="A119" s="1262" t="s">
        <v>339</v>
      </c>
      <c r="B119" s="790"/>
      <c r="C119" s="742"/>
      <c r="D119" s="742"/>
      <c r="E119" s="742"/>
      <c r="F119" s="741"/>
      <c r="G119" s="742"/>
      <c r="H119" s="742"/>
      <c r="I119" s="742"/>
      <c r="J119" s="742"/>
      <c r="K119" s="741"/>
      <c r="L119" s="721"/>
      <c r="M119" s="721"/>
      <c r="N119" s="721"/>
      <c r="O119" s="721"/>
      <c r="P119" s="741"/>
      <c r="Q119" s="721"/>
      <c r="R119" s="721"/>
      <c r="S119" s="721"/>
      <c r="T119" s="721"/>
      <c r="U119" s="741"/>
      <c r="V119" s="721"/>
      <c r="W119" s="721"/>
      <c r="X119" s="721"/>
      <c r="Y119" s="721"/>
      <c r="Z119" s="741"/>
      <c r="AA119" s="721"/>
      <c r="AB119" s="721"/>
      <c r="AC119" s="721"/>
      <c r="AD119" s="721"/>
      <c r="AE119" s="741"/>
      <c r="AF119" s="721"/>
      <c r="AG119" s="721"/>
      <c r="AH119" s="721"/>
      <c r="AI119" s="721"/>
      <c r="AJ119" s="741"/>
      <c r="AK119" s="721"/>
      <c r="AL119" s="721"/>
      <c r="AM119" s="721"/>
      <c r="AN119" s="721"/>
      <c r="AO119" s="741"/>
      <c r="AP119" s="721"/>
      <c r="AQ119" s="721"/>
      <c r="AR119" s="721"/>
      <c r="AS119" s="721"/>
      <c r="AT119" s="741"/>
      <c r="AU119" s="721"/>
      <c r="AV119" s="721"/>
      <c r="AW119" s="721"/>
      <c r="AX119" s="721"/>
      <c r="AY119" s="741"/>
      <c r="AZ119" s="721"/>
      <c r="BA119" s="721"/>
      <c r="BB119" s="721"/>
      <c r="BC119" s="721"/>
      <c r="BD119" s="741"/>
      <c r="BE119" s="721"/>
      <c r="BF119" s="721"/>
      <c r="BG119" s="721"/>
      <c r="BH119" s="721"/>
      <c r="BI119" s="741"/>
      <c r="BJ119" s="721"/>
      <c r="BK119" s="721"/>
      <c r="BL119" s="721"/>
      <c r="BM119" s="721"/>
      <c r="BN119" s="741"/>
      <c r="BO119" s="721"/>
      <c r="BP119" s="721"/>
      <c r="BQ119" s="721"/>
      <c r="BR119" s="721"/>
      <c r="BS119" s="741"/>
      <c r="BT119" s="1265">
        <f t="shared" ref="BT119:DX119" si="365">+BT118/(BT120-BT118)</f>
        <v>-7.8854206544346599E-3</v>
      </c>
      <c r="BU119" s="1265">
        <f t="shared" si="365"/>
        <v>-8.2394569340049854E-3</v>
      </c>
      <c r="BV119" s="1265">
        <f t="shared" si="365"/>
        <v>-1.1021233085011363E-2</v>
      </c>
      <c r="BW119" s="1265">
        <f t="shared" si="365"/>
        <v>-1.3176436580871283E-2</v>
      </c>
      <c r="BX119" s="1265">
        <f t="shared" si="365"/>
        <v>-1.0150720179308683E-2</v>
      </c>
      <c r="BY119" s="1265">
        <f t="shared" si="365"/>
        <v>-1.2984560177534349E-2</v>
      </c>
      <c r="BZ119" s="1265">
        <f t="shared" si="365"/>
        <v>-1.3032325713901944E-2</v>
      </c>
      <c r="CA119" s="1265">
        <f t="shared" si="365"/>
        <v>-1.3765733589542074E-2</v>
      </c>
      <c r="CB119" s="1265">
        <f t="shared" si="365"/>
        <v>-1.5837083034132182E-2</v>
      </c>
      <c r="CC119" s="1265">
        <f t="shared" si="365"/>
        <v>-1.3945214746496581E-2</v>
      </c>
      <c r="CD119" s="1265">
        <f t="shared" si="365"/>
        <v>-1.3110427584111796E-2</v>
      </c>
      <c r="CE119" s="1265">
        <f t="shared" si="365"/>
        <v>-1.8142306964066199E-2</v>
      </c>
      <c r="CF119" s="1265">
        <f t="shared" si="365"/>
        <v>-2.9287238537168716E-2</v>
      </c>
      <c r="CG119" s="1265">
        <f t="shared" si="365"/>
        <v>-3.3103543895124543E-2</v>
      </c>
      <c r="CH119" s="1265">
        <f t="shared" si="365"/>
        <v>-2.3905171465109312E-2</v>
      </c>
      <c r="CI119" s="1265">
        <f t="shared" si="365"/>
        <v>-3.5020000885648064E-2</v>
      </c>
      <c r="CJ119" s="1265">
        <f t="shared" si="365"/>
        <v>-3.3864097452156565E-2</v>
      </c>
      <c r="CK119" s="1265">
        <f t="shared" si="365"/>
        <v>-2.5725634251384317E-2</v>
      </c>
      <c r="CL119" s="1265">
        <f t="shared" si="365"/>
        <v>-2.2116835567114794E-2</v>
      </c>
      <c r="CM119" s="1265">
        <f t="shared" si="365"/>
        <v>-2.9325490944501223E-2</v>
      </c>
      <c r="CN119" s="1265">
        <f t="shared" si="365"/>
        <v>-2.8972195335110303E-2</v>
      </c>
      <c r="CO119" s="1265">
        <f t="shared" si="365"/>
        <v>-2.3794240868161117E-2</v>
      </c>
      <c r="CP119" s="1265">
        <f t="shared" si="365"/>
        <v>-2.4739289660310856E-2</v>
      </c>
      <c r="CQ119" s="1265">
        <f t="shared" si="365"/>
        <v>-3.2442655779891062E-2</v>
      </c>
      <c r="CR119" s="1265">
        <f t="shared" si="365"/>
        <v>-2.7595000562959729E-2</v>
      </c>
      <c r="CS119" s="1265">
        <f t="shared" si="365"/>
        <v>-3.6505287838172661E-2</v>
      </c>
      <c r="CT119" s="1265">
        <f t="shared" si="365"/>
        <v>-4.0378752714790814E-2</v>
      </c>
      <c r="CU119" s="1265">
        <f t="shared" si="365"/>
        <v>-4.1060638084933355E-2</v>
      </c>
      <c r="CV119" s="1265">
        <f t="shared" si="365"/>
        <v>-4.3619923345599172E-2</v>
      </c>
      <c r="CW119" s="1265">
        <f t="shared" si="365"/>
        <v>-4.0370673866402626E-2</v>
      </c>
      <c r="CX119" s="1265">
        <f t="shared" si="365"/>
        <v>-6.0622881252591278E-2</v>
      </c>
      <c r="CY119" s="1265">
        <f t="shared" si="365"/>
        <v>-5.7072006812649463E-2</v>
      </c>
      <c r="CZ119" s="1265">
        <f t="shared" si="365"/>
        <v>-5.3147623097216358E-2</v>
      </c>
      <c r="DA119" s="1265">
        <f t="shared" si="365"/>
        <v>-5.1815297550503243E-2</v>
      </c>
      <c r="DB119" s="1265">
        <f t="shared" si="365"/>
        <v>-5.5468484856261817E-2</v>
      </c>
      <c r="DC119" s="1265">
        <f t="shared" si="365"/>
        <v>-4.8239599869593919E-2</v>
      </c>
      <c r="DD119" s="1265">
        <f t="shared" si="365"/>
        <v>-3.1101607038749621E-2</v>
      </c>
      <c r="DE119" s="1265">
        <f t="shared" si="365"/>
        <v>-2.8750452965493115E-2</v>
      </c>
      <c r="DF119" s="1265">
        <f t="shared" si="365"/>
        <v>-2.5980425596802609E-2</v>
      </c>
      <c r="DG119" s="1265">
        <f t="shared" si="365"/>
        <v>-3.3339894221922441E-2</v>
      </c>
      <c r="DH119" s="1265">
        <f t="shared" si="365"/>
        <v>-2.9077167828979105E-2</v>
      </c>
      <c r="DI119" s="1265">
        <f t="shared" si="365"/>
        <v>-2.9326448291647829E-2</v>
      </c>
      <c r="DJ119" s="1265">
        <f t="shared" si="365"/>
        <v>-2.966429834259594E-2</v>
      </c>
      <c r="DK119" s="1265">
        <f t="shared" si="365"/>
        <v>-3.0899984934723259E-2</v>
      </c>
      <c r="DL119" s="1265">
        <f t="shared" si="365"/>
        <v>-2.9748455415925745E-2</v>
      </c>
      <c r="DM119" s="1265">
        <f t="shared" si="365"/>
        <v>-2.9381548771026406E-2</v>
      </c>
      <c r="DN119" s="1265">
        <f t="shared" si="365"/>
        <v>-2.9122380868938206E-2</v>
      </c>
      <c r="DO119" s="1265">
        <f t="shared" si="365"/>
        <v>-2.9074929468385247E-2</v>
      </c>
      <c r="DP119" s="1265">
        <f t="shared" si="365"/>
        <v>-3.3535950204152211E-2</v>
      </c>
      <c r="DQ119" s="1265">
        <f t="shared" si="365"/>
        <v>-3.0256235672797855E-2</v>
      </c>
      <c r="DR119" s="1265">
        <f t="shared" si="365"/>
        <v>-2.9582481175048806E-2</v>
      </c>
      <c r="DS119" s="1265">
        <f t="shared" si="365"/>
        <v>-3.0248017314668165E-2</v>
      </c>
      <c r="DT119" s="1265">
        <f t="shared" si="365"/>
        <v>-3.0486510927320878E-2</v>
      </c>
      <c r="DU119" s="1265">
        <f t="shared" si="365"/>
        <v>-3.0124130876716448E-2</v>
      </c>
      <c r="DV119" s="1266">
        <f>+DV118/DV120</f>
        <v>-3.1050967633020864E-2</v>
      </c>
      <c r="DW119" s="1265">
        <f t="shared" si="365"/>
        <v>-2.94660671212888E-2</v>
      </c>
      <c r="DX119" s="1265">
        <f t="shared" si="365"/>
        <v>-2.9818939720468673E-2</v>
      </c>
      <c r="DY119" s="1265">
        <f>+DY118/(DY120-DY118)</f>
        <v>-2.9228035731688227E-2</v>
      </c>
      <c r="DZ119" s="1265">
        <f>+DZ118/(DZ120-DZ118)</f>
        <v>-2.8656358989260545E-2</v>
      </c>
      <c r="EA119" s="1266">
        <f>+EA118/EA120</f>
        <v>-3.0178421923680174E-2</v>
      </c>
      <c r="EB119" s="1265">
        <f>+EB118/(EB120-EB118)</f>
        <v>-2.7614996949852089E-2</v>
      </c>
      <c r="EC119" s="1265">
        <f>+EC118/(EC120-EC118)</f>
        <v>-2.6116444571810563E-2</v>
      </c>
      <c r="ED119" s="1265">
        <f>+ED118/(ED120-ED118)</f>
        <v>-2.6459283837964774E-2</v>
      </c>
      <c r="EE119" s="1267">
        <v>-0.03</v>
      </c>
      <c r="EF119" s="1266">
        <f>+EF118/EF120</f>
        <v>-2.8296183235418763E-2</v>
      </c>
      <c r="EG119" s="1267">
        <v>-0.03</v>
      </c>
      <c r="EH119" s="1267">
        <v>-0.03</v>
      </c>
      <c r="EI119" s="1267">
        <v>-0.03</v>
      </c>
      <c r="EJ119" s="1267">
        <v>-0.03</v>
      </c>
      <c r="EK119" s="1266">
        <f>+EK118/EK120</f>
        <v>-4.8206029203900963E-2</v>
      </c>
      <c r="EL119" s="1268"/>
      <c r="EM119" s="1258"/>
      <c r="EN119" s="1258"/>
      <c r="EO119" s="1269"/>
      <c r="EP119" s="1270">
        <f>+EK119</f>
        <v>-4.8206029203900963E-2</v>
      </c>
      <c r="EQ119" s="1268"/>
      <c r="ER119" s="1258"/>
      <c r="ES119" s="1258"/>
      <c r="ET119" s="1269"/>
      <c r="EU119" s="1270">
        <f>+EP119</f>
        <v>-4.8206029203900963E-2</v>
      </c>
      <c r="EV119" s="1268"/>
      <c r="EW119" s="1258"/>
      <c r="EX119" s="1258"/>
      <c r="EY119" s="1269"/>
      <c r="EZ119" s="1270">
        <f>+EU119</f>
        <v>-4.8206029203900963E-2</v>
      </c>
      <c r="FA119" s="1268"/>
      <c r="FB119" s="1258"/>
      <c r="FC119" s="1258"/>
      <c r="FD119" s="1269"/>
      <c r="FE119" s="1270">
        <f>+EZ119</f>
        <v>-4.8206029203900963E-2</v>
      </c>
      <c r="FF119" s="721"/>
      <c r="FG119" s="690"/>
      <c r="FH119" s="754"/>
      <c r="FI119" s="754"/>
      <c r="FJ119" s="754"/>
      <c r="FK119" s="754"/>
      <c r="FL119" s="690"/>
      <c r="FM119" s="708"/>
      <c r="FN119" s="708"/>
      <c r="FO119" s="723"/>
      <c r="FP119" s="723"/>
      <c r="FQ119" s="723"/>
      <c r="FR119" s="723"/>
      <c r="FS119" s="723"/>
      <c r="FT119" s="723"/>
      <c r="FU119" s="690"/>
      <c r="FV119"/>
      <c r="FW119"/>
      <c r="FX119"/>
      <c r="FY119"/>
      <c r="FZ119"/>
      <c r="GA119"/>
      <c r="GB119" s="1263"/>
      <c r="GC119" s="756"/>
      <c r="GD119" s="756"/>
      <c r="GE119" s="756"/>
      <c r="GF119" s="756"/>
      <c r="GG119" s="756"/>
      <c r="GH119" s="756"/>
      <c r="GI119" s="756"/>
      <c r="GJ119" s="756"/>
      <c r="GK119" s="756"/>
      <c r="GL119" s="756"/>
      <c r="GM119" s="756"/>
      <c r="GN119" s="756"/>
      <c r="GO119" s="756"/>
      <c r="GP119" s="756"/>
      <c r="GQ119" s="756"/>
      <c r="GR119" s="756"/>
      <c r="GS119" s="756"/>
      <c r="GT119" s="756"/>
      <c r="GU119" s="756"/>
      <c r="GV119" s="756"/>
      <c r="GW119" s="756"/>
      <c r="GX119" s="756"/>
      <c r="GY119" s="756"/>
      <c r="GZ119" s="756"/>
      <c r="HA119" s="756"/>
      <c r="HB119" s="756"/>
      <c r="HC119" s="756"/>
      <c r="HD119" s="756"/>
      <c r="HE119" s="756"/>
      <c r="HF119" s="756"/>
      <c r="HG119" s="756"/>
      <c r="HH119" s="756"/>
      <c r="HI119" s="756"/>
      <c r="HJ119" s="756"/>
      <c r="HK119" s="756"/>
      <c r="HL119" s="756"/>
      <c r="HM119" s="756"/>
      <c r="HN119" s="756"/>
      <c r="HO119" s="756"/>
      <c r="HP119" s="756"/>
      <c r="HQ119" s="756"/>
      <c r="HR119" s="756"/>
      <c r="HS119" s="756"/>
      <c r="HT119" s="756"/>
      <c r="HU119" s="756"/>
      <c r="HV119" s="756"/>
      <c r="HW119" s="756"/>
      <c r="HX119" s="756"/>
      <c r="HY119" s="756"/>
      <c r="HZ119" s="756"/>
      <c r="IA119" s="756"/>
      <c r="IB119" s="756"/>
      <c r="IC119" s="756"/>
      <c r="ID119" s="756"/>
      <c r="IE119" s="756"/>
      <c r="IF119" s="756"/>
      <c r="IG119" s="756"/>
      <c r="IH119" s="756"/>
      <c r="II119" s="756"/>
      <c r="IJ119" s="756"/>
      <c r="IK119" s="756"/>
      <c r="IL119" s="756"/>
      <c r="IM119" s="756"/>
      <c r="IN119" s="756"/>
      <c r="IO119" s="756"/>
      <c r="IP119" s="756"/>
      <c r="IQ119" s="756"/>
      <c r="IR119" s="756"/>
      <c r="IS119" s="756"/>
      <c r="IT119" s="756"/>
      <c r="IU119" s="756"/>
      <c r="IV119" s="756"/>
      <c r="IW119" s="756"/>
      <c r="IX119" s="756"/>
      <c r="IY119" s="756"/>
      <c r="IZ119" s="756"/>
      <c r="JA119" s="756"/>
      <c r="JB119" s="756"/>
      <c r="JC119" s="756"/>
      <c r="JD119" s="756"/>
      <c r="JE119" s="756"/>
      <c r="JF119" s="756"/>
      <c r="JG119" s="756"/>
      <c r="JH119" s="756"/>
      <c r="JI119" s="756"/>
      <c r="JJ119" s="756"/>
      <c r="JK119" s="756"/>
      <c r="JL119" s="756"/>
    </row>
    <row r="120" spans="1:272" s="945" customFormat="1" ht="12.75" hidden="1" customHeight="1" outlineLevel="1">
      <c r="A120" s="932" t="s">
        <v>340</v>
      </c>
      <c r="B120" s="933"/>
      <c r="C120" s="934"/>
      <c r="D120" s="934"/>
      <c r="E120" s="934"/>
      <c r="F120" s="718"/>
      <c r="G120" s="934"/>
      <c r="H120" s="934"/>
      <c r="I120" s="934"/>
      <c r="J120" s="934"/>
      <c r="K120" s="718"/>
      <c r="L120" s="719"/>
      <c r="M120" s="719"/>
      <c r="N120" s="719"/>
      <c r="O120" s="719"/>
      <c r="P120" s="718"/>
      <c r="Q120" s="719"/>
      <c r="R120" s="719"/>
      <c r="S120" s="719"/>
      <c r="T120" s="719"/>
      <c r="U120" s="718"/>
      <c r="V120" s="719"/>
      <c r="W120" s="719"/>
      <c r="X120" s="719"/>
      <c r="Y120" s="719"/>
      <c r="Z120" s="718"/>
      <c r="AA120" s="719"/>
      <c r="AB120" s="719"/>
      <c r="AC120" s="719"/>
      <c r="AD120" s="719"/>
      <c r="AE120" s="718"/>
      <c r="AF120" s="719"/>
      <c r="AG120" s="719"/>
      <c r="AH120" s="719"/>
      <c r="AI120" s="719"/>
      <c r="AJ120" s="718"/>
      <c r="AK120" s="719"/>
      <c r="AL120" s="719"/>
      <c r="AM120" s="719"/>
      <c r="AN120" s="719"/>
      <c r="AO120" s="718"/>
      <c r="AP120" s="719"/>
      <c r="AQ120" s="719"/>
      <c r="AR120" s="719"/>
      <c r="AS120" s="719"/>
      <c r="AT120" s="718"/>
      <c r="AU120" s="719"/>
      <c r="AV120" s="719"/>
      <c r="AW120" s="719"/>
      <c r="AX120" s="719"/>
      <c r="AY120" s="718"/>
      <c r="AZ120" s="719"/>
      <c r="BA120" s="719"/>
      <c r="BB120" s="719"/>
      <c r="BC120" s="719"/>
      <c r="BD120" s="718"/>
      <c r="BE120" s="719"/>
      <c r="BF120" s="719"/>
      <c r="BG120" s="719"/>
      <c r="BH120" s="719"/>
      <c r="BI120" s="718"/>
      <c r="BJ120" s="719"/>
      <c r="BK120" s="719"/>
      <c r="BL120" s="719"/>
      <c r="BM120" s="719"/>
      <c r="BN120" s="718">
        <f>BN36+BN75+BN110+BN113</f>
        <v>2817.9369999999999</v>
      </c>
      <c r="BO120" s="935">
        <f>BO36+BO75+BO110+BO113-BO116</f>
        <v>672.31299999999999</v>
      </c>
      <c r="BP120" s="935">
        <f>BP36+BP75+BP110+BP113-BP116</f>
        <v>746.48599999999999</v>
      </c>
      <c r="BQ120" s="935">
        <f>BQ36+BQ75+BQ110+BQ113-BQ116</f>
        <v>783.32799999999997</v>
      </c>
      <c r="BR120" s="935">
        <f>BR36+BR75+BR110+BR113-BR116</f>
        <v>781.25800000000004</v>
      </c>
      <c r="BS120" s="718">
        <f>SUM(BO120:BR120)</f>
        <v>2983.3850000000002</v>
      </c>
      <c r="BT120" s="935">
        <f>BT36+BT75+BT110+BT113-BT116</f>
        <v>754.14300000000003</v>
      </c>
      <c r="BU120" s="935">
        <f>BU36+BU75+BU110+BU113-BU116</f>
        <v>787.322</v>
      </c>
      <c r="BV120" s="935">
        <f>BV36+BV75+BV110+BV113-BV116</f>
        <v>826.00099999999998</v>
      </c>
      <c r="BW120" s="935">
        <f>BW36+BW75+BW110+BW113-BW116</f>
        <v>819.32999999999993</v>
      </c>
      <c r="BX120" s="718">
        <f>SUM(BT120:BW120)</f>
        <v>3186.7960000000003</v>
      </c>
      <c r="BY120" s="935">
        <f>BY36+BY75+BY110+BY113-BY116</f>
        <v>836.16000000000008</v>
      </c>
      <c r="BZ120" s="935">
        <f>BZ36+BZ75+BZ110+BZ113-BZ116</f>
        <v>911.13499999999999</v>
      </c>
      <c r="CA120" s="935">
        <f>CA36+CA75+CA110+CA113-CA116</f>
        <v>958.74200000000008</v>
      </c>
      <c r="CB120" s="935">
        <f>CB36+CB75+CB110+CB113-CB116</f>
        <v>952.52699999999993</v>
      </c>
      <c r="CC120" s="718">
        <f>SUM(BY120:CB120)</f>
        <v>3658.5640000000003</v>
      </c>
      <c r="CD120" s="935">
        <f>CD36+CD75+CD110+CD113-CD116</f>
        <v>935.59499999999991</v>
      </c>
      <c r="CE120" s="935">
        <f>CE36+CE75+CE110+CE113-CE116</f>
        <v>1021.5650000000001</v>
      </c>
      <c r="CF120" s="935">
        <f>CF36+CF75+CF110+CF113-CF116</f>
        <v>1084.4569999999999</v>
      </c>
      <c r="CG120" s="935">
        <f>CG36+CG75+CG110+CG113-CG116</f>
        <v>1073.9580000000001</v>
      </c>
      <c r="CH120" s="718">
        <f>SUM(CD120:CG120)</f>
        <v>4115.5749999999998</v>
      </c>
      <c r="CI120" s="935">
        <f>CI36+CI75+CI110+CI113-CI116</f>
        <v>1045.992</v>
      </c>
      <c r="CJ120" s="935">
        <f>CJ36+CJ75+CJ110+CJ113-CJ116</f>
        <v>1100.0520000000001</v>
      </c>
      <c r="CK120" s="935">
        <f>CK36+CK75+CK110+CK113-CK116</f>
        <v>1076.807</v>
      </c>
      <c r="CL120" s="935">
        <f>CL36+CL75+CL110+CL113-CL116</f>
        <v>998.62700000000007</v>
      </c>
      <c r="CM120" s="718">
        <f>SUM(CI120:CL120)</f>
        <v>4221.4780000000001</v>
      </c>
      <c r="CN120" s="935">
        <f>CN36+CN75+CN110+CN113-CN116</f>
        <v>1002.191</v>
      </c>
      <c r="CO120" s="935">
        <f>CO36+CO75+CO110+CO113-CO116</f>
        <v>1073.7170000000001</v>
      </c>
      <c r="CP120" s="935">
        <f>CP36+CP75+CP110+CP113-CP116</f>
        <v>1111.2930000000001</v>
      </c>
      <c r="CQ120" s="935">
        <f>CQ36+CQ75+CQ110+CQ113-CQ116</f>
        <v>1200.162</v>
      </c>
      <c r="CR120" s="718">
        <f>SUM(CN120:CQ120)</f>
        <v>4387.3630000000003</v>
      </c>
      <c r="CS120" s="935">
        <f>CS36+CS75+CS110+CS113-CS116</f>
        <v>1201.5810000000001</v>
      </c>
      <c r="CT120" s="935">
        <f>CT36+CT75+CT110+CT113-CT116</f>
        <v>1339.6849999999999</v>
      </c>
      <c r="CU120" s="935">
        <f>CU36+CU75+CU110+CU113-CU116</f>
        <v>1370.1689999999999</v>
      </c>
      <c r="CV120" s="935">
        <f>CV36+CV75+CV110+CV113-CV116</f>
        <v>1125.3820000000001</v>
      </c>
      <c r="CW120" s="718">
        <f>SUM(CS120:CV120)</f>
        <v>5036.817</v>
      </c>
      <c r="CX120" s="935">
        <f>CX36+CX75+CX110+CX113-CX116</f>
        <v>962.93200000000002</v>
      </c>
      <c r="CY120" s="935">
        <f>CY36+CY75+CY110+CY113-CY116</f>
        <v>1056.3330000000001</v>
      </c>
      <c r="CZ120" s="935">
        <f>CZ36+CZ75+CZ110+CZ113-CZ116</f>
        <v>1133.4409999999998</v>
      </c>
      <c r="DA120" s="935">
        <f>DA36+DA75+DA110+DA113-DA116</f>
        <v>1116.5329999999999</v>
      </c>
      <c r="DB120" s="718">
        <f>SUM(CX120:DA120)</f>
        <v>4269.2389999999996</v>
      </c>
      <c r="DC120" s="935">
        <f>DC36+DC75+DC110+DC113-DC116</f>
        <v>1161.9110000000001</v>
      </c>
      <c r="DD120" s="935">
        <f>DD36+DD75+DD110+DD113-DD116</f>
        <v>1306.2629999999999</v>
      </c>
      <c r="DE120" s="935">
        <f>DE36+DE75+DE110+DE113-DE116</f>
        <v>1270.1716999999999</v>
      </c>
      <c r="DF120" s="935">
        <f>DF36+DF75+DF110+DF113-DF116</f>
        <v>1213.6429999999998</v>
      </c>
      <c r="DG120" s="718">
        <f>SUM(DC120:DF120)</f>
        <v>4951.9886999999999</v>
      </c>
      <c r="DH120" s="935">
        <f>DH36+DH75+DH110+DH113-DH116</f>
        <v>1245.6270000000002</v>
      </c>
      <c r="DI120" s="935">
        <f>DI36+DI75+DI110+DI113-DI116</f>
        <v>1348.549</v>
      </c>
      <c r="DJ120" s="935">
        <f>DJ36+DJ75+DJ110+DJ113-DJ116</f>
        <v>1377.049</v>
      </c>
      <c r="DK120" s="935">
        <f>DK36+DK75+DK110+DK113-DK116</f>
        <v>1318.6979999999999</v>
      </c>
      <c r="DL120" s="718">
        <f>SUM(DH120:DK120)</f>
        <v>5289.9230000000007</v>
      </c>
      <c r="DM120" s="935">
        <f>DM36+DM75+DM110+DM113-DM116</f>
        <v>1366.1610000000001</v>
      </c>
      <c r="DN120" s="935">
        <f>DN36+DN75+DN110+DN113-DN116</f>
        <v>1446.096</v>
      </c>
      <c r="DO120" s="935">
        <f>DO36+DO75+DO110+DO113-DO116</f>
        <v>1404.1129999999998</v>
      </c>
      <c r="DP120" s="935">
        <f>DP36+DP75+DP110+DP113-DP116</f>
        <v>1363.876</v>
      </c>
      <c r="DQ120" s="718">
        <f>SUM(DM120:DP120)</f>
        <v>5580.2460000000001</v>
      </c>
      <c r="DR120" s="935">
        <f>DR36+DR75+DR110+DR113-DR116</f>
        <v>1336.164</v>
      </c>
      <c r="DS120" s="935">
        <f>DS36+DS75+DS110+DS113-DS116</f>
        <v>1381.3699999999997</v>
      </c>
      <c r="DT120" s="935">
        <f>DT36+DT75+DT110+DT118</f>
        <v>1398.021</v>
      </c>
      <c r="DU120" s="935">
        <f>DU36+DU75+DU110+DU113-DU116</f>
        <v>1357.8009999999997</v>
      </c>
      <c r="DV120" s="718">
        <f>SUM(DR120:DU120)</f>
        <v>5473.3559999999989</v>
      </c>
      <c r="DW120" s="935">
        <f>DW36+DW75+DW110+DW113-DW116</f>
        <v>1368.8430000000001</v>
      </c>
      <c r="DX120" s="935">
        <f>DX36+DX75+DX110+DX113-DX116</f>
        <v>1492.3489999999999</v>
      </c>
      <c r="DY120" s="935">
        <f>DY36+DY75+DY110+DY118</f>
        <v>1504.15</v>
      </c>
      <c r="DZ120" s="935">
        <f>DZ36+DZ75+DZ110+DZ113-DZ116</f>
        <v>1440.7270000000001</v>
      </c>
      <c r="EA120" s="718">
        <f>SUM(DW120:DZ120)</f>
        <v>5806.0690000000004</v>
      </c>
      <c r="EB120" s="935">
        <f>EB36+EB75+EB110+EB113-EB116</f>
        <v>1372.431</v>
      </c>
      <c r="EC120" s="935">
        <f>EC36+EC75+EC110+EC113-EC116</f>
        <v>1427.3140000000001</v>
      </c>
      <c r="ED120" s="935">
        <f>ED36+ED75+ED110+ED118</f>
        <v>1408.3240000000001</v>
      </c>
      <c r="EE120" s="935">
        <f>EE36+EE75+EE110+EE118</f>
        <v>1346.793473804255</v>
      </c>
      <c r="EF120" s="718">
        <f>SUM(EB120:EE120)</f>
        <v>5554.8624738042545</v>
      </c>
      <c r="EG120" s="936">
        <f>EG33</f>
        <v>830.5</v>
      </c>
      <c r="EH120" s="935">
        <f t="shared" ref="EH120:EJ120" si="366">EH33</f>
        <v>877.5</v>
      </c>
      <c r="EI120" s="935">
        <f t="shared" si="366"/>
        <v>883.5</v>
      </c>
      <c r="EJ120" s="937">
        <f t="shared" si="366"/>
        <v>853.8</v>
      </c>
      <c r="EK120" s="718">
        <f>SUM(EG120:EJ120)</f>
        <v>3445.3</v>
      </c>
      <c r="EL120" s="936">
        <f>EL33</f>
        <v>879.2</v>
      </c>
      <c r="EM120" s="935">
        <f t="shared" ref="EM120:EU120" si="367">EM33</f>
        <v>946.1</v>
      </c>
      <c r="EN120" s="935">
        <f t="shared" si="367"/>
        <v>928.5</v>
      </c>
      <c r="EO120" s="937">
        <f t="shared" si="367"/>
        <v>887.4</v>
      </c>
      <c r="EP120" s="718">
        <f t="shared" si="367"/>
        <v>3641.2000000000003</v>
      </c>
      <c r="EQ120" s="936">
        <f t="shared" si="367"/>
        <v>916.90142085298601</v>
      </c>
      <c r="ER120" s="935">
        <f t="shared" si="367"/>
        <v>992.2119816952785</v>
      </c>
      <c r="ES120" s="935">
        <f t="shared" si="367"/>
        <v>969.82290600805663</v>
      </c>
      <c r="ET120" s="937">
        <f t="shared" si="367"/>
        <v>959.03196345218169</v>
      </c>
      <c r="EU120" s="718">
        <f t="shared" si="367"/>
        <v>3837.9682720085025</v>
      </c>
      <c r="EV120" s="936">
        <f t="shared" ref="EV120:EZ120" si="368">EV33</f>
        <v>879.2</v>
      </c>
      <c r="EW120" s="935">
        <f t="shared" si="368"/>
        <v>1063.8466893918421</v>
      </c>
      <c r="EX120" s="935">
        <f t="shared" si="368"/>
        <v>1050.6265453842775</v>
      </c>
      <c r="EY120" s="937">
        <f t="shared" si="368"/>
        <v>1007.4229010161635</v>
      </c>
      <c r="EZ120" s="718">
        <f t="shared" si="368"/>
        <v>4066.467570205873</v>
      </c>
      <c r="FA120" s="936">
        <f t="shared" ref="FA120:FE120" si="369">FA33</f>
        <v>-20</v>
      </c>
      <c r="FB120" s="935">
        <f t="shared" si="369"/>
        <v>-20</v>
      </c>
      <c r="FC120" s="935">
        <f t="shared" si="369"/>
        <v>-20</v>
      </c>
      <c r="FD120" s="937">
        <f t="shared" si="369"/>
        <v>-20</v>
      </c>
      <c r="FE120" s="718">
        <f t="shared" si="369"/>
        <v>4302.8544805762704</v>
      </c>
      <c r="FF120" s="938"/>
      <c r="FG120" s="690"/>
      <c r="FH120" s="754"/>
      <c r="FI120" s="754"/>
      <c r="FJ120" s="754"/>
      <c r="FK120" s="754"/>
      <c r="FL120" s="690"/>
      <c r="FM120" s="940"/>
      <c r="FN120" s="940"/>
      <c r="FO120" s="941"/>
      <c r="FP120" s="941"/>
      <c r="FQ120" s="941"/>
      <c r="FR120" s="941"/>
      <c r="FS120" s="941"/>
      <c r="FT120" s="941"/>
      <c r="FU120" s="690"/>
      <c r="FV120"/>
      <c r="FW120"/>
      <c r="FX120"/>
      <c r="FY120"/>
      <c r="FZ120"/>
      <c r="GA120"/>
      <c r="GB120" s="943"/>
      <c r="GC120" s="944"/>
      <c r="GD120" s="944"/>
      <c r="GE120" s="944"/>
      <c r="GF120" s="944"/>
      <c r="GG120" s="944"/>
      <c r="GH120" s="944"/>
      <c r="GI120" s="944"/>
      <c r="GJ120" s="944"/>
      <c r="GK120" s="944"/>
      <c r="GL120" s="944"/>
      <c r="GM120" s="944"/>
      <c r="GN120" s="944"/>
      <c r="GO120" s="944"/>
      <c r="GP120" s="944"/>
      <c r="GQ120" s="944"/>
      <c r="GR120" s="944"/>
      <c r="GS120" s="944"/>
      <c r="GT120" s="944"/>
      <c r="GU120" s="944"/>
      <c r="GV120" s="944"/>
      <c r="GW120" s="944"/>
      <c r="GX120" s="944"/>
      <c r="GY120" s="944"/>
      <c r="GZ120" s="944"/>
      <c r="HA120" s="944"/>
      <c r="HB120" s="944"/>
      <c r="HC120" s="944"/>
      <c r="HD120" s="944"/>
      <c r="HE120" s="944"/>
      <c r="HF120" s="944"/>
      <c r="HG120" s="944"/>
      <c r="HH120" s="944"/>
      <c r="HI120" s="944"/>
      <c r="HJ120" s="944"/>
      <c r="HK120" s="944"/>
      <c r="HL120" s="944"/>
      <c r="HM120" s="944"/>
      <c r="HN120" s="944"/>
      <c r="HO120" s="944"/>
      <c r="HP120" s="944"/>
      <c r="HQ120" s="944"/>
      <c r="HR120" s="944"/>
      <c r="HS120" s="944"/>
      <c r="HT120" s="944"/>
      <c r="HU120" s="944"/>
      <c r="HV120" s="944"/>
      <c r="HW120" s="944"/>
      <c r="HX120" s="944"/>
      <c r="HY120" s="944"/>
      <c r="HZ120" s="944"/>
      <c r="IA120" s="944"/>
      <c r="IB120" s="944"/>
      <c r="IC120" s="944"/>
      <c r="ID120" s="944"/>
      <c r="IE120" s="944"/>
      <c r="IF120" s="944"/>
      <c r="IG120" s="944"/>
      <c r="IH120" s="944"/>
      <c r="II120" s="944"/>
      <c r="IJ120" s="944"/>
      <c r="IK120" s="944"/>
      <c r="IL120" s="944"/>
      <c r="IM120" s="944"/>
      <c r="IN120" s="944"/>
      <c r="IO120" s="944"/>
      <c r="IP120" s="944"/>
      <c r="IQ120" s="944"/>
      <c r="IR120" s="944"/>
      <c r="IS120" s="944"/>
      <c r="IT120" s="944"/>
      <c r="IU120" s="944"/>
      <c r="IV120" s="944"/>
      <c r="IW120" s="944"/>
      <c r="IX120" s="944"/>
      <c r="IY120" s="944"/>
      <c r="IZ120" s="944"/>
      <c r="JA120" s="944"/>
      <c r="JB120" s="944"/>
      <c r="JC120" s="944"/>
      <c r="JD120" s="944"/>
      <c r="JE120" s="944"/>
      <c r="JF120" s="944"/>
      <c r="JG120" s="944"/>
      <c r="JH120" s="944"/>
      <c r="JI120" s="944"/>
      <c r="JJ120" s="944"/>
      <c r="JK120" s="944"/>
      <c r="JL120" s="944"/>
    </row>
    <row r="121" spans="1:272" s="749" customFormat="1" ht="12.75" hidden="1" customHeight="1" outlineLevel="1">
      <c r="A121" s="58" t="s">
        <v>85</v>
      </c>
      <c r="B121" s="1235"/>
      <c r="C121" s="961"/>
      <c r="D121" s="961"/>
      <c r="E121" s="961"/>
      <c r="F121" s="741"/>
      <c r="G121" s="961"/>
      <c r="H121" s="961"/>
      <c r="I121" s="961"/>
      <c r="J121" s="961"/>
      <c r="K121" s="741"/>
      <c r="L121" s="961"/>
      <c r="M121" s="961"/>
      <c r="N121" s="961"/>
      <c r="O121" s="961"/>
      <c r="P121" s="741"/>
      <c r="Q121" s="961"/>
      <c r="R121" s="961"/>
      <c r="S121" s="961"/>
      <c r="T121" s="961"/>
      <c r="U121" s="741"/>
      <c r="V121" s="961"/>
      <c r="W121" s="961"/>
      <c r="X121" s="1236"/>
      <c r="Y121" s="1236"/>
      <c r="Z121" s="741"/>
      <c r="AA121" s="1236"/>
      <c r="AB121" s="1236"/>
      <c r="AC121" s="1236"/>
      <c r="AD121" s="1236"/>
      <c r="AE121" s="741"/>
      <c r="AF121" s="721"/>
      <c r="AG121" s="742"/>
      <c r="AH121" s="742"/>
      <c r="AI121" s="721"/>
      <c r="AJ121" s="741"/>
      <c r="AK121" s="721"/>
      <c r="AL121" s="742"/>
      <c r="AM121" s="742"/>
      <c r="AN121" s="721"/>
      <c r="AO121" s="741"/>
      <c r="AP121" s="721"/>
      <c r="AQ121" s="742"/>
      <c r="AR121" s="742"/>
      <c r="AS121" s="721"/>
      <c r="AT121" s="741"/>
      <c r="AU121" s="721"/>
      <c r="AV121" s="742"/>
      <c r="AW121" s="742"/>
      <c r="AX121" s="721"/>
      <c r="AY121" s="741"/>
      <c r="AZ121" s="721"/>
      <c r="BA121" s="742"/>
      <c r="BB121" s="742"/>
      <c r="BC121" s="721"/>
      <c r="BD121" s="741"/>
      <c r="BE121" s="721"/>
      <c r="BF121" s="742"/>
      <c r="BG121" s="742"/>
      <c r="BH121" s="721"/>
      <c r="BI121" s="741"/>
      <c r="BJ121" s="721"/>
      <c r="BK121" s="742"/>
      <c r="BL121" s="742"/>
      <c r="BM121" s="721"/>
      <c r="BN121" s="741"/>
      <c r="BO121" s="721"/>
      <c r="BP121" s="742"/>
      <c r="BQ121" s="742"/>
      <c r="BR121" s="721"/>
      <c r="BS121" s="741"/>
      <c r="BT121" s="721">
        <f t="shared" ref="BT121:EE121" si="370">BT120/BO120-1</f>
        <v>0.1217141420737069</v>
      </c>
      <c r="BU121" s="742">
        <f t="shared" si="370"/>
        <v>5.4704307917362138E-2</v>
      </c>
      <c r="BV121" s="742">
        <f t="shared" si="370"/>
        <v>5.4476541116875721E-2</v>
      </c>
      <c r="BW121" s="742">
        <f t="shared" si="370"/>
        <v>4.8731660987791248E-2</v>
      </c>
      <c r="BX121" s="741">
        <f t="shared" si="370"/>
        <v>6.8181277307487909E-2</v>
      </c>
      <c r="BY121" s="721">
        <f t="shared" si="370"/>
        <v>0.10875523607591675</v>
      </c>
      <c r="BZ121" s="742">
        <f t="shared" si="370"/>
        <v>0.15725840253416012</v>
      </c>
      <c r="CA121" s="742">
        <f t="shared" si="370"/>
        <v>0.1607031952745821</v>
      </c>
      <c r="CB121" s="742">
        <f t="shared" si="370"/>
        <v>0.16256819596499583</v>
      </c>
      <c r="CC121" s="741">
        <f t="shared" si="370"/>
        <v>0.14803834321368536</v>
      </c>
      <c r="CD121" s="721">
        <f t="shared" si="370"/>
        <v>0.11891862801377706</v>
      </c>
      <c r="CE121" s="721">
        <f t="shared" si="370"/>
        <v>0.12120048071910317</v>
      </c>
      <c r="CF121" s="721">
        <f t="shared" si="370"/>
        <v>0.13112495332425178</v>
      </c>
      <c r="CG121" s="721">
        <f t="shared" si="370"/>
        <v>0.12748300048187633</v>
      </c>
      <c r="CH121" s="741">
        <f t="shared" si="370"/>
        <v>0.12491540396723955</v>
      </c>
      <c r="CI121" s="721">
        <f t="shared" si="370"/>
        <v>0.11799656902826561</v>
      </c>
      <c r="CJ121" s="721">
        <f t="shared" si="370"/>
        <v>7.6830157650271902E-2</v>
      </c>
      <c r="CK121" s="721">
        <f t="shared" si="370"/>
        <v>-7.0542216058357976E-3</v>
      </c>
      <c r="CL121" s="721">
        <f t="shared" si="370"/>
        <v>-7.0143338938766675E-2</v>
      </c>
      <c r="CM121" s="741">
        <f t="shared" si="370"/>
        <v>2.5732248835217408E-2</v>
      </c>
      <c r="CN121" s="721">
        <f t="shared" si="370"/>
        <v>-4.1875081262571778E-2</v>
      </c>
      <c r="CO121" s="721">
        <f t="shared" si="370"/>
        <v>-2.3939777392341433E-2</v>
      </c>
      <c r="CP121" s="721">
        <f t="shared" si="370"/>
        <v>3.2026166248919408E-2</v>
      </c>
      <c r="CQ121" s="721">
        <f t="shared" si="370"/>
        <v>0.20181208799681949</v>
      </c>
      <c r="CR121" s="741">
        <f t="shared" si="370"/>
        <v>3.9295478976794529E-2</v>
      </c>
      <c r="CS121" s="721">
        <f t="shared" si="370"/>
        <v>0.19895409158533672</v>
      </c>
      <c r="CT121" s="721">
        <f t="shared" si="370"/>
        <v>0.24770772931787399</v>
      </c>
      <c r="CU121" s="721">
        <f t="shared" si="370"/>
        <v>0.23295026604144886</v>
      </c>
      <c r="CV121" s="721">
        <f t="shared" si="370"/>
        <v>-6.2308255052234585E-2</v>
      </c>
      <c r="CW121" s="741">
        <f t="shared" si="370"/>
        <v>0.14802832589872317</v>
      </c>
      <c r="CX121" s="721">
        <f t="shared" si="370"/>
        <v>-0.19861249470489306</v>
      </c>
      <c r="CY121" s="721">
        <f t="shared" si="370"/>
        <v>-0.21150643621448317</v>
      </c>
      <c r="CZ121" s="721">
        <f t="shared" si="370"/>
        <v>-0.17277284772900281</v>
      </c>
      <c r="DA121" s="721">
        <f t="shared" si="370"/>
        <v>-7.863107815835102E-3</v>
      </c>
      <c r="DB121" s="741">
        <f t="shared" si="370"/>
        <v>-0.15239346595280323</v>
      </c>
      <c r="DC121" s="721">
        <f t="shared" si="370"/>
        <v>0.20663868268995111</v>
      </c>
      <c r="DD121" s="721">
        <f t="shared" si="370"/>
        <v>0.23660152622326458</v>
      </c>
      <c r="DE121" s="721">
        <f t="shared" si="370"/>
        <v>0.12063327513298017</v>
      </c>
      <c r="DF121" s="721">
        <f t="shared" si="370"/>
        <v>8.6974590092724346E-2</v>
      </c>
      <c r="DG121" s="741">
        <f t="shared" si="370"/>
        <v>0.15992304483304887</v>
      </c>
      <c r="DH121" s="721">
        <f t="shared" si="370"/>
        <v>7.2050268910441639E-2</v>
      </c>
      <c r="DI121" s="721">
        <f t="shared" si="370"/>
        <v>3.2371735247802347E-2</v>
      </c>
      <c r="DJ121" s="721">
        <f t="shared" si="370"/>
        <v>8.4143978329858982E-2</v>
      </c>
      <c r="DK121" s="721">
        <f t="shared" si="370"/>
        <v>8.6561698951009625E-2</v>
      </c>
      <c r="DL121" s="741">
        <f t="shared" si="370"/>
        <v>6.8242138759323279E-2</v>
      </c>
      <c r="DM121" s="721">
        <f t="shared" si="370"/>
        <v>9.6765725213085352E-2</v>
      </c>
      <c r="DN121" s="721">
        <f t="shared" si="370"/>
        <v>7.2334783534005798E-2</v>
      </c>
      <c r="DO121" s="721">
        <f t="shared" si="370"/>
        <v>1.965362162130746E-2</v>
      </c>
      <c r="DP121" s="721">
        <f t="shared" si="370"/>
        <v>3.4259549950026447E-2</v>
      </c>
      <c r="DQ121" s="741">
        <f t="shared" si="370"/>
        <v>5.4882273333657139E-2</v>
      </c>
      <c r="DR121" s="721">
        <f>DR120/DM120-1</f>
        <v>-2.1957148535202031E-2</v>
      </c>
      <c r="DS121" s="721">
        <f t="shared" si="370"/>
        <v>-4.4759130790763768E-2</v>
      </c>
      <c r="DT121" s="721">
        <f t="shared" si="370"/>
        <v>-4.3386821431037337E-3</v>
      </c>
      <c r="DU121" s="721">
        <f t="shared" si="370"/>
        <v>-4.4542172455562801E-3</v>
      </c>
      <c r="DV121" s="741">
        <f t="shared" si="370"/>
        <v>-1.9155069507688638E-2</v>
      </c>
      <c r="DW121" s="721">
        <f t="shared" si="370"/>
        <v>2.4457327094578263E-2</v>
      </c>
      <c r="DX121" s="721">
        <f t="shared" si="370"/>
        <v>8.0339807582327838E-2</v>
      </c>
      <c r="DY121" s="721">
        <f t="shared" si="370"/>
        <v>7.5913738062590053E-2</v>
      </c>
      <c r="DZ121" s="721">
        <f t="shared" si="370"/>
        <v>6.1073750866290633E-2</v>
      </c>
      <c r="EA121" s="741">
        <f t="shared" si="370"/>
        <v>6.0787750696282394E-2</v>
      </c>
      <c r="EB121" s="721">
        <f t="shared" si="370"/>
        <v>2.6211917656004946E-3</v>
      </c>
      <c r="EC121" s="721">
        <f t="shared" si="370"/>
        <v>-4.3578948355913916E-2</v>
      </c>
      <c r="ED121" s="721">
        <f t="shared" si="370"/>
        <v>-6.370774191403783E-2</v>
      </c>
      <c r="EE121" s="721">
        <f t="shared" si="370"/>
        <v>-6.5198699126028159E-2</v>
      </c>
      <c r="EF121" s="741">
        <f t="shared" ref="EF121" si="371">EF120/EA120-1</f>
        <v>-4.3266197180182653E-2</v>
      </c>
      <c r="EG121" s="721"/>
      <c r="EH121" s="721"/>
      <c r="EI121" s="721"/>
      <c r="EJ121" s="721"/>
      <c r="EK121" s="741">
        <f t="shared" ref="EK121" si="372">EK120/EF120-1</f>
        <v>-0.37976862321120941</v>
      </c>
      <c r="EL121" s="745"/>
      <c r="EM121" s="712"/>
      <c r="EN121" s="712"/>
      <c r="EO121" s="744"/>
      <c r="EP121" s="741">
        <f>EP120/EK120-1</f>
        <v>5.6860070240617677E-2</v>
      </c>
      <c r="EQ121" s="745"/>
      <c r="ER121" s="712"/>
      <c r="ES121" s="712"/>
      <c r="ET121" s="744"/>
      <c r="EU121" s="741">
        <f>EU120/EP120-1</f>
        <v>5.4039402397149994E-2</v>
      </c>
      <c r="EV121" s="745"/>
      <c r="EW121" s="712"/>
      <c r="EX121" s="712"/>
      <c r="EY121" s="744"/>
      <c r="EZ121" s="741">
        <f>EZ120/EU120-1</f>
        <v>5.9536526099990716E-2</v>
      </c>
      <c r="FA121" s="745"/>
      <c r="FB121" s="712"/>
      <c r="FC121" s="712"/>
      <c r="FD121" s="744"/>
      <c r="FE121" s="741">
        <f>FE120/EZ120-1</f>
        <v>5.8130774754568959E-2</v>
      </c>
      <c r="FF121" s="721"/>
      <c r="FG121" s="690"/>
      <c r="FH121" s="754"/>
      <c r="FI121" s="754"/>
      <c r="FJ121" s="754"/>
      <c r="FK121" s="754"/>
      <c r="FL121" s="690"/>
      <c r="FM121" s="708"/>
      <c r="FN121" s="708"/>
      <c r="FO121" s="723"/>
      <c r="FP121" s="723"/>
      <c r="FQ121" s="723"/>
      <c r="FR121" s="723"/>
      <c r="FS121" s="723"/>
      <c r="FT121" s="723"/>
      <c r="FU121" s="690"/>
      <c r="FV121"/>
      <c r="FW121"/>
      <c r="FX121"/>
      <c r="FY121"/>
      <c r="FZ121"/>
      <c r="GA121"/>
      <c r="GB121" s="1117"/>
      <c r="GC121" s="532"/>
      <c r="GD121" s="532"/>
      <c r="GE121" s="532"/>
      <c r="GF121" s="532"/>
      <c r="GG121" s="532"/>
      <c r="GH121" s="532"/>
      <c r="GI121" s="532"/>
      <c r="GJ121" s="532"/>
      <c r="GK121" s="532"/>
      <c r="GL121" s="532"/>
      <c r="GM121" s="532"/>
      <c r="GN121" s="532"/>
      <c r="GO121" s="532"/>
      <c r="GP121" s="532"/>
      <c r="GQ121" s="532"/>
      <c r="GR121" s="532"/>
      <c r="GS121" s="532"/>
      <c r="GT121" s="532"/>
      <c r="GU121" s="532"/>
      <c r="GV121" s="532"/>
      <c r="GW121" s="532"/>
      <c r="GX121" s="532"/>
      <c r="GY121" s="532"/>
      <c r="GZ121" s="532"/>
      <c r="HA121" s="532"/>
      <c r="HB121" s="532"/>
      <c r="HC121" s="532"/>
      <c r="HD121" s="532"/>
      <c r="HE121" s="532"/>
      <c r="HF121" s="532"/>
      <c r="HG121" s="532"/>
      <c r="HH121" s="532"/>
      <c r="HI121" s="532"/>
      <c r="HJ121" s="532"/>
      <c r="HK121" s="532"/>
      <c r="HL121" s="532"/>
      <c r="HM121" s="532"/>
      <c r="HN121" s="532"/>
      <c r="HO121" s="532"/>
      <c r="HP121" s="532"/>
      <c r="HQ121" s="532"/>
      <c r="HR121" s="532"/>
      <c r="HS121" s="532"/>
      <c r="HT121" s="532"/>
      <c r="HU121" s="532"/>
      <c r="HV121" s="532"/>
      <c r="HW121" s="532"/>
      <c r="HX121" s="532"/>
      <c r="HY121" s="532"/>
      <c r="HZ121" s="532"/>
      <c r="IA121" s="532"/>
      <c r="IB121" s="532"/>
      <c r="IC121" s="532"/>
      <c r="ID121" s="532"/>
      <c r="IE121" s="532"/>
      <c r="IF121" s="532"/>
      <c r="IG121" s="532"/>
      <c r="IH121" s="532"/>
      <c r="II121" s="532"/>
      <c r="IJ121" s="532"/>
      <c r="IK121" s="532"/>
      <c r="IL121" s="532"/>
      <c r="IM121" s="532"/>
      <c r="IN121" s="532"/>
      <c r="IO121" s="532"/>
      <c r="IP121" s="532"/>
      <c r="IQ121" s="532"/>
      <c r="IR121" s="532"/>
      <c r="IS121" s="532"/>
      <c r="IT121" s="532"/>
      <c r="IU121" s="532"/>
      <c r="IV121" s="532"/>
      <c r="IW121" s="532"/>
      <c r="IX121" s="532"/>
      <c r="IY121" s="532"/>
      <c r="IZ121" s="532"/>
      <c r="JA121" s="532"/>
      <c r="JB121" s="532"/>
      <c r="JC121" s="532"/>
      <c r="JD121" s="532"/>
      <c r="JE121" s="532"/>
      <c r="JF121" s="532"/>
      <c r="JG121" s="532"/>
      <c r="JH121" s="532"/>
      <c r="JI121" s="532"/>
      <c r="JJ121" s="532"/>
      <c r="JK121" s="532"/>
      <c r="JL121" s="532"/>
    </row>
    <row r="122" spans="1:272" s="1285" customFormat="1" ht="12.75" customHeight="1" collapsed="1">
      <c r="A122" s="54" t="s">
        <v>341</v>
      </c>
      <c r="B122" s="1271"/>
      <c r="C122" s="1271"/>
      <c r="D122" s="1271"/>
      <c r="E122" s="1271"/>
      <c r="F122" s="1272"/>
      <c r="G122" s="1271"/>
      <c r="H122" s="1271"/>
      <c r="I122" s="1271"/>
      <c r="J122" s="1271"/>
      <c r="K122" s="1272"/>
      <c r="L122" s="1271"/>
      <c r="M122" s="1271"/>
      <c r="N122" s="1271"/>
      <c r="O122" s="1271"/>
      <c r="P122" s="1272"/>
      <c r="Q122" s="1271"/>
      <c r="R122" s="1271"/>
      <c r="S122" s="1271"/>
      <c r="T122" s="1271"/>
      <c r="U122" s="1272"/>
      <c r="V122" s="1271"/>
      <c r="W122" s="1271"/>
      <c r="X122" s="1271"/>
      <c r="Y122" s="1271"/>
      <c r="Z122" s="1272"/>
      <c r="AA122" s="1271"/>
      <c r="AB122" s="1271"/>
      <c r="AC122" s="1271"/>
      <c r="AD122" s="1271"/>
      <c r="AE122" s="1272"/>
      <c r="AF122" s="1271"/>
      <c r="AG122" s="1271"/>
      <c r="AH122" s="1271"/>
      <c r="AI122" s="1271"/>
      <c r="AJ122" s="1272"/>
      <c r="AK122" s="1271"/>
      <c r="AL122" s="1271"/>
      <c r="AM122" s="1271"/>
      <c r="AN122" s="1271"/>
      <c r="AO122" s="1272"/>
      <c r="AP122" s="1271"/>
      <c r="AQ122" s="1271"/>
      <c r="AR122" s="1271"/>
      <c r="AS122" s="1271"/>
      <c r="AT122" s="1272"/>
      <c r="AU122" s="1271"/>
      <c r="AV122" s="1271"/>
      <c r="AW122" s="1271"/>
      <c r="AX122" s="1271"/>
      <c r="AY122" s="1272"/>
      <c r="AZ122" s="1271"/>
      <c r="BA122" s="1271"/>
      <c r="BB122" s="1271"/>
      <c r="BC122" s="1271"/>
      <c r="BD122" s="1272"/>
      <c r="BE122" s="1271"/>
      <c r="BF122" s="1271"/>
      <c r="BG122" s="1271"/>
      <c r="BH122" s="1271"/>
      <c r="BI122" s="1272"/>
      <c r="BJ122" s="1271"/>
      <c r="BK122" s="1271"/>
      <c r="BL122" s="1271"/>
      <c r="BM122" s="1271"/>
      <c r="BN122" s="1272"/>
      <c r="BO122" s="1271"/>
      <c r="BP122" s="1271"/>
      <c r="BQ122" s="1271"/>
      <c r="BR122" s="1271"/>
      <c r="BS122" s="1272"/>
      <c r="BT122" s="1271"/>
      <c r="BU122" s="1271"/>
      <c r="BV122" s="1271"/>
      <c r="BW122" s="1271"/>
      <c r="BX122" s="1272"/>
      <c r="BY122" s="1271"/>
      <c r="BZ122" s="1271"/>
      <c r="CA122" s="1271"/>
      <c r="CB122" s="1271"/>
      <c r="CC122" s="1272"/>
      <c r="CD122" s="1271"/>
      <c r="CE122" s="1271"/>
      <c r="CF122" s="1271"/>
      <c r="CG122" s="1271"/>
      <c r="CH122" s="1272"/>
      <c r="CI122" s="1273"/>
      <c r="CJ122" s="1273"/>
      <c r="CK122" s="1273"/>
      <c r="CL122" s="1273"/>
      <c r="CM122" s="1272"/>
      <c r="CN122" s="1273"/>
      <c r="CO122" s="1273"/>
      <c r="CP122" s="1273"/>
      <c r="CQ122" s="1273"/>
      <c r="CR122" s="1272"/>
      <c r="CS122" s="1273"/>
      <c r="CT122" s="1273"/>
      <c r="CU122" s="1273"/>
      <c r="CV122" s="1273"/>
      <c r="CW122" s="1272"/>
      <c r="CX122" s="1274"/>
      <c r="CY122" s="1274"/>
      <c r="CZ122" s="1274"/>
      <c r="DA122" s="1274"/>
      <c r="DB122" s="1272"/>
      <c r="DC122" s="1274"/>
      <c r="DD122" s="1274"/>
      <c r="DE122" s="1274"/>
      <c r="DF122" s="1274"/>
      <c r="DG122" s="1272"/>
      <c r="DH122" s="1274"/>
      <c r="DI122" s="1275"/>
      <c r="DJ122" s="1275"/>
      <c r="DK122" s="1275"/>
      <c r="DL122" s="1272"/>
      <c r="DM122" s="1275"/>
      <c r="DN122" s="1275"/>
      <c r="DO122" s="1275"/>
      <c r="DP122" s="1275"/>
      <c r="DQ122" s="1272"/>
      <c r="DR122" s="1275"/>
      <c r="DS122" s="1275"/>
      <c r="DT122" s="1275"/>
      <c r="DU122" s="1275"/>
      <c r="DV122" s="1272"/>
      <c r="DW122" s="1275"/>
      <c r="DX122" s="1276"/>
      <c r="DY122" s="1275"/>
      <c r="DZ122" s="1275"/>
      <c r="EA122" s="1272"/>
      <c r="EB122" s="1275"/>
      <c r="EC122" s="1276"/>
      <c r="ED122" s="1277">
        <f>+EC122+EC32</f>
        <v>0</v>
      </c>
      <c r="EE122" s="1275"/>
      <c r="EF122" s="1272"/>
      <c r="EG122" s="1278"/>
      <c r="EH122" s="1275"/>
      <c r="EI122" s="1275"/>
      <c r="EJ122" s="1279"/>
      <c r="EK122" s="1272"/>
      <c r="EL122" s="1278"/>
      <c r="EM122" s="2286"/>
      <c r="EN122" s="1275"/>
      <c r="EO122" s="1279"/>
      <c r="EP122" s="1272"/>
      <c r="EQ122" s="1278"/>
      <c r="ER122" s="2286"/>
      <c r="ES122" s="1275"/>
      <c r="ET122" s="1279"/>
      <c r="EU122" s="2413"/>
      <c r="EV122" s="1278"/>
      <c r="EW122" s="2286"/>
      <c r="EX122" s="1275"/>
      <c r="EY122" s="1279"/>
      <c r="EZ122" s="1272"/>
      <c r="FA122" s="1278"/>
      <c r="FB122" s="2286"/>
      <c r="FC122" s="1275"/>
      <c r="FD122" s="1279"/>
      <c r="FE122" s="1272"/>
      <c r="FF122" s="1280"/>
      <c r="FG122" s="690"/>
      <c r="FH122" s="754"/>
      <c r="FI122" s="754"/>
      <c r="FJ122" s="754"/>
      <c r="FK122" s="754"/>
      <c r="FL122" s="690"/>
      <c r="FM122" s="530"/>
      <c r="FN122" s="1281"/>
      <c r="FO122" s="1282"/>
      <c r="FP122" s="1282"/>
      <c r="FQ122" s="1282"/>
      <c r="FR122" s="1282"/>
      <c r="FS122" s="1282"/>
      <c r="FT122" s="1282"/>
      <c r="FU122" s="690"/>
      <c r="FV122"/>
      <c r="FW122"/>
      <c r="FX122"/>
      <c r="FY122"/>
      <c r="FZ122"/>
      <c r="GA122"/>
      <c r="GB122" s="1280"/>
      <c r="GC122" s="1284"/>
      <c r="GD122" s="1284"/>
      <c r="GE122" s="1284"/>
      <c r="GF122" s="1284"/>
      <c r="GG122" s="1284"/>
      <c r="GH122" s="1284"/>
      <c r="GI122" s="1284"/>
      <c r="GJ122" s="1284"/>
      <c r="GK122" s="1284"/>
      <c r="GL122" s="1284"/>
      <c r="GM122" s="1284"/>
      <c r="GN122" s="1284"/>
      <c r="GO122" s="1284"/>
      <c r="GP122" s="1284"/>
      <c r="GQ122" s="1284"/>
      <c r="GR122" s="1284"/>
      <c r="GS122" s="1284"/>
      <c r="GT122" s="1284"/>
      <c r="GU122" s="1284"/>
      <c r="GV122" s="1284"/>
      <c r="GW122" s="1284"/>
      <c r="GX122" s="1284"/>
      <c r="GY122" s="1284"/>
      <c r="GZ122" s="1284"/>
      <c r="HA122" s="1284"/>
      <c r="HB122" s="1284"/>
      <c r="HC122" s="1284"/>
      <c r="HD122" s="1284"/>
      <c r="HE122" s="1284"/>
      <c r="HF122" s="1284"/>
      <c r="HG122" s="1284"/>
      <c r="HH122" s="1284"/>
      <c r="HI122" s="1284"/>
      <c r="HJ122" s="1284"/>
      <c r="HK122" s="1284"/>
      <c r="HL122" s="1284"/>
      <c r="HM122" s="1284"/>
      <c r="HN122" s="1284"/>
      <c r="HO122" s="1284"/>
      <c r="HP122" s="1284"/>
      <c r="HQ122" s="1284"/>
      <c r="HR122" s="1284"/>
      <c r="HS122" s="1284"/>
      <c r="HT122" s="1284"/>
      <c r="HU122" s="1284"/>
      <c r="HV122" s="1284"/>
      <c r="HW122" s="1284"/>
      <c r="HX122" s="1284"/>
      <c r="HY122" s="1284"/>
      <c r="HZ122" s="1284"/>
      <c r="IA122" s="1284"/>
      <c r="IB122" s="1284"/>
      <c r="IC122" s="1284"/>
      <c r="ID122" s="1284"/>
      <c r="IE122" s="1284"/>
      <c r="IF122" s="1284"/>
      <c r="IG122" s="1284"/>
      <c r="IH122" s="1284"/>
      <c r="II122" s="1284"/>
      <c r="IJ122" s="1284"/>
      <c r="IK122" s="1284"/>
      <c r="IL122" s="1284"/>
      <c r="IM122" s="1284"/>
      <c r="IN122" s="1284"/>
      <c r="IO122" s="1284"/>
      <c r="IP122" s="1284"/>
      <c r="IQ122" s="1284"/>
      <c r="IR122" s="1284"/>
      <c r="IS122" s="1284"/>
      <c r="IT122" s="1284"/>
      <c r="IU122" s="1284"/>
      <c r="IV122" s="1284"/>
      <c r="IW122" s="1284"/>
      <c r="IX122" s="1284"/>
      <c r="IY122" s="1284"/>
      <c r="IZ122" s="1284"/>
      <c r="JA122" s="1284"/>
      <c r="JB122" s="1284"/>
      <c r="JC122" s="1284"/>
      <c r="JD122" s="1284"/>
      <c r="JE122" s="1284"/>
      <c r="JF122" s="1284"/>
      <c r="JG122" s="1284"/>
      <c r="JH122" s="1284"/>
      <c r="JI122" s="1284"/>
      <c r="JJ122" s="1284"/>
      <c r="JK122" s="1284"/>
      <c r="JL122" s="1284"/>
    </row>
    <row r="123" spans="1:272" s="726" customFormat="1" ht="12.75" customHeight="1">
      <c r="A123" s="1286" t="s">
        <v>342</v>
      </c>
      <c r="B123" s="1287"/>
      <c r="C123" s="720"/>
      <c r="D123" s="720"/>
      <c r="E123" s="720"/>
      <c r="F123" s="1288"/>
      <c r="G123" s="873">
        <f t="shared" ref="G123:BR123" si="373">1-G126/G36</f>
        <v>0.95027881633850975</v>
      </c>
      <c r="H123" s="873">
        <f t="shared" si="373"/>
        <v>0.93715553165748089</v>
      </c>
      <c r="I123" s="873">
        <f t="shared" si="373"/>
        <v>1.0067725589553693</v>
      </c>
      <c r="J123" s="873">
        <f t="shared" si="373"/>
        <v>0.94410281798402762</v>
      </c>
      <c r="K123" s="1288">
        <f t="shared" si="373"/>
        <v>0.9599638300073029</v>
      </c>
      <c r="L123" s="873">
        <f t="shared" si="373"/>
        <v>0.94889421648622696</v>
      </c>
      <c r="M123" s="873">
        <f t="shared" si="373"/>
        <v>0.92358902706564405</v>
      </c>
      <c r="N123" s="873">
        <f t="shared" si="373"/>
        <v>0.93620483761444262</v>
      </c>
      <c r="O123" s="873">
        <f t="shared" si="373"/>
        <v>0.98227573096768361</v>
      </c>
      <c r="P123" s="1288">
        <f t="shared" si="373"/>
        <v>0.94789527760879411</v>
      </c>
      <c r="Q123" s="873">
        <f t="shared" si="373"/>
        <v>0.92301056965737749</v>
      </c>
      <c r="R123" s="873">
        <f t="shared" si="373"/>
        <v>0.91850950419594279</v>
      </c>
      <c r="S123" s="873">
        <f t="shared" si="373"/>
        <v>0.92794720121514218</v>
      </c>
      <c r="T123" s="873">
        <f t="shared" si="373"/>
        <v>0.93348117739636705</v>
      </c>
      <c r="U123" s="1288">
        <f t="shared" si="373"/>
        <v>0.92578380132422888</v>
      </c>
      <c r="V123" s="873">
        <f t="shared" si="373"/>
        <v>0.7682613171460948</v>
      </c>
      <c r="W123" s="873">
        <f t="shared" si="373"/>
        <v>0.76971102833617355</v>
      </c>
      <c r="X123" s="873">
        <f t="shared" si="373"/>
        <v>0.77864966423507742</v>
      </c>
      <c r="Y123" s="873">
        <f t="shared" si="373"/>
        <v>0.77473760418008197</v>
      </c>
      <c r="Z123" s="1288">
        <f t="shared" si="373"/>
        <v>0.77305100934741622</v>
      </c>
      <c r="AA123" s="873">
        <f t="shared" si="373"/>
        <v>0.7818806083122114</v>
      </c>
      <c r="AB123" s="873">
        <f t="shared" si="373"/>
        <v>0.78095669062804618</v>
      </c>
      <c r="AC123" s="873">
        <f t="shared" si="373"/>
        <v>0.79708830884506865</v>
      </c>
      <c r="AD123" s="873">
        <f t="shared" si="373"/>
        <v>0.79670249117862924</v>
      </c>
      <c r="AE123" s="1288">
        <f t="shared" si="373"/>
        <v>0.78921340698094533</v>
      </c>
      <c r="AF123" s="873">
        <f t="shared" si="373"/>
        <v>0.88422879333551607</v>
      </c>
      <c r="AG123" s="873">
        <f t="shared" si="373"/>
        <v>0.89515303239599897</v>
      </c>
      <c r="AH123" s="873">
        <f t="shared" si="373"/>
        <v>0.91729778694559139</v>
      </c>
      <c r="AI123" s="873">
        <f t="shared" si="373"/>
        <v>0.94443633003963978</v>
      </c>
      <c r="AJ123" s="1288">
        <f t="shared" si="373"/>
        <v>0.91080469013091891</v>
      </c>
      <c r="AK123" s="873">
        <f t="shared" si="373"/>
        <v>0.932467756202769</v>
      </c>
      <c r="AL123" s="873">
        <f t="shared" si="373"/>
        <v>0.90524327892045886</v>
      </c>
      <c r="AM123" s="873">
        <f t="shared" si="373"/>
        <v>0.91185176236068743</v>
      </c>
      <c r="AN123" s="873">
        <f t="shared" si="373"/>
        <v>0.93729890393520543</v>
      </c>
      <c r="AO123" s="1288">
        <f t="shared" si="373"/>
        <v>0.92179366325047485</v>
      </c>
      <c r="AP123" s="873">
        <f t="shared" si="373"/>
        <v>0.91485627492839172</v>
      </c>
      <c r="AQ123" s="873">
        <f t="shared" si="373"/>
        <v>0.89031075108441315</v>
      </c>
      <c r="AR123" s="873">
        <f t="shared" si="373"/>
        <v>0.89391326760744894</v>
      </c>
      <c r="AS123" s="873">
        <f t="shared" si="373"/>
        <v>0.88987154534838464</v>
      </c>
      <c r="AT123" s="1288">
        <f t="shared" si="373"/>
        <v>0.89671718748727247</v>
      </c>
      <c r="AU123" s="873">
        <f t="shared" si="373"/>
        <v>0.87169624369609133</v>
      </c>
      <c r="AV123" s="873">
        <f t="shared" si="373"/>
        <v>0.87285042084885711</v>
      </c>
      <c r="AW123" s="873">
        <f t="shared" si="373"/>
        <v>0.88448112723583261</v>
      </c>
      <c r="AX123" s="873">
        <f t="shared" si="373"/>
        <v>0.87878915568165583</v>
      </c>
      <c r="AY123" s="1288">
        <f t="shared" si="373"/>
        <v>0.87711632663119932</v>
      </c>
      <c r="AZ123" s="873">
        <f t="shared" si="373"/>
        <v>0.87552004134948858</v>
      </c>
      <c r="BA123" s="873">
        <f t="shared" si="373"/>
        <v>0.86877274580571118</v>
      </c>
      <c r="BB123" s="873">
        <f t="shared" si="373"/>
        <v>0.88395583074157558</v>
      </c>
      <c r="BC123" s="873">
        <f t="shared" si="373"/>
        <v>0.88360930391821157</v>
      </c>
      <c r="BD123" s="1288">
        <f t="shared" si="373"/>
        <v>0.87817162669256355</v>
      </c>
      <c r="BE123" s="873">
        <f t="shared" si="373"/>
        <v>0.88848238802212409</v>
      </c>
      <c r="BF123" s="873">
        <f t="shared" si="373"/>
        <v>0.87613687545181695</v>
      </c>
      <c r="BG123" s="873">
        <f t="shared" si="373"/>
        <v>0.88949485348664681</v>
      </c>
      <c r="BH123" s="873">
        <f t="shared" si="373"/>
        <v>0.8911727884054661</v>
      </c>
      <c r="BI123" s="1288">
        <f t="shared" si="373"/>
        <v>0.88619372329937574</v>
      </c>
      <c r="BJ123" s="873">
        <f t="shared" si="373"/>
        <v>0.92166876346034932</v>
      </c>
      <c r="BK123" s="873">
        <f t="shared" si="373"/>
        <v>0.91326327236898319</v>
      </c>
      <c r="BL123" s="873">
        <f t="shared" si="373"/>
        <v>0.91323035074752978</v>
      </c>
      <c r="BM123" s="873">
        <f t="shared" si="373"/>
        <v>0.92292855924094874</v>
      </c>
      <c r="BN123" s="1288">
        <f t="shared" si="373"/>
        <v>0.91765626233780762</v>
      </c>
      <c r="BO123" s="873">
        <f t="shared" si="373"/>
        <v>0.9449762606903862</v>
      </c>
      <c r="BP123" s="873">
        <f t="shared" si="373"/>
        <v>0.93032295701314371</v>
      </c>
      <c r="BQ123" s="873">
        <f t="shared" si="373"/>
        <v>0.92113157560608616</v>
      </c>
      <c r="BR123" s="873">
        <f t="shared" si="373"/>
        <v>0.93010708660817498</v>
      </c>
      <c r="BS123" s="1288">
        <f t="shared" ref="BS123:EB123" si="374">1-BS126/BS36</f>
        <v>0.93116799247518123</v>
      </c>
      <c r="BT123" s="873">
        <f t="shared" si="374"/>
        <v>0.9235792052742362</v>
      </c>
      <c r="BU123" s="873">
        <f t="shared" si="374"/>
        <v>0.915109380407791</v>
      </c>
      <c r="BV123" s="873">
        <f t="shared" si="374"/>
        <v>0.89882966609642601</v>
      </c>
      <c r="BW123" s="873">
        <f t="shared" si="374"/>
        <v>0.89945402887501436</v>
      </c>
      <c r="BX123" s="1288">
        <f t="shared" si="374"/>
        <v>0.90880171539917631</v>
      </c>
      <c r="BY123" s="873">
        <f t="shared" si="374"/>
        <v>0.91269728865199462</v>
      </c>
      <c r="BZ123" s="873">
        <f t="shared" si="374"/>
        <v>0.8979514421703505</v>
      </c>
      <c r="CA123" s="873">
        <f t="shared" si="374"/>
        <v>0.89221249690614945</v>
      </c>
      <c r="CB123" s="873">
        <f t="shared" si="374"/>
        <v>0.90255183609597411</v>
      </c>
      <c r="CC123" s="1288">
        <f t="shared" si="374"/>
        <v>0.90098774430343198</v>
      </c>
      <c r="CD123" s="873">
        <f t="shared" si="374"/>
        <v>0.89999409600517066</v>
      </c>
      <c r="CE123" s="873">
        <f t="shared" si="374"/>
        <v>0.86720811334159897</v>
      </c>
      <c r="CF123" s="873">
        <f t="shared" si="374"/>
        <v>0.87548298740842179</v>
      </c>
      <c r="CG123" s="873">
        <f t="shared" si="374"/>
        <v>0.89805112428821088</v>
      </c>
      <c r="CH123" s="1288">
        <f t="shared" si="374"/>
        <v>0.88473923638346563</v>
      </c>
      <c r="CI123" s="873">
        <f t="shared" si="374"/>
        <v>0.90787764540780458</v>
      </c>
      <c r="CJ123" s="873">
        <f t="shared" si="374"/>
        <v>0.87052035703688924</v>
      </c>
      <c r="CK123" s="873">
        <f t="shared" si="374"/>
        <v>0.87371053117291309</v>
      </c>
      <c r="CL123" s="873">
        <f t="shared" si="374"/>
        <v>0.91014955794455199</v>
      </c>
      <c r="CM123" s="1288">
        <f t="shared" si="374"/>
        <v>0.88982049402475727</v>
      </c>
      <c r="CN123" s="873">
        <f t="shared" si="374"/>
        <v>0.9311983930225779</v>
      </c>
      <c r="CO123" s="873">
        <f t="shared" si="374"/>
        <v>0.90468301872335588</v>
      </c>
      <c r="CP123" s="873">
        <f t="shared" si="374"/>
        <v>0.92036492389901314</v>
      </c>
      <c r="CQ123" s="873">
        <f t="shared" si="374"/>
        <v>0.92649755196009631</v>
      </c>
      <c r="CR123" s="1288">
        <f t="shared" si="374"/>
        <v>0.92044692676927409</v>
      </c>
      <c r="CS123" s="873">
        <f t="shared" si="374"/>
        <v>0.95218720636355325</v>
      </c>
      <c r="CT123" s="873">
        <f t="shared" si="374"/>
        <v>0.90759207949171161</v>
      </c>
      <c r="CU123" s="873">
        <f t="shared" si="374"/>
        <v>0.9259262401993823</v>
      </c>
      <c r="CV123" s="873">
        <f t="shared" si="374"/>
        <v>1.0143534087435035</v>
      </c>
      <c r="CW123" s="1288">
        <f t="shared" si="374"/>
        <v>0.94621680454182078</v>
      </c>
      <c r="CX123" s="873">
        <f t="shared" si="374"/>
        <v>1.0407570384183056</v>
      </c>
      <c r="CY123" s="873">
        <f t="shared" si="374"/>
        <v>0.92454904835458285</v>
      </c>
      <c r="CZ123" s="873">
        <f t="shared" si="374"/>
        <v>0.96761202568211924</v>
      </c>
      <c r="DA123" s="873">
        <f t="shared" si="374"/>
        <v>0.9959288649934086</v>
      </c>
      <c r="DB123" s="1288">
        <f t="shared" si="374"/>
        <v>0.97918512615715991</v>
      </c>
      <c r="DC123" s="873">
        <f t="shared" si="374"/>
        <v>1.0043489475215965</v>
      </c>
      <c r="DD123" s="873">
        <f t="shared" si="374"/>
        <v>0.97891464138610584</v>
      </c>
      <c r="DE123" s="873">
        <f t="shared" si="374"/>
        <v>0.97809248279340288</v>
      </c>
      <c r="DF123" s="873">
        <f t="shared" si="374"/>
        <v>0.99759109152221825</v>
      </c>
      <c r="DG123" s="1288">
        <f t="shared" si="374"/>
        <v>0.98884315903668996</v>
      </c>
      <c r="DH123" s="873">
        <f t="shared" si="374"/>
        <v>0.97350148031692985</v>
      </c>
      <c r="DI123" s="873">
        <f t="shared" si="374"/>
        <v>0.95337741373541518</v>
      </c>
      <c r="DJ123" s="873">
        <f t="shared" si="374"/>
        <v>0.95171232064508482</v>
      </c>
      <c r="DK123" s="873">
        <f t="shared" si="374"/>
        <v>0.9754357057006896</v>
      </c>
      <c r="DL123" s="1288">
        <f t="shared" si="374"/>
        <v>0.96311208715943142</v>
      </c>
      <c r="DM123" s="873">
        <f t="shared" si="374"/>
        <v>0.95848369586798343</v>
      </c>
      <c r="DN123" s="873">
        <f t="shared" si="374"/>
        <v>0.94366915417222519</v>
      </c>
      <c r="DO123" s="873">
        <f t="shared" si="374"/>
        <v>0.95987188270439816</v>
      </c>
      <c r="DP123" s="873">
        <f t="shared" si="374"/>
        <v>0.97393510025474417</v>
      </c>
      <c r="DQ123" s="1288">
        <f t="shared" si="374"/>
        <v>0.95875488858679314</v>
      </c>
      <c r="DR123" s="873">
        <f t="shared" si="374"/>
        <v>0.98063649194717817</v>
      </c>
      <c r="DS123" s="873">
        <f t="shared" si="374"/>
        <v>0.93870835784931772</v>
      </c>
      <c r="DT123" s="873">
        <f t="shared" si="374"/>
        <v>0.94265246526565349</v>
      </c>
      <c r="DU123" s="873">
        <f t="shared" si="374"/>
        <v>0.97194448871652295</v>
      </c>
      <c r="DV123" s="1288">
        <f t="shared" si="374"/>
        <v>0.95786417010472868</v>
      </c>
      <c r="DW123" s="873">
        <f>1-DW126/DW36</f>
        <v>0.97810800835350764</v>
      </c>
      <c r="DX123" s="873">
        <f t="shared" si="374"/>
        <v>0.9153421094882207</v>
      </c>
      <c r="DY123" s="873">
        <f t="shared" si="374"/>
        <v>0.92403197274454563</v>
      </c>
      <c r="DZ123" s="873">
        <f t="shared" si="374"/>
        <v>0.95893021736925577</v>
      </c>
      <c r="EA123" s="1288">
        <f t="shared" si="374"/>
        <v>0.94302855262777507</v>
      </c>
      <c r="EB123" s="873">
        <f t="shared" si="374"/>
        <v>0.95631664820035245</v>
      </c>
      <c r="EC123" s="873">
        <f>1-EC126/EC36</f>
        <v>0.92418415846335389</v>
      </c>
      <c r="ED123" s="873">
        <f t="shared" ref="ED123:EE123" si="375">1-ED126/ED36</f>
        <v>0.92491166077738518</v>
      </c>
      <c r="EE123" s="873">
        <f t="shared" si="375"/>
        <v>0.93277205523109019</v>
      </c>
      <c r="EF123" s="1288">
        <f t="shared" ref="EF123:EM123" si="376">1-EF126/EF36</f>
        <v>0.93423208220358633</v>
      </c>
      <c r="EG123" s="873">
        <f t="shared" si="376"/>
        <v>0.92890243902439029</v>
      </c>
      <c r="EH123" s="873">
        <f t="shared" si="376"/>
        <v>0.85470282746682047</v>
      </c>
      <c r="EI123" s="873">
        <f t="shared" si="376"/>
        <v>0.87372638809387526</v>
      </c>
      <c r="EJ123" s="873">
        <f t="shared" si="376"/>
        <v>0.90542140151515149</v>
      </c>
      <c r="EK123" s="1288">
        <f t="shared" si="376"/>
        <v>0.89003759398496241</v>
      </c>
      <c r="EL123" s="873">
        <f t="shared" si="376"/>
        <v>0.89012885411872988</v>
      </c>
      <c r="EM123" s="873">
        <f t="shared" si="376"/>
        <v>0.84551975163258752</v>
      </c>
      <c r="EN123" s="873">
        <f>1-EN126/EN36</f>
        <v>0.87577775352035803</v>
      </c>
      <c r="EO123" s="873">
        <f>1-EO126/EO36</f>
        <v>0.89881224303334861</v>
      </c>
      <c r="EP123" s="1288">
        <f>1-EP126/EP36</f>
        <v>0.87699582753824756</v>
      </c>
      <c r="EQ123" s="2274">
        <v>0.88800000000000001</v>
      </c>
      <c r="ER123" s="2274">
        <v>0.84699999999999998</v>
      </c>
      <c r="ES123" s="2274">
        <v>0.84799999999999998</v>
      </c>
      <c r="ET123" s="2274">
        <v>0.86399999999999999</v>
      </c>
      <c r="EU123" s="1288">
        <f>1-EU126/EU36</f>
        <v>0.86130071919672191</v>
      </c>
      <c r="EV123" s="2274">
        <v>0.875</v>
      </c>
      <c r="EW123" s="2274">
        <v>0.84</v>
      </c>
      <c r="EX123" s="2274">
        <v>0.84799999999999998</v>
      </c>
      <c r="EY123" s="2274">
        <v>0.87</v>
      </c>
      <c r="EZ123" s="2393">
        <v>0.85699999999999998</v>
      </c>
      <c r="FA123" s="2274">
        <v>0.87</v>
      </c>
      <c r="FB123" s="2274">
        <v>0.83599999999999997</v>
      </c>
      <c r="FC123" s="2274">
        <v>0.84299999999999997</v>
      </c>
      <c r="FD123" s="2274">
        <v>0.86499999999999999</v>
      </c>
      <c r="FE123" s="2393">
        <v>0.85299999999999998</v>
      </c>
      <c r="FF123" s="721"/>
      <c r="FG123" s="690"/>
      <c r="FH123" s="754"/>
      <c r="FI123" s="754"/>
      <c r="FJ123" s="754"/>
      <c r="FK123" s="754"/>
      <c r="FL123" s="690"/>
      <c r="FM123" s="1091" t="s">
        <v>343</v>
      </c>
      <c r="FN123" s="708"/>
      <c r="FO123" s="723"/>
      <c r="FP123" s="723"/>
      <c r="FQ123" s="873" t="s">
        <v>641</v>
      </c>
      <c r="FR123" s="723"/>
      <c r="FS123" s="723"/>
      <c r="FT123" s="723"/>
      <c r="FU123" s="690"/>
      <c r="FV123"/>
      <c r="FW123"/>
      <c r="FX123"/>
      <c r="FY123"/>
      <c r="FZ123"/>
      <c r="GA123"/>
      <c r="GB123" s="961"/>
      <c r="GC123" s="535"/>
      <c r="GD123" s="535"/>
      <c r="GE123" s="535"/>
      <c r="GF123" s="535"/>
      <c r="GG123" s="535"/>
      <c r="GH123" s="535"/>
      <c r="GI123" s="535"/>
      <c r="GJ123" s="535"/>
      <c r="GK123" s="535"/>
      <c r="GL123" s="535"/>
      <c r="GM123" s="535"/>
      <c r="GN123" s="535"/>
      <c r="GO123" s="535"/>
      <c r="GP123" s="535"/>
      <c r="GQ123" s="535"/>
      <c r="GR123" s="535"/>
      <c r="GS123" s="535"/>
      <c r="GT123" s="535"/>
      <c r="GU123" s="535"/>
      <c r="GV123" s="535"/>
      <c r="GW123" s="535"/>
      <c r="GX123" s="535"/>
      <c r="GY123" s="535"/>
      <c r="GZ123" s="535"/>
      <c r="HA123" s="535"/>
      <c r="HB123" s="535"/>
      <c r="HC123" s="535"/>
      <c r="HD123" s="535"/>
      <c r="HE123" s="535"/>
      <c r="HF123" s="535"/>
      <c r="HG123" s="535"/>
      <c r="HH123" s="535"/>
      <c r="HI123" s="535"/>
      <c r="HJ123" s="535"/>
      <c r="HK123" s="535"/>
      <c r="HL123" s="535"/>
      <c r="HM123" s="535"/>
      <c r="HN123" s="535"/>
      <c r="HO123" s="535"/>
      <c r="HP123" s="535"/>
      <c r="HQ123" s="535"/>
      <c r="HR123" s="535"/>
      <c r="HS123" s="535"/>
      <c r="HT123" s="535"/>
      <c r="HU123" s="535"/>
      <c r="HV123" s="535"/>
      <c r="HW123" s="535"/>
      <c r="HX123" s="535"/>
      <c r="HY123" s="535"/>
      <c r="HZ123" s="535"/>
      <c r="IA123" s="535"/>
      <c r="IB123" s="535"/>
      <c r="IC123" s="535"/>
      <c r="ID123" s="535"/>
      <c r="IE123" s="535"/>
      <c r="IF123" s="535"/>
      <c r="IG123" s="535"/>
      <c r="IH123" s="535"/>
      <c r="II123" s="535"/>
      <c r="IJ123" s="535"/>
      <c r="IK123" s="535"/>
      <c r="IL123" s="535"/>
      <c r="IM123" s="535"/>
      <c r="IN123" s="535"/>
      <c r="IO123" s="535"/>
      <c r="IP123" s="535"/>
      <c r="IQ123" s="535"/>
      <c r="IR123" s="535"/>
      <c r="IS123" s="535"/>
      <c r="IT123" s="535"/>
      <c r="IU123" s="535"/>
      <c r="IV123" s="535"/>
      <c r="IW123" s="535"/>
      <c r="IX123" s="535"/>
      <c r="IY123" s="535"/>
      <c r="IZ123" s="535"/>
      <c r="JA123" s="535"/>
      <c r="JB123" s="535"/>
      <c r="JC123" s="535"/>
      <c r="JD123" s="535"/>
      <c r="JE123" s="535"/>
      <c r="JF123" s="535"/>
      <c r="JG123" s="535"/>
      <c r="JH123" s="535"/>
      <c r="JI123" s="535"/>
      <c r="JJ123" s="535"/>
      <c r="JK123" s="535"/>
      <c r="JL123" s="535"/>
    </row>
    <row r="124" spans="1:272" s="726" customFormat="1" ht="12.75" customHeight="1">
      <c r="A124" s="1291" t="s">
        <v>86</v>
      </c>
      <c r="B124" s="1292"/>
      <c r="C124" s="1016"/>
      <c r="D124" s="1016"/>
      <c r="E124" s="1016"/>
      <c r="F124" s="808"/>
      <c r="G124" s="1293">
        <f t="shared" ref="G124:BR124" si="377">(G123-B123)*100</f>
        <v>95.027881633850981</v>
      </c>
      <c r="H124" s="1293">
        <f t="shared" si="377"/>
        <v>93.715553165748091</v>
      </c>
      <c r="I124" s="1293">
        <f t="shared" si="377"/>
        <v>100.67725589553693</v>
      </c>
      <c r="J124" s="1293">
        <f t="shared" si="377"/>
        <v>94.410281798402764</v>
      </c>
      <c r="K124" s="1154">
        <f t="shared" si="377"/>
        <v>95.99638300073029</v>
      </c>
      <c r="L124" s="1293">
        <f t="shared" si="377"/>
        <v>-0.13845998522827863</v>
      </c>
      <c r="M124" s="1293">
        <f t="shared" si="377"/>
        <v>-1.3566504591836837</v>
      </c>
      <c r="N124" s="1293">
        <f t="shared" si="377"/>
        <v>-7.0567721340926699</v>
      </c>
      <c r="O124" s="1293">
        <f t="shared" si="377"/>
        <v>3.8172912983655993</v>
      </c>
      <c r="P124" s="1154">
        <f t="shared" si="377"/>
        <v>-1.2068552398508792</v>
      </c>
      <c r="Q124" s="1293">
        <f t="shared" si="377"/>
        <v>-2.5883646828849471</v>
      </c>
      <c r="R124" s="1293">
        <f t="shared" si="377"/>
        <v>-0.50795228697012584</v>
      </c>
      <c r="S124" s="1293">
        <f t="shared" si="377"/>
        <v>-0.82576363993004387</v>
      </c>
      <c r="T124" s="1293">
        <f t="shared" si="377"/>
        <v>-4.8794553571316568</v>
      </c>
      <c r="U124" s="1154">
        <f t="shared" si="377"/>
        <v>-2.2111476284565224</v>
      </c>
      <c r="V124" s="1293">
        <f t="shared" si="377"/>
        <v>-15.474925251128269</v>
      </c>
      <c r="W124" s="1293">
        <f t="shared" si="377"/>
        <v>-14.879847585976924</v>
      </c>
      <c r="X124" s="1293">
        <f t="shared" si="377"/>
        <v>-14.929753698006476</v>
      </c>
      <c r="Y124" s="1293">
        <f t="shared" si="377"/>
        <v>-15.874357321628507</v>
      </c>
      <c r="Z124" s="1154">
        <f t="shared" si="377"/>
        <v>-15.273279197681266</v>
      </c>
      <c r="AA124" s="1293">
        <f t="shared" si="377"/>
        <v>1.3619291166116598</v>
      </c>
      <c r="AB124" s="1293">
        <f t="shared" si="377"/>
        <v>1.1245662291872627</v>
      </c>
      <c r="AC124" s="1293">
        <f t="shared" si="377"/>
        <v>1.8438644609991228</v>
      </c>
      <c r="AD124" s="1293">
        <f t="shared" si="377"/>
        <v>2.1964886998547262</v>
      </c>
      <c r="AE124" s="1154">
        <f t="shared" si="377"/>
        <v>1.6162397633529113</v>
      </c>
      <c r="AF124" s="1293">
        <f t="shared" si="377"/>
        <v>10.234818502330468</v>
      </c>
      <c r="AG124" s="1293">
        <f t="shared" si="377"/>
        <v>11.419634176795279</v>
      </c>
      <c r="AH124" s="1293">
        <f t="shared" si="377"/>
        <v>12.020947810052274</v>
      </c>
      <c r="AI124" s="1293">
        <f t="shared" si="377"/>
        <v>14.773383886101055</v>
      </c>
      <c r="AJ124" s="1154">
        <f t="shared" si="377"/>
        <v>12.159128314997359</v>
      </c>
      <c r="AK124" s="1293">
        <f t="shared" si="377"/>
        <v>4.8238962867252937</v>
      </c>
      <c r="AL124" s="1293">
        <f t="shared" si="377"/>
        <v>1.0090246524459889</v>
      </c>
      <c r="AM124" s="1293">
        <f t="shared" si="377"/>
        <v>-0.54460245849039524</v>
      </c>
      <c r="AN124" s="1293">
        <f t="shared" si="377"/>
        <v>-0.71374261044343523</v>
      </c>
      <c r="AO124" s="1154">
        <f t="shared" si="377"/>
        <v>1.0988973119555934</v>
      </c>
      <c r="AP124" s="1293">
        <f t="shared" si="377"/>
        <v>-1.7611481274377283</v>
      </c>
      <c r="AQ124" s="1293">
        <f t="shared" si="377"/>
        <v>-1.4932527836045706</v>
      </c>
      <c r="AR124" s="1293">
        <f t="shared" si="377"/>
        <v>-1.7938494753238499</v>
      </c>
      <c r="AS124" s="1293">
        <f t="shared" si="377"/>
        <v>-4.7427358586820789</v>
      </c>
      <c r="AT124" s="1154">
        <f t="shared" si="377"/>
        <v>-2.5076475763202377</v>
      </c>
      <c r="AU124" s="1293">
        <f t="shared" si="377"/>
        <v>-4.3160031232300389</v>
      </c>
      <c r="AV124" s="1293">
        <f t="shared" si="377"/>
        <v>-1.7460330235556043</v>
      </c>
      <c r="AW124" s="1293">
        <f t="shared" si="377"/>
        <v>-0.94321403716163266</v>
      </c>
      <c r="AX124" s="1293">
        <f t="shared" si="377"/>
        <v>-1.1082389666728809</v>
      </c>
      <c r="AY124" s="1154">
        <f t="shared" si="377"/>
        <v>-1.9600860856073155</v>
      </c>
      <c r="AZ124" s="1293">
        <f t="shared" si="377"/>
        <v>0.38237976533972429</v>
      </c>
      <c r="BA124" s="1293">
        <f t="shared" si="377"/>
        <v>-0.40776750431459341</v>
      </c>
      <c r="BB124" s="1293">
        <f t="shared" si="377"/>
        <v>-5.2529649425703262E-2</v>
      </c>
      <c r="BC124" s="1293">
        <f t="shared" si="377"/>
        <v>0.48201482365557435</v>
      </c>
      <c r="BD124" s="1154">
        <f t="shared" si="377"/>
        <v>0.10553000613642283</v>
      </c>
      <c r="BE124" s="1293">
        <f t="shared" si="377"/>
        <v>1.2962346672635516</v>
      </c>
      <c r="BF124" s="1293">
        <f t="shared" si="377"/>
        <v>0.7364129646105777</v>
      </c>
      <c r="BG124" s="1293">
        <f t="shared" si="377"/>
        <v>0.55390227450712315</v>
      </c>
      <c r="BH124" s="1293">
        <f t="shared" si="377"/>
        <v>0.75634844872545237</v>
      </c>
      <c r="BI124" s="1154">
        <f t="shared" si="377"/>
        <v>0.80220966068121902</v>
      </c>
      <c r="BJ124" s="1293">
        <f t="shared" si="377"/>
        <v>3.3186375438225224</v>
      </c>
      <c r="BK124" s="1293">
        <f t="shared" si="377"/>
        <v>3.7126396917166238</v>
      </c>
      <c r="BL124" s="1293">
        <f t="shared" si="377"/>
        <v>2.3735497260882976</v>
      </c>
      <c r="BM124" s="1293">
        <f t="shared" si="377"/>
        <v>3.1755770835482644</v>
      </c>
      <c r="BN124" s="1154">
        <f t="shared" si="377"/>
        <v>3.146253903843188</v>
      </c>
      <c r="BO124" s="1293">
        <f t="shared" si="377"/>
        <v>2.3307497230036889</v>
      </c>
      <c r="BP124" s="1293">
        <f t="shared" si="377"/>
        <v>1.7059684644160522</v>
      </c>
      <c r="BQ124" s="1293">
        <f t="shared" si="377"/>
        <v>0.79012248585563771</v>
      </c>
      <c r="BR124" s="1293">
        <f t="shared" si="377"/>
        <v>0.71785273672262395</v>
      </c>
      <c r="BS124" s="1154">
        <f t="shared" ref="BS124:ED124" si="378">(BS123-BN123)*100</f>
        <v>1.3511730137373612</v>
      </c>
      <c r="BT124" s="1293">
        <f t="shared" si="378"/>
        <v>-2.1397055416150002</v>
      </c>
      <c r="BU124" s="1293">
        <f t="shared" si="378"/>
        <v>-1.5213576605352719</v>
      </c>
      <c r="BV124" s="1293">
        <f t="shared" si="378"/>
        <v>-2.2301909509660156</v>
      </c>
      <c r="BW124" s="1293">
        <f t="shared" si="378"/>
        <v>-3.0653057733160627</v>
      </c>
      <c r="BX124" s="1154">
        <f t="shared" si="378"/>
        <v>-2.2366277076004915</v>
      </c>
      <c r="BY124" s="1293">
        <f t="shared" si="378"/>
        <v>-1.0881916622241583</v>
      </c>
      <c r="BZ124" s="1293">
        <f t="shared" si="378"/>
        <v>-1.7157938237440495</v>
      </c>
      <c r="CA124" s="1293">
        <f t="shared" si="378"/>
        <v>-0.66171691902765506</v>
      </c>
      <c r="CB124" s="1293">
        <f t="shared" si="378"/>
        <v>0.30978072209597585</v>
      </c>
      <c r="CC124" s="1154">
        <f t="shared" si="378"/>
        <v>-0.7813971095744332</v>
      </c>
      <c r="CD124" s="1293">
        <f t="shared" si="378"/>
        <v>-1.2703192646823958</v>
      </c>
      <c r="CE124" s="1293">
        <f t="shared" si="378"/>
        <v>-3.0743328828751526</v>
      </c>
      <c r="CF124" s="1293">
        <f t="shared" si="378"/>
        <v>-1.6729509497727668</v>
      </c>
      <c r="CG124" s="1293">
        <f t="shared" si="378"/>
        <v>-0.45007118077632358</v>
      </c>
      <c r="CH124" s="1154">
        <f t="shared" si="378"/>
        <v>-1.6248507919966348</v>
      </c>
      <c r="CI124" s="1293">
        <f t="shared" si="378"/>
        <v>0.78835494026339159</v>
      </c>
      <c r="CJ124" s="1293">
        <f t="shared" si="378"/>
        <v>0.33122436952902623</v>
      </c>
      <c r="CK124" s="1293">
        <f t="shared" si="378"/>
        <v>-0.17724562355087015</v>
      </c>
      <c r="CL124" s="1293">
        <f t="shared" si="378"/>
        <v>1.2098433656341112</v>
      </c>
      <c r="CM124" s="1154">
        <f t="shared" si="378"/>
        <v>0.50812576412916366</v>
      </c>
      <c r="CN124" s="1293">
        <f t="shared" si="378"/>
        <v>2.3320747614773318</v>
      </c>
      <c r="CO124" s="1293">
        <f t="shared" si="378"/>
        <v>3.4162661686466644</v>
      </c>
      <c r="CP124" s="1293">
        <f t="shared" si="378"/>
        <v>4.6654392726100058</v>
      </c>
      <c r="CQ124" s="1293">
        <f t="shared" si="378"/>
        <v>1.634799401554432</v>
      </c>
      <c r="CR124" s="1154">
        <f t="shared" si="378"/>
        <v>3.0626432744516818</v>
      </c>
      <c r="CS124" s="1293">
        <f t="shared" si="378"/>
        <v>2.0988813340975354</v>
      </c>
      <c r="CT124" s="1293">
        <f t="shared" si="378"/>
        <v>0.29090607683557312</v>
      </c>
      <c r="CU124" s="1293">
        <f t="shared" si="378"/>
        <v>0.55613163003691568</v>
      </c>
      <c r="CV124" s="1293">
        <f t="shared" si="378"/>
        <v>8.7855856783407233</v>
      </c>
      <c r="CW124" s="1154">
        <f t="shared" si="378"/>
        <v>2.576987777254669</v>
      </c>
      <c r="CX124" s="1293">
        <f t="shared" si="378"/>
        <v>8.8569832054752329</v>
      </c>
      <c r="CY124" s="1293">
        <f t="shared" si="378"/>
        <v>1.6956968862871236</v>
      </c>
      <c r="CZ124" s="1293">
        <f t="shared" si="378"/>
        <v>4.1685785482736932</v>
      </c>
      <c r="DA124" s="1293">
        <f t="shared" si="378"/>
        <v>-1.8424543750094946</v>
      </c>
      <c r="DB124" s="1154">
        <f t="shared" si="378"/>
        <v>3.2968321615339136</v>
      </c>
      <c r="DC124" s="1293">
        <f t="shared" si="378"/>
        <v>-3.6408090896709044</v>
      </c>
      <c r="DD124" s="1293">
        <f t="shared" si="378"/>
        <v>5.4365593031522996</v>
      </c>
      <c r="DE124" s="1293">
        <f t="shared" si="378"/>
        <v>1.0480457111283648</v>
      </c>
      <c r="DF124" s="1293">
        <f t="shared" si="378"/>
        <v>0.16622265288096516</v>
      </c>
      <c r="DG124" s="1154">
        <f t="shared" si="378"/>
        <v>0.9658032879530043</v>
      </c>
      <c r="DH124" s="1293">
        <f t="shared" si="378"/>
        <v>-3.084746720466669</v>
      </c>
      <c r="DI124" s="1293">
        <f t="shared" si="378"/>
        <v>-2.5537227650690664</v>
      </c>
      <c r="DJ124" s="1293">
        <f t="shared" si="378"/>
        <v>-2.6380162148318065</v>
      </c>
      <c r="DK124" s="1293">
        <f t="shared" si="378"/>
        <v>-2.215538582152865</v>
      </c>
      <c r="DL124" s="1154">
        <f t="shared" si="378"/>
        <v>-2.5731071877258538</v>
      </c>
      <c r="DM124" s="1293">
        <f t="shared" si="378"/>
        <v>-1.5017784448946414</v>
      </c>
      <c r="DN124" s="1293">
        <f t="shared" si="378"/>
        <v>-0.97082595631899915</v>
      </c>
      <c r="DO124" s="1293">
        <f t="shared" si="378"/>
        <v>0.81595620593133411</v>
      </c>
      <c r="DP124" s="1293">
        <f t="shared" si="378"/>
        <v>-0.15006054459454354</v>
      </c>
      <c r="DQ124" s="1154">
        <f t="shared" si="378"/>
        <v>-0.43571985726382767</v>
      </c>
      <c r="DR124" s="1293">
        <f>(DR123-DM123)*100</f>
        <v>2.2152796079194736</v>
      </c>
      <c r="DS124" s="1293">
        <f t="shared" si="378"/>
        <v>-0.49607963229074681</v>
      </c>
      <c r="DT124" s="1293">
        <f t="shared" si="378"/>
        <v>-1.7219417438744666</v>
      </c>
      <c r="DU124" s="1293">
        <f t="shared" si="378"/>
        <v>-0.19906115382212208</v>
      </c>
      <c r="DV124" s="1154">
        <f t="shared" si="378"/>
        <v>-8.9071848206445647E-2</v>
      </c>
      <c r="DW124" s="1293">
        <f t="shared" si="378"/>
        <v>-0.25284835936705274</v>
      </c>
      <c r="DX124" s="1293">
        <f t="shared" si="378"/>
        <v>-2.336624836109702</v>
      </c>
      <c r="DY124" s="1293">
        <f t="shared" si="378"/>
        <v>-1.8620492521107868</v>
      </c>
      <c r="DZ124" s="1293">
        <f t="shared" si="378"/>
        <v>-1.3014271347267181</v>
      </c>
      <c r="EA124" s="1154">
        <f t="shared" si="378"/>
        <v>-1.4835617476953611</v>
      </c>
      <c r="EB124" s="1293">
        <f t="shared" si="378"/>
        <v>-2.1791360153155193</v>
      </c>
      <c r="EC124" s="1293">
        <f t="shared" si="378"/>
        <v>0.88420489751331877</v>
      </c>
      <c r="ED124" s="1293">
        <f t="shared" si="378"/>
        <v>8.7968803283955399E-2</v>
      </c>
      <c r="EE124" s="1293">
        <f t="shared" ref="EE124:EF124" si="379">(EE123-DZ123)*100</f>
        <v>-2.6158162138165575</v>
      </c>
      <c r="EF124" s="1154">
        <f t="shared" si="379"/>
        <v>-0.87964704241887404</v>
      </c>
      <c r="EG124" s="1293">
        <f t="shared" ref="EG124" si="380">(EG123-EB123)*100</f>
        <v>-2.7414209175962156</v>
      </c>
      <c r="EH124" s="1293">
        <f t="shared" ref="EH124" si="381">(EH123-EC123)*100</f>
        <v>-6.9481330996533419</v>
      </c>
      <c r="EI124" s="1293">
        <f t="shared" ref="EI124" si="382">(EI123-ED123)*100</f>
        <v>-5.1185272683509915</v>
      </c>
      <c r="EJ124" s="1293">
        <f t="shared" ref="EJ124" si="383">(EJ123-EE123)*100</f>
        <v>-2.73506537159387</v>
      </c>
      <c r="EK124" s="1154">
        <f>(EK123-EF123)*100</f>
        <v>-4.4194488218623924</v>
      </c>
      <c r="EL124" s="1293">
        <f t="shared" ref="EL124" si="384">(EL123-EG123)*100</f>
        <v>-3.8773584905660408</v>
      </c>
      <c r="EM124" s="1293">
        <f t="shared" ref="EM124" si="385">(EM123-EH123)*100</f>
        <v>-0.91830758342329455</v>
      </c>
      <c r="EN124" s="1293">
        <f t="shared" ref="EN124:EO124" si="386">(EN123-EI123)*100</f>
        <v>0.20513654264827652</v>
      </c>
      <c r="EO124" s="1293">
        <f t="shared" si="386"/>
        <v>-0.66091584818028792</v>
      </c>
      <c r="EP124" s="1154">
        <f>(EP123-EK123)*100</f>
        <v>-1.3041766446714842</v>
      </c>
      <c r="EQ124" s="1293">
        <f t="shared" ref="EQ124:ER124" si="387">(EQ123-EL123)*100</f>
        <v>-0.21288541187298726</v>
      </c>
      <c r="ER124" s="1293">
        <f t="shared" si="387"/>
        <v>0.14802483674124511</v>
      </c>
      <c r="ES124" s="1293">
        <f t="shared" ref="ES124" si="388">(ES123-EN123)*100</f>
        <v>-2.7777753520358051</v>
      </c>
      <c r="ET124" s="1293">
        <f t="shared" ref="ET124" si="389">(ET123-EO123)*100</f>
        <v>-3.4812243033348622</v>
      </c>
      <c r="EU124" s="1154">
        <f>(EU123-EP123)*100</f>
        <v>-1.5695108341525654</v>
      </c>
      <c r="EV124" s="1293">
        <f t="shared" ref="EV124" si="390">(EV123-EQ123)*100</f>
        <v>-1.3000000000000012</v>
      </c>
      <c r="EW124" s="1293">
        <f t="shared" ref="EW124" si="391">(EW123-ER123)*100</f>
        <v>-0.70000000000000062</v>
      </c>
      <c r="EX124" s="1293">
        <f t="shared" ref="EX124" si="392">(EX123-ES123)*100</f>
        <v>0</v>
      </c>
      <c r="EY124" s="1293">
        <f t="shared" ref="EY124" si="393">(EY123-ET123)*100</f>
        <v>0.60000000000000053</v>
      </c>
      <c r="EZ124" s="1154">
        <f>(EZ123-EU123)*100</f>
        <v>-0.43007191967219249</v>
      </c>
      <c r="FA124" s="1293">
        <f t="shared" ref="FA124" si="394">(FA123-EV123)*100</f>
        <v>-0.50000000000000044</v>
      </c>
      <c r="FB124" s="1293">
        <f t="shared" ref="FB124" si="395">(FB123-EW123)*100</f>
        <v>-0.40000000000000036</v>
      </c>
      <c r="FC124" s="1293">
        <f t="shared" ref="FC124" si="396">(FC123-EX123)*100</f>
        <v>-0.50000000000000044</v>
      </c>
      <c r="FD124" s="1293">
        <f t="shared" ref="FD124" si="397">(FD123-EY123)*100</f>
        <v>-0.50000000000000044</v>
      </c>
      <c r="FE124" s="1154">
        <f>(FE123-EZ123)*100</f>
        <v>-0.40000000000000036</v>
      </c>
      <c r="FF124" s="721"/>
      <c r="FG124" s="690"/>
      <c r="FH124" s="754"/>
      <c r="FI124" s="754"/>
      <c r="FJ124" s="754"/>
      <c r="FK124" s="754"/>
      <c r="FL124" s="690"/>
      <c r="FM124" s="708"/>
      <c r="FN124" s="708"/>
      <c r="FO124" s="723"/>
      <c r="FP124" s="723"/>
      <c r="FQ124" s="723"/>
      <c r="FR124" s="1282" t="s">
        <v>622</v>
      </c>
      <c r="FS124" s="723"/>
      <c r="FT124" s="723"/>
      <c r="FU124" s="690"/>
      <c r="FV124"/>
      <c r="FW124"/>
      <c r="FX124"/>
      <c r="FY124"/>
      <c r="FZ124"/>
      <c r="GA124"/>
      <c r="GB124" s="961"/>
      <c r="GC124" s="535"/>
      <c r="GD124" s="535"/>
      <c r="GE124" s="535"/>
      <c r="GF124" s="535"/>
      <c r="GG124" s="535"/>
      <c r="GH124" s="535"/>
      <c r="GI124" s="535"/>
      <c r="GJ124" s="535"/>
      <c r="GK124" s="535"/>
      <c r="GL124" s="535"/>
      <c r="GM124" s="535"/>
      <c r="GN124" s="535"/>
      <c r="GO124" s="535"/>
      <c r="GP124" s="535"/>
      <c r="GQ124" s="535"/>
      <c r="GR124" s="535"/>
      <c r="GS124" s="535"/>
      <c r="GT124" s="535"/>
      <c r="GU124" s="535"/>
      <c r="GV124" s="535"/>
      <c r="GW124" s="535"/>
      <c r="GX124" s="535"/>
      <c r="GY124" s="535"/>
      <c r="GZ124" s="535"/>
      <c r="HA124" s="535"/>
      <c r="HB124" s="535"/>
      <c r="HC124" s="535"/>
      <c r="HD124" s="535"/>
      <c r="HE124" s="535"/>
      <c r="HF124" s="535"/>
      <c r="HG124" s="535"/>
      <c r="HH124" s="535"/>
      <c r="HI124" s="535"/>
      <c r="HJ124" s="535"/>
      <c r="HK124" s="535"/>
      <c r="HL124" s="535"/>
      <c r="HM124" s="535"/>
      <c r="HN124" s="535"/>
      <c r="HO124" s="535"/>
      <c r="HP124" s="535"/>
      <c r="HQ124" s="535"/>
      <c r="HR124" s="535"/>
      <c r="HS124" s="535"/>
      <c r="HT124" s="535"/>
      <c r="HU124" s="535"/>
      <c r="HV124" s="535"/>
      <c r="HW124" s="535"/>
      <c r="HX124" s="535"/>
      <c r="HY124" s="535"/>
      <c r="HZ124" s="535"/>
      <c r="IA124" s="535"/>
      <c r="IB124" s="535"/>
      <c r="IC124" s="535"/>
      <c r="ID124" s="535"/>
      <c r="IE124" s="535"/>
      <c r="IF124" s="535"/>
      <c r="IG124" s="535"/>
      <c r="IH124" s="535"/>
      <c r="II124" s="535"/>
      <c r="IJ124" s="535"/>
      <c r="IK124" s="535"/>
      <c r="IL124" s="535"/>
      <c r="IM124" s="535"/>
      <c r="IN124" s="535"/>
      <c r="IO124" s="535"/>
      <c r="IP124" s="535"/>
      <c r="IQ124" s="535"/>
      <c r="IR124" s="535"/>
      <c r="IS124" s="535"/>
      <c r="IT124" s="535"/>
      <c r="IU124" s="535"/>
      <c r="IV124" s="535"/>
      <c r="IW124" s="535"/>
      <c r="IX124" s="535"/>
      <c r="IY124" s="535"/>
      <c r="IZ124" s="535"/>
      <c r="JA124" s="535"/>
      <c r="JB124" s="535"/>
      <c r="JC124" s="535"/>
      <c r="JD124" s="535"/>
      <c r="JE124" s="535"/>
      <c r="JF124" s="535"/>
      <c r="JG124" s="535"/>
      <c r="JH124" s="535"/>
      <c r="JI124" s="535"/>
      <c r="JJ124" s="535"/>
      <c r="JK124" s="535"/>
      <c r="JL124" s="535"/>
    </row>
    <row r="125" spans="1:272" s="726" customFormat="1" ht="12.75" customHeight="1">
      <c r="A125" s="1291" t="s">
        <v>88</v>
      </c>
      <c r="B125" s="1292"/>
      <c r="C125" s="1016"/>
      <c r="D125" s="1016"/>
      <c r="E125" s="1016"/>
      <c r="F125" s="808"/>
      <c r="G125" s="1293">
        <f>+(G123-E123)*100</f>
        <v>95.027881633850981</v>
      </c>
      <c r="H125" s="1293">
        <f>+(H123-G123)*100</f>
        <v>-1.3123284681028857</v>
      </c>
      <c r="I125" s="1293">
        <f>+(I123-H123)*100</f>
        <v>6.9617027297888434</v>
      </c>
      <c r="J125" s="1293">
        <f>+(J123-I123)*100</f>
        <v>-6.2669740971341703</v>
      </c>
      <c r="K125" s="1154">
        <f>K124</f>
        <v>95.99638300073029</v>
      </c>
      <c r="L125" s="1293">
        <f>+(L123-J123)*100</f>
        <v>0.47913985021993399</v>
      </c>
      <c r="M125" s="1293">
        <f>+(M123-L123)*100</f>
        <v>-2.5305189420582908</v>
      </c>
      <c r="N125" s="1293">
        <f>+(N123-M123)*100</f>
        <v>1.2615810548798567</v>
      </c>
      <c r="O125" s="1293">
        <f>+(O123-N123)*100</f>
        <v>4.6070893353240994</v>
      </c>
      <c r="P125" s="1154">
        <f>P124</f>
        <v>-1.2068552398508792</v>
      </c>
      <c r="Q125" s="1293">
        <f>+(Q123-O123)*100</f>
        <v>-5.9265161310306125</v>
      </c>
      <c r="R125" s="1293">
        <f>+(R123-Q123)*100</f>
        <v>-0.45010654614346945</v>
      </c>
      <c r="S125" s="1293">
        <f>+(S123-R123)*100</f>
        <v>0.9437697019199387</v>
      </c>
      <c r="T125" s="1293">
        <f>+(T123-S123)*100</f>
        <v>0.55339761812248645</v>
      </c>
      <c r="U125" s="1154">
        <f>U124</f>
        <v>-2.2111476284565224</v>
      </c>
      <c r="V125" s="1293">
        <f>+(V123-T123)*100</f>
        <v>-16.521986025027225</v>
      </c>
      <c r="W125" s="1293">
        <f>+(W123-V123)*100</f>
        <v>0.14497111900787507</v>
      </c>
      <c r="X125" s="1293">
        <f>+(X123-W123)*100</f>
        <v>0.89386358989038683</v>
      </c>
      <c r="Y125" s="1293">
        <f>+(Y123-X123)*100</f>
        <v>-0.39120600549954476</v>
      </c>
      <c r="Z125" s="1154">
        <f>Z124</f>
        <v>-15.273279197681266</v>
      </c>
      <c r="AA125" s="1293">
        <f>+(AA123-Y123)*100</f>
        <v>0.71430041321294269</v>
      </c>
      <c r="AB125" s="1293">
        <f>+(AB123-AA123)*100</f>
        <v>-9.239176841652208E-2</v>
      </c>
      <c r="AC125" s="1293">
        <f>+(AC123-AB123)*100</f>
        <v>1.613161821702247</v>
      </c>
      <c r="AD125" s="1293">
        <f>+(AD123-AC123)*100</f>
        <v>-3.8581766643941418E-2</v>
      </c>
      <c r="AE125" s="1154">
        <f>AE124</f>
        <v>1.6162397633529113</v>
      </c>
      <c r="AF125" s="1293">
        <f>+(AF123-AD123)*100</f>
        <v>8.7526302156886828</v>
      </c>
      <c r="AG125" s="1293">
        <f>+(AG123-AF123)*100</f>
        <v>1.0924239060482899</v>
      </c>
      <c r="AH125" s="1293">
        <f>+(AH123-AG123)*100</f>
        <v>2.2144754549592416</v>
      </c>
      <c r="AI125" s="1293">
        <f>+(AI123-AH123)*100</f>
        <v>2.7138543094048395</v>
      </c>
      <c r="AJ125" s="1154">
        <f>AJ124</f>
        <v>12.159128314997359</v>
      </c>
      <c r="AK125" s="1293">
        <f>+(AK123-AI123)*100</f>
        <v>-1.1968573836870777</v>
      </c>
      <c r="AL125" s="1293">
        <f>+(AL123-AK123)*100</f>
        <v>-2.7224477282310144</v>
      </c>
      <c r="AM125" s="1293">
        <f>+(AM123-AL123)*100</f>
        <v>0.66084834402285741</v>
      </c>
      <c r="AN125" s="1293">
        <f>+(AN123-AM123)*100</f>
        <v>2.5447141574517995</v>
      </c>
      <c r="AO125" s="1154">
        <f>AO124</f>
        <v>1.0988973119555934</v>
      </c>
      <c r="AP125" s="1293">
        <f>+(AP123-AN123)*100</f>
        <v>-2.2442629006813708</v>
      </c>
      <c r="AQ125" s="1293">
        <f>+(AQ123-AP123)*100</f>
        <v>-2.4545523843978567</v>
      </c>
      <c r="AR125" s="1293">
        <f>+(AR123-AQ123)*100</f>
        <v>0.36025165230357814</v>
      </c>
      <c r="AS125" s="1293">
        <f>+(AS123-AR123)*100</f>
        <v>-0.40417222590642954</v>
      </c>
      <c r="AT125" s="1154">
        <f>AT124</f>
        <v>-2.5076475763202377</v>
      </c>
      <c r="AU125" s="1293">
        <f>+(AU123-AS123)*100</f>
        <v>-1.8175301652293308</v>
      </c>
      <c r="AV125" s="1293">
        <f>+(AV123-AU123)*100</f>
        <v>0.11541771527657785</v>
      </c>
      <c r="AW125" s="1293">
        <f>+(AW123-AV123)*100</f>
        <v>1.1630706386975498</v>
      </c>
      <c r="AX125" s="1293">
        <f>+(AX123-AW123)*100</f>
        <v>-0.56919715541767779</v>
      </c>
      <c r="AY125" s="1154">
        <f>AY124</f>
        <v>-1.9600860856073155</v>
      </c>
      <c r="AZ125" s="1293">
        <f>+(AZ123-AX123)*100</f>
        <v>-0.32691143321672556</v>
      </c>
      <c r="BA125" s="1293">
        <f>+(BA123-AZ123)*100</f>
        <v>-0.67472955437773985</v>
      </c>
      <c r="BB125" s="1293">
        <f>+(BB123-BA123)*100</f>
        <v>1.5183084935864399</v>
      </c>
      <c r="BC125" s="1293">
        <f>+(BC123-BB123)*100</f>
        <v>-3.4652682336400176E-2</v>
      </c>
      <c r="BD125" s="1154">
        <f>BD124</f>
        <v>0.10553000613642283</v>
      </c>
      <c r="BE125" s="1293">
        <f>+(BE123-BC123)*100</f>
        <v>0.48730841039125172</v>
      </c>
      <c r="BF125" s="1293">
        <f>+(BF123-BE123)*100</f>
        <v>-1.2345512570307138</v>
      </c>
      <c r="BG125" s="1293">
        <f>+(BG123-BF123)*100</f>
        <v>1.3357978034829854</v>
      </c>
      <c r="BH125" s="1293">
        <f>+(BH123-BG123)*100</f>
        <v>0.16779349188192905</v>
      </c>
      <c r="BI125" s="1154">
        <f>BI124</f>
        <v>0.80220966068121902</v>
      </c>
      <c r="BJ125" s="1293">
        <f>+(BJ123-BH123)*100</f>
        <v>3.0495975054883218</v>
      </c>
      <c r="BK125" s="1293">
        <f>+(BK123-BJ123)*100</f>
        <v>-0.8405491091366124</v>
      </c>
      <c r="BL125" s="1293">
        <f>+(BL123-BK123)*100</f>
        <v>-3.2921621453407823E-3</v>
      </c>
      <c r="BM125" s="1293">
        <f>+(BM123-BL123)*100</f>
        <v>0.96982084934189583</v>
      </c>
      <c r="BN125" s="1154">
        <f>BN124</f>
        <v>3.146253903843188</v>
      </c>
      <c r="BO125" s="1293">
        <f>+(BO123-BM123)*100</f>
        <v>2.2047701449437462</v>
      </c>
      <c r="BP125" s="1293">
        <f>+(BP123-BO123)*100</f>
        <v>-1.4653303677242491</v>
      </c>
      <c r="BQ125" s="1293">
        <f>+(BQ123-BP123)*100</f>
        <v>-0.91913814070575528</v>
      </c>
      <c r="BR125" s="1293">
        <f>+(BR123-BQ123)*100</f>
        <v>0.89755110020888207</v>
      </c>
      <c r="BS125" s="1154">
        <f>BS124</f>
        <v>1.3511730137373612</v>
      </c>
      <c r="BT125" s="1293">
        <f>+(BT123-BR123)*100</f>
        <v>-0.65278813339387787</v>
      </c>
      <c r="BU125" s="1293">
        <f>+(BU123-BT123)*100</f>
        <v>-0.8469824866445208</v>
      </c>
      <c r="BV125" s="1293">
        <f>+(BV123-BU123)*100</f>
        <v>-1.627971431136499</v>
      </c>
      <c r="BW125" s="1293">
        <f>+(BW123-BV123)*100</f>
        <v>6.2436277858834988E-2</v>
      </c>
      <c r="BX125" s="1154">
        <f>BX124</f>
        <v>-2.2366277076004915</v>
      </c>
      <c r="BY125" s="1293">
        <f>+(BY123-BW123)*100</f>
        <v>1.3243259776980265</v>
      </c>
      <c r="BZ125" s="1293">
        <f>+(BZ123-BY123)*100</f>
        <v>-1.474584648164412</v>
      </c>
      <c r="CA125" s="1293">
        <f>+(CA123-BZ123)*100</f>
        <v>-0.57389452642010452</v>
      </c>
      <c r="CB125" s="1293">
        <f>+(CB123-CA123)*100</f>
        <v>1.0339339189824659</v>
      </c>
      <c r="CC125" s="1154">
        <f>CC124</f>
        <v>-0.7813971095744332</v>
      </c>
      <c r="CD125" s="1293">
        <f>+(CD123-CB123)*100</f>
        <v>-0.25577400908034509</v>
      </c>
      <c r="CE125" s="1293">
        <f>+(CE123-CD123)*100</f>
        <v>-3.2785982663571689</v>
      </c>
      <c r="CF125" s="1293">
        <f>+(CF123-CE123)*100</f>
        <v>0.82748740668228127</v>
      </c>
      <c r="CG125" s="1293">
        <f>+(CG123-CF123)*100</f>
        <v>2.2568136879789091</v>
      </c>
      <c r="CH125" s="1154">
        <f>CH124</f>
        <v>-1.6248507919966348</v>
      </c>
      <c r="CI125" s="1293">
        <f>+(CI123-CG123)*100</f>
        <v>0.98265211195937008</v>
      </c>
      <c r="CJ125" s="1293">
        <f>+(CJ123-CI123)*100</f>
        <v>-3.7357288370915342</v>
      </c>
      <c r="CK125" s="1293">
        <f>+(CK123-CJ123)*100</f>
        <v>0.31901741360238489</v>
      </c>
      <c r="CL125" s="1293">
        <f>+(CL123-CK123)*100</f>
        <v>3.6439026771638905</v>
      </c>
      <c r="CM125" s="1154">
        <f>CM124</f>
        <v>0.50812576412916366</v>
      </c>
      <c r="CN125" s="1293">
        <f>+(CN123-CL123)*100</f>
        <v>2.1048835078025907</v>
      </c>
      <c r="CO125" s="1293">
        <f>+(CO123-CN123)*100</f>
        <v>-2.6515374299222016</v>
      </c>
      <c r="CP125" s="1293">
        <f>+(CP123-CO123)*100</f>
        <v>1.5681905175657262</v>
      </c>
      <c r="CQ125" s="1293">
        <f>+(CQ123-CP123)*100</f>
        <v>0.61326280610831674</v>
      </c>
      <c r="CR125" s="1154">
        <f>CR124</f>
        <v>3.0626432744516818</v>
      </c>
      <c r="CS125" s="1293">
        <f>+(CS123-CQ123)*100</f>
        <v>2.5689654403456941</v>
      </c>
      <c r="CT125" s="1293">
        <f>+(CT123-CS123)*100</f>
        <v>-4.4595126871841639</v>
      </c>
      <c r="CU125" s="1293">
        <f>+(CU123-CT123)*100</f>
        <v>1.8334160707670688</v>
      </c>
      <c r="CV125" s="1293">
        <f>+(CV123-CU123)*100</f>
        <v>8.8427168544121244</v>
      </c>
      <c r="CW125" s="1154">
        <f>CW124</f>
        <v>2.576987777254669</v>
      </c>
      <c r="CX125" s="1293">
        <f>+(CX123-CV123)*100</f>
        <v>2.6403629674802032</v>
      </c>
      <c r="CY125" s="1293">
        <f>+(CY123-CX123)*100</f>
        <v>-11.620799006372273</v>
      </c>
      <c r="CZ125" s="1293">
        <f>+(CZ123-CY123)*100</f>
        <v>4.3062977327536389</v>
      </c>
      <c r="DA125" s="1293">
        <f>+(DA123-CZ123)*100</f>
        <v>2.8316839311289366</v>
      </c>
      <c r="DB125" s="1154">
        <f>DB124</f>
        <v>3.2968321615339136</v>
      </c>
      <c r="DC125" s="1293">
        <f>+(DC123-DA123)*100</f>
        <v>0.84200825281879332</v>
      </c>
      <c r="DD125" s="1293">
        <f>+(DD123-DC123)*100</f>
        <v>-2.5434306135490692</v>
      </c>
      <c r="DE125" s="1293">
        <f>+(DE123-DD123)*100</f>
        <v>-8.2215859270295955E-2</v>
      </c>
      <c r="DF125" s="1293">
        <f>+(DF123-DE123)*100</f>
        <v>1.949860872881537</v>
      </c>
      <c r="DG125" s="1154"/>
      <c r="DH125" s="1293">
        <f>+(DH123-DF123)*100</f>
        <v>-2.4089611205288408</v>
      </c>
      <c r="DI125" s="1293">
        <f>+(DI123-DH123)*100</f>
        <v>-2.0124066581514666</v>
      </c>
      <c r="DJ125" s="1293">
        <f>+(DJ123-DI123)*100</f>
        <v>-0.16650930903303607</v>
      </c>
      <c r="DK125" s="1293">
        <f>+(DK123-DJ123)*100</f>
        <v>2.3723385055604784</v>
      </c>
      <c r="DL125" s="1154"/>
      <c r="DM125" s="1293">
        <f>+(DM123-DK123)*100</f>
        <v>-1.6952009832706172</v>
      </c>
      <c r="DN125" s="1293">
        <f>+(DN123-DM123)*100</f>
        <v>-1.4814541695758243</v>
      </c>
      <c r="DO125" s="1293">
        <f>+(DO123-DN123)*100</f>
        <v>1.6202728532172972</v>
      </c>
      <c r="DP125" s="1293">
        <f>+(DP123-DO123)*100</f>
        <v>1.4063217550346008</v>
      </c>
      <c r="DQ125" s="1154"/>
      <c r="DR125" s="1293">
        <f>+(DR123-DP123)*100</f>
        <v>0.6701391692434</v>
      </c>
      <c r="DS125" s="1293">
        <f>+(DS123-DR123)*100</f>
        <v>-4.1928134097860443</v>
      </c>
      <c r="DT125" s="1293">
        <f>+(DT123-DS123)*100</f>
        <v>0.39441074163357737</v>
      </c>
      <c r="DU125" s="1293">
        <f>+(DU123-DT123)*100</f>
        <v>2.9292023450869453</v>
      </c>
      <c r="DV125" s="1154"/>
      <c r="DW125" s="1293">
        <f>+(DW123-DU123)*100</f>
        <v>0.61635196369846934</v>
      </c>
      <c r="DX125" s="1293">
        <f>+(DX123-DW123)*100</f>
        <v>-6.2765898865286935</v>
      </c>
      <c r="DY125" s="1293">
        <f>+(DY123-DX123)*100</f>
        <v>0.86898632563249256</v>
      </c>
      <c r="DZ125" s="1293">
        <f>+(DZ123-DY123)*100</f>
        <v>3.489824462471014</v>
      </c>
      <c r="EA125" s="1154"/>
      <c r="EB125" s="1293">
        <f>+(EB123-DZ123)*100</f>
        <v>-0.2613569168903318</v>
      </c>
      <c r="EC125" s="1293">
        <f>+(EC123-EB123)*100</f>
        <v>-3.213248973699856</v>
      </c>
      <c r="ED125" s="1293">
        <f>+(ED123-EC123)*100</f>
        <v>7.2750231403129195E-2</v>
      </c>
      <c r="EE125" s="1293">
        <f>+(EE123-ED123)*100</f>
        <v>0.78603944537050108</v>
      </c>
      <c r="EF125" s="1154"/>
      <c r="EG125" s="1293">
        <f>+(EG123-EE123)*100</f>
        <v>-0.38696162066998996</v>
      </c>
      <c r="EH125" s="1293">
        <f>+(EH123-EG123)*100</f>
        <v>-7.4199611557569822</v>
      </c>
      <c r="EI125" s="1293">
        <f>+(EI123-EH123)*100</f>
        <v>1.9023560627054792</v>
      </c>
      <c r="EJ125" s="1293">
        <f>+(EJ123-EI123)*100</f>
        <v>3.169501342127623</v>
      </c>
      <c r="EK125" s="1154"/>
      <c r="EL125" s="1293">
        <f>+(EL123-EJ123)*100</f>
        <v>-1.5292547396421607</v>
      </c>
      <c r="EM125" s="1293">
        <f>+(EM123-EL123)*100</f>
        <v>-4.460910248614236</v>
      </c>
      <c r="EN125" s="1293">
        <f>+(EN123-EM123)*100</f>
        <v>3.0258001887770503</v>
      </c>
      <c r="EO125" s="1293">
        <f>+(EO123-EN123)*100</f>
        <v>2.3034489512990586</v>
      </c>
      <c r="EP125" s="1154"/>
      <c r="EQ125" s="1293">
        <f>+(EQ123-EO123)*100</f>
        <v>-1.0812243033348601</v>
      </c>
      <c r="ER125" s="1293">
        <f>+(ER123-EQ123)*100</f>
        <v>-4.1000000000000032</v>
      </c>
      <c r="ES125" s="1293">
        <f>+(ES123-ER123)*100</f>
        <v>0.10000000000000009</v>
      </c>
      <c r="ET125" s="1293">
        <f>+(ET123-ES123)*100</f>
        <v>1.6000000000000014</v>
      </c>
      <c r="EU125" s="1154"/>
      <c r="EV125" s="1293">
        <f>+(EV123-ET123)*100</f>
        <v>1.100000000000001</v>
      </c>
      <c r="EW125" s="1293">
        <f>+(EW123-EV123)*100</f>
        <v>-3.5000000000000031</v>
      </c>
      <c r="EX125" s="1293">
        <f>+(EX123-EW123)*100</f>
        <v>0.80000000000000071</v>
      </c>
      <c r="EY125" s="1293">
        <f>+(EY123-EX123)*100</f>
        <v>2.200000000000002</v>
      </c>
      <c r="EZ125" s="1154"/>
      <c r="FA125" s="1293">
        <f>+(FA123-EY123)*100</f>
        <v>0</v>
      </c>
      <c r="FB125" s="1293">
        <f>+(FB123-FA123)*100</f>
        <v>-3.400000000000003</v>
      </c>
      <c r="FC125" s="1293">
        <f>+(FC123-FB123)*100</f>
        <v>0.70000000000000062</v>
      </c>
      <c r="FD125" s="1293">
        <f>+(FD123-FC123)*100</f>
        <v>2.200000000000002</v>
      </c>
      <c r="FE125" s="1154"/>
      <c r="FF125" s="721"/>
      <c r="FG125" s="690"/>
      <c r="FH125" s="1294">
        <f>AVERAGE(DH125,DM125,DC125,DR125,DW125,EB125,EG125,EL125)</f>
        <v>-0.51915449940515979</v>
      </c>
      <c r="FI125" s="1294">
        <f t="shared" ref="FI125" si="398">AVERAGE(DI125,DN125,DD125,DS125,DX125,EC125,EH125,EM125)</f>
        <v>-3.9501018894577715</v>
      </c>
      <c r="FJ125" s="1294">
        <f t="shared" ref="FJ125" si="399">AVERAGE(DJ125,DO125,DE125,DT125,DY125,ED125,EI125,EN125)</f>
        <v>0.95448140438321172</v>
      </c>
      <c r="FK125" s="1294">
        <f t="shared" ref="FK125" si="400">AVERAGE(DK125,DP125,DF125,DU125,DZ125,EE125,EJ125,EO125)</f>
        <v>2.3008172099789697</v>
      </c>
      <c r="FL125" s="690"/>
      <c r="FM125" s="708"/>
      <c r="FN125" s="708"/>
      <c r="FO125" s="1295"/>
      <c r="FP125" s="723"/>
      <c r="FQ125" s="723"/>
      <c r="FR125" s="1282"/>
      <c r="FS125" s="723"/>
      <c r="FT125" s="723"/>
      <c r="FU125" s="690"/>
      <c r="FV125"/>
      <c r="FW125"/>
      <c r="FX125"/>
      <c r="FY125"/>
      <c r="FZ125"/>
      <c r="GA125"/>
      <c r="GB125" s="961"/>
      <c r="GC125" s="535"/>
      <c r="GD125" s="535"/>
      <c r="GE125" s="535"/>
      <c r="GF125" s="535"/>
      <c r="GG125" s="535"/>
      <c r="GH125" s="535"/>
      <c r="GI125" s="535"/>
      <c r="GJ125" s="535"/>
      <c r="GK125" s="535"/>
      <c r="GL125" s="535"/>
      <c r="GM125" s="535"/>
      <c r="GN125" s="535"/>
      <c r="GO125" s="535"/>
      <c r="GP125" s="535"/>
      <c r="GQ125" s="535"/>
      <c r="GR125" s="535"/>
      <c r="GS125" s="535"/>
      <c r="GT125" s="535"/>
      <c r="GU125" s="535"/>
      <c r="GV125" s="535"/>
      <c r="GW125" s="535"/>
      <c r="GX125" s="535"/>
      <c r="GY125" s="535"/>
      <c r="GZ125" s="535"/>
      <c r="HA125" s="535"/>
      <c r="HB125" s="535"/>
      <c r="HC125" s="535"/>
      <c r="HD125" s="535"/>
      <c r="HE125" s="535"/>
      <c r="HF125" s="535"/>
      <c r="HG125" s="535"/>
      <c r="HH125" s="535"/>
      <c r="HI125" s="535"/>
      <c r="HJ125" s="535"/>
      <c r="HK125" s="535"/>
      <c r="HL125" s="535"/>
      <c r="HM125" s="535"/>
      <c r="HN125" s="535"/>
      <c r="HO125" s="535"/>
      <c r="HP125" s="535"/>
      <c r="HQ125" s="535"/>
      <c r="HR125" s="535"/>
      <c r="HS125" s="535"/>
      <c r="HT125" s="535"/>
      <c r="HU125" s="535"/>
      <c r="HV125" s="535"/>
      <c r="HW125" s="535"/>
      <c r="HX125" s="535"/>
      <c r="HY125" s="535"/>
      <c r="HZ125" s="535"/>
      <c r="IA125" s="535"/>
      <c r="IB125" s="535"/>
      <c r="IC125" s="535"/>
      <c r="ID125" s="535"/>
      <c r="IE125" s="535"/>
      <c r="IF125" s="535"/>
      <c r="IG125" s="535"/>
      <c r="IH125" s="535"/>
      <c r="II125" s="535"/>
      <c r="IJ125" s="535"/>
      <c r="IK125" s="535"/>
      <c r="IL125" s="535"/>
      <c r="IM125" s="535"/>
      <c r="IN125" s="535"/>
      <c r="IO125" s="535"/>
      <c r="IP125" s="535"/>
      <c r="IQ125" s="535"/>
      <c r="IR125" s="535"/>
      <c r="IS125" s="535"/>
      <c r="IT125" s="535"/>
      <c r="IU125" s="535"/>
      <c r="IV125" s="535"/>
      <c r="IW125" s="535"/>
      <c r="IX125" s="535"/>
      <c r="IY125" s="535"/>
      <c r="IZ125" s="535"/>
      <c r="JA125" s="535"/>
      <c r="JB125" s="535"/>
      <c r="JC125" s="535"/>
      <c r="JD125" s="535"/>
      <c r="JE125" s="535"/>
      <c r="JF125" s="535"/>
      <c r="JG125" s="535"/>
      <c r="JH125" s="535"/>
      <c r="JI125" s="535"/>
      <c r="JJ125" s="535"/>
      <c r="JK125" s="535"/>
      <c r="JL125" s="535"/>
    </row>
    <row r="126" spans="1:272" s="811" customFormat="1" ht="12.75" customHeight="1">
      <c r="A126" s="1296" t="s">
        <v>344</v>
      </c>
      <c r="B126" s="1297"/>
      <c r="C126" s="780"/>
      <c r="D126" s="780"/>
      <c r="E126" s="780"/>
      <c r="F126" s="1298"/>
      <c r="G126" s="780">
        <v>7.7930000000000064</v>
      </c>
      <c r="H126" s="780">
        <v>10.285</v>
      </c>
      <c r="I126" s="780">
        <v>-1.1119999999999948</v>
      </c>
      <c r="J126" s="780">
        <v>8.5809999999999889</v>
      </c>
      <c r="K126" s="1298">
        <v>25.547000000000025</v>
      </c>
      <c r="L126" s="780">
        <v>7.3969999999999914</v>
      </c>
      <c r="M126" s="780">
        <v>12.086000000000013</v>
      </c>
      <c r="N126" s="780">
        <v>10.897999999999996</v>
      </c>
      <c r="O126" s="780">
        <v>2.9369999999999834</v>
      </c>
      <c r="P126" s="1298">
        <v>33.31799999999987</v>
      </c>
      <c r="Q126" s="780">
        <v>13.388000000000005</v>
      </c>
      <c r="R126" s="780">
        <v>14.799000000000007</v>
      </c>
      <c r="S126" s="780">
        <v>13.472000000000008</v>
      </c>
      <c r="T126" s="780">
        <v>12.087999999999994</v>
      </c>
      <c r="U126" s="1298">
        <v>53.747000000000071</v>
      </c>
      <c r="V126" s="780">
        <v>43.559224999999998</v>
      </c>
      <c r="W126" s="780">
        <v>45.81207599999999</v>
      </c>
      <c r="X126" s="780">
        <v>47.366537000000022</v>
      </c>
      <c r="Y126" s="780">
        <v>48.974748000000005</v>
      </c>
      <c r="Z126" s="1298">
        <v>185.71258599999999</v>
      </c>
      <c r="AA126" s="780">
        <v>50.256452800000005</v>
      </c>
      <c r="AB126" s="780">
        <v>59.998809999999992</v>
      </c>
      <c r="AC126" s="780">
        <v>52.644220799999999</v>
      </c>
      <c r="AD126" s="780">
        <v>51.795936000000012</v>
      </c>
      <c r="AE126" s="1298">
        <v>214.69541960000004</v>
      </c>
      <c r="AF126" s="780">
        <v>31.824346999999989</v>
      </c>
      <c r="AG126" s="780">
        <v>30.208717999999976</v>
      </c>
      <c r="AH126" s="780">
        <v>24.376559999999984</v>
      </c>
      <c r="AI126" s="780">
        <v>16.358000000000004</v>
      </c>
      <c r="AJ126" s="1298">
        <v>102.76762499999995</v>
      </c>
      <c r="AK126" s="780">
        <v>20.384000000000015</v>
      </c>
      <c r="AL126" s="780">
        <v>30.004999999999939</v>
      </c>
      <c r="AM126" s="780">
        <v>29.184999999999999</v>
      </c>
      <c r="AN126" s="780">
        <v>21.475000000000001</v>
      </c>
      <c r="AO126" s="1298">
        <v>101.04899999999998</v>
      </c>
      <c r="AP126" s="780">
        <v>28.476999999999975</v>
      </c>
      <c r="AQ126" s="780">
        <v>40.081000000000017</v>
      </c>
      <c r="AR126" s="780">
        <v>41.158999999999992</v>
      </c>
      <c r="AS126" s="780">
        <v>42.437999999999988</v>
      </c>
      <c r="AT126" s="1298">
        <v>152.155</v>
      </c>
      <c r="AU126" s="780">
        <v>50.500999999999976</v>
      </c>
      <c r="AV126" s="780">
        <v>53.99</v>
      </c>
      <c r="AW126" s="780">
        <v>50.665999999999997</v>
      </c>
      <c r="AX126" s="780">
        <v>51.77800000000002</v>
      </c>
      <c r="AY126" s="1298">
        <v>206.935</v>
      </c>
      <c r="AZ126" s="780">
        <v>53.947000000000003</v>
      </c>
      <c r="BA126" s="780">
        <v>60.83</v>
      </c>
      <c r="BB126" s="780">
        <v>56.937999999999988</v>
      </c>
      <c r="BC126" s="780">
        <v>57.104999999999997</v>
      </c>
      <c r="BD126" s="1298">
        <v>228.82</v>
      </c>
      <c r="BE126" s="780">
        <v>56.696000000000026</v>
      </c>
      <c r="BF126" s="780">
        <v>65.451999999999998</v>
      </c>
      <c r="BG126" s="780">
        <v>57.201000000000022</v>
      </c>
      <c r="BH126" s="780">
        <v>53.37299999999999</v>
      </c>
      <c r="BI126" s="1298">
        <v>232.72199999999975</v>
      </c>
      <c r="BJ126" s="780">
        <v>36.734999999999999</v>
      </c>
      <c r="BK126" s="780">
        <v>42.430999999999983</v>
      </c>
      <c r="BL126" s="780">
        <v>42.617000000000019</v>
      </c>
      <c r="BM126" s="780">
        <v>35.683999999999969</v>
      </c>
      <c r="BN126" s="1298">
        <v>157.4670000000001</v>
      </c>
      <c r="BO126" s="780">
        <v>25.021000000000015</v>
      </c>
      <c r="BP126" s="780">
        <v>35.115000000000002</v>
      </c>
      <c r="BQ126" s="780">
        <v>41.617999999999995</v>
      </c>
      <c r="BR126" s="780">
        <v>36.700000000000003</v>
      </c>
      <c r="BS126" s="1298">
        <v>138.45399999999995</v>
      </c>
      <c r="BT126" s="780">
        <v>38.739000000000033</v>
      </c>
      <c r="BU126" s="780">
        <v>44.886000000000081</v>
      </c>
      <c r="BV126" s="780">
        <v>56.59600000000006</v>
      </c>
      <c r="BW126" s="780">
        <v>56.44500000000005</v>
      </c>
      <c r="BX126" s="1298">
        <v>196.66599999999994</v>
      </c>
      <c r="BY126" s="780">
        <v>50.546000000000049</v>
      </c>
      <c r="BZ126" s="780">
        <v>65.371999999999957</v>
      </c>
      <c r="CA126" s="780">
        <v>71.855999999999995</v>
      </c>
      <c r="CB126" s="780">
        <v>63.269000000000005</v>
      </c>
      <c r="CC126" s="1298">
        <v>251.04300000000012</v>
      </c>
      <c r="CD126" s="780">
        <v>64.366999999999962</v>
      </c>
      <c r="CE126" s="780">
        <v>95.322000000000003</v>
      </c>
      <c r="CF126" s="780">
        <v>93.648000000000025</v>
      </c>
      <c r="CG126" s="780">
        <v>74.496999999999957</v>
      </c>
      <c r="CH126" s="1298">
        <v>327.83399999999983</v>
      </c>
      <c r="CI126" s="780">
        <v>66.168999999999983</v>
      </c>
      <c r="CJ126" s="780">
        <v>99.932000000000016</v>
      </c>
      <c r="CK126" s="780">
        <v>93.74</v>
      </c>
      <c r="CL126" s="780">
        <v>61.363</v>
      </c>
      <c r="CM126" s="1298">
        <v>321.20399999999972</v>
      </c>
      <c r="CN126" s="780">
        <v>47.677999999999997</v>
      </c>
      <c r="CO126" s="780">
        <v>72.152000000000044</v>
      </c>
      <c r="CP126" s="780">
        <v>60.028999999999996</v>
      </c>
      <c r="CQ126" s="780">
        <v>55.201000000000022</v>
      </c>
      <c r="CR126" s="1298">
        <v>235.06</v>
      </c>
      <c r="CS126" s="780">
        <v>36.076999999999998</v>
      </c>
      <c r="CT126" s="780">
        <v>77.375</v>
      </c>
      <c r="CU126" s="780">
        <v>61.106999999999971</v>
      </c>
      <c r="CV126" s="780">
        <v>-9.3899999999999864</v>
      </c>
      <c r="CW126" s="1298">
        <v>165.16900000000032</v>
      </c>
      <c r="CX126" s="780">
        <v>-23.387</v>
      </c>
      <c r="CY126" s="780">
        <v>48.994</v>
      </c>
      <c r="CZ126" s="780">
        <v>22.815999999999999</v>
      </c>
      <c r="DA126" s="780">
        <v>2.835</v>
      </c>
      <c r="DB126" s="1298">
        <f>51.258+3.36</f>
        <v>54.618000000000002</v>
      </c>
      <c r="DC126" s="780">
        <v>-3.153</v>
      </c>
      <c r="DD126" s="780">
        <v>17.225999999999999</v>
      </c>
      <c r="DE126" s="780">
        <f>13.062+4.4</f>
        <v>17.462</v>
      </c>
      <c r="DF126" s="780">
        <v>1.7729999999999999</v>
      </c>
      <c r="DG126" s="1298">
        <f>28.908+5.4</f>
        <v>34.308</v>
      </c>
      <c r="DH126" s="780">
        <v>20.344000000000001</v>
      </c>
      <c r="DI126" s="780">
        <v>39.155000000000001</v>
      </c>
      <c r="DJ126" s="1299">
        <v>40.720999999999997</v>
      </c>
      <c r="DK126" s="1299">
        <v>19.559000000000001</v>
      </c>
      <c r="DL126" s="1298">
        <f>SUM(DH126:DK126)</f>
        <v>119.779</v>
      </c>
      <c r="DM126" s="1299">
        <v>34.502000000000002</v>
      </c>
      <c r="DN126" s="1299">
        <v>49.488</v>
      </c>
      <c r="DO126" s="1299">
        <v>34.441000000000003</v>
      </c>
      <c r="DP126" s="1299">
        <v>21.497</v>
      </c>
      <c r="DQ126" s="1298">
        <f>SUM(DM126:DP126)</f>
        <v>139.928</v>
      </c>
      <c r="DR126" s="1299">
        <v>16.024000000000001</v>
      </c>
      <c r="DS126" s="1299">
        <v>54.689</v>
      </c>
      <c r="DT126" s="1299">
        <v>51.57</v>
      </c>
      <c r="DU126" s="1299">
        <v>23.763999999999999</v>
      </c>
      <c r="DV126" s="1298">
        <f>SUM(DR126:DU126)</f>
        <v>146.047</v>
      </c>
      <c r="DW126" s="1299">
        <v>18.565000000000001</v>
      </c>
      <c r="DX126" s="1299">
        <v>79.620999999999995</v>
      </c>
      <c r="DY126" s="1299">
        <v>71.888999999999996</v>
      </c>
      <c r="DZ126" s="1299">
        <v>36.848999999999997</v>
      </c>
      <c r="EA126" s="1298">
        <f>SUM(DW126:DZ126)</f>
        <v>206.92399999999998</v>
      </c>
      <c r="EB126" s="1299">
        <v>37.375999999999998</v>
      </c>
      <c r="EC126" s="1299">
        <v>69.516000000000005</v>
      </c>
      <c r="ED126" s="1299">
        <v>68</v>
      </c>
      <c r="EE126" s="2273">
        <v>57.2</v>
      </c>
      <c r="EF126" s="1298">
        <f>SUM(EB126:EE126)</f>
        <v>232.09199999999998</v>
      </c>
      <c r="EG126" s="2282">
        <v>58.3</v>
      </c>
      <c r="EH126" s="2282">
        <v>125.9</v>
      </c>
      <c r="EI126" s="2282">
        <v>110.3</v>
      </c>
      <c r="EJ126" s="2282">
        <v>79.900000000000006</v>
      </c>
      <c r="EK126" s="1298">
        <f>SUM(EG126:EJ126)</f>
        <v>374.4</v>
      </c>
      <c r="EL126" s="2283">
        <v>95.5</v>
      </c>
      <c r="EM126" s="2282">
        <v>144.30000000000001</v>
      </c>
      <c r="EN126" s="2282">
        <v>113.8</v>
      </c>
      <c r="EO126" s="2282">
        <v>88.6</v>
      </c>
      <c r="EP126" s="1298">
        <f>SUM(EL126:EO126)</f>
        <v>442.20000000000005</v>
      </c>
      <c r="EQ126" s="854">
        <f t="shared" ref="EQ126" si="401">EQ36*(1-EQ123)</f>
        <v>101.57295913553442</v>
      </c>
      <c r="ER126" s="854">
        <f t="shared" ref="ER126:ET126" si="402">ER36*(1-ER123)</f>
        <v>150.04893319937764</v>
      </c>
      <c r="ES126" s="854">
        <f t="shared" si="402"/>
        <v>145.66508171322462</v>
      </c>
      <c r="ET126" s="855">
        <f t="shared" si="402"/>
        <v>128.86434702949671</v>
      </c>
      <c r="EU126" s="1298">
        <f>SUM(EQ126:ET126)</f>
        <v>526.15132107763338</v>
      </c>
      <c r="EV126" s="854">
        <f t="shared" ref="EV126:FE126" si="403">EV36*(1-EV123)</f>
        <v>123.63306058391606</v>
      </c>
      <c r="EW126" s="854">
        <f t="shared" si="403"/>
        <v>170.21547030269477</v>
      </c>
      <c r="EX126" s="854">
        <f t="shared" si="403"/>
        <v>159.69523489841021</v>
      </c>
      <c r="EY126" s="855">
        <f t="shared" si="403"/>
        <v>130.96497713210124</v>
      </c>
      <c r="EZ126" s="1298">
        <f t="shared" si="403"/>
        <v>575.14136253943991</v>
      </c>
      <c r="FA126" s="854">
        <f t="shared" si="403"/>
        <v>-2.6</v>
      </c>
      <c r="FB126" s="854">
        <f t="shared" si="403"/>
        <v>-3.2800000000000007</v>
      </c>
      <c r="FC126" s="854">
        <f t="shared" si="403"/>
        <v>-3.1400000000000006</v>
      </c>
      <c r="FD126" s="855">
        <f t="shared" si="403"/>
        <v>-2.7</v>
      </c>
      <c r="FE126" s="1298">
        <f t="shared" si="403"/>
        <v>625.97810864471182</v>
      </c>
      <c r="FF126" s="938"/>
      <c r="FG126" s="690"/>
      <c r="FH126" s="754"/>
      <c r="FI126" s="754"/>
      <c r="FJ126" s="754"/>
      <c r="FK126" s="754"/>
      <c r="FL126" s="690"/>
      <c r="FM126" s="1116" t="s">
        <v>345</v>
      </c>
      <c r="FN126" s="708"/>
      <c r="FO126" s="723"/>
      <c r="FP126" s="723"/>
      <c r="FQ126" s="2296" t="s">
        <v>613</v>
      </c>
      <c r="FR126" s="941"/>
      <c r="FS126" s="941"/>
      <c r="FT126" s="941"/>
      <c r="FU126" s="690"/>
      <c r="FV126"/>
      <c r="FW126"/>
      <c r="FX126"/>
      <c r="FY126"/>
      <c r="FZ126"/>
      <c r="GA126"/>
      <c r="GB126" s="943"/>
      <c r="GC126" s="965"/>
      <c r="GD126" s="965"/>
      <c r="GE126" s="965"/>
      <c r="GF126" s="965"/>
      <c r="GG126" s="965"/>
      <c r="GH126" s="965"/>
      <c r="GI126" s="965"/>
      <c r="GJ126" s="965"/>
      <c r="GK126" s="965"/>
      <c r="GL126" s="965"/>
      <c r="GM126" s="965"/>
      <c r="GN126" s="965"/>
      <c r="GO126" s="965"/>
      <c r="GP126" s="965"/>
      <c r="GQ126" s="965"/>
      <c r="GR126" s="965"/>
      <c r="GS126" s="965"/>
      <c r="GT126" s="965"/>
      <c r="GU126" s="965"/>
      <c r="GV126" s="965"/>
      <c r="GW126" s="965"/>
      <c r="GX126" s="965"/>
      <c r="GY126" s="965"/>
      <c r="GZ126" s="965"/>
      <c r="HA126" s="965"/>
      <c r="HB126" s="965"/>
      <c r="HC126" s="965"/>
      <c r="HD126" s="965"/>
      <c r="HE126" s="965"/>
      <c r="HF126" s="965"/>
      <c r="HG126" s="965"/>
      <c r="HH126" s="965"/>
      <c r="HI126" s="965"/>
      <c r="HJ126" s="965"/>
      <c r="HK126" s="965"/>
      <c r="HL126" s="965"/>
      <c r="HM126" s="965"/>
      <c r="HN126" s="965"/>
      <c r="HO126" s="965"/>
      <c r="HP126" s="965"/>
      <c r="HQ126" s="965"/>
      <c r="HR126" s="965"/>
      <c r="HS126" s="965"/>
      <c r="HT126" s="965"/>
      <c r="HU126" s="965"/>
      <c r="HV126" s="965"/>
      <c r="HW126" s="965"/>
      <c r="HX126" s="965"/>
      <c r="HY126" s="965"/>
      <c r="HZ126" s="965"/>
      <c r="IA126" s="965"/>
      <c r="IB126" s="965"/>
      <c r="IC126" s="965"/>
      <c r="ID126" s="965"/>
      <c r="IE126" s="965"/>
      <c r="IF126" s="965"/>
      <c r="IG126" s="965"/>
      <c r="IH126" s="965"/>
      <c r="II126" s="965"/>
      <c r="IJ126" s="965"/>
      <c r="IK126" s="965"/>
      <c r="IL126" s="965"/>
      <c r="IM126" s="965"/>
      <c r="IN126" s="965"/>
      <c r="IO126" s="965"/>
      <c r="IP126" s="965"/>
      <c r="IQ126" s="965"/>
      <c r="IR126" s="965"/>
      <c r="IS126" s="965"/>
      <c r="IT126" s="965"/>
      <c r="IU126" s="965"/>
      <c r="IV126" s="965"/>
      <c r="IW126" s="965"/>
      <c r="IX126" s="965"/>
      <c r="IY126" s="965"/>
      <c r="IZ126" s="965"/>
      <c r="JA126" s="965"/>
      <c r="JB126" s="965"/>
      <c r="JC126" s="965"/>
      <c r="JD126" s="965"/>
      <c r="JE126" s="965"/>
      <c r="JF126" s="965"/>
      <c r="JG126" s="965"/>
      <c r="JH126" s="965"/>
      <c r="JI126" s="965"/>
      <c r="JJ126" s="965"/>
      <c r="JK126" s="965"/>
      <c r="JL126" s="965"/>
    </row>
    <row r="127" spans="1:272" s="749" customFormat="1" ht="12.75" customHeight="1">
      <c r="A127" s="58" t="s">
        <v>85</v>
      </c>
      <c r="B127" s="1300"/>
      <c r="C127" s="1301"/>
      <c r="D127" s="1301"/>
      <c r="E127" s="1301"/>
      <c r="F127" s="741"/>
      <c r="G127" s="1257"/>
      <c r="H127" s="1301"/>
      <c r="I127" s="1301"/>
      <c r="J127" s="1301"/>
      <c r="K127" s="741"/>
      <c r="L127" s="1257"/>
      <c r="M127" s="1301"/>
      <c r="N127" s="1301"/>
      <c r="O127" s="1301"/>
      <c r="P127" s="741"/>
      <c r="Q127" s="1257"/>
      <c r="R127" s="1301"/>
      <c r="S127" s="1301"/>
      <c r="T127" s="1301"/>
      <c r="U127" s="741"/>
      <c r="V127" s="1257"/>
      <c r="W127" s="1301"/>
      <c r="X127" s="1302"/>
      <c r="Y127" s="1302"/>
      <c r="Z127" s="741"/>
      <c r="AA127" s="1236"/>
      <c r="AB127" s="1302"/>
      <c r="AC127" s="1302"/>
      <c r="AD127" s="1302"/>
      <c r="AE127" s="741"/>
      <c r="AF127" s="721"/>
      <c r="AG127" s="721"/>
      <c r="AH127" s="721"/>
      <c r="AI127" s="721"/>
      <c r="AJ127" s="741"/>
      <c r="AK127" s="721"/>
      <c r="AL127" s="721"/>
      <c r="AM127" s="721"/>
      <c r="AN127" s="721"/>
      <c r="AO127" s="741"/>
      <c r="AP127" s="721"/>
      <c r="AQ127" s="742"/>
      <c r="AR127" s="742"/>
      <c r="AS127" s="721"/>
      <c r="AT127" s="741"/>
      <c r="AU127" s="721">
        <f t="shared" ref="AU127:BN127" si="404">AU126/AP126-1</f>
        <v>0.77339607402465216</v>
      </c>
      <c r="AV127" s="742">
        <f t="shared" si="404"/>
        <v>0.34702227988323586</v>
      </c>
      <c r="AW127" s="721">
        <f t="shared" si="404"/>
        <v>0.2309822881994219</v>
      </c>
      <c r="AX127" s="721">
        <f t="shared" si="404"/>
        <v>0.22008577218530645</v>
      </c>
      <c r="AY127" s="741">
        <f t="shared" si="404"/>
        <v>0.36002760343071216</v>
      </c>
      <c r="AZ127" s="721">
        <f t="shared" si="404"/>
        <v>6.8236272549059063E-2</v>
      </c>
      <c r="BA127" s="742">
        <f t="shared" si="404"/>
        <v>0.12669012780144473</v>
      </c>
      <c r="BB127" s="721">
        <f t="shared" si="404"/>
        <v>0.12379110251450665</v>
      </c>
      <c r="BC127" s="721">
        <f t="shared" si="404"/>
        <v>0.10288153269728406</v>
      </c>
      <c r="BD127" s="741">
        <f t="shared" si="404"/>
        <v>0.10575784666682764</v>
      </c>
      <c r="BE127" s="721">
        <f t="shared" si="404"/>
        <v>5.0957421172632911E-2</v>
      </c>
      <c r="BF127" s="742">
        <f t="shared" si="404"/>
        <v>7.5982245602498777E-2</v>
      </c>
      <c r="BG127" s="721">
        <f t="shared" si="404"/>
        <v>4.6190593276904668E-3</v>
      </c>
      <c r="BH127" s="721">
        <f t="shared" si="404"/>
        <v>-6.5353296558970486E-2</v>
      </c>
      <c r="BI127" s="741">
        <f t="shared" si="404"/>
        <v>1.7052705183112415E-2</v>
      </c>
      <c r="BJ127" s="721">
        <f t="shared" si="404"/>
        <v>-0.35207069281783576</v>
      </c>
      <c r="BK127" s="742">
        <f t="shared" si="404"/>
        <v>-0.35172340035445848</v>
      </c>
      <c r="BL127" s="721">
        <f t="shared" si="404"/>
        <v>-0.25496057761227942</v>
      </c>
      <c r="BM127" s="721">
        <f t="shared" si="404"/>
        <v>-0.33142225469806874</v>
      </c>
      <c r="BN127" s="741">
        <f t="shared" si="404"/>
        <v>-0.3233686544460761</v>
      </c>
      <c r="BO127" s="721"/>
      <c r="BP127" s="742"/>
      <c r="BQ127" s="721"/>
      <c r="BR127" s="721"/>
      <c r="BS127" s="741">
        <f t="shared" ref="BS127:ED127" si="405">BS126/BN126-1</f>
        <v>-0.12074275880025742</v>
      </c>
      <c r="BT127" s="721">
        <f t="shared" si="405"/>
        <v>0.54825946205187681</v>
      </c>
      <c r="BU127" s="742">
        <f t="shared" si="405"/>
        <v>0.27825715506194149</v>
      </c>
      <c r="BV127" s="721">
        <f t="shared" si="405"/>
        <v>0.35989235426978872</v>
      </c>
      <c r="BW127" s="721">
        <f t="shared" si="405"/>
        <v>0.53801089918256251</v>
      </c>
      <c r="BX127" s="741">
        <f t="shared" si="405"/>
        <v>0.42044289077960917</v>
      </c>
      <c r="BY127" s="721">
        <f t="shared" si="405"/>
        <v>0.3047832933219754</v>
      </c>
      <c r="BZ127" s="742">
        <f t="shared" si="405"/>
        <v>0.45640065944837671</v>
      </c>
      <c r="CA127" s="721">
        <f t="shared" si="405"/>
        <v>0.26963036256979156</v>
      </c>
      <c r="CB127" s="721">
        <f t="shared" si="405"/>
        <v>0.12089644786960663</v>
      </c>
      <c r="CC127" s="741">
        <f t="shared" si="405"/>
        <v>0.27649415760731499</v>
      </c>
      <c r="CD127" s="721">
        <f t="shared" si="405"/>
        <v>0.27343409963201637</v>
      </c>
      <c r="CE127" s="721">
        <f t="shared" si="405"/>
        <v>0.45814721899284194</v>
      </c>
      <c r="CF127" s="721">
        <f t="shared" si="405"/>
        <v>0.30327321309285282</v>
      </c>
      <c r="CG127" s="721">
        <f t="shared" si="405"/>
        <v>0.17746447707407964</v>
      </c>
      <c r="CH127" s="741">
        <f t="shared" si="405"/>
        <v>0.30588783594842184</v>
      </c>
      <c r="CI127" s="721">
        <f t="shared" si="405"/>
        <v>2.799571208849283E-2</v>
      </c>
      <c r="CJ127" s="721">
        <f t="shared" si="405"/>
        <v>4.8362392732003157E-2</v>
      </c>
      <c r="CK127" s="721">
        <f t="shared" si="405"/>
        <v>9.8240218691247883E-4</v>
      </c>
      <c r="CL127" s="721">
        <f t="shared" si="405"/>
        <v>-0.17630240143898368</v>
      </c>
      <c r="CM127" s="741">
        <f t="shared" si="405"/>
        <v>-2.0223649773971286E-2</v>
      </c>
      <c r="CN127" s="721">
        <f t="shared" si="405"/>
        <v>-0.27945110248001315</v>
      </c>
      <c r="CO127" s="721">
        <f t="shared" si="405"/>
        <v>-0.27798903254212837</v>
      </c>
      <c r="CP127" s="721">
        <f t="shared" si="405"/>
        <v>-0.35962235971836998</v>
      </c>
      <c r="CQ127" s="721">
        <f t="shared" si="405"/>
        <v>-0.10041881915812423</v>
      </c>
      <c r="CR127" s="741">
        <f t="shared" si="405"/>
        <v>-0.26819093161977992</v>
      </c>
      <c r="CS127" s="721">
        <f t="shared" si="405"/>
        <v>-0.24331977012458572</v>
      </c>
      <c r="CT127" s="721">
        <f t="shared" si="405"/>
        <v>7.2388845770040344E-2</v>
      </c>
      <c r="CU127" s="721">
        <f t="shared" si="405"/>
        <v>1.7957986972962692E-2</v>
      </c>
      <c r="CV127" s="721">
        <f t="shared" si="405"/>
        <v>-1.1701056140287311</v>
      </c>
      <c r="CW127" s="741">
        <f t="shared" si="405"/>
        <v>-0.29733259593295192</v>
      </c>
      <c r="CX127" s="721">
        <f t="shared" si="405"/>
        <v>-1.6482523491421128</v>
      </c>
      <c r="CY127" s="721">
        <f t="shared" si="405"/>
        <v>-0.36679806138933768</v>
      </c>
      <c r="CZ127" s="721">
        <f t="shared" si="405"/>
        <v>-0.62662215458130799</v>
      </c>
      <c r="DA127" s="721">
        <f t="shared" si="405"/>
        <v>-1.3019169329073486</v>
      </c>
      <c r="DB127" s="741">
        <f t="shared" si="405"/>
        <v>-0.66932051414006322</v>
      </c>
      <c r="DC127" s="721">
        <f t="shared" si="405"/>
        <v>-0.86518151109590802</v>
      </c>
      <c r="DD127" s="721">
        <f t="shared" si="405"/>
        <v>-0.64840592725639878</v>
      </c>
      <c r="DE127" s="721">
        <f t="shared" si="405"/>
        <v>-0.23465988779803648</v>
      </c>
      <c r="DF127" s="721">
        <f t="shared" si="405"/>
        <v>-0.3746031746031746</v>
      </c>
      <c r="DG127" s="741">
        <f t="shared" si="405"/>
        <v>-0.37185543227507423</v>
      </c>
      <c r="DH127" s="721">
        <f t="shared" si="405"/>
        <v>-7.4522676815731055</v>
      </c>
      <c r="DI127" s="721">
        <f t="shared" si="405"/>
        <v>1.2730175316382213</v>
      </c>
      <c r="DJ127" s="721">
        <f t="shared" si="405"/>
        <v>1.3319780093918219</v>
      </c>
      <c r="DK127" s="721">
        <f t="shared" si="405"/>
        <v>10.031584884376764</v>
      </c>
      <c r="DL127" s="741">
        <f t="shared" si="405"/>
        <v>2.4912848315261744</v>
      </c>
      <c r="DM127" s="721">
        <f t="shared" si="405"/>
        <v>0.69593000393236326</v>
      </c>
      <c r="DN127" s="721">
        <f t="shared" si="405"/>
        <v>0.26389988507214901</v>
      </c>
      <c r="DO127" s="721">
        <f t="shared" si="405"/>
        <v>-0.15422018123327019</v>
      </c>
      <c r="DP127" s="721">
        <f t="shared" si="405"/>
        <v>9.9084820287335784E-2</v>
      </c>
      <c r="DQ127" s="741">
        <f t="shared" si="405"/>
        <v>0.16821813506541217</v>
      </c>
      <c r="DR127" s="721">
        <f t="shared" si="405"/>
        <v>-0.53556315575908642</v>
      </c>
      <c r="DS127" s="721">
        <f t="shared" si="405"/>
        <v>0.1050961849337213</v>
      </c>
      <c r="DT127" s="721">
        <f t="shared" si="405"/>
        <v>0.49734328271536832</v>
      </c>
      <c r="DU127" s="721">
        <f t="shared" si="405"/>
        <v>0.10545657533609343</v>
      </c>
      <c r="DV127" s="741">
        <f>DV126/DQ126-1</f>
        <v>4.3729632382368155E-2</v>
      </c>
      <c r="DW127" s="721">
        <f t="shared" si="405"/>
        <v>0.15857463804293559</v>
      </c>
      <c r="DX127" s="721">
        <f t="shared" si="405"/>
        <v>0.4558869242443635</v>
      </c>
      <c r="DY127" s="721">
        <f t="shared" si="405"/>
        <v>0.39400814426992437</v>
      </c>
      <c r="DZ127" s="721">
        <f t="shared" si="405"/>
        <v>0.55062279077596354</v>
      </c>
      <c r="EA127" s="741">
        <f t="shared" si="405"/>
        <v>0.41683156791991616</v>
      </c>
      <c r="EB127" s="721">
        <f t="shared" si="405"/>
        <v>1.013250740640991</v>
      </c>
      <c r="EC127" s="721">
        <f>EC126/DX126-1</f>
        <v>-0.1269137539091445</v>
      </c>
      <c r="ED127" s="721">
        <f t="shared" si="405"/>
        <v>-5.4097288875905813E-2</v>
      </c>
      <c r="EE127" s="743">
        <f t="shared" ref="EE127:EG127" si="406">EE126/DZ126-1</f>
        <v>0.55228093028304714</v>
      </c>
      <c r="EF127" s="741">
        <f t="shared" si="406"/>
        <v>0.12162919719317244</v>
      </c>
      <c r="EG127" s="721">
        <f t="shared" si="406"/>
        <v>0.55982448630136994</v>
      </c>
      <c r="EH127" s="721">
        <f t="shared" ref="EH127" si="407">EH126/EC126-1</f>
        <v>0.81109384889809544</v>
      </c>
      <c r="EI127" s="721">
        <f t="shared" ref="EI127" si="408">EI126/ED126-1</f>
        <v>0.62205882352941178</v>
      </c>
      <c r="EJ127" s="721">
        <f t="shared" ref="EJ127" si="409">EJ126/EE126-1</f>
        <v>0.39685314685314688</v>
      </c>
      <c r="EK127" s="741">
        <f>EK126/EF126-1</f>
        <v>0.61315340468434942</v>
      </c>
      <c r="EL127" s="721">
        <f t="shared" ref="EL127" si="410">EL126/EG126-1</f>
        <v>0.63807890222984565</v>
      </c>
      <c r="EM127" s="721">
        <f t="shared" ref="EM127" si="411">EM126/EH126-1</f>
        <v>0.14614773629864986</v>
      </c>
      <c r="EN127" s="721">
        <f t="shared" ref="EN127" si="412">EN126/EI126-1</f>
        <v>3.1731640979147713E-2</v>
      </c>
      <c r="EO127" s="721">
        <f t="shared" ref="EO127" si="413">EO126/EJ126-1</f>
        <v>0.10888610763454309</v>
      </c>
      <c r="EP127" s="741">
        <f>EP126/EK126-1</f>
        <v>0.18108974358974383</v>
      </c>
      <c r="EQ127" s="721">
        <f t="shared" ref="EQ127:ER127" si="414">EQ126/EL126-1</f>
        <v>6.3591195136486034E-2</v>
      </c>
      <c r="ER127" s="721">
        <f t="shared" si="414"/>
        <v>3.9840146911833907E-2</v>
      </c>
      <c r="ES127" s="721">
        <f t="shared" ref="ES127" si="415">ES126/EN126-1</f>
        <v>0.28000950538861713</v>
      </c>
      <c r="ET127" s="721">
        <f t="shared" ref="ET127" si="416">ET126/EO126-1</f>
        <v>0.45445086940741231</v>
      </c>
      <c r="EU127" s="741">
        <f>EU126/EP126-1</f>
        <v>0.18984921093992169</v>
      </c>
      <c r="EV127" s="721">
        <f t="shared" ref="EV127" si="417">EV126/EQ126-1</f>
        <v>0.21718478654289908</v>
      </c>
      <c r="EW127" s="721">
        <f t="shared" ref="EW127" si="418">EW126/ER126-1</f>
        <v>0.13439973662805604</v>
      </c>
      <c r="EX127" s="721">
        <f t="shared" ref="EX127" si="419">EX126/ES126-1</f>
        <v>9.6317889093057829E-2</v>
      </c>
      <c r="EY127" s="721">
        <f t="shared" ref="EY127" si="420">EY126/ET126-1</f>
        <v>1.6301096083028321E-2</v>
      </c>
      <c r="EZ127" s="741">
        <f>EZ126/EU126-1</f>
        <v>9.3110174771523724E-2</v>
      </c>
      <c r="FA127" s="721">
        <f t="shared" ref="FA127" si="421">FA126/EV126-1</f>
        <v>-1.0210299735986497</v>
      </c>
      <c r="FB127" s="721">
        <f t="shared" ref="FB127" si="422">FB126/EW126-1</f>
        <v>-1.0192696938425583</v>
      </c>
      <c r="FC127" s="721">
        <f t="shared" ref="FC127" si="423">FC126/EX126-1</f>
        <v>-1.0196624526836853</v>
      </c>
      <c r="FD127" s="721">
        <f t="shared" ref="FD127" si="424">FD126/EY126-1</f>
        <v>-1.0206161987664577</v>
      </c>
      <c r="FE127" s="741">
        <f>FE126/EZ126-1</f>
        <v>8.8390001861126555E-2</v>
      </c>
      <c r="FF127" s="1009"/>
      <c r="FG127" s="690"/>
      <c r="FH127" s="754"/>
      <c r="FI127" s="754"/>
      <c r="FJ127" s="754"/>
      <c r="FK127" s="754"/>
      <c r="FL127" s="690"/>
      <c r="FM127" s="1091"/>
      <c r="FN127" s="708"/>
      <c r="FO127" s="1305"/>
      <c r="FP127" s="1305"/>
      <c r="FQ127" s="1306"/>
      <c r="FR127" s="1306"/>
      <c r="FS127" s="1306"/>
      <c r="FT127" s="1306"/>
      <c r="FU127" s="690"/>
      <c r="FV127"/>
      <c r="FW127"/>
      <c r="FX127"/>
      <c r="FY127"/>
      <c r="FZ127"/>
      <c r="GA127"/>
      <c r="GC127" s="532"/>
      <c r="GD127" s="532"/>
      <c r="GE127" s="532"/>
      <c r="GF127" s="532"/>
      <c r="GG127" s="532"/>
      <c r="GH127" s="532"/>
      <c r="GI127" s="532"/>
      <c r="GJ127" s="532"/>
      <c r="GK127" s="532"/>
      <c r="GL127" s="532"/>
      <c r="GM127" s="532"/>
      <c r="GN127" s="532"/>
      <c r="GO127" s="532"/>
      <c r="GP127" s="532"/>
      <c r="GQ127" s="532"/>
      <c r="GR127" s="532"/>
      <c r="GS127" s="532"/>
      <c r="GT127" s="532"/>
      <c r="GU127" s="532"/>
      <c r="GV127" s="532"/>
      <c r="GW127" s="532"/>
      <c r="GX127" s="532"/>
      <c r="GY127" s="532"/>
      <c r="GZ127" s="532"/>
      <c r="HA127" s="532"/>
      <c r="HB127" s="532"/>
      <c r="HC127" s="532"/>
      <c r="HD127" s="532"/>
      <c r="HE127" s="532"/>
      <c r="HF127" s="532"/>
      <c r="HG127" s="532"/>
      <c r="HH127" s="532"/>
      <c r="HI127" s="532"/>
      <c r="HJ127" s="532"/>
      <c r="HK127" s="532"/>
      <c r="HL127" s="532"/>
      <c r="HM127" s="532"/>
      <c r="HN127" s="532"/>
      <c r="HO127" s="532"/>
      <c r="HP127" s="532"/>
      <c r="HQ127" s="532"/>
      <c r="HR127" s="532"/>
      <c r="HS127" s="532"/>
      <c r="HT127" s="532"/>
      <c r="HU127" s="532"/>
      <c r="HV127" s="532"/>
      <c r="HW127" s="532"/>
      <c r="HX127" s="532"/>
      <c r="HY127" s="532"/>
      <c r="HZ127" s="532"/>
      <c r="IA127" s="532"/>
      <c r="IB127" s="532"/>
      <c r="IC127" s="532"/>
      <c r="ID127" s="532"/>
      <c r="IE127" s="532"/>
      <c r="IF127" s="532"/>
      <c r="IG127" s="532"/>
      <c r="IH127" s="532"/>
      <c r="II127" s="532"/>
      <c r="IJ127" s="532"/>
      <c r="IK127" s="532"/>
      <c r="IL127" s="532"/>
      <c r="IM127" s="532"/>
      <c r="IN127" s="532"/>
      <c r="IO127" s="532"/>
      <c r="IP127" s="532"/>
      <c r="IQ127" s="532"/>
      <c r="IR127" s="532"/>
      <c r="IS127" s="532"/>
      <c r="IT127" s="532"/>
      <c r="IU127" s="532"/>
      <c r="IV127" s="532"/>
      <c r="IW127" s="532"/>
      <c r="IX127" s="532"/>
      <c r="IY127" s="532"/>
      <c r="IZ127" s="532"/>
      <c r="JA127" s="532"/>
      <c r="JB127" s="532"/>
      <c r="JC127" s="532"/>
      <c r="JD127" s="532"/>
      <c r="JE127" s="532"/>
      <c r="JF127" s="532"/>
      <c r="JG127" s="532"/>
      <c r="JH127" s="532"/>
      <c r="JI127" s="532"/>
      <c r="JJ127" s="532"/>
      <c r="JK127" s="532"/>
      <c r="JL127" s="532"/>
    </row>
    <row r="128" spans="1:272" s="1283" customFormat="1" ht="12.75" customHeight="1">
      <c r="A128" s="1307" t="s">
        <v>346</v>
      </c>
      <c r="B128" s="1308"/>
      <c r="C128" s="1309"/>
      <c r="D128" s="1309"/>
      <c r="E128" s="1309"/>
      <c r="F128" s="1310"/>
      <c r="G128" s="1311"/>
      <c r="H128" s="1311"/>
      <c r="I128" s="1311"/>
      <c r="J128" s="1311"/>
      <c r="K128" s="1310"/>
      <c r="L128" s="1311"/>
      <c r="M128" s="1311"/>
      <c r="N128" s="1311"/>
      <c r="O128" s="1311"/>
      <c r="P128" s="1310"/>
      <c r="Q128" s="1311"/>
      <c r="R128" s="1311"/>
      <c r="S128" s="1311"/>
      <c r="T128" s="1311"/>
      <c r="U128" s="1310"/>
      <c r="V128" s="1311"/>
      <c r="W128" s="1311"/>
      <c r="X128" s="1311"/>
      <c r="Y128" s="1311"/>
      <c r="Z128" s="1310"/>
      <c r="AA128" s="1311"/>
      <c r="AB128" s="1311"/>
      <c r="AC128" s="1311"/>
      <c r="AD128" s="1311"/>
      <c r="AE128" s="1310"/>
      <c r="AF128" s="1311"/>
      <c r="AG128" s="1311"/>
      <c r="AH128" s="1311"/>
      <c r="AI128" s="1311"/>
      <c r="AJ128" s="1310"/>
      <c r="AK128" s="1311"/>
      <c r="AL128" s="1311"/>
      <c r="AM128" s="1311"/>
      <c r="AN128" s="1311"/>
      <c r="AO128" s="1310"/>
      <c r="AP128" s="1311"/>
      <c r="AQ128" s="1311"/>
      <c r="AR128" s="1311"/>
      <c r="AS128" s="1311"/>
      <c r="AT128" s="1310"/>
      <c r="AU128" s="1311"/>
      <c r="AV128" s="1311"/>
      <c r="AW128" s="1311"/>
      <c r="AX128" s="1311"/>
      <c r="AY128" s="1310"/>
      <c r="AZ128" s="1311"/>
      <c r="BA128" s="1311"/>
      <c r="BB128" s="1311"/>
      <c r="BC128" s="1311"/>
      <c r="BD128" s="1310"/>
      <c r="BE128" s="1311">
        <f>(BE126-AZ126)/(BE36-AZ36)</f>
        <v>3.6641119626791396E-2</v>
      </c>
      <c r="BF128" s="1311">
        <f>(BF126-BA126)/(BF36-BA36)</f>
        <v>7.1244701348747594E-2</v>
      </c>
      <c r="BG128" s="1311">
        <f>(BG126-BB126)/(BG36-BB36)</f>
        <v>9.7501297545797543E-3</v>
      </c>
      <c r="BH128" s="1311">
        <f>(BH126-BC126)/(BH36-BC36)</f>
        <v>19.237113402060221</v>
      </c>
      <c r="BI128" s="1310"/>
      <c r="BJ128" s="1311">
        <f>(BJ126-BE126)/(BJ36-BE36)</f>
        <v>0.50618755388750936</v>
      </c>
      <c r="BK128" s="1311">
        <f>(BK126-BF126)/(BK36-BF36)</f>
        <v>0.58683626908664488</v>
      </c>
      <c r="BL128" s="1311">
        <f>(BL126-BG126)/(BL36-BG36)</f>
        <v>0.55073448887882015</v>
      </c>
      <c r="BM128" s="1311">
        <f>(BM126-BH126)/(BM36-BH36)</f>
        <v>0.64466635081453572</v>
      </c>
      <c r="BN128" s="1310"/>
      <c r="BO128" s="1311">
        <f t="shared" ref="BO128:DZ128" si="425">(BO126-BJ126)/(BO36-BJ36)</f>
        <v>0.82267013132944433</v>
      </c>
      <c r="BP128" s="1311">
        <f t="shared" si="425"/>
        <v>-0.49516074450084363</v>
      </c>
      <c r="BQ128" s="1311">
        <f t="shared" si="425"/>
        <v>-2.7341397996606953E-2</v>
      </c>
      <c r="BR128" s="1311">
        <f t="shared" si="425"/>
        <v>1.6363343533580821E-2</v>
      </c>
      <c r="BS128" s="1310">
        <f t="shared" si="425"/>
        <v>-0.19173288693477666</v>
      </c>
      <c r="BT128" s="1311">
        <f t="shared" si="425"/>
        <v>0.26286743571072718</v>
      </c>
      <c r="BU128" s="1311">
        <f t="shared" si="425"/>
        <v>0.39426219586006739</v>
      </c>
      <c r="BV128" s="1311">
        <f t="shared" si="425"/>
        <v>0.47213466145505117</v>
      </c>
      <c r="BW128" s="1311">
        <f t="shared" si="425"/>
        <v>0.54399933877011464</v>
      </c>
      <c r="BX128" s="1310">
        <f t="shared" si="425"/>
        <v>0.40149252701928967</v>
      </c>
      <c r="BY128" s="1311">
        <f t="shared" si="425"/>
        <v>0.1638563914678659</v>
      </c>
      <c r="BZ128" s="1311">
        <f t="shared" si="425"/>
        <v>0.18316256280957652</v>
      </c>
      <c r="CA128" s="1311">
        <f t="shared" si="425"/>
        <v>0.14230826618919667</v>
      </c>
      <c r="CB128" s="1311">
        <f t="shared" si="425"/>
        <v>7.7657528478599344E-2</v>
      </c>
      <c r="CC128" s="1310">
        <f t="shared" si="425"/>
        <v>0.14347190560621484</v>
      </c>
      <c r="CD128" s="1311">
        <f t="shared" si="425"/>
        <v>0.21375545176157526</v>
      </c>
      <c r="CE128" s="1311">
        <f t="shared" si="425"/>
        <v>0.38778760374451365</v>
      </c>
      <c r="CF128" s="1311">
        <f t="shared" si="425"/>
        <v>0.25504125460822774</v>
      </c>
      <c r="CG128" s="1311">
        <f t="shared" si="425"/>
        <v>0.13781590995568896</v>
      </c>
      <c r="CH128" s="1310">
        <f t="shared" si="425"/>
        <v>0.24866988118792532</v>
      </c>
      <c r="CI128" s="1311">
        <f t="shared" si="425"/>
        <v>2.4142227462118929E-2</v>
      </c>
      <c r="CJ128" s="1311">
        <f t="shared" si="425"/>
        <v>8.5422573053903592E-2</v>
      </c>
      <c r="CK128" s="1311">
        <f t="shared" si="425"/>
        <v>-9.3619619415864809E-3</v>
      </c>
      <c r="CL128" s="1311">
        <f t="shared" si="425"/>
        <v>0.27486763074733594</v>
      </c>
      <c r="CM128" s="1310">
        <f t="shared" si="425"/>
        <v>-9.338291219471119E-2</v>
      </c>
      <c r="CN128" s="1311">
        <f t="shared" si="425"/>
        <v>0.73101403439414636</v>
      </c>
      <c r="CO128" s="1311">
        <f t="shared" si="425"/>
        <v>1.8734826004855691</v>
      </c>
      <c r="CP128" s="1311">
        <f t="shared" si="425"/>
        <v>-2.9217368694747763</v>
      </c>
      <c r="CQ128" s="1311">
        <f t="shared" si="425"/>
        <v>-9.053377018350614E-2</v>
      </c>
      <c r="CR128" s="1310">
        <f t="shared" si="425"/>
        <v>-2.1820760930138197</v>
      </c>
      <c r="CS128" s="1311">
        <f t="shared" si="425"/>
        <v>-0.18842274521268795</v>
      </c>
      <c r="CT128" s="1311">
        <f t="shared" si="425"/>
        <v>6.5002302398227227E-2</v>
      </c>
      <c r="CU128" s="1311">
        <f t="shared" si="425"/>
        <v>1.5151728112218021E-2</v>
      </c>
      <c r="CV128" s="1311">
        <f t="shared" si="425"/>
        <v>0.66720036360255797</v>
      </c>
      <c r="CW128" s="1310">
        <f t="shared" si="425"/>
        <v>-0.60117153228164533</v>
      </c>
      <c r="CX128" s="1311">
        <f t="shared" si="425"/>
        <v>0.3290175508487706</v>
      </c>
      <c r="CY128" s="1311">
        <f t="shared" si="425"/>
        <v>0.15098605635975762</v>
      </c>
      <c r="CZ128" s="1311">
        <f t="shared" si="425"/>
        <v>0.31779664533691837</v>
      </c>
      <c r="DA128" s="1311">
        <f t="shared" si="425"/>
        <v>0.28992553241948499</v>
      </c>
      <c r="DB128" s="1310">
        <f t="shared" si="425"/>
        <v>0.24730328884673433</v>
      </c>
      <c r="DC128" s="1311">
        <f t="shared" si="425"/>
        <v>0.13383337301902271</v>
      </c>
      <c r="DD128" s="1311">
        <f t="shared" si="425"/>
        <v>-0.18952844597174495</v>
      </c>
      <c r="DE128" s="1311">
        <f t="shared" si="425"/>
        <v>-5.7806713525302554E-2</v>
      </c>
      <c r="DF128" s="1311">
        <f t="shared" si="425"/>
        <v>-2.6783012206193859E-2</v>
      </c>
      <c r="DG128" s="1310">
        <f t="shared" si="425"/>
        <v>-4.5025771767444413E-2</v>
      </c>
      <c r="DH128" s="1311">
        <f t="shared" si="425"/>
        <v>0.54979175441059547</v>
      </c>
      <c r="DI128" s="1311">
        <f t="shared" si="425"/>
        <v>0.95910601819454511</v>
      </c>
      <c r="DJ128" s="1311">
        <f t="shared" si="425"/>
        <v>0.50320193847085815</v>
      </c>
      <c r="DK128" s="1311">
        <f t="shared" si="425"/>
        <v>0.29535528653747189</v>
      </c>
      <c r="DL128" s="1310">
        <f t="shared" si="425"/>
        <v>0.49680021855001466</v>
      </c>
      <c r="DM128" s="1311">
        <f t="shared" si="425"/>
        <v>0.22364388841500005</v>
      </c>
      <c r="DN128" s="1311">
        <f t="shared" si="425"/>
        <v>0.26703708489468886</v>
      </c>
      <c r="DO128" s="1311">
        <f t="shared" si="425"/>
        <v>-0.41933760683760646</v>
      </c>
      <c r="DP128" s="1311">
        <f t="shared" si="425"/>
        <v>6.7971380471380294E-2</v>
      </c>
      <c r="DQ128" s="1310">
        <f t="shared" si="425"/>
        <v>0.1384915698094018</v>
      </c>
      <c r="DR128" s="1311">
        <f>(DR126-DM126)/(DR36-DM36)</f>
        <v>5.2628880660779194</v>
      </c>
      <c r="DS128" s="1311">
        <f t="shared" si="425"/>
        <v>0.37822703803359825</v>
      </c>
      <c r="DT128" s="1311">
        <f t="shared" si="425"/>
        <v>0.41800478305432109</v>
      </c>
      <c r="DU128" s="1311">
        <f t="shared" si="425"/>
        <v>0.10172305483263058</v>
      </c>
      <c r="DV128" s="1310">
        <f t="shared" si="425"/>
        <v>8.3247170222028322E-2</v>
      </c>
      <c r="DW128" s="1311">
        <f t="shared" si="425"/>
        <v>0.12400566102191148</v>
      </c>
      <c r="DX128" s="1311">
        <f t="shared" si="425"/>
        <v>0.5169611014348503</v>
      </c>
      <c r="DY128" s="1311">
        <f t="shared" si="425"/>
        <v>0.43184136699821446</v>
      </c>
      <c r="DZ128" s="1311">
        <f t="shared" si="425"/>
        <v>0.26068852850938318</v>
      </c>
      <c r="EA128" s="1310">
        <f t="shared" ref="EA128:EG128" si="426">(EA126-DV126)/(EA36-DV36)</f>
        <v>0.36680625433073094</v>
      </c>
      <c r="EB128" s="1311">
        <f t="shared" si="426"/>
        <v>2.4800263678312708</v>
      </c>
      <c r="EC128" s="1311">
        <f>(EC126-DX126)/(EC36-DX36)</f>
        <v>0.42823240242403482</v>
      </c>
      <c r="ED128" s="1311">
        <f t="shared" ref="ED128" si="427">(ED126-DY126)/(ED36-DY36)</f>
        <v>9.5538741217510784E-2</v>
      </c>
      <c r="EE128" s="1311">
        <f t="shared" si="426"/>
        <v>-0.43867155854548429</v>
      </c>
      <c r="EF128" s="1310">
        <f t="shared" si="426"/>
        <v>-0.24408803279475161</v>
      </c>
      <c r="EG128" s="1311">
        <f t="shared" si="426"/>
        <v>-0.58755475682354319</v>
      </c>
      <c r="EH128" s="1311">
        <f t="shared" ref="EH128" si="428">(EH126-EC126)/(EH36-EC36)</f>
        <v>-1.1185969924215382</v>
      </c>
      <c r="EI128" s="1311">
        <f t="shared" ref="EI128" si="429">(EI126-ED126)/(EI36-ED36)</f>
        <v>-1.3177570093457933</v>
      </c>
      <c r="EJ128" s="1311">
        <f t="shared" ref="EJ128" si="430">(EJ126-EE126)/(EJ36-EE36)</f>
        <v>-3.7603574175410217</v>
      </c>
      <c r="EK128" s="1310">
        <f>(EK126-EF126)/(EK36-EF36)</f>
        <v>-1.1462155327769357</v>
      </c>
      <c r="EL128" s="1311">
        <f t="shared" ref="EL128" si="431">(EL126-EG126)/(EL36-EG36)</f>
        <v>0.7560975609756091</v>
      </c>
      <c r="EM128" s="1311">
        <f t="shared" ref="EM128" si="432">(EM126-EH126)/(EM36-EH36)</f>
        <v>0.27218934911242604</v>
      </c>
      <c r="EN128" s="1311">
        <f t="shared" ref="EN128" si="433">(EN126-EI126)/(EN36-EI36)</f>
        <v>8.2159624413145491E-2</v>
      </c>
      <c r="EO128" s="1311">
        <f t="shared" ref="EO128" si="434">(EO126-EJ126)/(EO36-EJ36)</f>
        <v>0.28246753246753148</v>
      </c>
      <c r="EP128" s="1310">
        <f>(EP126-EK126)/(EP36-EK36)</f>
        <v>0.35646687697160956</v>
      </c>
      <c r="EQ128" s="1311">
        <f t="shared" ref="EQ128" si="435">(EQ126-EL126)/(EQ36-EL36)</f>
        <v>0.16108037835538069</v>
      </c>
      <c r="ER128" s="1311">
        <f t="shared" ref="ER128" si="436">(ER126-EM126)/(ER36-EM36)</f>
        <v>0.12333595333836592</v>
      </c>
      <c r="ES128" s="1311">
        <f t="shared" ref="ES128" si="437">(ES126-EN126)/(ES36-EN36)</f>
        <v>0.75468708163157705</v>
      </c>
      <c r="ET128" s="1311">
        <f t="shared" ref="ET128" si="438">(ET126-EO126)/(ET36-EO36)</f>
        <v>0.55975598464322918</v>
      </c>
      <c r="EU128" s="1310">
        <f>(EU126-EP126)/(EU36-EP36)</f>
        <v>0.4229961808406173</v>
      </c>
      <c r="EV128" s="1311">
        <f t="shared" ref="EV128" si="439">(EV126-EQ126)/(EV36-EQ36)</f>
        <v>0.26849170933006072</v>
      </c>
      <c r="EW128" s="1311">
        <f t="shared" ref="EW128" si="440">(EW126-ER126)/(EW36-ER36)</f>
        <v>0.24257662848739059</v>
      </c>
      <c r="EX128" s="1311">
        <f t="shared" ref="EX128" si="441">(EX126-ES126)/(EX36-ES36)</f>
        <v>0.15200000000000011</v>
      </c>
      <c r="EY128" s="1311">
        <f t="shared" ref="EY128" si="442">(EY126-ET126)/(EY36-ET36)</f>
        <v>3.5074256440891641E-2</v>
      </c>
      <c r="EZ128" s="1310">
        <f>(EZ126-EU126)/(EZ36-EU36)</f>
        <v>0.21439908939891125</v>
      </c>
      <c r="FA128" s="1311">
        <f t="shared" ref="FA128" si="443">(FA126-EV126)/(FA36-EV36)</f>
        <v>0.1250991016942119</v>
      </c>
      <c r="FB128" s="1311">
        <f t="shared" ref="FB128" si="444">(FB126-EW126)/(FB36-EW36)</f>
        <v>0.16007381117715544</v>
      </c>
      <c r="FC128" s="1311">
        <f t="shared" ref="FC128" si="445">(FC126-EX126)/(FC36-EX36)</f>
        <v>0.15209340325105064</v>
      </c>
      <c r="FD128" s="1311">
        <f t="shared" ref="FD128" si="446">(FD126-EY126)/(FD36-EY36)</f>
        <v>0.13009733090424699</v>
      </c>
      <c r="FE128" s="1310">
        <f>(FE126-EZ126)/(FE36-EZ36)</f>
        <v>0.21505736517142696</v>
      </c>
      <c r="FF128" s="1312"/>
      <c r="FG128" s="690"/>
      <c r="FH128" s="754"/>
      <c r="FI128" s="754"/>
      <c r="FJ128" s="754"/>
      <c r="FK128" s="754"/>
      <c r="FL128" s="690"/>
      <c r="FM128" s="708" t="s">
        <v>347</v>
      </c>
      <c r="FN128" s="1313"/>
      <c r="FO128" s="1305"/>
      <c r="FP128" s="1305"/>
      <c r="FQ128" s="1314"/>
      <c r="FR128" s="1314"/>
      <c r="FS128" s="1314"/>
      <c r="FT128" s="1314"/>
      <c r="FU128" s="690"/>
      <c r="FV128"/>
      <c r="FW128"/>
      <c r="FX128"/>
      <c r="FY128"/>
      <c r="FZ128"/>
      <c r="GA128"/>
      <c r="GB128" s="1315"/>
      <c r="GC128" s="1316"/>
      <c r="GD128" s="1316"/>
      <c r="GE128" s="1316"/>
      <c r="GF128" s="1316"/>
      <c r="GG128" s="1316"/>
      <c r="GH128" s="1316"/>
      <c r="GI128" s="1316"/>
      <c r="GJ128" s="1316"/>
      <c r="GK128" s="1316"/>
      <c r="GL128" s="1316"/>
      <c r="GM128" s="1316"/>
      <c r="GN128" s="1316"/>
      <c r="GO128" s="1316"/>
      <c r="GP128" s="1316"/>
      <c r="GQ128" s="1316"/>
      <c r="GR128" s="1316"/>
      <c r="GS128" s="1316"/>
      <c r="GT128" s="1316"/>
      <c r="GU128" s="1316"/>
      <c r="GV128" s="1316"/>
      <c r="GW128" s="1316"/>
      <c r="GX128" s="1316"/>
      <c r="GY128" s="1316"/>
      <c r="GZ128" s="1316"/>
      <c r="HA128" s="1316"/>
      <c r="HB128" s="1316"/>
      <c r="HC128" s="1316"/>
      <c r="HD128" s="1316"/>
      <c r="HE128" s="1316"/>
      <c r="HF128" s="1316"/>
      <c r="HG128" s="1316"/>
      <c r="HH128" s="1316"/>
      <c r="HI128" s="1316"/>
      <c r="HJ128" s="1316"/>
      <c r="HK128" s="1316"/>
      <c r="HL128" s="1316"/>
      <c r="HM128" s="1316"/>
      <c r="HN128" s="1316"/>
      <c r="HO128" s="1316"/>
      <c r="HP128" s="1316"/>
      <c r="HQ128" s="1316"/>
      <c r="HR128" s="1316"/>
      <c r="HS128" s="1316"/>
      <c r="HT128" s="1316"/>
      <c r="HU128" s="1316"/>
      <c r="HV128" s="1316"/>
      <c r="HW128" s="1316"/>
      <c r="HX128" s="1316"/>
      <c r="HY128" s="1316"/>
      <c r="HZ128" s="1316"/>
      <c r="IA128" s="1316"/>
      <c r="IB128" s="1316"/>
      <c r="IC128" s="1316"/>
      <c r="ID128" s="1316"/>
      <c r="IE128" s="1316"/>
      <c r="IF128" s="1316"/>
      <c r="IG128" s="1316"/>
      <c r="IH128" s="1316"/>
      <c r="II128" s="1316"/>
      <c r="IJ128" s="1316"/>
      <c r="IK128" s="1316"/>
      <c r="IL128" s="1316"/>
      <c r="IM128" s="1316"/>
      <c r="IN128" s="1316"/>
      <c r="IO128" s="1316"/>
      <c r="IP128" s="1316"/>
      <c r="IQ128" s="1316"/>
      <c r="IR128" s="1316"/>
      <c r="IS128" s="1316"/>
      <c r="IT128" s="1316"/>
      <c r="IU128" s="1316"/>
      <c r="IV128" s="1316"/>
      <c r="IW128" s="1316"/>
      <c r="IX128" s="1316"/>
      <c r="IY128" s="1316"/>
      <c r="IZ128" s="1316"/>
      <c r="JA128" s="1316"/>
      <c r="JB128" s="1316"/>
      <c r="JC128" s="1316"/>
      <c r="JD128" s="1316"/>
      <c r="JE128" s="1316"/>
      <c r="JF128" s="1316"/>
      <c r="JG128" s="1316"/>
      <c r="JH128" s="1316"/>
      <c r="JI128" s="1316"/>
      <c r="JJ128" s="1316"/>
      <c r="JK128" s="1316"/>
      <c r="JL128" s="1316"/>
    </row>
    <row r="129" spans="1:272" s="726" customFormat="1" ht="12.75" hidden="1" customHeight="1" outlineLevel="1">
      <c r="A129" s="1286" t="s">
        <v>348</v>
      </c>
      <c r="B129" s="1287"/>
      <c r="C129" s="720"/>
      <c r="D129" s="720"/>
      <c r="E129" s="720"/>
      <c r="F129" s="1288"/>
      <c r="G129" s="873"/>
      <c r="H129" s="873"/>
      <c r="I129" s="873"/>
      <c r="J129" s="873"/>
      <c r="K129" s="1288"/>
      <c r="L129" s="873"/>
      <c r="M129" s="873"/>
      <c r="N129" s="873"/>
      <c r="O129" s="873"/>
      <c r="P129" s="1288"/>
      <c r="Q129" s="873"/>
      <c r="R129" s="873"/>
      <c r="S129" s="873"/>
      <c r="T129" s="873"/>
      <c r="U129" s="1288"/>
      <c r="V129" s="873"/>
      <c r="W129" s="873"/>
      <c r="X129" s="873"/>
      <c r="Y129" s="873"/>
      <c r="Z129" s="1288"/>
      <c r="AA129" s="873"/>
      <c r="AB129" s="873"/>
      <c r="AC129" s="873"/>
      <c r="AD129" s="873"/>
      <c r="AE129" s="1288"/>
      <c r="AF129" s="873"/>
      <c r="AG129" s="873"/>
      <c r="AH129" s="873"/>
      <c r="AI129" s="873"/>
      <c r="AJ129" s="1288"/>
      <c r="AK129" s="873"/>
      <c r="AL129" s="873"/>
      <c r="AM129" s="873"/>
      <c r="AN129" s="873"/>
      <c r="AO129" s="1288"/>
      <c r="AP129" s="873"/>
      <c r="AQ129" s="873"/>
      <c r="AR129" s="873"/>
      <c r="AS129" s="873"/>
      <c r="AT129" s="1288"/>
      <c r="AU129" s="873"/>
      <c r="AV129" s="873"/>
      <c r="AW129" s="873"/>
      <c r="AX129" s="873"/>
      <c r="AY129" s="1288"/>
      <c r="AZ129" s="873"/>
      <c r="BA129" s="873"/>
      <c r="BB129" s="873"/>
      <c r="BC129" s="873"/>
      <c r="BD129" s="1288"/>
      <c r="BE129" s="873"/>
      <c r="BF129" s="873"/>
      <c r="BG129" s="873"/>
      <c r="BH129" s="873"/>
      <c r="BI129" s="1288"/>
      <c r="BJ129" s="873"/>
      <c r="BK129" s="873"/>
      <c r="BL129" s="873"/>
      <c r="BM129" s="873"/>
      <c r="BN129" s="1288"/>
      <c r="BO129" s="873"/>
      <c r="BP129" s="873"/>
      <c r="BQ129" s="873"/>
      <c r="BR129" s="873"/>
      <c r="BS129" s="1288"/>
      <c r="BT129" s="873"/>
      <c r="BU129" s="873"/>
      <c r="BV129" s="873"/>
      <c r="BW129" s="873"/>
      <c r="BX129" s="1288"/>
      <c r="BY129" s="873"/>
      <c r="BZ129" s="873"/>
      <c r="CA129" s="873"/>
      <c r="CB129" s="873"/>
      <c r="CC129" s="1288"/>
      <c r="CD129" s="873"/>
      <c r="CE129" s="873"/>
      <c r="CF129" s="873"/>
      <c r="CG129" s="873"/>
      <c r="CH129" s="1288"/>
      <c r="CI129" s="873"/>
      <c r="CJ129" s="873"/>
      <c r="CK129" s="873"/>
      <c r="CL129" s="873"/>
      <c r="CM129" s="1288"/>
      <c r="CN129" s="873"/>
      <c r="CO129" s="873"/>
      <c r="CP129" s="873"/>
      <c r="CQ129" s="873">
        <f>CQ136/(CQ75-CQ103)</f>
        <v>0.92661828495161835</v>
      </c>
      <c r="CR129" s="1288"/>
      <c r="CS129" s="873">
        <f t="shared" ref="CS129:DQ129" si="447">CS136/(CS75-CS103)</f>
        <v>0.9138598756014551</v>
      </c>
      <c r="CT129" s="873">
        <f t="shared" si="447"/>
        <v>0.90602708257768105</v>
      </c>
      <c r="CU129" s="873">
        <f t="shared" si="447"/>
        <v>0.88575016165656639</v>
      </c>
      <c r="CV129" s="873">
        <f t="shared" si="447"/>
        <v>0.88079742638286673</v>
      </c>
      <c r="CW129" s="1288">
        <f t="shared" si="447"/>
        <v>0.896487141646367</v>
      </c>
      <c r="CX129" s="873">
        <f t="shared" si="447"/>
        <v>0.98270818224043932</v>
      </c>
      <c r="CY129" s="873">
        <f t="shared" si="447"/>
        <v>0.9469532225975108</v>
      </c>
      <c r="CZ129" s="873">
        <f t="shared" si="447"/>
        <v>0.91720266635481218</v>
      </c>
      <c r="DA129" s="873">
        <f t="shared" si="447"/>
        <v>0.93193183231745247</v>
      </c>
      <c r="DB129" s="1288">
        <f t="shared" si="447"/>
        <v>0.94448024419196197</v>
      </c>
      <c r="DC129" s="873">
        <f t="shared" si="447"/>
        <v>0.9751816536109652</v>
      </c>
      <c r="DD129" s="873">
        <f t="shared" si="447"/>
        <v>0.95738072499273341</v>
      </c>
      <c r="DE129" s="873">
        <f t="shared" si="447"/>
        <v>0.95337755156783421</v>
      </c>
      <c r="DF129" s="873">
        <f t="shared" si="447"/>
        <v>0.9383719746087783</v>
      </c>
      <c r="DG129" s="1288">
        <f t="shared" si="447"/>
        <v>0.95616908002381218</v>
      </c>
      <c r="DH129" s="873">
        <f t="shared" si="447"/>
        <v>0.93835401834670751</v>
      </c>
      <c r="DI129" s="873">
        <f t="shared" si="447"/>
        <v>0.91273806202926477</v>
      </c>
      <c r="DJ129" s="873">
        <f t="shared" si="447"/>
        <v>0.93597610599303371</v>
      </c>
      <c r="DK129" s="873">
        <f t="shared" si="447"/>
        <v>0.9207588544089309</v>
      </c>
      <c r="DL129" s="1288">
        <f t="shared" si="447"/>
        <v>0.92693482207507349</v>
      </c>
      <c r="DM129" s="873">
        <f t="shared" si="447"/>
        <v>0.91275006822861948</v>
      </c>
      <c r="DN129" s="873">
        <f t="shared" si="447"/>
        <v>0.88295811182988537</v>
      </c>
      <c r="DO129" s="873">
        <f>DO136/(DO75-DO103)</f>
        <v>0.90942908103417808</v>
      </c>
      <c r="DP129" s="873">
        <f>DP136/(DP75-DP103)</f>
        <v>0.92892528730814705</v>
      </c>
      <c r="DQ129" s="1288">
        <f t="shared" si="447"/>
        <v>0.90824659302591604</v>
      </c>
      <c r="DR129" s="873">
        <f>DR136/(DR75-DR103)</f>
        <v>0.91767352238238176</v>
      </c>
      <c r="DS129" s="873">
        <f>DS136/(DS75-DS103)</f>
        <v>0.91365701035512359</v>
      </c>
      <c r="DT129" s="873">
        <v>0.92900000000000005</v>
      </c>
      <c r="DU129" s="873">
        <v>0.92700000000000005</v>
      </c>
      <c r="DV129" s="1288">
        <f t="shared" ref="DV129:EA129" si="448">DV136/(DV75-DV103)</f>
        <v>0.92180050245264</v>
      </c>
      <c r="DW129" s="873">
        <f t="shared" si="448"/>
        <v>0.9473110465116279</v>
      </c>
      <c r="DX129" s="873">
        <f t="shared" si="448"/>
        <v>0.89437484839711745</v>
      </c>
      <c r="DY129" s="873">
        <f t="shared" si="448"/>
        <v>0.9145478081600692</v>
      </c>
      <c r="DZ129" s="873">
        <f t="shared" si="448"/>
        <v>0.91277839074823264</v>
      </c>
      <c r="EA129" s="1288">
        <f t="shared" si="448"/>
        <v>0.91691009085597996</v>
      </c>
      <c r="EB129" s="873">
        <f>EB136/(EB75-EB103)</f>
        <v>0.93580240624230526</v>
      </c>
      <c r="EC129" s="873">
        <f>EC136/(EC75-EC103)</f>
        <v>0.92383125592959736</v>
      </c>
      <c r="ED129" s="873">
        <f t="shared" ref="ED129" si="449">ED136/(ED75-ED103)</f>
        <v>0.92801612438813708</v>
      </c>
      <c r="EE129" s="1289">
        <v>0.92500000000000004</v>
      </c>
      <c r="EF129" s="1288">
        <f>EF136/(EF75-EF103)</f>
        <v>0.92809786240862013</v>
      </c>
      <c r="EG129" s="1317"/>
      <c r="EH129" s="1318"/>
      <c r="EI129" s="1318"/>
      <c r="EJ129" s="1319"/>
      <c r="EK129" s="1290">
        <v>0.91500000000000004</v>
      </c>
      <c r="EL129" s="1317"/>
      <c r="EM129" s="1318"/>
      <c r="EN129" s="1318"/>
      <c r="EO129" s="1319"/>
      <c r="EP129" s="1290">
        <v>0.91200000000000003</v>
      </c>
      <c r="EQ129" s="1317"/>
      <c r="ER129" s="1318"/>
      <c r="ES129" s="1318"/>
      <c r="ET129" s="1319"/>
      <c r="EU129" s="1290">
        <v>0.91200000000000003</v>
      </c>
      <c r="EV129" s="1317"/>
      <c r="EW129" s="1318"/>
      <c r="EX129" s="1318"/>
      <c r="EY129" s="1319"/>
      <c r="EZ129" s="1290">
        <v>0.91200000000000003</v>
      </c>
      <c r="FA129" s="1317"/>
      <c r="FB129" s="1318"/>
      <c r="FC129" s="1318"/>
      <c r="FD129" s="1319"/>
      <c r="FE129" s="1290">
        <v>0.91200000000000003</v>
      </c>
      <c r="FF129" s="721"/>
      <c r="FG129" s="690"/>
      <c r="FH129" s="754"/>
      <c r="FI129" s="754"/>
      <c r="FJ129" s="754"/>
      <c r="FK129" s="754"/>
      <c r="FL129" s="690"/>
      <c r="FM129" s="530"/>
      <c r="FN129" s="1116" t="s">
        <v>349</v>
      </c>
      <c r="FO129" s="723"/>
      <c r="FP129" s="1305"/>
      <c r="FQ129" s="723"/>
      <c r="FR129" s="723"/>
      <c r="FS129" s="723"/>
      <c r="FT129" s="723"/>
      <c r="FU129" s="690"/>
      <c r="FV129"/>
      <c r="FW129"/>
      <c r="FX129"/>
      <c r="FY129"/>
      <c r="FZ129"/>
      <c r="GA129"/>
      <c r="GB129" s="961"/>
      <c r="GC129" s="535"/>
      <c r="GD129" s="535"/>
      <c r="GE129" s="535"/>
      <c r="GF129" s="535"/>
      <c r="GG129" s="535"/>
      <c r="GH129" s="535"/>
      <c r="GI129" s="535"/>
      <c r="GJ129" s="535"/>
      <c r="GK129" s="535"/>
      <c r="GL129" s="535"/>
      <c r="GM129" s="535"/>
      <c r="GN129" s="535"/>
      <c r="GO129" s="535"/>
      <c r="GP129" s="535"/>
      <c r="GQ129" s="535"/>
      <c r="GR129" s="535"/>
      <c r="GS129" s="535"/>
      <c r="GT129" s="535"/>
      <c r="GU129" s="535"/>
      <c r="GV129" s="535"/>
      <c r="GW129" s="535"/>
      <c r="GX129" s="535"/>
      <c r="GY129" s="535"/>
      <c r="GZ129" s="535"/>
      <c r="HA129" s="535"/>
      <c r="HB129" s="535"/>
      <c r="HC129" s="535"/>
      <c r="HD129" s="535"/>
      <c r="HE129" s="535"/>
      <c r="HF129" s="535"/>
      <c r="HG129" s="535"/>
      <c r="HH129" s="535"/>
      <c r="HI129" s="535"/>
      <c r="HJ129" s="535"/>
      <c r="HK129" s="535"/>
      <c r="HL129" s="535"/>
      <c r="HM129" s="535"/>
      <c r="HN129" s="535"/>
      <c r="HO129" s="535"/>
      <c r="HP129" s="535"/>
      <c r="HQ129" s="535"/>
      <c r="HR129" s="535"/>
      <c r="HS129" s="535"/>
      <c r="HT129" s="535"/>
      <c r="HU129" s="535"/>
      <c r="HV129" s="535"/>
      <c r="HW129" s="535"/>
      <c r="HX129" s="535"/>
      <c r="HY129" s="535"/>
      <c r="HZ129" s="535"/>
      <c r="IA129" s="535"/>
      <c r="IB129" s="535"/>
      <c r="IC129" s="535"/>
      <c r="ID129" s="535"/>
      <c r="IE129" s="535"/>
      <c r="IF129" s="535"/>
      <c r="IG129" s="535"/>
      <c r="IH129" s="535"/>
      <c r="II129" s="535"/>
      <c r="IJ129" s="535"/>
      <c r="IK129" s="535"/>
      <c r="IL129" s="535"/>
      <c r="IM129" s="535"/>
      <c r="IN129" s="535"/>
      <c r="IO129" s="535"/>
      <c r="IP129" s="535"/>
      <c r="IQ129" s="535"/>
      <c r="IR129" s="535"/>
      <c r="IS129" s="535"/>
      <c r="IT129" s="535"/>
      <c r="IU129" s="535"/>
      <c r="IV129" s="535"/>
      <c r="IW129" s="535"/>
      <c r="IX129" s="535"/>
      <c r="IY129" s="535"/>
      <c r="IZ129" s="535"/>
      <c r="JA129" s="535"/>
      <c r="JB129" s="535"/>
      <c r="JC129" s="535"/>
      <c r="JD129" s="535"/>
      <c r="JE129" s="535"/>
      <c r="JF129" s="535"/>
      <c r="JG129" s="535"/>
      <c r="JH129" s="535"/>
      <c r="JI129" s="535"/>
      <c r="JJ129" s="535"/>
      <c r="JK129" s="535"/>
      <c r="JL129" s="535"/>
    </row>
    <row r="130" spans="1:272" s="726" customFormat="1" ht="12.75" hidden="1" customHeight="1" outlineLevel="1">
      <c r="A130" s="1291" t="s">
        <v>86</v>
      </c>
      <c r="B130" s="1292"/>
      <c r="C130" s="1016"/>
      <c r="D130" s="1016"/>
      <c r="E130" s="1016"/>
      <c r="F130" s="808"/>
      <c r="G130" s="1149"/>
      <c r="H130" s="1149"/>
      <c r="I130" s="1149"/>
      <c r="J130" s="1149"/>
      <c r="K130" s="808"/>
      <c r="L130" s="1149"/>
      <c r="M130" s="1149"/>
      <c r="N130" s="1149"/>
      <c r="O130" s="1149"/>
      <c r="P130" s="808"/>
      <c r="Q130" s="1149"/>
      <c r="R130" s="1149"/>
      <c r="S130" s="1149"/>
      <c r="T130" s="1149"/>
      <c r="U130" s="808"/>
      <c r="V130" s="1149"/>
      <c r="W130" s="1149"/>
      <c r="X130" s="1149"/>
      <c r="Y130" s="1149"/>
      <c r="Z130" s="808"/>
      <c r="AA130" s="1149"/>
      <c r="AB130" s="1149"/>
      <c r="AC130" s="1149"/>
      <c r="AD130" s="1149"/>
      <c r="AE130" s="808"/>
      <c r="AF130" s="1149"/>
      <c r="AG130" s="1149"/>
      <c r="AH130" s="1149"/>
      <c r="AI130" s="1149"/>
      <c r="AJ130" s="808"/>
      <c r="AK130" s="1149"/>
      <c r="AL130" s="1149"/>
      <c r="AM130" s="1149"/>
      <c r="AN130" s="1149"/>
      <c r="AO130" s="808"/>
      <c r="AP130" s="1149"/>
      <c r="AQ130" s="1149"/>
      <c r="AR130" s="1149"/>
      <c r="AS130" s="1149"/>
      <c r="AT130" s="808"/>
      <c r="AU130" s="1149"/>
      <c r="AV130" s="1149"/>
      <c r="AW130" s="1149"/>
      <c r="AX130" s="1149"/>
      <c r="AY130" s="808"/>
      <c r="AZ130" s="1149"/>
      <c r="BA130" s="1149"/>
      <c r="BB130" s="1149"/>
      <c r="BC130" s="1149"/>
      <c r="BD130" s="808"/>
      <c r="BE130" s="1149"/>
      <c r="BF130" s="1149"/>
      <c r="BG130" s="1149"/>
      <c r="BH130" s="1149"/>
      <c r="BI130" s="808"/>
      <c r="BJ130" s="1149"/>
      <c r="BK130" s="1149"/>
      <c r="BL130" s="1149"/>
      <c r="BM130" s="1149"/>
      <c r="BN130" s="808"/>
      <c r="BO130" s="1149"/>
      <c r="BP130" s="1149"/>
      <c r="BQ130" s="1149"/>
      <c r="BR130" s="1149"/>
      <c r="BS130" s="808"/>
      <c r="BT130" s="1149"/>
      <c r="BU130" s="1149"/>
      <c r="BV130" s="1149"/>
      <c r="BW130" s="1149"/>
      <c r="BX130" s="808"/>
      <c r="BY130" s="1149"/>
      <c r="BZ130" s="1149"/>
      <c r="CA130" s="1149"/>
      <c r="CB130" s="1149"/>
      <c r="CC130" s="808"/>
      <c r="CD130" s="1293"/>
      <c r="CE130" s="1293"/>
      <c r="CF130" s="1293"/>
      <c r="CG130" s="1293"/>
      <c r="CH130" s="1154"/>
      <c r="CI130" s="1293"/>
      <c r="CJ130" s="1293"/>
      <c r="CK130" s="1293"/>
      <c r="CL130" s="1293"/>
      <c r="CM130" s="1154"/>
      <c r="CN130" s="1293"/>
      <c r="CO130" s="1293"/>
      <c r="CP130" s="1293"/>
      <c r="CQ130" s="1293"/>
      <c r="CR130" s="1154"/>
      <c r="CS130" s="1293"/>
      <c r="CT130" s="1293"/>
      <c r="CU130" s="1293"/>
      <c r="CV130" s="1293">
        <f t="shared" ref="CV130:EF130" si="450">(CV129-CQ129)*100</f>
        <v>-4.5820858568751621</v>
      </c>
      <c r="CW130" s="1154"/>
      <c r="CX130" s="1293">
        <f t="shared" si="450"/>
        <v>6.8848306638984225</v>
      </c>
      <c r="CY130" s="1293">
        <f t="shared" si="450"/>
        <v>4.0926140019829749</v>
      </c>
      <c r="CZ130" s="1293">
        <f t="shared" si="450"/>
        <v>3.1452504698245787</v>
      </c>
      <c r="DA130" s="1293">
        <f t="shared" si="450"/>
        <v>5.1134405934585736</v>
      </c>
      <c r="DB130" s="1154">
        <f t="shared" si="450"/>
        <v>4.7993102545594972</v>
      </c>
      <c r="DC130" s="1293">
        <f t="shared" si="450"/>
        <v>-0.75265286294741163</v>
      </c>
      <c r="DD130" s="1293">
        <f t="shared" si="450"/>
        <v>1.042750239522261</v>
      </c>
      <c r="DE130" s="1293">
        <f t="shared" si="450"/>
        <v>3.6174885213022034</v>
      </c>
      <c r="DF130" s="1293">
        <f t="shared" si="450"/>
        <v>0.64401422913258344</v>
      </c>
      <c r="DG130" s="1154">
        <f t="shared" si="450"/>
        <v>1.1688835831850208</v>
      </c>
      <c r="DH130" s="1293">
        <f t="shared" si="450"/>
        <v>-3.6827635264257697</v>
      </c>
      <c r="DI130" s="1293">
        <f t="shared" si="450"/>
        <v>-4.4642662963468638</v>
      </c>
      <c r="DJ130" s="1293">
        <f t="shared" si="450"/>
        <v>-1.74014455748005</v>
      </c>
      <c r="DK130" s="1293">
        <f t="shared" si="450"/>
        <v>-1.7613120199847399</v>
      </c>
      <c r="DL130" s="1154">
        <f t="shared" si="450"/>
        <v>-2.9234257948738684</v>
      </c>
      <c r="DM130" s="1293">
        <f t="shared" si="450"/>
        <v>-2.5603950118088026</v>
      </c>
      <c r="DN130" s="1293">
        <f t="shared" si="450"/>
        <v>-2.9779950199379401</v>
      </c>
      <c r="DO130" s="1293">
        <f t="shared" si="450"/>
        <v>-2.6547024958855636</v>
      </c>
      <c r="DP130" s="1293">
        <f t="shared" si="450"/>
        <v>0.81664328992161472</v>
      </c>
      <c r="DQ130" s="1154">
        <f t="shared" si="450"/>
        <v>-1.8688229049157457</v>
      </c>
      <c r="DR130" s="1293">
        <f t="shared" si="450"/>
        <v>0.49234541537622745</v>
      </c>
      <c r="DS130" s="1293">
        <f t="shared" si="450"/>
        <v>3.0698898525238216</v>
      </c>
      <c r="DT130" s="1293">
        <f t="shared" si="450"/>
        <v>1.9570918965821971</v>
      </c>
      <c r="DU130" s="1293">
        <f t="shared" si="450"/>
        <v>-0.19252873081470057</v>
      </c>
      <c r="DV130" s="1154">
        <f>(DV129-DQ129)*100</f>
        <v>1.3553909426723965</v>
      </c>
      <c r="DW130" s="1293">
        <f t="shared" si="450"/>
        <v>2.963752412924614</v>
      </c>
      <c r="DX130" s="1293">
        <f t="shared" si="450"/>
        <v>-1.9282161958006139</v>
      </c>
      <c r="DY130" s="1293">
        <f t="shared" si="450"/>
        <v>-1.445219183993085</v>
      </c>
      <c r="DZ130" s="1293">
        <f t="shared" si="450"/>
        <v>-1.4221609251767409</v>
      </c>
      <c r="EA130" s="1154">
        <f t="shared" si="450"/>
        <v>-0.48904115966600381</v>
      </c>
      <c r="EB130" s="1293">
        <f t="shared" si="450"/>
        <v>-1.1508640269322634</v>
      </c>
      <c r="EC130" s="1293">
        <f>(EC129-DX129)*100</f>
        <v>2.9456407532479911</v>
      </c>
      <c r="ED130" s="1293">
        <f t="shared" si="450"/>
        <v>1.3468316228067878</v>
      </c>
      <c r="EE130" s="1293">
        <f t="shared" si="450"/>
        <v>1.2221609251767407</v>
      </c>
      <c r="EF130" s="1154">
        <f t="shared" si="450"/>
        <v>1.1187771552640169</v>
      </c>
      <c r="EG130" s="1015"/>
      <c r="EH130" s="1016"/>
      <c r="EI130" s="1016"/>
      <c r="EJ130" s="1017"/>
      <c r="EK130" s="1154">
        <f>(EK129-EF129)*100</f>
        <v>-1.3097862408620098</v>
      </c>
      <c r="EL130" s="1015"/>
      <c r="EM130" s="1016"/>
      <c r="EN130" s="1016"/>
      <c r="EO130" s="1017"/>
      <c r="EP130" s="1154">
        <f>(EP129-EK129)*100</f>
        <v>-0.30000000000000027</v>
      </c>
      <c r="EQ130" s="1015"/>
      <c r="ER130" s="1016"/>
      <c r="ES130" s="1016"/>
      <c r="ET130" s="1017"/>
      <c r="EU130" s="1154">
        <f>(EU129-EP129)*100</f>
        <v>0</v>
      </c>
      <c r="EV130" s="1015"/>
      <c r="EW130" s="1016"/>
      <c r="EX130" s="1016"/>
      <c r="EY130" s="1017"/>
      <c r="EZ130" s="1154">
        <f>(EZ129-EU129)*100</f>
        <v>0</v>
      </c>
      <c r="FA130" s="1015"/>
      <c r="FB130" s="1016"/>
      <c r="FC130" s="1016"/>
      <c r="FD130" s="1017"/>
      <c r="FE130" s="1154">
        <f>(FE129-EZ129)*100</f>
        <v>0</v>
      </c>
      <c r="FF130" s="721"/>
      <c r="FG130" s="690"/>
      <c r="FH130" s="754"/>
      <c r="FI130" s="754"/>
      <c r="FJ130" s="754"/>
      <c r="FK130" s="754"/>
      <c r="FL130" s="690"/>
      <c r="FM130" s="1116"/>
      <c r="FN130" s="708"/>
      <c r="FO130" s="723"/>
      <c r="FP130" s="723"/>
      <c r="FQ130" s="723"/>
      <c r="FR130" s="723"/>
      <c r="FS130" s="723"/>
      <c r="FT130" s="723"/>
      <c r="FU130" s="690"/>
      <c r="FV130"/>
      <c r="FW130"/>
      <c r="FX130"/>
      <c r="FY130"/>
      <c r="FZ130"/>
      <c r="GA130"/>
      <c r="GB130" s="961"/>
      <c r="GC130" s="535"/>
      <c r="GD130" s="535"/>
      <c r="GE130" s="535"/>
      <c r="GF130" s="535"/>
      <c r="GG130" s="535"/>
      <c r="GH130" s="535"/>
      <c r="GI130" s="535"/>
      <c r="GJ130" s="535"/>
      <c r="GK130" s="535"/>
      <c r="GL130" s="535"/>
      <c r="GM130" s="535"/>
      <c r="GN130" s="535"/>
      <c r="GO130" s="535"/>
      <c r="GP130" s="535"/>
      <c r="GQ130" s="535"/>
      <c r="GR130" s="535"/>
      <c r="GS130" s="535"/>
      <c r="GT130" s="535"/>
      <c r="GU130" s="535"/>
      <c r="GV130" s="535"/>
      <c r="GW130" s="535"/>
      <c r="GX130" s="535"/>
      <c r="GY130" s="535"/>
      <c r="GZ130" s="535"/>
      <c r="HA130" s="535"/>
      <c r="HB130" s="535"/>
      <c r="HC130" s="535"/>
      <c r="HD130" s="535"/>
      <c r="HE130" s="535"/>
      <c r="HF130" s="535"/>
      <c r="HG130" s="535"/>
      <c r="HH130" s="535"/>
      <c r="HI130" s="535"/>
      <c r="HJ130" s="535"/>
      <c r="HK130" s="535"/>
      <c r="HL130" s="535"/>
      <c r="HM130" s="535"/>
      <c r="HN130" s="535"/>
      <c r="HO130" s="535"/>
      <c r="HP130" s="535"/>
      <c r="HQ130" s="535"/>
      <c r="HR130" s="535"/>
      <c r="HS130" s="535"/>
      <c r="HT130" s="535"/>
      <c r="HU130" s="535"/>
      <c r="HV130" s="535"/>
      <c r="HW130" s="535"/>
      <c r="HX130" s="535"/>
      <c r="HY130" s="535"/>
      <c r="HZ130" s="535"/>
      <c r="IA130" s="535"/>
      <c r="IB130" s="535"/>
      <c r="IC130" s="535"/>
      <c r="ID130" s="535"/>
      <c r="IE130" s="535"/>
      <c r="IF130" s="535"/>
      <c r="IG130" s="535"/>
      <c r="IH130" s="535"/>
      <c r="II130" s="535"/>
      <c r="IJ130" s="535"/>
      <c r="IK130" s="535"/>
      <c r="IL130" s="535"/>
      <c r="IM130" s="535"/>
      <c r="IN130" s="535"/>
      <c r="IO130" s="535"/>
      <c r="IP130" s="535"/>
      <c r="IQ130" s="535"/>
      <c r="IR130" s="535"/>
      <c r="IS130" s="535"/>
      <c r="IT130" s="535"/>
      <c r="IU130" s="535"/>
      <c r="IV130" s="535"/>
      <c r="IW130" s="535"/>
      <c r="IX130" s="535"/>
      <c r="IY130" s="535"/>
      <c r="IZ130" s="535"/>
      <c r="JA130" s="535"/>
      <c r="JB130" s="535"/>
      <c r="JC130" s="535"/>
      <c r="JD130" s="535"/>
      <c r="JE130" s="535"/>
      <c r="JF130" s="535"/>
      <c r="JG130" s="535"/>
      <c r="JH130" s="535"/>
      <c r="JI130" s="535"/>
      <c r="JJ130" s="535"/>
      <c r="JK130" s="535"/>
      <c r="JL130" s="535"/>
    </row>
    <row r="131" spans="1:272" s="726" customFormat="1" ht="12.75" hidden="1" customHeight="1" outlineLevel="1">
      <c r="A131" s="1291" t="s">
        <v>88</v>
      </c>
      <c r="B131" s="1292"/>
      <c r="C131" s="1016"/>
      <c r="D131" s="1016"/>
      <c r="E131" s="1016"/>
      <c r="F131" s="808"/>
      <c r="G131" s="1149"/>
      <c r="H131" s="1149"/>
      <c r="I131" s="1149"/>
      <c r="J131" s="1149"/>
      <c r="K131" s="808"/>
      <c r="L131" s="1149"/>
      <c r="M131" s="1149"/>
      <c r="N131" s="1149"/>
      <c r="O131" s="1149"/>
      <c r="P131" s="808"/>
      <c r="Q131" s="1149"/>
      <c r="R131" s="1149"/>
      <c r="S131" s="1149"/>
      <c r="T131" s="1149"/>
      <c r="U131" s="808"/>
      <c r="V131" s="1149"/>
      <c r="W131" s="1149"/>
      <c r="X131" s="1149"/>
      <c r="Y131" s="1149"/>
      <c r="Z131" s="808"/>
      <c r="AA131" s="1149"/>
      <c r="AB131" s="1149"/>
      <c r="AC131" s="1149"/>
      <c r="AD131" s="1149"/>
      <c r="AE131" s="808"/>
      <c r="AF131" s="1149"/>
      <c r="AG131" s="1149"/>
      <c r="AH131" s="1149"/>
      <c r="AI131" s="1149"/>
      <c r="AJ131" s="808"/>
      <c r="AK131" s="1149"/>
      <c r="AL131" s="1149"/>
      <c r="AM131" s="1149"/>
      <c r="AN131" s="1149"/>
      <c r="AO131" s="808"/>
      <c r="AP131" s="1149"/>
      <c r="AQ131" s="1149"/>
      <c r="AR131" s="1149"/>
      <c r="AS131" s="1149"/>
      <c r="AT131" s="808"/>
      <c r="AU131" s="1149"/>
      <c r="AV131" s="1149"/>
      <c r="AW131" s="1149"/>
      <c r="AX131" s="1149"/>
      <c r="AY131" s="808"/>
      <c r="AZ131" s="1149"/>
      <c r="BA131" s="1149"/>
      <c r="BB131" s="1149"/>
      <c r="BC131" s="1149"/>
      <c r="BD131" s="808"/>
      <c r="BE131" s="1149"/>
      <c r="BF131" s="1149"/>
      <c r="BG131" s="1149"/>
      <c r="BH131" s="1149"/>
      <c r="BI131" s="808"/>
      <c r="BJ131" s="1149"/>
      <c r="BK131" s="1149"/>
      <c r="BL131" s="1149"/>
      <c r="BM131" s="1149"/>
      <c r="BN131" s="808"/>
      <c r="BO131" s="1149"/>
      <c r="BP131" s="1149"/>
      <c r="BQ131" s="1149"/>
      <c r="BR131" s="1149"/>
      <c r="BS131" s="808"/>
      <c r="BT131" s="1149"/>
      <c r="BU131" s="1149"/>
      <c r="BV131" s="1149"/>
      <c r="BW131" s="1149"/>
      <c r="BX131" s="808"/>
      <c r="BY131" s="1149"/>
      <c r="BZ131" s="1149"/>
      <c r="CA131" s="1149"/>
      <c r="CB131" s="1149"/>
      <c r="CC131" s="808"/>
      <c r="CD131" s="1293"/>
      <c r="CE131" s="1293"/>
      <c r="CF131" s="1293"/>
      <c r="CG131" s="1293"/>
      <c r="CH131" s="1154"/>
      <c r="CI131" s="1293"/>
      <c r="CJ131" s="1293"/>
      <c r="CK131" s="1293"/>
      <c r="CL131" s="1293"/>
      <c r="CM131" s="1154"/>
      <c r="CN131" s="1293"/>
      <c r="CO131" s="1293"/>
      <c r="CP131" s="1293"/>
      <c r="CQ131" s="1293"/>
      <c r="CR131" s="1154"/>
      <c r="CS131" s="1293">
        <f>+(CS129-CQ129)*100</f>
        <v>-1.2758409350163258</v>
      </c>
      <c r="CT131" s="1293">
        <f>+(CT129-CS129)*100</f>
        <v>-0.78327930237740429</v>
      </c>
      <c r="CU131" s="1293">
        <f>+(CU129-CT129)*100</f>
        <v>-2.0276920921114661</v>
      </c>
      <c r="CV131" s="1293">
        <f>+(CV129-CU129)*100</f>
        <v>-0.49527352736996599</v>
      </c>
      <c r="CW131" s="1154"/>
      <c r="CX131" s="1293">
        <f>+(CX129-CV129)*100</f>
        <v>10.191075585757259</v>
      </c>
      <c r="CY131" s="1293">
        <f>+(CY129-CX129)*100</f>
        <v>-3.5754959642928519</v>
      </c>
      <c r="CZ131" s="1293">
        <f>+(CZ129-CY129)*100</f>
        <v>-2.9750556242698623</v>
      </c>
      <c r="DA131" s="1293">
        <f>+(DA129-CZ129)*100</f>
        <v>1.4729165962640289</v>
      </c>
      <c r="DB131" s="1154">
        <f>DB130</f>
        <v>4.7993102545594972</v>
      </c>
      <c r="DC131" s="1293">
        <f>+(DC129-DA129)*100</f>
        <v>4.3249821293512731</v>
      </c>
      <c r="DD131" s="1293">
        <f>+(DD129-DC129)*100</f>
        <v>-1.7800928618231793</v>
      </c>
      <c r="DE131" s="1293">
        <f>+(DE129-DD129)*100</f>
        <v>-0.40031734248991979</v>
      </c>
      <c r="DF131" s="1293">
        <f>+(DF129-DE129)*100</f>
        <v>-1.5005576959055911</v>
      </c>
      <c r="DG131" s="1154">
        <f>DG130</f>
        <v>1.1688835831850208</v>
      </c>
      <c r="DH131" s="1293">
        <f>+(DH129-DF129)*100</f>
        <v>-1.7956262070795148E-3</v>
      </c>
      <c r="DI131" s="1293">
        <f>+(DI129-DH129)*100</f>
        <v>-2.5615956317442734</v>
      </c>
      <c r="DJ131" s="1293">
        <f>+(DJ129-DI129)*100</f>
        <v>2.323804396376894</v>
      </c>
      <c r="DK131" s="1293">
        <f>+(DK129-DJ129)*100</f>
        <v>-1.5217251584102809</v>
      </c>
      <c r="DL131" s="1154"/>
      <c r="DM131" s="1293">
        <f>+(DM129-DK129)*100</f>
        <v>-0.80087861803114224</v>
      </c>
      <c r="DN131" s="1293">
        <f>+(DN129-DM129)*100</f>
        <v>-2.979195639873411</v>
      </c>
      <c r="DO131" s="1293">
        <f>+(DO129-DN129)*100</f>
        <v>2.6470969204292705</v>
      </c>
      <c r="DP131" s="1293">
        <f>+(DP129-DO129)*100</f>
        <v>1.9496206273968975</v>
      </c>
      <c r="DQ131" s="1154"/>
      <c r="DR131" s="1293">
        <f>+(DR129-DP129)*100</f>
        <v>-1.1251764925765295</v>
      </c>
      <c r="DS131" s="1293">
        <f>+(DS129-DR129)*100</f>
        <v>-0.40165120272581678</v>
      </c>
      <c r="DT131" s="1293">
        <f>+(DT129-DS129)*100</f>
        <v>1.5342989644876459</v>
      </c>
      <c r="DU131" s="1293">
        <f>+(DU129-DT129)*100</f>
        <v>-0.20000000000000018</v>
      </c>
      <c r="DV131" s="1154"/>
      <c r="DW131" s="1293">
        <f>+(DW129-DU129)*100</f>
        <v>2.031104651162785</v>
      </c>
      <c r="DX131" s="1293">
        <f>+(DX129-DW129)*100</f>
        <v>-5.2936198114510447</v>
      </c>
      <c r="DY131" s="1293">
        <f>+(DY129-DX129)*100</f>
        <v>2.0172959762951748</v>
      </c>
      <c r="DZ131" s="1293">
        <f>+(DZ129-DY129)*100</f>
        <v>-0.17694174118365602</v>
      </c>
      <c r="EA131" s="1154"/>
      <c r="EB131" s="1293">
        <f>+(EB129-DZ129)*100</f>
        <v>2.3024015494072625</v>
      </c>
      <c r="EC131" s="1293">
        <f>+(EC129-EB129)*100</f>
        <v>-1.1971150312707901</v>
      </c>
      <c r="ED131" s="1293">
        <f>+(ED129-EC129)*100</f>
        <v>0.41848684585397145</v>
      </c>
      <c r="EE131" s="1293">
        <f>+(EE129-ED129)*100</f>
        <v>-0.30161243881370314</v>
      </c>
      <c r="EF131" s="1154"/>
      <c r="EG131" s="1015"/>
      <c r="EH131" s="1016"/>
      <c r="EI131" s="1016"/>
      <c r="EJ131" s="1017"/>
      <c r="EK131" s="1154"/>
      <c r="EL131" s="1015"/>
      <c r="EM131" s="1016"/>
      <c r="EN131" s="1016"/>
      <c r="EO131" s="1017"/>
      <c r="EP131" s="1154"/>
      <c r="EQ131" s="1015"/>
      <c r="ER131" s="1016"/>
      <c r="ES131" s="1016"/>
      <c r="ET131" s="1017"/>
      <c r="EU131" s="1154"/>
      <c r="EV131" s="1015"/>
      <c r="EW131" s="1016"/>
      <c r="EX131" s="1016"/>
      <c r="EY131" s="1017"/>
      <c r="EZ131" s="1154"/>
      <c r="FA131" s="1015"/>
      <c r="FB131" s="1016"/>
      <c r="FC131" s="1016"/>
      <c r="FD131" s="1017"/>
      <c r="FE131" s="1154"/>
      <c r="FF131" s="721"/>
      <c r="FG131" s="690"/>
      <c r="FH131" s="1294">
        <f>AVERAGE(CI131,CN131,DH131,DM131,DC131,CS131,CD131,BY131,BT131,DR131,DW131)</f>
        <v>0.52539918478049685</v>
      </c>
      <c r="FI131" s="1294">
        <f>AVERAGE(CJ131,CO131,DI131,DN131,DD131,CT131,CY131,CE131,BZ131,BU131,DS131,DX131)</f>
        <v>-2.4821329163268544</v>
      </c>
      <c r="FJ131" s="1294">
        <f>AVERAGE(CK131,CP131,DJ131,DO131,DE131,CU131,CZ131,CF131,CA131,BV131,DT131,DY131)</f>
        <v>0.44563302838824814</v>
      </c>
      <c r="FK131" s="1294">
        <f>AVERAGE(CL131,CQ131,DK131,DP131,DF131,CV131,DA131,CG131,CB131,BW131,DU131,DZ131)</f>
        <v>-6.7422985601223964E-2</v>
      </c>
      <c r="FL131" s="690"/>
      <c r="FM131" s="1116"/>
      <c r="FN131" s="708"/>
      <c r="FO131" s="723"/>
      <c r="FP131" s="723"/>
      <c r="FQ131" s="723"/>
      <c r="FR131" s="723"/>
      <c r="FS131" s="723"/>
      <c r="FT131" s="723"/>
      <c r="FU131" s="690"/>
      <c r="FV131"/>
      <c r="FW131"/>
      <c r="FX131"/>
      <c r="FY131"/>
      <c r="FZ131"/>
      <c r="GA131"/>
      <c r="GB131" s="961"/>
      <c r="GC131" s="535"/>
      <c r="GD131" s="535"/>
      <c r="GE131" s="535"/>
      <c r="GF131" s="535"/>
      <c r="GG131" s="535"/>
      <c r="GH131" s="535"/>
      <c r="GI131" s="535"/>
      <c r="GJ131" s="535"/>
      <c r="GK131" s="535"/>
      <c r="GL131" s="535"/>
      <c r="GM131" s="535"/>
      <c r="GN131" s="535"/>
      <c r="GO131" s="535"/>
      <c r="GP131" s="535"/>
      <c r="GQ131" s="535"/>
      <c r="GR131" s="535"/>
      <c r="GS131" s="535"/>
      <c r="GT131" s="535"/>
      <c r="GU131" s="535"/>
      <c r="GV131" s="535"/>
      <c r="GW131" s="535"/>
      <c r="GX131" s="535"/>
      <c r="GY131" s="535"/>
      <c r="GZ131" s="535"/>
      <c r="HA131" s="535"/>
      <c r="HB131" s="535"/>
      <c r="HC131" s="535"/>
      <c r="HD131" s="535"/>
      <c r="HE131" s="535"/>
      <c r="HF131" s="535"/>
      <c r="HG131" s="535"/>
      <c r="HH131" s="535"/>
      <c r="HI131" s="535"/>
      <c r="HJ131" s="535"/>
      <c r="HK131" s="535"/>
      <c r="HL131" s="535"/>
      <c r="HM131" s="535"/>
      <c r="HN131" s="535"/>
      <c r="HO131" s="535"/>
      <c r="HP131" s="535"/>
      <c r="HQ131" s="535"/>
      <c r="HR131" s="535"/>
      <c r="HS131" s="535"/>
      <c r="HT131" s="535"/>
      <c r="HU131" s="535"/>
      <c r="HV131" s="535"/>
      <c r="HW131" s="535"/>
      <c r="HX131" s="535"/>
      <c r="HY131" s="535"/>
      <c r="HZ131" s="535"/>
      <c r="IA131" s="535"/>
      <c r="IB131" s="535"/>
      <c r="IC131" s="535"/>
      <c r="ID131" s="535"/>
      <c r="IE131" s="535"/>
      <c r="IF131" s="535"/>
      <c r="IG131" s="535"/>
      <c r="IH131" s="535"/>
      <c r="II131" s="535"/>
      <c r="IJ131" s="535"/>
      <c r="IK131" s="535"/>
      <c r="IL131" s="535"/>
      <c r="IM131" s="535"/>
      <c r="IN131" s="535"/>
      <c r="IO131" s="535"/>
      <c r="IP131" s="535"/>
      <c r="IQ131" s="535"/>
      <c r="IR131" s="535"/>
      <c r="IS131" s="535"/>
      <c r="IT131" s="535"/>
      <c r="IU131" s="535"/>
      <c r="IV131" s="535"/>
      <c r="IW131" s="535"/>
      <c r="IX131" s="535"/>
      <c r="IY131" s="535"/>
      <c r="IZ131" s="535"/>
      <c r="JA131" s="535"/>
      <c r="JB131" s="535"/>
      <c r="JC131" s="535"/>
      <c r="JD131" s="535"/>
      <c r="JE131" s="535"/>
      <c r="JF131" s="535"/>
      <c r="JG131" s="535"/>
      <c r="JH131" s="535"/>
      <c r="JI131" s="535"/>
      <c r="JJ131" s="535"/>
      <c r="JK131" s="535"/>
      <c r="JL131" s="535"/>
    </row>
    <row r="132" spans="1:272" s="861" customFormat="1" ht="12.75" hidden="1" customHeight="1" outlineLevel="1">
      <c r="A132" s="1320" t="s">
        <v>350</v>
      </c>
      <c r="B132" s="1219"/>
      <c r="C132" s="854"/>
      <c r="D132" s="854"/>
      <c r="E132" s="854"/>
      <c r="F132" s="1221"/>
      <c r="G132" s="854"/>
      <c r="H132" s="854"/>
      <c r="I132" s="854"/>
      <c r="J132" s="854"/>
      <c r="K132" s="1221"/>
      <c r="L132" s="854"/>
      <c r="M132" s="854"/>
      <c r="N132" s="854"/>
      <c r="O132" s="854"/>
      <c r="P132" s="1221"/>
      <c r="Q132" s="854"/>
      <c r="R132" s="854"/>
      <c r="S132" s="854"/>
      <c r="T132" s="854"/>
      <c r="U132" s="1221"/>
      <c r="V132" s="854"/>
      <c r="W132" s="854"/>
      <c r="X132" s="854"/>
      <c r="Y132" s="854"/>
      <c r="Z132" s="1221"/>
      <c r="AA132" s="854"/>
      <c r="AB132" s="854"/>
      <c r="AC132" s="854"/>
      <c r="AD132" s="854"/>
      <c r="AE132" s="1221"/>
      <c r="AF132" s="854"/>
      <c r="AG132" s="854"/>
      <c r="AH132" s="854"/>
      <c r="AI132" s="854"/>
      <c r="AJ132" s="1221"/>
      <c r="AK132" s="854"/>
      <c r="AL132" s="854"/>
      <c r="AM132" s="854"/>
      <c r="AN132" s="854"/>
      <c r="AO132" s="1221"/>
      <c r="AP132" s="854"/>
      <c r="AQ132" s="854"/>
      <c r="AR132" s="854"/>
      <c r="AS132" s="854"/>
      <c r="AT132" s="1221"/>
      <c r="AU132" s="854"/>
      <c r="AV132" s="854"/>
      <c r="AW132" s="854"/>
      <c r="AX132" s="854"/>
      <c r="AY132" s="1221"/>
      <c r="AZ132" s="854"/>
      <c r="BA132" s="854"/>
      <c r="BB132" s="854"/>
      <c r="BC132" s="854"/>
      <c r="BD132" s="1221"/>
      <c r="BE132" s="854"/>
      <c r="BF132" s="854"/>
      <c r="BG132" s="854"/>
      <c r="BH132" s="854"/>
      <c r="BI132" s="1221"/>
      <c r="BJ132" s="854"/>
      <c r="BK132" s="854"/>
      <c r="BL132" s="854"/>
      <c r="BM132" s="854"/>
      <c r="BN132" s="1221"/>
      <c r="BO132" s="854"/>
      <c r="BP132" s="854"/>
      <c r="BQ132" s="854"/>
      <c r="BR132" s="854"/>
      <c r="BS132" s="1221"/>
      <c r="BT132" s="854"/>
      <c r="BU132" s="854"/>
      <c r="BV132" s="854"/>
      <c r="BW132" s="854"/>
      <c r="BX132" s="1221"/>
      <c r="BY132" s="854"/>
      <c r="BZ132" s="854"/>
      <c r="CA132" s="854"/>
      <c r="CB132" s="854"/>
      <c r="CC132" s="1221"/>
      <c r="CD132" s="854">
        <v>-0.217</v>
      </c>
      <c r="CE132" s="854">
        <v>0.55900000000000005</v>
      </c>
      <c r="CF132" s="854">
        <v>1.478</v>
      </c>
      <c r="CG132" s="854">
        <v>1.6539999999999999</v>
      </c>
      <c r="CH132" s="1221">
        <v>3.4740000000000002</v>
      </c>
      <c r="CI132" s="854">
        <v>0.378</v>
      </c>
      <c r="CJ132" s="854">
        <v>1.9279999999999999</v>
      </c>
      <c r="CK132" s="854">
        <v>1.3979999999999999</v>
      </c>
      <c r="CL132" s="854">
        <v>-1.4370000000000001</v>
      </c>
      <c r="CM132" s="1221">
        <v>2.2669999999999995</v>
      </c>
      <c r="CN132" s="854">
        <v>-0.66300000000000003</v>
      </c>
      <c r="CO132" s="854">
        <v>-2.306</v>
      </c>
      <c r="CP132" s="854">
        <v>2.9750000000000001</v>
      </c>
      <c r="CQ132" s="854">
        <v>8.7970000000000006</v>
      </c>
      <c r="CR132" s="1221">
        <v>8.8030000000000008</v>
      </c>
      <c r="CS132" s="854">
        <v>10.276</v>
      </c>
      <c r="CT132" s="854">
        <v>12.436</v>
      </c>
      <c r="CU132" s="854">
        <v>15.195</v>
      </c>
      <c r="CV132" s="854">
        <v>14.488</v>
      </c>
      <c r="CW132" s="1221">
        <v>52.395000000000003</v>
      </c>
      <c r="CX132" s="854">
        <f>-132.678+134.8</f>
        <v>2.1220000000000141</v>
      </c>
      <c r="CY132" s="854">
        <v>6.8789999999999996</v>
      </c>
      <c r="CZ132" s="854">
        <v>10.62</v>
      </c>
      <c r="DA132" s="854">
        <v>8.2080000000000002</v>
      </c>
      <c r="DB132" s="1221">
        <f>-106.971+134.813</f>
        <v>27.841999999999985</v>
      </c>
      <c r="DC132" s="854">
        <v>2.9750000000000001</v>
      </c>
      <c r="DD132" s="854">
        <v>5.1319999999999997</v>
      </c>
      <c r="DE132" s="854">
        <v>5.4749999999999996</v>
      </c>
      <c r="DF132" s="854">
        <v>7.2619999999999996</v>
      </c>
      <c r="DG132" s="1221">
        <f>SUM(DC132:DF132)</f>
        <v>20.843999999999998</v>
      </c>
      <c r="DH132" s="854">
        <v>7.0830000000000002</v>
      </c>
      <c r="DI132" s="854">
        <v>10.323</v>
      </c>
      <c r="DJ132" s="854">
        <v>7.867</v>
      </c>
      <c r="DK132" s="854">
        <v>9.5399999999999991</v>
      </c>
      <c r="DL132" s="1221">
        <f>SUM(DH132:DK132)</f>
        <v>34.813000000000002</v>
      </c>
      <c r="DM132" s="854">
        <v>10.55</v>
      </c>
      <c r="DN132" s="854">
        <v>14.619</v>
      </c>
      <c r="DO132" s="854">
        <v>11.273</v>
      </c>
      <c r="DP132" s="854">
        <v>8.4789999999999992</v>
      </c>
      <c r="DQ132" s="1221">
        <f>SUM(DM132:DP132)</f>
        <v>44.920999999999999</v>
      </c>
      <c r="DR132" s="854">
        <v>9.9550000000000001</v>
      </c>
      <c r="DS132" s="854">
        <v>10.872999999999999</v>
      </c>
      <c r="DT132" s="854">
        <v>8.9710000000000001</v>
      </c>
      <c r="DU132" s="854">
        <v>8.8919999999999995</v>
      </c>
      <c r="DV132" s="1221">
        <f>SUM(DR132:DU132)</f>
        <v>38.691000000000003</v>
      </c>
      <c r="DW132" s="854">
        <v>6.38</v>
      </c>
      <c r="DX132" s="854">
        <v>13.499000000000001</v>
      </c>
      <c r="DY132" s="854">
        <v>10.694000000000001</v>
      </c>
      <c r="DZ132" s="854">
        <v>10.672000000000001</v>
      </c>
      <c r="EA132" s="1221">
        <f>SUM(DW132:DZ132)</f>
        <v>41.245000000000005</v>
      </c>
      <c r="EB132" s="854">
        <v>7.5609999999999999</v>
      </c>
      <c r="EC132" s="854">
        <v>9.3130000000000006</v>
      </c>
      <c r="ED132" s="854">
        <v>9</v>
      </c>
      <c r="EE132" s="854">
        <f>+(1-EE129)*(EE75-EE103)</f>
        <v>9.0916499999999925</v>
      </c>
      <c r="EF132" s="1221">
        <f>SUM(EB132:EE132)</f>
        <v>34.965649999999997</v>
      </c>
      <c r="EG132" s="853"/>
      <c r="EH132" s="854"/>
      <c r="EI132" s="854"/>
      <c r="EJ132" s="854"/>
      <c r="EK132" s="1321">
        <f>+(1-EK129)*(EK75-EK103)</f>
        <v>39.719043099999986</v>
      </c>
      <c r="EL132" s="853"/>
      <c r="EM132" s="854"/>
      <c r="EN132" s="854"/>
      <c r="EO132" s="854"/>
      <c r="EP132" s="1321">
        <f>+(1-EP129)*(EP75-EP103)</f>
        <v>41.956121055199986</v>
      </c>
      <c r="EQ132" s="853"/>
      <c r="ER132" s="854"/>
      <c r="ES132" s="854"/>
      <c r="ET132" s="854"/>
      <c r="EU132" s="1321">
        <f>+(1-EU129)*(EU75-EU103)</f>
        <v>42.553782871027977</v>
      </c>
      <c r="EV132" s="853"/>
      <c r="EW132" s="854"/>
      <c r="EX132" s="854"/>
      <c r="EY132" s="854"/>
      <c r="EZ132" s="1321">
        <f>+(1-EZ129)*(EZ75-EZ103)</f>
        <v>43.160409614093389</v>
      </c>
      <c r="FA132" s="853"/>
      <c r="FB132" s="854"/>
      <c r="FC132" s="854"/>
      <c r="FD132" s="854"/>
      <c r="FE132" s="1321">
        <f>+(1-FE129)*(FE75-FE103)</f>
        <v>43.77613575830479</v>
      </c>
      <c r="FF132" s="994"/>
      <c r="FG132" s="690"/>
      <c r="FH132" s="1229"/>
      <c r="FI132" s="1322"/>
      <c r="FJ132" s="1229"/>
      <c r="FK132" s="1229"/>
      <c r="FL132" s="690"/>
      <c r="FM132" s="1116" t="s">
        <v>351</v>
      </c>
      <c r="FN132" s="1230"/>
      <c r="FO132" s="1244"/>
      <c r="FP132" s="1244"/>
      <c r="FQ132" s="1244"/>
      <c r="FR132" s="1244"/>
      <c r="FS132" s="1244"/>
      <c r="FT132" s="1244"/>
      <c r="FU132" s="690"/>
      <c r="FV132"/>
      <c r="FW132"/>
      <c r="FX132"/>
      <c r="FY132"/>
      <c r="FZ132"/>
      <c r="GA132"/>
      <c r="GB132" s="1245"/>
      <c r="GC132" s="1323"/>
      <c r="GD132" s="1323"/>
      <c r="GE132" s="1323"/>
      <c r="GF132" s="1323"/>
      <c r="GG132" s="1323"/>
      <c r="GH132" s="1323"/>
      <c r="GI132" s="1323"/>
      <c r="GJ132" s="1323"/>
      <c r="GK132" s="1323"/>
      <c r="GL132" s="1323"/>
      <c r="GM132" s="1323"/>
      <c r="GN132" s="1323"/>
      <c r="GO132" s="1323"/>
      <c r="GP132" s="1323"/>
      <c r="GQ132" s="1323"/>
      <c r="GR132" s="1323"/>
      <c r="GS132" s="1323"/>
      <c r="GT132" s="1323"/>
      <c r="GU132" s="1323"/>
      <c r="GV132" s="1323"/>
      <c r="GW132" s="1323"/>
      <c r="GX132" s="1323"/>
      <c r="GY132" s="1323"/>
      <c r="GZ132" s="1323"/>
      <c r="HA132" s="1323"/>
      <c r="HB132" s="1323"/>
      <c r="HC132" s="1323"/>
      <c r="HD132" s="1323"/>
      <c r="HE132" s="1323"/>
      <c r="HF132" s="1323"/>
      <c r="HG132" s="1323"/>
      <c r="HH132" s="1323"/>
      <c r="HI132" s="1323"/>
      <c r="HJ132" s="1323"/>
      <c r="HK132" s="1323"/>
      <c r="HL132" s="1323"/>
      <c r="HM132" s="1323"/>
      <c r="HN132" s="1323"/>
      <c r="HO132" s="1323"/>
      <c r="HP132" s="1323"/>
      <c r="HQ132" s="1323"/>
      <c r="HR132" s="1323"/>
      <c r="HS132" s="1323"/>
      <c r="HT132" s="1323"/>
      <c r="HU132" s="1323"/>
      <c r="HV132" s="1323"/>
      <c r="HW132" s="1323"/>
      <c r="HX132" s="1323"/>
      <c r="HY132" s="1323"/>
      <c r="HZ132" s="1323"/>
      <c r="IA132" s="1323"/>
      <c r="IB132" s="1323"/>
      <c r="IC132" s="1323"/>
      <c r="ID132" s="1323"/>
      <c r="IE132" s="1323"/>
      <c r="IF132" s="1323"/>
      <c r="IG132" s="1323"/>
      <c r="IH132" s="1323"/>
      <c r="II132" s="1323"/>
      <c r="IJ132" s="1323"/>
      <c r="IK132" s="1323"/>
      <c r="IL132" s="1323"/>
      <c r="IM132" s="1323"/>
      <c r="IN132" s="1323"/>
      <c r="IO132" s="1323"/>
      <c r="IP132" s="1323"/>
      <c r="IQ132" s="1323"/>
      <c r="IR132" s="1323"/>
      <c r="IS132" s="1323"/>
      <c r="IT132" s="1323"/>
      <c r="IU132" s="1323"/>
      <c r="IV132" s="1323"/>
      <c r="IW132" s="1323"/>
      <c r="IX132" s="1323"/>
      <c r="IY132" s="1323"/>
      <c r="IZ132" s="1323"/>
      <c r="JA132" s="1323"/>
      <c r="JB132" s="1323"/>
      <c r="JC132" s="1323"/>
      <c r="JD132" s="1323"/>
      <c r="JE132" s="1323"/>
      <c r="JF132" s="1323"/>
      <c r="JG132" s="1323"/>
      <c r="JH132" s="1323"/>
      <c r="JI132" s="1323"/>
      <c r="JJ132" s="1323"/>
      <c r="JK132" s="1323"/>
      <c r="JL132" s="1323"/>
    </row>
    <row r="133" spans="1:272" s="749" customFormat="1" ht="12.75" hidden="1" customHeight="1" outlineLevel="1">
      <c r="A133" s="58" t="s">
        <v>85</v>
      </c>
      <c r="B133" s="1300"/>
      <c r="C133" s="1301"/>
      <c r="D133" s="1301"/>
      <c r="E133" s="1301"/>
      <c r="F133" s="741"/>
      <c r="G133" s="1257"/>
      <c r="H133" s="1301"/>
      <c r="I133" s="1301"/>
      <c r="J133" s="1301"/>
      <c r="K133" s="741"/>
      <c r="L133" s="1257"/>
      <c r="M133" s="1301"/>
      <c r="N133" s="1301"/>
      <c r="O133" s="1301"/>
      <c r="P133" s="741"/>
      <c r="Q133" s="1257"/>
      <c r="R133" s="1301"/>
      <c r="S133" s="1301"/>
      <c r="T133" s="1301"/>
      <c r="U133" s="741"/>
      <c r="V133" s="1257"/>
      <c r="W133" s="1301"/>
      <c r="X133" s="1302"/>
      <c r="Y133" s="1302"/>
      <c r="Z133" s="741"/>
      <c r="AA133" s="1236"/>
      <c r="AB133" s="1302"/>
      <c r="AC133" s="1302"/>
      <c r="AD133" s="1302"/>
      <c r="AE133" s="741"/>
      <c r="AF133" s="721"/>
      <c r="AG133" s="721"/>
      <c r="AH133" s="721"/>
      <c r="AI133" s="721"/>
      <c r="AJ133" s="741"/>
      <c r="AK133" s="721"/>
      <c r="AL133" s="721"/>
      <c r="AM133" s="721"/>
      <c r="AN133" s="721"/>
      <c r="AO133" s="741"/>
      <c r="AP133" s="721"/>
      <c r="AQ133" s="742"/>
      <c r="AR133" s="742"/>
      <c r="AS133" s="721"/>
      <c r="AT133" s="741"/>
      <c r="AU133" s="721"/>
      <c r="AV133" s="742"/>
      <c r="AW133" s="721"/>
      <c r="AX133" s="721"/>
      <c r="AY133" s="741"/>
      <c r="AZ133" s="721"/>
      <c r="BA133" s="742"/>
      <c r="BB133" s="721"/>
      <c r="BC133" s="721"/>
      <c r="BD133" s="741"/>
      <c r="BE133" s="721"/>
      <c r="BF133" s="742"/>
      <c r="BG133" s="721"/>
      <c r="BH133" s="721"/>
      <c r="BI133" s="741"/>
      <c r="BJ133" s="721"/>
      <c r="BK133" s="742"/>
      <c r="BL133" s="721"/>
      <c r="BM133" s="721"/>
      <c r="BN133" s="741"/>
      <c r="BO133" s="721"/>
      <c r="BP133" s="742"/>
      <c r="BQ133" s="721"/>
      <c r="BR133" s="721"/>
      <c r="BS133" s="741"/>
      <c r="BT133" s="721"/>
      <c r="BU133" s="742"/>
      <c r="BV133" s="721"/>
      <c r="BW133" s="721"/>
      <c r="BX133" s="741"/>
      <c r="BY133" s="721"/>
      <c r="BZ133" s="742"/>
      <c r="CA133" s="721"/>
      <c r="CB133" s="721"/>
      <c r="CC133" s="741"/>
      <c r="CD133" s="721"/>
      <c r="CE133" s="721"/>
      <c r="CF133" s="721"/>
      <c r="CG133" s="721"/>
      <c r="CH133" s="741"/>
      <c r="CI133" s="721"/>
      <c r="CJ133" s="721"/>
      <c r="CK133" s="721"/>
      <c r="CL133" s="721"/>
      <c r="CM133" s="741"/>
      <c r="CN133" s="721"/>
      <c r="CO133" s="721"/>
      <c r="CP133" s="721"/>
      <c r="CQ133" s="721"/>
      <c r="CR133" s="741">
        <f t="shared" ref="CR133:EF133" si="451">CR132/CM132-1</f>
        <v>2.8831054256726967</v>
      </c>
      <c r="CS133" s="721">
        <f t="shared" si="451"/>
        <v>-16.499245852187027</v>
      </c>
      <c r="CT133" s="721">
        <f t="shared" si="451"/>
        <v>-6.3928881179531656</v>
      </c>
      <c r="CU133" s="721">
        <f t="shared" si="451"/>
        <v>4.1075630252100837</v>
      </c>
      <c r="CV133" s="721">
        <f t="shared" si="451"/>
        <v>0.64692508809821514</v>
      </c>
      <c r="CW133" s="741">
        <f t="shared" si="451"/>
        <v>4.9519481994774504</v>
      </c>
      <c r="CX133" s="721">
        <f t="shared" si="451"/>
        <v>-0.79349941611521857</v>
      </c>
      <c r="CY133" s="721">
        <f t="shared" si="451"/>
        <v>-0.44684786104856866</v>
      </c>
      <c r="CZ133" s="721">
        <f t="shared" si="451"/>
        <v>-0.30108588351431398</v>
      </c>
      <c r="DA133" s="721">
        <f t="shared" si="451"/>
        <v>-0.43346217559359468</v>
      </c>
      <c r="DB133" s="741">
        <f t="shared" si="451"/>
        <v>-0.46861341731081241</v>
      </c>
      <c r="DC133" s="721">
        <f t="shared" si="451"/>
        <v>0.4019792648444771</v>
      </c>
      <c r="DD133" s="721">
        <f t="shared" si="451"/>
        <v>-0.25396133158889378</v>
      </c>
      <c r="DE133" s="721">
        <f t="shared" si="451"/>
        <v>-0.4844632768361582</v>
      </c>
      <c r="DF133" s="721">
        <f t="shared" si="451"/>
        <v>-0.11525341130604294</v>
      </c>
      <c r="DG133" s="741">
        <f t="shared" si="451"/>
        <v>-0.25134688599956867</v>
      </c>
      <c r="DH133" s="721">
        <f t="shared" si="451"/>
        <v>1.3808403361344537</v>
      </c>
      <c r="DI133" s="721">
        <f t="shared" si="451"/>
        <v>1.0114964925954797</v>
      </c>
      <c r="DJ133" s="721">
        <f t="shared" si="451"/>
        <v>0.43689497716894987</v>
      </c>
      <c r="DK133" s="721">
        <f t="shared" si="451"/>
        <v>0.31368768934177904</v>
      </c>
      <c r="DL133" s="741">
        <f t="shared" si="451"/>
        <v>0.67016887353674948</v>
      </c>
      <c r="DM133" s="721">
        <f t="shared" si="451"/>
        <v>0.48948185796978683</v>
      </c>
      <c r="DN133" s="721">
        <f t="shared" si="451"/>
        <v>0.41615809357744826</v>
      </c>
      <c r="DO133" s="721">
        <f t="shared" si="451"/>
        <v>0.43294775645099781</v>
      </c>
      <c r="DP133" s="721">
        <f t="shared" si="451"/>
        <v>-0.11121593291404608</v>
      </c>
      <c r="DQ133" s="741">
        <f t="shared" si="451"/>
        <v>0.29035130554677835</v>
      </c>
      <c r="DR133" s="721">
        <f t="shared" si="451"/>
        <v>-5.6398104265402926E-2</v>
      </c>
      <c r="DS133" s="721">
        <f t="shared" si="451"/>
        <v>-0.2562418770093714</v>
      </c>
      <c r="DT133" s="721">
        <f t="shared" si="451"/>
        <v>-0.20420473698216979</v>
      </c>
      <c r="DU133" s="721">
        <f t="shared" si="451"/>
        <v>4.870857412430718E-2</v>
      </c>
      <c r="DV133" s="741">
        <f>DV132/DQ132-1</f>
        <v>-0.13868791879076592</v>
      </c>
      <c r="DW133" s="721">
        <f t="shared" si="451"/>
        <v>-0.35911602209944748</v>
      </c>
      <c r="DX133" s="721">
        <f t="shared" si="451"/>
        <v>0.24151568104479004</v>
      </c>
      <c r="DY133" s="721">
        <f t="shared" si="451"/>
        <v>0.19206331512651897</v>
      </c>
      <c r="DZ133" s="721">
        <f t="shared" si="451"/>
        <v>0.20017993702204251</v>
      </c>
      <c r="EA133" s="741">
        <f t="shared" si="451"/>
        <v>6.6010183246749898E-2</v>
      </c>
      <c r="EB133" s="721">
        <f t="shared" si="451"/>
        <v>0.18510971786833852</v>
      </c>
      <c r="EC133" s="721">
        <f>EC132/DX132-1</f>
        <v>-0.31009704422549822</v>
      </c>
      <c r="ED133" s="721">
        <f t="shared" si="451"/>
        <v>-0.15840658313072753</v>
      </c>
      <c r="EE133" s="743">
        <f t="shared" si="451"/>
        <v>-0.14808377061469336</v>
      </c>
      <c r="EF133" s="741">
        <f t="shared" si="451"/>
        <v>-0.15224512062068152</v>
      </c>
      <c r="EG133" s="1303"/>
      <c r="EH133" s="711"/>
      <c r="EI133" s="711"/>
      <c r="EJ133" s="1304"/>
      <c r="EK133" s="741">
        <f>EK132/EF132-1</f>
        <v>0.13594465139358181</v>
      </c>
      <c r="EL133" s="1303"/>
      <c r="EM133" s="711"/>
      <c r="EN133" s="711"/>
      <c r="EO133" s="1304"/>
      <c r="EP133" s="741">
        <f>EP132/EK132-1</f>
        <v>5.6322554135248115E-2</v>
      </c>
      <c r="EQ133" s="1303"/>
      <c r="ER133" s="711"/>
      <c r="ES133" s="711"/>
      <c r="ET133" s="1304"/>
      <c r="EU133" s="741">
        <f>EU132/EP132-1</f>
        <v>1.424492543153999E-2</v>
      </c>
      <c r="EV133" s="1303"/>
      <c r="EW133" s="711"/>
      <c r="EX133" s="711"/>
      <c r="EY133" s="1304"/>
      <c r="EZ133" s="741">
        <f>EZ132/EU132-1</f>
        <v>1.4255530346243939E-2</v>
      </c>
      <c r="FA133" s="1303"/>
      <c r="FB133" s="711"/>
      <c r="FC133" s="711"/>
      <c r="FD133" s="1304"/>
      <c r="FE133" s="741">
        <f>FE132/EZ132-1</f>
        <v>1.4265993991177117E-2</v>
      </c>
      <c r="FF133" s="1009"/>
      <c r="FG133" s="690"/>
      <c r="FH133" s="754"/>
      <c r="FI133" s="754"/>
      <c r="FJ133" s="754"/>
      <c r="FK133" s="754"/>
      <c r="FL133" s="690"/>
      <c r="FM133" s="973"/>
      <c r="FN133" s="708"/>
      <c r="FO133" s="1306">
        <f>+(EB126+EB132)/3*2</f>
        <v>29.957999999999998</v>
      </c>
      <c r="FP133" s="1306">
        <f>+(EC126+EC132)/3*2</f>
        <v>52.552666666666674</v>
      </c>
      <c r="FQ133" s="1306">
        <f>+(ED126+ED132)/3*2</f>
        <v>51.333333333333336</v>
      </c>
      <c r="FR133" s="1306">
        <f>+(EE126+EE132)/3*2</f>
        <v>44.194433333333329</v>
      </c>
      <c r="FS133" s="1306"/>
      <c r="FT133" s="1306"/>
      <c r="FU133" s="690"/>
      <c r="FV133"/>
      <c r="FW133"/>
      <c r="FX133"/>
      <c r="FY133"/>
      <c r="FZ133"/>
      <c r="GA133"/>
      <c r="GC133" s="532"/>
      <c r="GD133" s="532"/>
      <c r="GE133" s="532"/>
      <c r="GF133" s="532"/>
      <c r="GG133" s="532"/>
      <c r="GH133" s="532"/>
      <c r="GI133" s="532"/>
      <c r="GJ133" s="532"/>
      <c r="GK133" s="532"/>
      <c r="GL133" s="532"/>
      <c r="GM133" s="532"/>
      <c r="GN133" s="532"/>
      <c r="GO133" s="532"/>
      <c r="GP133" s="532"/>
      <c r="GQ133" s="532"/>
      <c r="GR133" s="532"/>
      <c r="GS133" s="532"/>
      <c r="GT133" s="532"/>
      <c r="GU133" s="532"/>
      <c r="GV133" s="532"/>
      <c r="GW133" s="532"/>
      <c r="GX133" s="532"/>
      <c r="GY133" s="532"/>
      <c r="GZ133" s="532"/>
      <c r="HA133" s="532"/>
      <c r="HB133" s="532"/>
      <c r="HC133" s="532"/>
      <c r="HD133" s="532"/>
      <c r="HE133" s="532"/>
      <c r="HF133" s="532"/>
      <c r="HG133" s="532"/>
      <c r="HH133" s="532"/>
      <c r="HI133" s="532"/>
      <c r="HJ133" s="532"/>
      <c r="HK133" s="532"/>
      <c r="HL133" s="532"/>
      <c r="HM133" s="532"/>
      <c r="HN133" s="532"/>
      <c r="HO133" s="532"/>
      <c r="HP133" s="532"/>
      <c r="HQ133" s="532"/>
      <c r="HR133" s="532"/>
      <c r="HS133" s="532"/>
      <c r="HT133" s="532"/>
      <c r="HU133" s="532"/>
      <c r="HV133" s="532"/>
      <c r="HW133" s="532"/>
      <c r="HX133" s="532"/>
      <c r="HY133" s="532"/>
      <c r="HZ133" s="532"/>
      <c r="IA133" s="532"/>
      <c r="IB133" s="532"/>
      <c r="IC133" s="532"/>
      <c r="ID133" s="532"/>
      <c r="IE133" s="532"/>
      <c r="IF133" s="532"/>
      <c r="IG133" s="532"/>
      <c r="IH133" s="532"/>
      <c r="II133" s="532"/>
      <c r="IJ133" s="532"/>
      <c r="IK133" s="532"/>
      <c r="IL133" s="532"/>
      <c r="IM133" s="532"/>
      <c r="IN133" s="532"/>
      <c r="IO133" s="532"/>
      <c r="IP133" s="532"/>
      <c r="IQ133" s="532"/>
      <c r="IR133" s="532"/>
      <c r="IS133" s="532"/>
      <c r="IT133" s="532"/>
      <c r="IU133" s="532"/>
      <c r="IV133" s="532"/>
      <c r="IW133" s="532"/>
      <c r="IX133" s="532"/>
      <c r="IY133" s="532"/>
      <c r="IZ133" s="532"/>
      <c r="JA133" s="532"/>
      <c r="JB133" s="532"/>
      <c r="JC133" s="532"/>
      <c r="JD133" s="532"/>
      <c r="JE133" s="532"/>
      <c r="JF133" s="532"/>
      <c r="JG133" s="532"/>
      <c r="JH133" s="532"/>
      <c r="JI133" s="532"/>
      <c r="JJ133" s="532"/>
      <c r="JK133" s="532"/>
      <c r="JL133" s="532"/>
    </row>
    <row r="134" spans="1:272" s="726" customFormat="1" ht="12.75" hidden="1" customHeight="1" outlineLevel="1">
      <c r="A134" s="1307" t="s">
        <v>352</v>
      </c>
      <c r="B134" s="1292"/>
      <c r="C134" s="1016"/>
      <c r="D134" s="1016"/>
      <c r="E134" s="1016"/>
      <c r="F134" s="808"/>
      <c r="G134" s="1149"/>
      <c r="H134" s="1149"/>
      <c r="I134" s="1149"/>
      <c r="J134" s="1149"/>
      <c r="K134" s="808"/>
      <c r="L134" s="1149"/>
      <c r="M134" s="1149"/>
      <c r="N134" s="1149"/>
      <c r="O134" s="1149"/>
      <c r="P134" s="808"/>
      <c r="Q134" s="1149"/>
      <c r="R134" s="1149"/>
      <c r="S134" s="1149"/>
      <c r="T134" s="1149"/>
      <c r="U134" s="808"/>
      <c r="V134" s="1149"/>
      <c r="W134" s="1149"/>
      <c r="X134" s="1149"/>
      <c r="Y134" s="1149"/>
      <c r="Z134" s="808"/>
      <c r="AA134" s="1149"/>
      <c r="AB134" s="1149"/>
      <c r="AC134" s="1149"/>
      <c r="AD134" s="1149"/>
      <c r="AE134" s="808"/>
      <c r="AF134" s="1149"/>
      <c r="AG134" s="1149"/>
      <c r="AH134" s="1149"/>
      <c r="AI134" s="1149"/>
      <c r="AJ134" s="808"/>
      <c r="AK134" s="1149"/>
      <c r="AL134" s="1149"/>
      <c r="AM134" s="1149"/>
      <c r="AN134" s="1149"/>
      <c r="AO134" s="808"/>
      <c r="AP134" s="1149"/>
      <c r="AQ134" s="1149"/>
      <c r="AR134" s="1149"/>
      <c r="AS134" s="1149"/>
      <c r="AT134" s="808"/>
      <c r="AU134" s="1149"/>
      <c r="AV134" s="1149"/>
      <c r="AW134" s="1149"/>
      <c r="AX134" s="1149"/>
      <c r="AY134" s="808"/>
      <c r="AZ134" s="1149"/>
      <c r="BA134" s="1149"/>
      <c r="BB134" s="1149"/>
      <c r="BC134" s="1149"/>
      <c r="BD134" s="808"/>
      <c r="BE134" s="1149"/>
      <c r="BF134" s="1149"/>
      <c r="BG134" s="1149"/>
      <c r="BH134" s="1149"/>
      <c r="BI134" s="808"/>
      <c r="BJ134" s="1149"/>
      <c r="BK134" s="1149"/>
      <c r="BL134" s="1149"/>
      <c r="BM134" s="1149"/>
      <c r="BN134" s="808"/>
      <c r="BO134" s="1149"/>
      <c r="BP134" s="1149"/>
      <c r="BQ134" s="1149"/>
      <c r="BR134" s="1149"/>
      <c r="BS134" s="808"/>
      <c r="BT134" s="1149"/>
      <c r="BU134" s="1149"/>
      <c r="BV134" s="1149"/>
      <c r="BW134" s="1149"/>
      <c r="BX134" s="808"/>
      <c r="BY134" s="1149"/>
      <c r="BZ134" s="1149"/>
      <c r="CA134" s="1149"/>
      <c r="CB134" s="1149"/>
      <c r="CC134" s="808"/>
      <c r="CD134" s="1311"/>
      <c r="CE134" s="1311"/>
      <c r="CF134" s="1311"/>
      <c r="CG134" s="1311"/>
      <c r="CH134" s="1310"/>
      <c r="CI134" s="1311"/>
      <c r="CJ134" s="1311"/>
      <c r="CK134" s="1311"/>
      <c r="CL134" s="1311"/>
      <c r="CM134" s="1310"/>
      <c r="CN134" s="1311"/>
      <c r="CO134" s="1311"/>
      <c r="CP134" s="1311"/>
      <c r="CQ134" s="1311"/>
      <c r="CR134" s="1310"/>
      <c r="CS134" s="1311">
        <f t="shared" ref="CS134:ED134" si="452">(CS132-CN132)/(CS80-CN80)</f>
        <v>9.459611376784649E-2</v>
      </c>
      <c r="CT134" s="1311">
        <f t="shared" si="452"/>
        <v>0.11436062928600244</v>
      </c>
      <c r="CU134" s="1311">
        <f t="shared" si="452"/>
        <v>9.4047747317869079E-2</v>
      </c>
      <c r="CV134" s="1311">
        <f t="shared" si="452"/>
        <v>2.4002530577815313</v>
      </c>
      <c r="CW134" s="1310">
        <f t="shared" si="452"/>
        <v>8.8434463311220651E-2</v>
      </c>
      <c r="CX134" s="1311">
        <f t="shared" si="452"/>
        <v>-1.7807381524350234</v>
      </c>
      <c r="CY134" s="1311">
        <f t="shared" si="452"/>
        <v>2.4415641476274361</v>
      </c>
      <c r="CZ134" s="1311">
        <f t="shared" si="452"/>
        <v>0.64138511145380683</v>
      </c>
      <c r="DA134" s="1311">
        <f t="shared" si="452"/>
        <v>5.4325259515571318</v>
      </c>
      <c r="DB134" s="1310">
        <f t="shared" si="452"/>
        <v>4.1017373872368958</v>
      </c>
      <c r="DC134" s="1311">
        <f t="shared" si="452"/>
        <v>-0.21240039840637073</v>
      </c>
      <c r="DD134" s="1311">
        <f t="shared" si="452"/>
        <v>0.17238997434379316</v>
      </c>
      <c r="DE134" s="1311">
        <f t="shared" si="452"/>
        <v>0.54995564011843556</v>
      </c>
      <c r="DF134" s="1311">
        <f t="shared" si="452"/>
        <v>0.25553754727174433</v>
      </c>
      <c r="DG134" s="1310">
        <f t="shared" si="452"/>
        <v>0.25721038103744137</v>
      </c>
      <c r="DH134" s="1311">
        <f t="shared" si="452"/>
        <v>-0.73501520844516044</v>
      </c>
      <c r="DI134" s="1311">
        <f t="shared" si="452"/>
        <v>-2.0493485984998019</v>
      </c>
      <c r="DJ134" s="1311">
        <f t="shared" si="452"/>
        <v>0.48330066878144451</v>
      </c>
      <c r="DK134" s="1311">
        <f t="shared" si="452"/>
        <v>0.85735792246894638</v>
      </c>
      <c r="DL134" s="1310">
        <f t="shared" si="452"/>
        <v>-27.087453946093689</v>
      </c>
      <c r="DM134" s="1311">
        <f t="shared" si="452"/>
        <v>0.6147163120567376</v>
      </c>
      <c r="DN134" s="1311">
        <f t="shared" si="452"/>
        <v>0.69201030927835061</v>
      </c>
      <c r="DO134" s="1311">
        <f t="shared" si="452"/>
        <v>3.3589743589743257</v>
      </c>
      <c r="DP134" s="1311">
        <f t="shared" si="452"/>
        <v>0.64147521160821841</v>
      </c>
      <c r="DQ134" s="1310">
        <f t="shared" si="452"/>
        <v>0.90185581727337827</v>
      </c>
      <c r="DR134" s="1311">
        <f t="shared" si="452"/>
        <v>-22.037037037036225</v>
      </c>
      <c r="DS134" s="1311">
        <f t="shared" si="452"/>
        <v>-5.3361823361823504</v>
      </c>
      <c r="DT134" s="1311">
        <f t="shared" si="452"/>
        <v>-1.1946030098598903</v>
      </c>
      <c r="DU134" s="1311">
        <f t="shared" si="452"/>
        <v>0.17544604927782514</v>
      </c>
      <c r="DV134" s="1310">
        <f t="shared" si="452"/>
        <v>-1.2435129740518978</v>
      </c>
      <c r="DW134" s="1311">
        <f t="shared" si="452"/>
        <v>4.1234140715109362</v>
      </c>
      <c r="DX134" s="1311">
        <f t="shared" si="452"/>
        <v>-21.702479338843862</v>
      </c>
      <c r="DY134" s="1311">
        <f t="shared" si="452"/>
        <v>-0.88449691991786794</v>
      </c>
      <c r="DZ134" s="1311">
        <f t="shared" si="452"/>
        <v>-1.3030746705710115</v>
      </c>
      <c r="EA134" s="1310">
        <f t="shared" si="452"/>
        <v>-0.59367735936774135</v>
      </c>
      <c r="EB134" s="1311">
        <f t="shared" si="452"/>
        <v>-0.36952440550688387</v>
      </c>
      <c r="EC134" s="1311">
        <f>(EC132-DX132)/(EC80-DX80)</f>
        <v>1.0145419292292766</v>
      </c>
      <c r="ED134" s="1311" t="e">
        <f t="shared" si="452"/>
        <v>#DIV/0!</v>
      </c>
      <c r="EE134" s="1311" t="e">
        <f>(EE132-DZ132)/(EE80-DZ80)</f>
        <v>#DIV/0!</v>
      </c>
      <c r="EF134" s="1310">
        <f>(EF132-EA132)/(EF80-EA80)</f>
        <v>0.85760038240917857</v>
      </c>
      <c r="EG134" s="1015"/>
      <c r="EH134" s="1016"/>
      <c r="EI134" s="1016"/>
      <c r="EJ134" s="1017"/>
      <c r="EK134" s="1310">
        <f>(EK132-EF132)/(EK80-EF80)</f>
        <v>-0.26806652214566234</v>
      </c>
      <c r="EL134" s="1015"/>
      <c r="EM134" s="1016"/>
      <c r="EN134" s="1016"/>
      <c r="EO134" s="1017"/>
      <c r="EP134" s="1310">
        <f>(EP132-EK132)/(EP80-EK80)</f>
        <v>0.33432921037734448</v>
      </c>
      <c r="EQ134" s="1015"/>
      <c r="ER134" s="1016"/>
      <c r="ES134" s="1016"/>
      <c r="ET134" s="1017"/>
      <c r="EU134" s="1310">
        <f>(EU132-EP132)/(EU80-EP80)</f>
        <v>8.7999999999998829E-2</v>
      </c>
      <c r="EV134" s="1015"/>
      <c r="EW134" s="1016"/>
      <c r="EX134" s="1016"/>
      <c r="EY134" s="1017"/>
      <c r="EZ134" s="1310">
        <f>(EZ132-EU132)/(EZ80-EU80)</f>
        <v>8.799999999999969E-2</v>
      </c>
      <c r="FA134" s="1015"/>
      <c r="FB134" s="1016"/>
      <c r="FC134" s="1016"/>
      <c r="FD134" s="1017"/>
      <c r="FE134" s="1310">
        <f>(FE132-EZ132)/(FE80-EZ80)</f>
        <v>8.80000000000008E-2</v>
      </c>
      <c r="FF134" s="721"/>
      <c r="FG134" s="690"/>
      <c r="FH134" s="754"/>
      <c r="FI134" s="754"/>
      <c r="FJ134" s="754"/>
      <c r="FK134" s="754"/>
      <c r="FL134" s="690"/>
      <c r="FM134" s="1116"/>
      <c r="FN134" s="708"/>
      <c r="FO134" s="723"/>
      <c r="FP134" s="723"/>
      <c r="FQ134" s="723"/>
      <c r="FR134" s="723"/>
      <c r="FS134" s="723"/>
      <c r="FT134" s="723"/>
      <c r="FU134" s="690"/>
      <c r="FV134"/>
      <c r="FW134"/>
      <c r="FX134"/>
      <c r="FY134"/>
      <c r="FZ134"/>
      <c r="GA134"/>
      <c r="GB134" s="961"/>
      <c r="GC134" s="535"/>
      <c r="GD134" s="535"/>
      <c r="GE134" s="535"/>
      <c r="GF134" s="535"/>
      <c r="GG134" s="535"/>
      <c r="GH134" s="535"/>
      <c r="GI134" s="535"/>
      <c r="GJ134" s="535"/>
      <c r="GK134" s="535"/>
      <c r="GL134" s="535"/>
      <c r="GM134" s="535"/>
      <c r="GN134" s="535"/>
      <c r="GO134" s="535"/>
      <c r="GP134" s="535"/>
      <c r="GQ134" s="535"/>
      <c r="GR134" s="535"/>
      <c r="GS134" s="535"/>
      <c r="GT134" s="535"/>
      <c r="GU134" s="535"/>
      <c r="GV134" s="535"/>
      <c r="GW134" s="535"/>
      <c r="GX134" s="535"/>
      <c r="GY134" s="535"/>
      <c r="GZ134" s="535"/>
      <c r="HA134" s="535"/>
      <c r="HB134" s="535"/>
      <c r="HC134" s="535"/>
      <c r="HD134" s="535"/>
      <c r="HE134" s="535"/>
      <c r="HF134" s="535"/>
      <c r="HG134" s="535"/>
      <c r="HH134" s="535"/>
      <c r="HI134" s="535"/>
      <c r="HJ134" s="535"/>
      <c r="HK134" s="535"/>
      <c r="HL134" s="535"/>
      <c r="HM134" s="535"/>
      <c r="HN134" s="535"/>
      <c r="HO134" s="535"/>
      <c r="HP134" s="535"/>
      <c r="HQ134" s="535"/>
      <c r="HR134" s="535"/>
      <c r="HS134" s="535"/>
      <c r="HT134" s="535"/>
      <c r="HU134" s="535"/>
      <c r="HV134" s="535"/>
      <c r="HW134" s="535"/>
      <c r="HX134" s="535"/>
      <c r="HY134" s="535"/>
      <c r="HZ134" s="535"/>
      <c r="IA134" s="535"/>
      <c r="IB134" s="535"/>
      <c r="IC134" s="535"/>
      <c r="ID134" s="535"/>
      <c r="IE134" s="535"/>
      <c r="IF134" s="535"/>
      <c r="IG134" s="535"/>
      <c r="IH134" s="535"/>
      <c r="II134" s="535"/>
      <c r="IJ134" s="535"/>
      <c r="IK134" s="535"/>
      <c r="IL134" s="535"/>
      <c r="IM134" s="535"/>
      <c r="IN134" s="535"/>
      <c r="IO134" s="535"/>
      <c r="IP134" s="535"/>
      <c r="IQ134" s="535"/>
      <c r="IR134" s="535"/>
      <c r="IS134" s="535"/>
      <c r="IT134" s="535"/>
      <c r="IU134" s="535"/>
      <c r="IV134" s="535"/>
      <c r="IW134" s="535"/>
      <c r="IX134" s="535"/>
      <c r="IY134" s="535"/>
      <c r="IZ134" s="535"/>
      <c r="JA134" s="535"/>
      <c r="JB134" s="535"/>
      <c r="JC134" s="535"/>
      <c r="JD134" s="535"/>
      <c r="JE134" s="535"/>
      <c r="JF134" s="535"/>
      <c r="JG134" s="535"/>
      <c r="JH134" s="535"/>
      <c r="JI134" s="535"/>
      <c r="JJ134" s="535"/>
      <c r="JK134" s="535"/>
      <c r="JL134" s="535"/>
    </row>
    <row r="135" spans="1:272" s="726" customFormat="1" ht="12.75" hidden="1" customHeight="1" outlineLevel="1">
      <c r="A135" s="1324" t="s">
        <v>353</v>
      </c>
      <c r="B135" s="1325"/>
      <c r="C135" s="1326"/>
      <c r="D135" s="1326"/>
      <c r="E135" s="1326"/>
      <c r="F135" s="1327"/>
      <c r="G135" s="1328"/>
      <c r="H135" s="1328"/>
      <c r="I135" s="1328"/>
      <c r="J135" s="1328"/>
      <c r="K135" s="1327"/>
      <c r="L135" s="1328"/>
      <c r="M135" s="1328"/>
      <c r="N135" s="1328"/>
      <c r="O135" s="1328"/>
      <c r="P135" s="1327"/>
      <c r="Q135" s="1328"/>
      <c r="R135" s="1328"/>
      <c r="S135" s="1328"/>
      <c r="T135" s="1328"/>
      <c r="U135" s="1327"/>
      <c r="V135" s="1328"/>
      <c r="W135" s="1328"/>
      <c r="X135" s="1328"/>
      <c r="Y135" s="1328"/>
      <c r="Z135" s="1327"/>
      <c r="AA135" s="1328"/>
      <c r="AB135" s="1328"/>
      <c r="AC135" s="1328"/>
      <c r="AD135" s="1328"/>
      <c r="AE135" s="1327"/>
      <c r="AF135" s="1328"/>
      <c r="AG135" s="1328"/>
      <c r="AH135" s="1328"/>
      <c r="AI135" s="1328"/>
      <c r="AJ135" s="1327"/>
      <c r="AK135" s="1328"/>
      <c r="AL135" s="1328"/>
      <c r="AM135" s="1328"/>
      <c r="AN135" s="1328"/>
      <c r="AO135" s="1327"/>
      <c r="AP135" s="1328"/>
      <c r="AQ135" s="1328"/>
      <c r="AR135" s="1328"/>
      <c r="AS135" s="1328"/>
      <c r="AT135" s="1327"/>
      <c r="AU135" s="1328"/>
      <c r="AV135" s="1328"/>
      <c r="AW135" s="1328"/>
      <c r="AX135" s="1328"/>
      <c r="AY135" s="1327"/>
      <c r="AZ135" s="1328"/>
      <c r="BA135" s="1328"/>
      <c r="BB135" s="1328"/>
      <c r="BC135" s="1328"/>
      <c r="BD135" s="1327"/>
      <c r="BE135" s="1328"/>
      <c r="BF135" s="1328"/>
      <c r="BG135" s="1328"/>
      <c r="BH135" s="1328"/>
      <c r="BI135" s="1327"/>
      <c r="BJ135" s="1328"/>
      <c r="BK135" s="1328"/>
      <c r="BL135" s="1328"/>
      <c r="BM135" s="1328"/>
      <c r="BN135" s="1327"/>
      <c r="BO135" s="1328"/>
      <c r="BP135" s="1328"/>
      <c r="BQ135" s="1328"/>
      <c r="BR135" s="1328"/>
      <c r="BS135" s="1327"/>
      <c r="BT135" s="1328"/>
      <c r="BU135" s="1328"/>
      <c r="BV135" s="1328"/>
      <c r="BW135" s="1328"/>
      <c r="BX135" s="1327"/>
      <c r="BY135" s="1328"/>
      <c r="BZ135" s="1328"/>
      <c r="CA135" s="1328"/>
      <c r="CB135" s="1328"/>
      <c r="CC135" s="1327"/>
      <c r="CD135" s="1329"/>
      <c r="CE135" s="1329"/>
      <c r="CF135" s="1329"/>
      <c r="CG135" s="1329"/>
      <c r="CH135" s="1330"/>
      <c r="CI135" s="1329"/>
      <c r="CJ135" s="1329"/>
      <c r="CK135" s="1329"/>
      <c r="CL135" s="1329"/>
      <c r="CM135" s="1330"/>
      <c r="CN135" s="1329"/>
      <c r="CO135" s="1329"/>
      <c r="CP135" s="1329"/>
      <c r="CQ135" s="1329"/>
      <c r="CR135" s="1330"/>
      <c r="CS135" s="1329"/>
      <c r="CT135" s="1329"/>
      <c r="CU135" s="1329"/>
      <c r="CV135" s="1329"/>
      <c r="CW135" s="1330"/>
      <c r="CX135" s="1329"/>
      <c r="CY135" s="1329"/>
      <c r="CZ135" s="1329"/>
      <c r="DA135" s="1329"/>
      <c r="DB135" s="1330"/>
      <c r="DC135" s="1329"/>
      <c r="DD135" s="1329"/>
      <c r="DE135" s="1329"/>
      <c r="DF135" s="1329"/>
      <c r="DG135" s="1330"/>
      <c r="DH135" s="1329"/>
      <c r="DI135" s="1329"/>
      <c r="DJ135" s="1329"/>
      <c r="DK135" s="1329"/>
      <c r="DL135" s="1330"/>
      <c r="DM135" s="1329"/>
      <c r="DN135" s="1329"/>
      <c r="DO135" s="1329"/>
      <c r="DP135" s="1329"/>
      <c r="DQ135" s="1330"/>
      <c r="DR135" s="1329"/>
      <c r="DS135" s="1329"/>
      <c r="DT135" s="1329"/>
      <c r="DU135" s="1329"/>
      <c r="DV135" s="1330"/>
      <c r="DW135" s="1329"/>
      <c r="DX135" s="1329"/>
      <c r="DY135" s="1329"/>
      <c r="DZ135" s="1329"/>
      <c r="EA135" s="1330"/>
      <c r="EB135" s="1329"/>
      <c r="EC135" s="1329"/>
      <c r="ED135" s="1329"/>
      <c r="EE135" s="1329"/>
      <c r="EF135" s="1330"/>
      <c r="EG135" s="1331"/>
      <c r="EH135" s="1326"/>
      <c r="EI135" s="1326"/>
      <c r="EJ135" s="1332"/>
      <c r="EK135" s="1330"/>
      <c r="EL135" s="1331"/>
      <c r="EM135" s="1326"/>
      <c r="EN135" s="1326"/>
      <c r="EO135" s="1332"/>
      <c r="EP135" s="1330"/>
      <c r="EQ135" s="1331"/>
      <c r="ER135" s="1326"/>
      <c r="ES135" s="1326"/>
      <c r="ET135" s="1332"/>
      <c r="EU135" s="1330"/>
      <c r="EV135" s="1331"/>
      <c r="EW135" s="1326"/>
      <c r="EX135" s="1326"/>
      <c r="EY135" s="1332"/>
      <c r="EZ135" s="1330"/>
      <c r="FA135" s="1331"/>
      <c r="FB135" s="1326"/>
      <c r="FC135" s="1326"/>
      <c r="FD135" s="1332"/>
      <c r="FE135" s="1330"/>
      <c r="FF135" s="721"/>
      <c r="FG135" s="690"/>
      <c r="FH135" s="754"/>
      <c r="FI135" s="754"/>
      <c r="FJ135" s="754"/>
      <c r="FK135" s="754"/>
      <c r="FL135" s="690"/>
      <c r="FM135" s="708"/>
      <c r="FN135" s="708"/>
      <c r="FO135" s="1295">
        <f>+EK126+EK132</f>
        <v>414.11904309999994</v>
      </c>
      <c r="FP135" s="1295">
        <f>+FO135+190</f>
        <v>604.1190431</v>
      </c>
      <c r="FQ135" s="723"/>
      <c r="FR135" s="723"/>
      <c r="FS135" s="723"/>
      <c r="FT135" s="723"/>
      <c r="FU135" s="690"/>
      <c r="FV135"/>
      <c r="FW135"/>
      <c r="FX135"/>
      <c r="FY135"/>
      <c r="FZ135"/>
      <c r="GA135"/>
      <c r="GB135" s="961"/>
      <c r="GC135" s="535"/>
      <c r="GD135" s="535"/>
      <c r="GE135" s="535"/>
      <c r="GF135" s="535"/>
      <c r="GG135" s="535"/>
      <c r="GH135" s="535"/>
      <c r="GI135" s="535"/>
      <c r="GJ135" s="535"/>
      <c r="GK135" s="535"/>
      <c r="GL135" s="535"/>
      <c r="GM135" s="535"/>
      <c r="GN135" s="535"/>
      <c r="GO135" s="535"/>
      <c r="GP135" s="535"/>
      <c r="GQ135" s="535"/>
      <c r="GR135" s="535"/>
      <c r="GS135" s="535"/>
      <c r="GT135" s="535"/>
      <c r="GU135" s="535"/>
      <c r="GV135" s="535"/>
      <c r="GW135" s="535"/>
      <c r="GX135" s="535"/>
      <c r="GY135" s="535"/>
      <c r="GZ135" s="535"/>
      <c r="HA135" s="535"/>
      <c r="HB135" s="535"/>
      <c r="HC135" s="535"/>
      <c r="HD135" s="535"/>
      <c r="HE135" s="535"/>
      <c r="HF135" s="535"/>
      <c r="HG135" s="535"/>
      <c r="HH135" s="535"/>
      <c r="HI135" s="535"/>
      <c r="HJ135" s="535"/>
      <c r="HK135" s="535"/>
      <c r="HL135" s="535"/>
      <c r="HM135" s="535"/>
      <c r="HN135" s="535"/>
      <c r="HO135" s="535"/>
      <c r="HP135" s="535"/>
      <c r="HQ135" s="535"/>
      <c r="HR135" s="535"/>
      <c r="HS135" s="535"/>
      <c r="HT135" s="535"/>
      <c r="HU135" s="535"/>
      <c r="HV135" s="535"/>
      <c r="HW135" s="535"/>
      <c r="HX135" s="535"/>
      <c r="HY135" s="535"/>
      <c r="HZ135" s="535"/>
      <c r="IA135" s="535"/>
      <c r="IB135" s="535"/>
      <c r="IC135" s="535"/>
      <c r="ID135" s="535"/>
      <c r="IE135" s="535"/>
      <c r="IF135" s="535"/>
      <c r="IG135" s="535"/>
      <c r="IH135" s="535"/>
      <c r="II135" s="535"/>
      <c r="IJ135" s="535"/>
      <c r="IK135" s="535"/>
      <c r="IL135" s="535"/>
      <c r="IM135" s="535"/>
      <c r="IN135" s="535"/>
      <c r="IO135" s="535"/>
      <c r="IP135" s="535"/>
      <c r="IQ135" s="535"/>
      <c r="IR135" s="535"/>
      <c r="IS135" s="535"/>
      <c r="IT135" s="535"/>
      <c r="IU135" s="535"/>
      <c r="IV135" s="535"/>
      <c r="IW135" s="535"/>
      <c r="IX135" s="535"/>
      <c r="IY135" s="535"/>
      <c r="IZ135" s="535"/>
      <c r="JA135" s="535"/>
      <c r="JB135" s="535"/>
      <c r="JC135" s="535"/>
      <c r="JD135" s="535"/>
      <c r="JE135" s="535"/>
      <c r="JF135" s="535"/>
      <c r="JG135" s="535"/>
      <c r="JH135" s="535"/>
      <c r="JI135" s="535"/>
      <c r="JJ135" s="535"/>
      <c r="JK135" s="535"/>
      <c r="JL135" s="535"/>
    </row>
    <row r="136" spans="1:272" s="811" customFormat="1" ht="12.75" hidden="1" customHeight="1" outlineLevel="1">
      <c r="A136" s="1333" t="s">
        <v>354</v>
      </c>
      <c r="B136" s="1334"/>
      <c r="C136" s="1335"/>
      <c r="D136" s="1335"/>
      <c r="E136" s="1335"/>
      <c r="F136" s="1336"/>
      <c r="G136" s="1335"/>
      <c r="H136" s="1335"/>
      <c r="I136" s="1335"/>
      <c r="J136" s="1335"/>
      <c r="K136" s="1336"/>
      <c r="L136" s="1335"/>
      <c r="M136" s="1335"/>
      <c r="N136" s="1335"/>
      <c r="O136" s="1335"/>
      <c r="P136" s="1336"/>
      <c r="Q136" s="1335"/>
      <c r="R136" s="1335"/>
      <c r="S136" s="1335"/>
      <c r="T136" s="1335"/>
      <c r="U136" s="1336"/>
      <c r="V136" s="1335"/>
      <c r="W136" s="1335"/>
      <c r="X136" s="1335"/>
      <c r="Y136" s="1335"/>
      <c r="Z136" s="1336"/>
      <c r="AA136" s="1335"/>
      <c r="AB136" s="1335"/>
      <c r="AC136" s="1335"/>
      <c r="AD136" s="1335"/>
      <c r="AE136" s="1336"/>
      <c r="AF136" s="1335"/>
      <c r="AG136" s="1335"/>
      <c r="AH136" s="1335"/>
      <c r="AI136" s="1335"/>
      <c r="AJ136" s="1336"/>
      <c r="AK136" s="1335"/>
      <c r="AL136" s="1335"/>
      <c r="AM136" s="1335"/>
      <c r="AN136" s="1335"/>
      <c r="AO136" s="1336"/>
      <c r="AP136" s="1335"/>
      <c r="AQ136" s="1335"/>
      <c r="AR136" s="1335"/>
      <c r="AS136" s="1335"/>
      <c r="AT136" s="1336"/>
      <c r="AU136" s="1335"/>
      <c r="AV136" s="1335"/>
      <c r="AW136" s="1335"/>
      <c r="AX136" s="1335"/>
      <c r="AY136" s="1336"/>
      <c r="AZ136" s="1335"/>
      <c r="BA136" s="1335"/>
      <c r="BB136" s="1335"/>
      <c r="BC136" s="1335"/>
      <c r="BD136" s="1336"/>
      <c r="BE136" s="1335"/>
      <c r="BF136" s="1335"/>
      <c r="BG136" s="1335"/>
      <c r="BH136" s="1335"/>
      <c r="BI136" s="1336"/>
      <c r="BJ136" s="1335"/>
      <c r="BK136" s="1335"/>
      <c r="BL136" s="1335"/>
      <c r="BM136" s="1335"/>
      <c r="BN136" s="1336"/>
      <c r="BO136" s="1335"/>
      <c r="BP136" s="1335"/>
      <c r="BQ136" s="1335"/>
      <c r="BR136" s="1335"/>
      <c r="BS136" s="1336"/>
      <c r="BT136" s="1335"/>
      <c r="BU136" s="1335"/>
      <c r="BV136" s="1335"/>
      <c r="BW136" s="1335"/>
      <c r="BX136" s="1336"/>
      <c r="BY136" s="1335"/>
      <c r="BZ136" s="1335"/>
      <c r="CA136" s="1335"/>
      <c r="CB136" s="1335"/>
      <c r="CC136" s="1336"/>
      <c r="CD136" s="1335"/>
      <c r="CE136" s="1335"/>
      <c r="CF136" s="1335"/>
      <c r="CG136" s="1335"/>
      <c r="CH136" s="1336"/>
      <c r="CI136" s="1335"/>
      <c r="CJ136" s="1335"/>
      <c r="CK136" s="1335"/>
      <c r="CL136" s="1335"/>
      <c r="CM136" s="1336"/>
      <c r="CN136" s="1335"/>
      <c r="CO136" s="1335"/>
      <c r="CP136" s="1335"/>
      <c r="CQ136" s="1335">
        <f>(CQ75-CQ132)-CQ103</f>
        <v>111.08300000000001</v>
      </c>
      <c r="CR136" s="1336">
        <f>SUM(CN136:CQ136)</f>
        <v>111.08300000000001</v>
      </c>
      <c r="CS136" s="1335">
        <f>(CS75-CS132)-CS103</f>
        <v>109.01799999999997</v>
      </c>
      <c r="CT136" s="1335">
        <f>(CT75-CT132)-CT103</f>
        <v>119.89999999999996</v>
      </c>
      <c r="CU136" s="1335">
        <f>(CU75-CU132)-CU103</f>
        <v>117.80300000000001</v>
      </c>
      <c r="CV136" s="1335">
        <f>(CV75-CV132)-CV103</f>
        <v>107.05300000000003</v>
      </c>
      <c r="CW136" s="1336">
        <f>SUM(CS136:CV136)</f>
        <v>453.774</v>
      </c>
      <c r="CX136" s="1335">
        <f>(CX75-CX132)-CX103</f>
        <v>120.59499999999997</v>
      </c>
      <c r="CY136" s="1335">
        <f>(CY75-CY132)-CY103</f>
        <v>122.79900000000001</v>
      </c>
      <c r="CZ136" s="1335">
        <f>(CZ75-CZ132)-CZ103</f>
        <v>117.645</v>
      </c>
      <c r="DA136" s="1335">
        <f>(DA75-DA132)-DA103</f>
        <v>112.37700000000001</v>
      </c>
      <c r="DB136" s="1336">
        <f>SUM(CX136:DA136)</f>
        <v>473.416</v>
      </c>
      <c r="DC136" s="1335">
        <f>(DC75-DC132)-DC103</f>
        <v>116.89600000000002</v>
      </c>
      <c r="DD136" s="1335">
        <f>(DD75-DD132)-DD103</f>
        <v>115.283</v>
      </c>
      <c r="DE136" s="1335">
        <f>(DE75-DE132)-DE103</f>
        <v>111.9577</v>
      </c>
      <c r="DF136" s="1335">
        <f>(DF75-DF132)-DF103</f>
        <v>110.57399999999998</v>
      </c>
      <c r="DG136" s="1336">
        <f>SUM(DC136:DF136)</f>
        <v>454.71069999999997</v>
      </c>
      <c r="DH136" s="1335">
        <f>(DH75-DH132)-DH103</f>
        <v>107.815</v>
      </c>
      <c r="DI136" s="1335">
        <f>(DI75-DI132)-DI103</f>
        <v>107.97600000000001</v>
      </c>
      <c r="DJ136" s="1337">
        <f>(DJ75-DJ132)-DJ103</f>
        <v>115.00899999999999</v>
      </c>
      <c r="DK136" s="1335">
        <f>(DK75-DK132)-DK103</f>
        <v>110.852</v>
      </c>
      <c r="DL136" s="1336">
        <f>SUM(DH136:DK136)</f>
        <v>441.65199999999993</v>
      </c>
      <c r="DM136" s="1335">
        <f>(DM75-DM132)-DM103</f>
        <v>110.36699999999996</v>
      </c>
      <c r="DN136" s="1335">
        <f>(DN75-DN132)-DN103</f>
        <v>110.285</v>
      </c>
      <c r="DO136" s="1337">
        <f>(DO75-DO132)-DO103</f>
        <v>113.193</v>
      </c>
      <c r="DP136" s="1335">
        <f>(DP75-DP132)-DP103</f>
        <v>110.81800000000001</v>
      </c>
      <c r="DQ136" s="1336">
        <f>SUM(DM136:DP136)</f>
        <v>444.66300000000001</v>
      </c>
      <c r="DR136" s="1335">
        <f>(DR75-DR132)-DR103</f>
        <v>110.96599999999998</v>
      </c>
      <c r="DS136" s="1335">
        <f>(DS75-DS132)-DS103</f>
        <v>115.05500000000001</v>
      </c>
      <c r="DT136" s="1337">
        <f>(DT75-DT132)-DT103</f>
        <v>117.223</v>
      </c>
      <c r="DU136" s="1335">
        <f>(DU75-DU132)-DU103</f>
        <v>112.83800000000002</v>
      </c>
      <c r="DV136" s="1336">
        <f>SUM(DR136:DU136)</f>
        <v>456.08199999999999</v>
      </c>
      <c r="DW136" s="1335">
        <f>(DW75-DW132)-DW103</f>
        <v>114.708</v>
      </c>
      <c r="DX136" s="1335">
        <f>(DX75-DX132)-DX103</f>
        <v>114.30199999999999</v>
      </c>
      <c r="DY136" s="1337">
        <f>(DY75-DY132)-DY103</f>
        <v>114.45200000000003</v>
      </c>
      <c r="DZ136" s="1335">
        <f>(DZ75-DZ132)-DZ103</f>
        <v>111.68300000000001</v>
      </c>
      <c r="EA136" s="1336">
        <f>SUM(DW136:DZ136)</f>
        <v>455.14499999999998</v>
      </c>
      <c r="EB136" s="1335">
        <f>(EB75-EB132)-EB103</f>
        <v>110.21599999999998</v>
      </c>
      <c r="EC136" s="1335">
        <f>(EC75-EC132)-EC103</f>
        <v>112.955</v>
      </c>
      <c r="ED136" s="1337">
        <f>(ED75-ED132)-ED103</f>
        <v>116.02799999999999</v>
      </c>
      <c r="EE136" s="1335">
        <f>(EE75-EE132)-EE103</f>
        <v>112.13034999999999</v>
      </c>
      <c r="EF136" s="1336">
        <f>SUM(EB136:EE136)</f>
        <v>451.32934999999998</v>
      </c>
      <c r="EG136" s="1338"/>
      <c r="EH136" s="1335"/>
      <c r="EI136" s="1335"/>
      <c r="EJ136" s="1339"/>
      <c r="EK136" s="1336">
        <f>(EK75-EK132)-EK103</f>
        <v>427.56381690000012</v>
      </c>
      <c r="EL136" s="1338"/>
      <c r="EM136" s="1335"/>
      <c r="EN136" s="1335"/>
      <c r="EO136" s="1339"/>
      <c r="EP136" s="1336">
        <f>(EP75-EP132)-EP103</f>
        <v>434.81798184479999</v>
      </c>
      <c r="EQ136" s="1338"/>
      <c r="ER136" s="1335"/>
      <c r="ES136" s="1335"/>
      <c r="ET136" s="1339"/>
      <c r="EU136" s="1336">
        <f>(EU75-EU132)-EU103</f>
        <v>441.01193157247195</v>
      </c>
      <c r="EV136" s="1338"/>
      <c r="EW136" s="1335"/>
      <c r="EX136" s="1335"/>
      <c r="EY136" s="1339"/>
      <c r="EZ136" s="1336">
        <f>(EZ75-EZ132)-EZ103</f>
        <v>447.29879054605897</v>
      </c>
      <c r="FA136" s="1338"/>
      <c r="FB136" s="1335"/>
      <c r="FC136" s="1335"/>
      <c r="FD136" s="1339"/>
      <c r="FE136" s="1336">
        <f>(FE75-FE132)-FE103</f>
        <v>453.67995240424978</v>
      </c>
      <c r="FF136" s="938"/>
      <c r="FG136" s="690"/>
      <c r="FH136" s="754"/>
      <c r="FI136" s="754"/>
      <c r="FJ136" s="754"/>
      <c r="FK136" s="754"/>
      <c r="FL136" s="690"/>
      <c r="FM136" s="752"/>
      <c r="FN136" s="940"/>
      <c r="FO136" s="941"/>
      <c r="FP136" s="941">
        <f>+Model!$BB$90*4</f>
        <v>0.52867060402139732</v>
      </c>
      <c r="FQ136" s="941"/>
      <c r="FR136" s="941"/>
      <c r="FS136" s="941"/>
      <c r="FT136" s="941"/>
      <c r="FU136" s="690"/>
      <c r="FV136"/>
      <c r="FW136"/>
      <c r="FX136"/>
      <c r="FY136"/>
      <c r="FZ136"/>
      <c r="GA136"/>
      <c r="GB136" s="943"/>
      <c r="GC136" s="965"/>
      <c r="GD136" s="965"/>
      <c r="GE136" s="965"/>
      <c r="GF136" s="965"/>
      <c r="GG136" s="965"/>
      <c r="GH136" s="965"/>
      <c r="GI136" s="965"/>
      <c r="GJ136" s="965"/>
      <c r="GK136" s="965"/>
      <c r="GL136" s="965"/>
      <c r="GM136" s="965"/>
      <c r="GN136" s="965"/>
      <c r="GO136" s="965"/>
      <c r="GP136" s="965"/>
      <c r="GQ136" s="965"/>
      <c r="GR136" s="965"/>
      <c r="GS136" s="965"/>
      <c r="GT136" s="965"/>
      <c r="GU136" s="965"/>
      <c r="GV136" s="965"/>
      <c r="GW136" s="965"/>
      <c r="GX136" s="965"/>
      <c r="GY136" s="965"/>
      <c r="GZ136" s="965"/>
      <c r="HA136" s="965"/>
      <c r="HB136" s="965"/>
      <c r="HC136" s="965"/>
      <c r="HD136" s="965"/>
      <c r="HE136" s="965"/>
      <c r="HF136" s="965"/>
      <c r="HG136" s="965"/>
      <c r="HH136" s="965"/>
      <c r="HI136" s="965"/>
      <c r="HJ136" s="965"/>
      <c r="HK136" s="965"/>
      <c r="HL136" s="965"/>
      <c r="HM136" s="965"/>
      <c r="HN136" s="965"/>
      <c r="HO136" s="965"/>
      <c r="HP136" s="965"/>
      <c r="HQ136" s="965"/>
      <c r="HR136" s="965"/>
      <c r="HS136" s="965"/>
      <c r="HT136" s="965"/>
      <c r="HU136" s="965"/>
      <c r="HV136" s="965"/>
      <c r="HW136" s="965"/>
      <c r="HX136" s="965"/>
      <c r="HY136" s="965"/>
      <c r="HZ136" s="965"/>
      <c r="IA136" s="965"/>
      <c r="IB136" s="965"/>
      <c r="IC136" s="965"/>
      <c r="ID136" s="965"/>
      <c r="IE136" s="965"/>
      <c r="IF136" s="965"/>
      <c r="IG136" s="965"/>
      <c r="IH136" s="965"/>
      <c r="II136" s="965"/>
      <c r="IJ136" s="965"/>
      <c r="IK136" s="965"/>
      <c r="IL136" s="965"/>
      <c r="IM136" s="965"/>
      <c r="IN136" s="965"/>
      <c r="IO136" s="965"/>
      <c r="IP136" s="965"/>
      <c r="IQ136" s="965"/>
      <c r="IR136" s="965"/>
      <c r="IS136" s="965"/>
      <c r="IT136" s="965"/>
      <c r="IU136" s="965"/>
      <c r="IV136" s="965"/>
      <c r="IW136" s="965"/>
      <c r="IX136" s="965"/>
      <c r="IY136" s="965"/>
      <c r="IZ136" s="965"/>
      <c r="JA136" s="965"/>
      <c r="JB136" s="965"/>
      <c r="JC136" s="965"/>
      <c r="JD136" s="965"/>
      <c r="JE136" s="965"/>
      <c r="JF136" s="965"/>
      <c r="JG136" s="965"/>
      <c r="JH136" s="965"/>
      <c r="JI136" s="965"/>
      <c r="JJ136" s="965"/>
      <c r="JK136" s="965"/>
      <c r="JL136" s="965"/>
    </row>
    <row r="137" spans="1:272" s="749" customFormat="1" ht="12.75" hidden="1" customHeight="1" outlineLevel="1">
      <c r="A137" s="58" t="s">
        <v>85</v>
      </c>
      <c r="B137" s="1300"/>
      <c r="C137" s="1301"/>
      <c r="D137" s="1301"/>
      <c r="E137" s="1301"/>
      <c r="F137" s="741"/>
      <c r="G137" s="1257"/>
      <c r="H137" s="1301"/>
      <c r="I137" s="1301"/>
      <c r="J137" s="1301"/>
      <c r="K137" s="741"/>
      <c r="L137" s="1257"/>
      <c r="M137" s="1301"/>
      <c r="N137" s="1301"/>
      <c r="O137" s="1301"/>
      <c r="P137" s="741"/>
      <c r="Q137" s="1257"/>
      <c r="R137" s="1301"/>
      <c r="S137" s="1301"/>
      <c r="T137" s="1301"/>
      <c r="U137" s="741"/>
      <c r="V137" s="1257"/>
      <c r="W137" s="1301"/>
      <c r="X137" s="1302"/>
      <c r="Y137" s="1302"/>
      <c r="Z137" s="741"/>
      <c r="AA137" s="1236"/>
      <c r="AB137" s="1302"/>
      <c r="AC137" s="1302"/>
      <c r="AD137" s="1302"/>
      <c r="AE137" s="741"/>
      <c r="AF137" s="721"/>
      <c r="AG137" s="721"/>
      <c r="AH137" s="721"/>
      <c r="AI137" s="721"/>
      <c r="AJ137" s="741"/>
      <c r="AK137" s="721"/>
      <c r="AL137" s="721"/>
      <c r="AM137" s="721"/>
      <c r="AN137" s="721"/>
      <c r="AO137" s="741"/>
      <c r="AP137" s="721"/>
      <c r="AQ137" s="742"/>
      <c r="AR137" s="742"/>
      <c r="AS137" s="721"/>
      <c r="AT137" s="741"/>
      <c r="AU137" s="721"/>
      <c r="AV137" s="742"/>
      <c r="AW137" s="721"/>
      <c r="AX137" s="721"/>
      <c r="AY137" s="741"/>
      <c r="AZ137" s="721"/>
      <c r="BA137" s="742"/>
      <c r="BB137" s="721"/>
      <c r="BC137" s="721"/>
      <c r="BD137" s="741"/>
      <c r="BE137" s="721"/>
      <c r="BF137" s="742"/>
      <c r="BG137" s="721"/>
      <c r="BH137" s="721"/>
      <c r="BI137" s="741"/>
      <c r="BJ137" s="721"/>
      <c r="BK137" s="742"/>
      <c r="BL137" s="721"/>
      <c r="BM137" s="721"/>
      <c r="BN137" s="741"/>
      <c r="BO137" s="721"/>
      <c r="BP137" s="742"/>
      <c r="BQ137" s="721"/>
      <c r="BR137" s="721"/>
      <c r="BS137" s="741"/>
      <c r="BT137" s="721"/>
      <c r="BU137" s="742"/>
      <c r="BV137" s="721"/>
      <c r="BW137" s="721"/>
      <c r="BX137" s="741"/>
      <c r="BY137" s="721"/>
      <c r="BZ137" s="742"/>
      <c r="CA137" s="721"/>
      <c r="CB137" s="721"/>
      <c r="CC137" s="741"/>
      <c r="CD137" s="721"/>
      <c r="CE137" s="721"/>
      <c r="CF137" s="721"/>
      <c r="CG137" s="721"/>
      <c r="CH137" s="741"/>
      <c r="CI137" s="721"/>
      <c r="CJ137" s="721"/>
      <c r="CK137" s="721"/>
      <c r="CL137" s="721"/>
      <c r="CM137" s="741"/>
      <c r="CN137" s="721"/>
      <c r="CO137" s="721"/>
      <c r="CP137" s="721"/>
      <c r="CQ137" s="721"/>
      <c r="CR137" s="741"/>
      <c r="CS137" s="721"/>
      <c r="CT137" s="721"/>
      <c r="CU137" s="721"/>
      <c r="CV137" s="721">
        <f t="shared" ref="CV137:EF137" si="453">CV136/CQ136-1</f>
        <v>-3.6279178632193876E-2</v>
      </c>
      <c r="CW137" s="741"/>
      <c r="CX137" s="721">
        <f t="shared" si="453"/>
        <v>0.10619347263754619</v>
      </c>
      <c r="CY137" s="721">
        <f t="shared" si="453"/>
        <v>2.4178482068390794E-2</v>
      </c>
      <c r="CZ137" s="721">
        <f t="shared" si="453"/>
        <v>-1.3412222099608018E-3</v>
      </c>
      <c r="DA137" s="721">
        <f t="shared" si="453"/>
        <v>4.973237555229626E-2</v>
      </c>
      <c r="DB137" s="741">
        <f t="shared" si="453"/>
        <v>4.328586476968721E-2</v>
      </c>
      <c r="DC137" s="721">
        <f t="shared" si="453"/>
        <v>-3.067291347070733E-2</v>
      </c>
      <c r="DD137" s="721">
        <f t="shared" si="453"/>
        <v>-6.1205710144219494E-2</v>
      </c>
      <c r="DE137" s="721">
        <f t="shared" si="453"/>
        <v>-4.834289600067998E-2</v>
      </c>
      <c r="DF137" s="721">
        <f t="shared" si="453"/>
        <v>-1.6044208334445864E-2</v>
      </c>
      <c r="DG137" s="741">
        <f t="shared" si="453"/>
        <v>-3.9511338864761658E-2</v>
      </c>
      <c r="DH137" s="721">
        <f t="shared" si="453"/>
        <v>-7.7684437448672483E-2</v>
      </c>
      <c r="DI137" s="721">
        <f t="shared" si="453"/>
        <v>-6.3383152763200057E-2</v>
      </c>
      <c r="DJ137" s="721">
        <f t="shared" si="453"/>
        <v>2.7254043268126971E-2</v>
      </c>
      <c r="DK137" s="721">
        <f t="shared" si="453"/>
        <v>2.5141534176209568E-3</v>
      </c>
      <c r="DL137" s="741">
        <f t="shared" si="453"/>
        <v>-2.871869960394613E-2</v>
      </c>
      <c r="DM137" s="721">
        <f t="shared" si="453"/>
        <v>2.3670175764039847E-2</v>
      </c>
      <c r="DN137" s="721">
        <f t="shared" si="453"/>
        <v>2.1384381714455003E-2</v>
      </c>
      <c r="DO137" s="721">
        <f t="shared" si="453"/>
        <v>-1.5790068603326546E-2</v>
      </c>
      <c r="DP137" s="721">
        <f t="shared" si="453"/>
        <v>-3.067152599862677E-4</v>
      </c>
      <c r="DQ137" s="741">
        <f t="shared" si="453"/>
        <v>6.8175848858378352E-3</v>
      </c>
      <c r="DR137" s="721">
        <f>DR136/DM136-1</f>
        <v>5.4273469424739318E-3</v>
      </c>
      <c r="DS137" s="721">
        <f t="shared" si="453"/>
        <v>4.3251575463571834E-2</v>
      </c>
      <c r="DT137" s="721">
        <f t="shared" si="453"/>
        <v>3.5602908307050818E-2</v>
      </c>
      <c r="DU137" s="721">
        <f t="shared" si="453"/>
        <v>1.8228085690050522E-2</v>
      </c>
      <c r="DV137" s="741">
        <f t="shared" si="453"/>
        <v>2.5680121800104816E-2</v>
      </c>
      <c r="DW137" s="721">
        <f t="shared" si="453"/>
        <v>3.3722040985527224E-2</v>
      </c>
      <c r="DX137" s="721">
        <f t="shared" si="453"/>
        <v>-6.5446960149494471E-3</v>
      </c>
      <c r="DY137" s="721">
        <f t="shared" si="453"/>
        <v>-2.3638705714748576E-2</v>
      </c>
      <c r="DZ137" s="721">
        <f t="shared" si="453"/>
        <v>-1.0235913433418009E-2</v>
      </c>
      <c r="EA137" s="741">
        <f t="shared" si="453"/>
        <v>-2.054455119912646E-3</v>
      </c>
      <c r="EB137" s="721">
        <f t="shared" si="453"/>
        <v>-3.9160302681591652E-2</v>
      </c>
      <c r="EC137" s="721">
        <f>EC136/DX136-1</f>
        <v>-1.1784570698675334E-2</v>
      </c>
      <c r="ED137" s="721">
        <f t="shared" si="453"/>
        <v>1.3769964701359161E-2</v>
      </c>
      <c r="EE137" s="721">
        <f t="shared" si="453"/>
        <v>4.0055335189776997E-3</v>
      </c>
      <c r="EF137" s="741">
        <f t="shared" si="453"/>
        <v>-8.3833723318942344E-3</v>
      </c>
      <c r="EG137" s="1303"/>
      <c r="EH137" s="711"/>
      <c r="EI137" s="711"/>
      <c r="EJ137" s="1304"/>
      <c r="EK137" s="741">
        <f>EK136/EF136-1</f>
        <v>-5.2656741911422E-2</v>
      </c>
      <c r="EL137" s="1303"/>
      <c r="EM137" s="711"/>
      <c r="EN137" s="711"/>
      <c r="EO137" s="1304"/>
      <c r="EP137" s="741">
        <f>EP136/EK136-1</f>
        <v>1.6966274174918139E-2</v>
      </c>
      <c r="EQ137" s="1303"/>
      <c r="ER137" s="711"/>
      <c r="ES137" s="711"/>
      <c r="ET137" s="1304"/>
      <c r="EU137" s="741">
        <f>EU136/EP136-1</f>
        <v>1.4244925431540212E-2</v>
      </c>
      <c r="EV137" s="1303"/>
      <c r="EW137" s="711"/>
      <c r="EX137" s="711"/>
      <c r="EY137" s="1304"/>
      <c r="EZ137" s="741">
        <f>EZ136/EU136-1</f>
        <v>1.4255530346243939E-2</v>
      </c>
      <c r="FA137" s="1303"/>
      <c r="FB137" s="711"/>
      <c r="FC137" s="711"/>
      <c r="FD137" s="1304"/>
      <c r="FE137" s="741">
        <f>FE136/EZ136-1</f>
        <v>1.4265993991176895E-2</v>
      </c>
      <c r="FF137" s="1009"/>
      <c r="FG137" s="690"/>
      <c r="FH137" s="754"/>
      <c r="FI137" s="754"/>
      <c r="FJ137" s="754"/>
      <c r="FK137" s="754"/>
      <c r="FL137" s="690"/>
      <c r="FM137" s="1091"/>
      <c r="FN137" s="1091"/>
      <c r="FO137" s="1306"/>
      <c r="FP137" s="1295">
        <f>+FP135+FP136</f>
        <v>604.64771370402138</v>
      </c>
      <c r="FQ137" s="1306"/>
      <c r="FR137" s="1306"/>
      <c r="FS137" s="1306"/>
      <c r="FT137" s="1306"/>
      <c r="FU137" s="690"/>
      <c r="FV137"/>
      <c r="FW137"/>
      <c r="FX137"/>
      <c r="FY137"/>
      <c r="FZ137"/>
      <c r="GA137"/>
      <c r="GC137" s="532"/>
      <c r="GD137" s="532"/>
      <c r="GE137" s="532"/>
      <c r="GF137" s="532"/>
      <c r="GG137" s="532"/>
      <c r="GH137" s="532"/>
      <c r="GI137" s="532"/>
      <c r="GJ137" s="532"/>
      <c r="GK137" s="532"/>
      <c r="GL137" s="532"/>
      <c r="GM137" s="532"/>
      <c r="GN137" s="532"/>
      <c r="GO137" s="532"/>
      <c r="GP137" s="532"/>
      <c r="GQ137" s="532"/>
      <c r="GR137" s="532"/>
      <c r="GS137" s="532"/>
      <c r="GT137" s="532"/>
      <c r="GU137" s="532"/>
      <c r="GV137" s="532"/>
      <c r="GW137" s="532"/>
      <c r="GX137" s="532"/>
      <c r="GY137" s="532"/>
      <c r="GZ137" s="532"/>
      <c r="HA137" s="532"/>
      <c r="HB137" s="532"/>
      <c r="HC137" s="532"/>
      <c r="HD137" s="532"/>
      <c r="HE137" s="532"/>
      <c r="HF137" s="532"/>
      <c r="HG137" s="532"/>
      <c r="HH137" s="532"/>
      <c r="HI137" s="532"/>
      <c r="HJ137" s="532"/>
      <c r="HK137" s="532"/>
      <c r="HL137" s="532"/>
      <c r="HM137" s="532"/>
      <c r="HN137" s="532"/>
      <c r="HO137" s="532"/>
      <c r="HP137" s="532"/>
      <c r="HQ137" s="532"/>
      <c r="HR137" s="532"/>
      <c r="HS137" s="532"/>
      <c r="HT137" s="532"/>
      <c r="HU137" s="532"/>
      <c r="HV137" s="532"/>
      <c r="HW137" s="532"/>
      <c r="HX137" s="532"/>
      <c r="HY137" s="532"/>
      <c r="HZ137" s="532"/>
      <c r="IA137" s="532"/>
      <c r="IB137" s="532"/>
      <c r="IC137" s="532"/>
      <c r="ID137" s="532"/>
      <c r="IE137" s="532"/>
      <c r="IF137" s="532"/>
      <c r="IG137" s="532"/>
      <c r="IH137" s="532"/>
      <c r="II137" s="532"/>
      <c r="IJ137" s="532"/>
      <c r="IK137" s="532"/>
      <c r="IL137" s="532"/>
      <c r="IM137" s="532"/>
      <c r="IN137" s="532"/>
      <c r="IO137" s="532"/>
      <c r="IP137" s="532"/>
      <c r="IQ137" s="532"/>
      <c r="IR137" s="532"/>
      <c r="IS137" s="532"/>
      <c r="IT137" s="532"/>
      <c r="IU137" s="532"/>
      <c r="IV137" s="532"/>
      <c r="IW137" s="532"/>
      <c r="IX137" s="532"/>
      <c r="IY137" s="532"/>
      <c r="IZ137" s="532"/>
      <c r="JA137" s="532"/>
      <c r="JB137" s="532"/>
      <c r="JC137" s="532"/>
      <c r="JD137" s="532"/>
      <c r="JE137" s="532"/>
      <c r="JF137" s="532"/>
      <c r="JG137" s="532"/>
      <c r="JH137" s="532"/>
      <c r="JI137" s="532"/>
      <c r="JJ137" s="532"/>
      <c r="JK137" s="532"/>
      <c r="JL137" s="532"/>
    </row>
    <row r="138" spans="1:272" s="726" customFormat="1" ht="12.75" hidden="1" customHeight="1" outlineLevel="1">
      <c r="A138" s="1333" t="s">
        <v>355</v>
      </c>
      <c r="B138" s="1340"/>
      <c r="C138" s="1341"/>
      <c r="D138" s="1341"/>
      <c r="E138" s="1341"/>
      <c r="F138" s="1342"/>
      <c r="G138" s="1343"/>
      <c r="H138" s="1343"/>
      <c r="I138" s="1343"/>
      <c r="J138" s="1343"/>
      <c r="K138" s="1342"/>
      <c r="L138" s="1343"/>
      <c r="M138" s="1343"/>
      <c r="N138" s="1343"/>
      <c r="O138" s="1343"/>
      <c r="P138" s="1342"/>
      <c r="Q138" s="1343"/>
      <c r="R138" s="1343"/>
      <c r="S138" s="1343"/>
      <c r="T138" s="1343"/>
      <c r="U138" s="1342"/>
      <c r="V138" s="1343"/>
      <c r="W138" s="1343"/>
      <c r="X138" s="1343"/>
      <c r="Y138" s="1343"/>
      <c r="Z138" s="1342"/>
      <c r="AA138" s="1343"/>
      <c r="AB138" s="1343"/>
      <c r="AC138" s="1343"/>
      <c r="AD138" s="1343"/>
      <c r="AE138" s="1342"/>
      <c r="AF138" s="1343"/>
      <c r="AG138" s="1343"/>
      <c r="AH138" s="1343"/>
      <c r="AI138" s="1343"/>
      <c r="AJ138" s="1342"/>
      <c r="AK138" s="1343"/>
      <c r="AL138" s="1343"/>
      <c r="AM138" s="1343"/>
      <c r="AN138" s="1343"/>
      <c r="AO138" s="1342"/>
      <c r="AP138" s="1343"/>
      <c r="AQ138" s="1343"/>
      <c r="AR138" s="1343"/>
      <c r="AS138" s="1343"/>
      <c r="AT138" s="1342"/>
      <c r="AU138" s="1343"/>
      <c r="AV138" s="1343"/>
      <c r="AW138" s="1343"/>
      <c r="AX138" s="1343"/>
      <c r="AY138" s="1342"/>
      <c r="AZ138" s="1343"/>
      <c r="BA138" s="1343"/>
      <c r="BB138" s="1343"/>
      <c r="BC138" s="1343"/>
      <c r="BD138" s="1342"/>
      <c r="BE138" s="1343"/>
      <c r="BF138" s="1343"/>
      <c r="BG138" s="1343"/>
      <c r="BH138" s="1343"/>
      <c r="BI138" s="1342"/>
      <c r="BJ138" s="1343"/>
      <c r="BK138" s="1343"/>
      <c r="BL138" s="1343"/>
      <c r="BM138" s="1343"/>
      <c r="BN138" s="1342"/>
      <c r="BO138" s="1343"/>
      <c r="BP138" s="1343"/>
      <c r="BQ138" s="1343"/>
      <c r="BR138" s="1343"/>
      <c r="BS138" s="1342"/>
      <c r="BT138" s="1343" t="str">
        <f t="shared" ref="BT138:CC138" si="454">IF(ISERROR(1-BT132/BT75),"",1-BT132/BT75)</f>
        <v/>
      </c>
      <c r="BU138" s="1343" t="str">
        <f t="shared" si="454"/>
        <v/>
      </c>
      <c r="BV138" s="1343" t="str">
        <f t="shared" si="454"/>
        <v/>
      </c>
      <c r="BW138" s="1343" t="str">
        <f t="shared" si="454"/>
        <v/>
      </c>
      <c r="BX138" s="1342" t="str">
        <f t="shared" si="454"/>
        <v/>
      </c>
      <c r="BY138" s="1343" t="str">
        <f t="shared" si="454"/>
        <v/>
      </c>
      <c r="BZ138" s="1343" t="str">
        <f t="shared" si="454"/>
        <v/>
      </c>
      <c r="CA138" s="1343" t="str">
        <f t="shared" si="454"/>
        <v/>
      </c>
      <c r="CB138" s="1343" t="str">
        <f t="shared" si="454"/>
        <v/>
      </c>
      <c r="CC138" s="1342" t="str">
        <f t="shared" si="454"/>
        <v/>
      </c>
      <c r="CD138" s="1343">
        <f t="shared" ref="CD138:DQ138" si="455">1-CD132/CD75</f>
        <v>1.0888252148997135</v>
      </c>
      <c r="CE138" s="1343">
        <f t="shared" si="455"/>
        <v>0.89973094170403589</v>
      </c>
      <c r="CF138" s="1343">
        <f t="shared" si="455"/>
        <v>0.85635144328894941</v>
      </c>
      <c r="CG138" s="1343">
        <f t="shared" si="455"/>
        <v>0.88274493123493547</v>
      </c>
      <c r="CH138" s="1342">
        <f t="shared" si="455"/>
        <v>0.89282078178508628</v>
      </c>
      <c r="CI138" s="1343">
        <f t="shared" si="455"/>
        <v>0.976101662767908</v>
      </c>
      <c r="CJ138" s="1343">
        <f t="shared" si="455"/>
        <v>0.90769819992340106</v>
      </c>
      <c r="CK138" s="1343">
        <f t="shared" si="455"/>
        <v>0.93676497195585307</v>
      </c>
      <c r="CL138" s="1343">
        <f t="shared" si="455"/>
        <v>1.0740874407094245</v>
      </c>
      <c r="CM138" s="1342">
        <f t="shared" si="455"/>
        <v>0.97101356621360713</v>
      </c>
      <c r="CN138" s="1343">
        <f t="shared" si="455"/>
        <v>1.0358049360047523</v>
      </c>
      <c r="CO138" s="1343">
        <f t="shared" si="455"/>
        <v>1.1220945623974161</v>
      </c>
      <c r="CP138" s="1343">
        <f t="shared" si="455"/>
        <v>0.95927223941078221</v>
      </c>
      <c r="CQ138" s="1343">
        <f t="shared" si="455"/>
        <v>0.94107323477596849</v>
      </c>
      <c r="CR138" s="1342">
        <f t="shared" si="455"/>
        <v>0.96610802465570944</v>
      </c>
      <c r="CS138" s="1343">
        <f t="shared" si="455"/>
        <v>0.93198845736372538</v>
      </c>
      <c r="CT138" s="1343">
        <f t="shared" si="455"/>
        <v>0.93151341259919707</v>
      </c>
      <c r="CU138" s="1343">
        <f t="shared" si="455"/>
        <v>0.9172665004192484</v>
      </c>
      <c r="CV138" s="1343">
        <f t="shared" si="455"/>
        <v>0.90301245146605968</v>
      </c>
      <c r="CW138" s="1342">
        <f t="shared" si="455"/>
        <v>0.92129538527632615</v>
      </c>
      <c r="CX138" s="1343">
        <f t="shared" si="455"/>
        <v>0.98425617474013771</v>
      </c>
      <c r="CY138" s="1343">
        <f t="shared" si="455"/>
        <v>0.95199514298873678</v>
      </c>
      <c r="CZ138" s="1343">
        <f t="shared" si="455"/>
        <v>0.92738511189667083</v>
      </c>
      <c r="DA138" s="1343">
        <f t="shared" si="455"/>
        <v>0.94126192401548603</v>
      </c>
      <c r="DB138" s="1342">
        <f t="shared" si="455"/>
        <v>0.95064096541038279</v>
      </c>
      <c r="DC138" s="1343">
        <f t="shared" si="455"/>
        <v>0.97884309040223016</v>
      </c>
      <c r="DD138" s="1343">
        <f t="shared" si="455"/>
        <v>0.96471736769012884</v>
      </c>
      <c r="DE138" s="1343">
        <f t="shared" si="455"/>
        <v>0.96107184324644479</v>
      </c>
      <c r="DF138" s="1343">
        <f t="shared" si="455"/>
        <v>0.94922246461934323</v>
      </c>
      <c r="DG138" s="1342">
        <f t="shared" si="455"/>
        <v>0.96341422958992662</v>
      </c>
      <c r="DH138" s="1343">
        <f t="shared" si="455"/>
        <v>0.95122404710257202</v>
      </c>
      <c r="DI138" s="1343">
        <f t="shared" si="455"/>
        <v>0.93359322230156128</v>
      </c>
      <c r="DJ138" s="1343">
        <f t="shared" si="455"/>
        <v>0.9504300431618411</v>
      </c>
      <c r="DK138" s="1343">
        <f t="shared" si="455"/>
        <v>0.93870588462057403</v>
      </c>
      <c r="DL138" s="1342">
        <f t="shared" si="455"/>
        <v>0.94339478450897052</v>
      </c>
      <c r="DM138" s="1343">
        <f t="shared" si="455"/>
        <v>0.93294051092338692</v>
      </c>
      <c r="DN138" s="1343">
        <f t="shared" si="455"/>
        <v>0.91026884360422289</v>
      </c>
      <c r="DO138" s="1343">
        <f>1-DO132/DO75</f>
        <v>0.92958511874273864</v>
      </c>
      <c r="DP138" s="1343">
        <f>1-DP132/DP75</f>
        <v>0.94537395550802417</v>
      </c>
      <c r="DQ138" s="1342">
        <f t="shared" si="455"/>
        <v>0.92932015432157034</v>
      </c>
      <c r="DR138" s="1343">
        <f>1-DR132/DR75</f>
        <v>0.93659356827576545</v>
      </c>
      <c r="DS138" s="1343">
        <f>1-DS132/DS75</f>
        <v>0.93280141405651285</v>
      </c>
      <c r="DT138" s="1343">
        <v>0.94499999999999995</v>
      </c>
      <c r="DU138" s="1343">
        <v>0.94299999999999995</v>
      </c>
      <c r="DV138" s="1342">
        <f t="shared" ref="DV138:EF138" si="456">1-DV132/DV75</f>
        <v>0.93924247420737739</v>
      </c>
      <c r="DW138" s="1343">
        <f t="shared" si="456"/>
        <v>0.95910518556502788</v>
      </c>
      <c r="DX138" s="1343">
        <f t="shared" si="456"/>
        <v>0.91772113321630577</v>
      </c>
      <c r="DY138" s="1343">
        <f t="shared" si="456"/>
        <v>0.93282072544067951</v>
      </c>
      <c r="DZ138" s="1343">
        <f t="shared" si="456"/>
        <v>0.92990522229739048</v>
      </c>
      <c r="EA138" s="1342">
        <f t="shared" si="456"/>
        <v>0.93468839022598182</v>
      </c>
      <c r="EB138" s="1343">
        <f>1-EB132/EB75</f>
        <v>0.94549648585330692</v>
      </c>
      <c r="EC138" s="1343">
        <f>1-EC132/EC75</f>
        <v>0.93475915599518034</v>
      </c>
      <c r="ED138" s="1343">
        <f t="shared" ref="ED138" si="457">1-ED132/ED75</f>
        <v>0.9375</v>
      </c>
      <c r="EE138" s="1343">
        <f t="shared" si="456"/>
        <v>0.93438441158406549</v>
      </c>
      <c r="EF138" s="1342">
        <f t="shared" si="456"/>
        <v>0.93800771693394158</v>
      </c>
      <c r="EG138" s="1344"/>
      <c r="EH138" s="1341"/>
      <c r="EI138" s="1341"/>
      <c r="EJ138" s="1345"/>
      <c r="EK138" s="1342">
        <f>1-EK132/EK75</f>
        <v>0.9251623429333744</v>
      </c>
      <c r="EL138" s="1344"/>
      <c r="EM138" s="1341"/>
      <c r="EN138" s="1341"/>
      <c r="EO138" s="1345"/>
      <c r="EP138" s="1342">
        <f>1-EP132/EP75</f>
        <v>0.9225216813739151</v>
      </c>
      <c r="EQ138" s="1344"/>
      <c r="ER138" s="1341"/>
      <c r="ES138" s="1341"/>
      <c r="ET138" s="1345"/>
      <c r="EU138" s="1342">
        <f>1-EU132/EU75</f>
        <v>0.91200000000000003</v>
      </c>
      <c r="EV138" s="1344"/>
      <c r="EW138" s="1341"/>
      <c r="EX138" s="1341"/>
      <c r="EY138" s="1345"/>
      <c r="EZ138" s="1342">
        <f>1-EZ132/EZ75</f>
        <v>0.91200000000000003</v>
      </c>
      <c r="FA138" s="1344"/>
      <c r="FB138" s="1341"/>
      <c r="FC138" s="1341"/>
      <c r="FD138" s="1345"/>
      <c r="FE138" s="1342">
        <f>1-FE132/FE75</f>
        <v>0.91200000000000003</v>
      </c>
      <c r="FF138" s="721"/>
      <c r="FG138" s="690"/>
      <c r="FH138" s="754"/>
      <c r="FI138" s="754"/>
      <c r="FJ138" s="754"/>
      <c r="FK138" s="754"/>
      <c r="FL138" s="690"/>
      <c r="FM138" s="708"/>
      <c r="FN138" s="708"/>
      <c r="FO138" s="723"/>
      <c r="FP138" s="723"/>
      <c r="FQ138" s="723"/>
      <c r="FR138" s="723"/>
      <c r="FS138" s="723"/>
      <c r="FT138" s="723"/>
      <c r="FU138" s="690"/>
      <c r="FV138"/>
      <c r="FW138"/>
      <c r="FX138"/>
      <c r="FY138"/>
      <c r="FZ138"/>
      <c r="GA138"/>
      <c r="GB138" s="961"/>
      <c r="GC138" s="535"/>
      <c r="GD138" s="535"/>
      <c r="GE138" s="535"/>
      <c r="GF138" s="535"/>
      <c r="GG138" s="535"/>
      <c r="GH138" s="535"/>
      <c r="GI138" s="535"/>
      <c r="GJ138" s="535"/>
      <c r="GK138" s="535"/>
      <c r="GL138" s="535"/>
      <c r="GM138" s="535"/>
      <c r="GN138" s="535"/>
      <c r="GO138" s="535"/>
      <c r="GP138" s="535"/>
      <c r="GQ138" s="535"/>
      <c r="GR138" s="535"/>
      <c r="GS138" s="535"/>
      <c r="GT138" s="535"/>
      <c r="GU138" s="535"/>
      <c r="GV138" s="535"/>
      <c r="GW138" s="535"/>
      <c r="GX138" s="535"/>
      <c r="GY138" s="535"/>
      <c r="GZ138" s="535"/>
      <c r="HA138" s="535"/>
      <c r="HB138" s="535"/>
      <c r="HC138" s="535"/>
      <c r="HD138" s="535"/>
      <c r="HE138" s="535"/>
      <c r="HF138" s="535"/>
      <c r="HG138" s="535"/>
      <c r="HH138" s="535"/>
      <c r="HI138" s="535"/>
      <c r="HJ138" s="535"/>
      <c r="HK138" s="535"/>
      <c r="HL138" s="535"/>
      <c r="HM138" s="535"/>
      <c r="HN138" s="535"/>
      <c r="HO138" s="535"/>
      <c r="HP138" s="535"/>
      <c r="HQ138" s="535"/>
      <c r="HR138" s="535"/>
      <c r="HS138" s="535"/>
      <c r="HT138" s="535"/>
      <c r="HU138" s="535"/>
      <c r="HV138" s="535"/>
      <c r="HW138" s="535"/>
      <c r="HX138" s="535"/>
      <c r="HY138" s="535"/>
      <c r="HZ138" s="535"/>
      <c r="IA138" s="535"/>
      <c r="IB138" s="535"/>
      <c r="IC138" s="535"/>
      <c r="ID138" s="535"/>
      <c r="IE138" s="535"/>
      <c r="IF138" s="535"/>
      <c r="IG138" s="535"/>
      <c r="IH138" s="535"/>
      <c r="II138" s="535"/>
      <c r="IJ138" s="535"/>
      <c r="IK138" s="535"/>
      <c r="IL138" s="535"/>
      <c r="IM138" s="535"/>
      <c r="IN138" s="535"/>
      <c r="IO138" s="535"/>
      <c r="IP138" s="535"/>
      <c r="IQ138" s="535"/>
      <c r="IR138" s="535"/>
      <c r="IS138" s="535"/>
      <c r="IT138" s="535"/>
      <c r="IU138" s="535"/>
      <c r="IV138" s="535"/>
      <c r="IW138" s="535"/>
      <c r="IX138" s="535"/>
      <c r="IY138" s="535"/>
      <c r="IZ138" s="535"/>
      <c r="JA138" s="535"/>
      <c r="JB138" s="535"/>
      <c r="JC138" s="535"/>
      <c r="JD138" s="535"/>
      <c r="JE138" s="535"/>
      <c r="JF138" s="535"/>
      <c r="JG138" s="535"/>
      <c r="JH138" s="535"/>
      <c r="JI138" s="535"/>
      <c r="JJ138" s="535"/>
      <c r="JK138" s="535"/>
      <c r="JL138" s="535"/>
    </row>
    <row r="139" spans="1:272" s="726" customFormat="1" ht="12.75" hidden="1" customHeight="1" outlineLevel="1">
      <c r="A139" s="1291" t="s">
        <v>86</v>
      </c>
      <c r="B139" s="1292"/>
      <c r="C139" s="1016"/>
      <c r="D139" s="1016"/>
      <c r="E139" s="1016"/>
      <c r="F139" s="808"/>
      <c r="G139" s="1149"/>
      <c r="H139" s="1149"/>
      <c r="I139" s="1149"/>
      <c r="J139" s="1149"/>
      <c r="K139" s="808"/>
      <c r="L139" s="1149"/>
      <c r="M139" s="1149"/>
      <c r="N139" s="1149"/>
      <c r="O139" s="1149"/>
      <c r="P139" s="808"/>
      <c r="Q139" s="1149"/>
      <c r="R139" s="1149"/>
      <c r="S139" s="1149"/>
      <c r="T139" s="1149"/>
      <c r="U139" s="808"/>
      <c r="V139" s="1149"/>
      <c r="W139" s="1149"/>
      <c r="X139" s="1149"/>
      <c r="Y139" s="1149"/>
      <c r="Z139" s="808"/>
      <c r="AA139" s="1149"/>
      <c r="AB139" s="1149"/>
      <c r="AC139" s="1149"/>
      <c r="AD139" s="1149"/>
      <c r="AE139" s="808"/>
      <c r="AF139" s="1149"/>
      <c r="AG139" s="1149"/>
      <c r="AH139" s="1149"/>
      <c r="AI139" s="1149"/>
      <c r="AJ139" s="808"/>
      <c r="AK139" s="1149"/>
      <c r="AL139" s="1149"/>
      <c r="AM139" s="1149"/>
      <c r="AN139" s="1149"/>
      <c r="AO139" s="808"/>
      <c r="AP139" s="1149"/>
      <c r="AQ139" s="1149"/>
      <c r="AR139" s="1149"/>
      <c r="AS139" s="1149"/>
      <c r="AT139" s="808"/>
      <c r="AU139" s="1149"/>
      <c r="AV139" s="1149"/>
      <c r="AW139" s="1149"/>
      <c r="AX139" s="1149"/>
      <c r="AY139" s="808"/>
      <c r="AZ139" s="1149"/>
      <c r="BA139" s="1149"/>
      <c r="BB139" s="1149"/>
      <c r="BC139" s="1149"/>
      <c r="BD139" s="808"/>
      <c r="BE139" s="1149"/>
      <c r="BF139" s="1149"/>
      <c r="BG139" s="1149"/>
      <c r="BH139" s="1149"/>
      <c r="BI139" s="808"/>
      <c r="BJ139" s="1149"/>
      <c r="BK139" s="1149"/>
      <c r="BL139" s="1149"/>
      <c r="BM139" s="1149"/>
      <c r="BN139" s="808"/>
      <c r="BO139" s="1149"/>
      <c r="BP139" s="1149"/>
      <c r="BQ139" s="1149"/>
      <c r="BR139" s="1149"/>
      <c r="BS139" s="808"/>
      <c r="BT139" s="1149"/>
      <c r="BU139" s="1149"/>
      <c r="BV139" s="1149"/>
      <c r="BW139" s="1149"/>
      <c r="BX139" s="808"/>
      <c r="BY139" s="1149"/>
      <c r="BZ139" s="1149"/>
      <c r="CA139" s="1149"/>
      <c r="CB139" s="1149"/>
      <c r="CC139" s="808"/>
      <c r="CD139" s="1293"/>
      <c r="CE139" s="1293"/>
      <c r="CF139" s="1293"/>
      <c r="CG139" s="1293"/>
      <c r="CH139" s="1154"/>
      <c r="CI139" s="1293">
        <f>(CI138-CD138)*100</f>
        <v>-11.272355213180552</v>
      </c>
      <c r="CJ139" s="1293">
        <f>(CJ138-CE138)*100</f>
        <v>0.79672582193651698</v>
      </c>
      <c r="CK139" s="1293">
        <f>(CK138-CF138)*100</f>
        <v>8.0413528666903655</v>
      </c>
      <c r="CL139" s="1293">
        <f>(CL138-CG138)*100</f>
        <v>19.134250947448905</v>
      </c>
      <c r="CM139" s="1154"/>
      <c r="CN139" s="1293">
        <f t="shared" ref="CN139:EF139" si="458">(CN138-CI138)*100</f>
        <v>5.9703273236844323</v>
      </c>
      <c r="CO139" s="1293">
        <f t="shared" si="458"/>
        <v>21.439636247401506</v>
      </c>
      <c r="CP139" s="1293">
        <f t="shared" si="458"/>
        <v>2.2507267454929147</v>
      </c>
      <c r="CQ139" s="1293">
        <f t="shared" si="458"/>
        <v>-13.301420593345604</v>
      </c>
      <c r="CR139" s="1154">
        <f t="shared" si="458"/>
        <v>-0.49055415578976858</v>
      </c>
      <c r="CS139" s="1293">
        <f t="shared" si="458"/>
        <v>-10.381647864102694</v>
      </c>
      <c r="CT139" s="1293">
        <f t="shared" si="458"/>
        <v>-19.058114979821905</v>
      </c>
      <c r="CU139" s="1293">
        <f t="shared" si="458"/>
        <v>-4.2005738991533814</v>
      </c>
      <c r="CV139" s="1293">
        <f t="shared" si="458"/>
        <v>-3.8060783309908808</v>
      </c>
      <c r="CW139" s="1154">
        <f t="shared" si="458"/>
        <v>-4.481263937938329</v>
      </c>
      <c r="CX139" s="1293">
        <f t="shared" si="458"/>
        <v>5.2267717376412337</v>
      </c>
      <c r="CY139" s="1293">
        <f t="shared" si="458"/>
        <v>2.048173038953971</v>
      </c>
      <c r="CZ139" s="1293">
        <f t="shared" si="458"/>
        <v>1.0118611477422434</v>
      </c>
      <c r="DA139" s="1293">
        <f t="shared" si="458"/>
        <v>3.8249472549426344</v>
      </c>
      <c r="DB139" s="1154">
        <f t="shared" si="458"/>
        <v>2.9345580134056637</v>
      </c>
      <c r="DC139" s="1293">
        <f t="shared" si="458"/>
        <v>-0.54130843379075477</v>
      </c>
      <c r="DD139" s="1293">
        <f t="shared" si="458"/>
        <v>1.272222470139206</v>
      </c>
      <c r="DE139" s="1293">
        <f t="shared" si="458"/>
        <v>3.3686731349773957</v>
      </c>
      <c r="DF139" s="1293">
        <f t="shared" si="458"/>
        <v>0.79605406038572024</v>
      </c>
      <c r="DG139" s="1154">
        <f t="shared" si="458"/>
        <v>1.2773264179543831</v>
      </c>
      <c r="DH139" s="1293">
        <f t="shared" si="458"/>
        <v>-2.7619043299658141</v>
      </c>
      <c r="DI139" s="1293">
        <f t="shared" si="458"/>
        <v>-3.1124145388567559</v>
      </c>
      <c r="DJ139" s="1293">
        <f t="shared" si="458"/>
        <v>-1.0641800084603692</v>
      </c>
      <c r="DK139" s="1293">
        <f t="shared" si="458"/>
        <v>-1.0516579998769204</v>
      </c>
      <c r="DL139" s="1154">
        <f t="shared" si="458"/>
        <v>-2.00194450809561</v>
      </c>
      <c r="DM139" s="1293">
        <f t="shared" si="458"/>
        <v>-1.82835361791851</v>
      </c>
      <c r="DN139" s="1293">
        <f t="shared" si="458"/>
        <v>-2.3324378697338388</v>
      </c>
      <c r="DO139" s="1293">
        <f t="shared" si="458"/>
        <v>-2.0844924419102462</v>
      </c>
      <c r="DP139" s="1293">
        <f t="shared" si="458"/>
        <v>0.66680708874501393</v>
      </c>
      <c r="DQ139" s="1154">
        <f t="shared" si="458"/>
        <v>-1.4074630187400183</v>
      </c>
      <c r="DR139" s="1293">
        <f t="shared" si="458"/>
        <v>0.36530573523785304</v>
      </c>
      <c r="DS139" s="1293">
        <f t="shared" si="458"/>
        <v>2.2532570452289957</v>
      </c>
      <c r="DT139" s="1293">
        <f t="shared" si="458"/>
        <v>1.5414881257261315</v>
      </c>
      <c r="DU139" s="1293">
        <f t="shared" si="458"/>
        <v>-0.2373955508024217</v>
      </c>
      <c r="DV139" s="1154">
        <f>(DV138-DQ138)*100</f>
        <v>0.99223198858070516</v>
      </c>
      <c r="DW139" s="1293">
        <f t="shared" si="458"/>
        <v>2.2511617289262431</v>
      </c>
      <c r="DX139" s="1293">
        <f t="shared" si="458"/>
        <v>-1.5080280840207072</v>
      </c>
      <c r="DY139" s="1293">
        <f t="shared" si="458"/>
        <v>-1.2179274559320441</v>
      </c>
      <c r="DZ139" s="1293">
        <f t="shared" si="458"/>
        <v>-1.3094777702609472</v>
      </c>
      <c r="EA139" s="1154">
        <f t="shared" si="458"/>
        <v>-0.45540839813955625</v>
      </c>
      <c r="EB139" s="1293">
        <f t="shared" si="458"/>
        <v>-1.3608699711720962</v>
      </c>
      <c r="EC139" s="1293">
        <f t="shared" si="458"/>
        <v>1.7038022778874562</v>
      </c>
      <c r="ED139" s="1293">
        <f t="shared" si="458"/>
        <v>0.46792745593204899</v>
      </c>
      <c r="EE139" s="1293">
        <f t="shared" si="458"/>
        <v>0.44791892866750116</v>
      </c>
      <c r="EF139" s="1154">
        <f t="shared" si="458"/>
        <v>0.33193267079597577</v>
      </c>
      <c r="EG139" s="1015"/>
      <c r="EH139" s="1016"/>
      <c r="EI139" s="1016"/>
      <c r="EJ139" s="1017"/>
      <c r="EK139" s="1154">
        <f>(EK138-EF138)*100</f>
        <v>-1.2845374000567178</v>
      </c>
      <c r="EL139" s="1015"/>
      <c r="EM139" s="1016"/>
      <c r="EN139" s="1016"/>
      <c r="EO139" s="1017"/>
      <c r="EP139" s="1154">
        <f>(EP138-EK138)*100</f>
        <v>-0.26406615594593008</v>
      </c>
      <c r="EQ139" s="1015"/>
      <c r="ER139" s="1016"/>
      <c r="ES139" s="1016"/>
      <c r="ET139" s="1017"/>
      <c r="EU139" s="1154">
        <f>(EU138-EP138)*100</f>
        <v>-1.0521681373915071</v>
      </c>
      <c r="EV139" s="1015"/>
      <c r="EW139" s="1016"/>
      <c r="EX139" s="1016"/>
      <c r="EY139" s="1017"/>
      <c r="EZ139" s="1154">
        <f>(EZ138-EU138)*100</f>
        <v>0</v>
      </c>
      <c r="FA139" s="1015"/>
      <c r="FB139" s="1016"/>
      <c r="FC139" s="1016"/>
      <c r="FD139" s="1017"/>
      <c r="FE139" s="1154">
        <f>(FE138-EZ138)*100</f>
        <v>0</v>
      </c>
      <c r="FF139" s="721"/>
      <c r="FG139" s="690"/>
      <c r="FH139" s="754"/>
      <c r="FI139" s="754"/>
      <c r="FJ139" s="754"/>
      <c r="FK139" s="754"/>
      <c r="FL139" s="690"/>
      <c r="FM139" s="708"/>
      <c r="FN139" s="708"/>
      <c r="FO139" s="723"/>
      <c r="FP139" s="723"/>
      <c r="FQ139" s="723"/>
      <c r="FR139" s="723"/>
      <c r="FS139" s="723"/>
      <c r="FT139" s="723"/>
      <c r="FU139" s="690"/>
      <c r="FV139"/>
      <c r="FW139"/>
      <c r="FX139"/>
      <c r="FY139"/>
      <c r="FZ139"/>
      <c r="GA139"/>
      <c r="GB139" s="961"/>
      <c r="GC139" s="535"/>
      <c r="GD139" s="535"/>
      <c r="GE139" s="535"/>
      <c r="GF139" s="535"/>
      <c r="GG139" s="535"/>
      <c r="GH139" s="535"/>
      <c r="GI139" s="535"/>
      <c r="GJ139" s="535"/>
      <c r="GK139" s="535"/>
      <c r="GL139" s="535"/>
      <c r="GM139" s="535"/>
      <c r="GN139" s="535"/>
      <c r="GO139" s="535"/>
      <c r="GP139" s="535"/>
      <c r="GQ139" s="535"/>
      <c r="GR139" s="535"/>
      <c r="GS139" s="535"/>
      <c r="GT139" s="535"/>
      <c r="GU139" s="535"/>
      <c r="GV139" s="535"/>
      <c r="GW139" s="535"/>
      <c r="GX139" s="535"/>
      <c r="GY139" s="535"/>
      <c r="GZ139" s="535"/>
      <c r="HA139" s="535"/>
      <c r="HB139" s="535"/>
      <c r="HC139" s="535"/>
      <c r="HD139" s="535"/>
      <c r="HE139" s="535"/>
      <c r="HF139" s="535"/>
      <c r="HG139" s="535"/>
      <c r="HH139" s="535"/>
      <c r="HI139" s="535"/>
      <c r="HJ139" s="535"/>
      <c r="HK139" s="535"/>
      <c r="HL139" s="535"/>
      <c r="HM139" s="535"/>
      <c r="HN139" s="535"/>
      <c r="HO139" s="535"/>
      <c r="HP139" s="535"/>
      <c r="HQ139" s="535"/>
      <c r="HR139" s="535"/>
      <c r="HS139" s="535"/>
      <c r="HT139" s="535"/>
      <c r="HU139" s="535"/>
      <c r="HV139" s="535"/>
      <c r="HW139" s="535"/>
      <c r="HX139" s="535"/>
      <c r="HY139" s="535"/>
      <c r="HZ139" s="535"/>
      <c r="IA139" s="535"/>
      <c r="IB139" s="535"/>
      <c r="IC139" s="535"/>
      <c r="ID139" s="535"/>
      <c r="IE139" s="535"/>
      <c r="IF139" s="535"/>
      <c r="IG139" s="535"/>
      <c r="IH139" s="535"/>
      <c r="II139" s="535"/>
      <c r="IJ139" s="535"/>
      <c r="IK139" s="535"/>
      <c r="IL139" s="535"/>
      <c r="IM139" s="535"/>
      <c r="IN139" s="535"/>
      <c r="IO139" s="535"/>
      <c r="IP139" s="535"/>
      <c r="IQ139" s="535"/>
      <c r="IR139" s="535"/>
      <c r="IS139" s="535"/>
      <c r="IT139" s="535"/>
      <c r="IU139" s="535"/>
      <c r="IV139" s="535"/>
      <c r="IW139" s="535"/>
      <c r="IX139" s="535"/>
      <c r="IY139" s="535"/>
      <c r="IZ139" s="535"/>
      <c r="JA139" s="535"/>
      <c r="JB139" s="535"/>
      <c r="JC139" s="535"/>
      <c r="JD139" s="535"/>
      <c r="JE139" s="535"/>
      <c r="JF139" s="535"/>
      <c r="JG139" s="535"/>
      <c r="JH139" s="535"/>
      <c r="JI139" s="535"/>
      <c r="JJ139" s="535"/>
      <c r="JK139" s="535"/>
      <c r="JL139" s="535"/>
    </row>
    <row r="140" spans="1:272" s="726" customFormat="1" ht="12.75" hidden="1" customHeight="1" outlineLevel="1">
      <c r="A140" s="1346" t="s">
        <v>88</v>
      </c>
      <c r="B140" s="1347"/>
      <c r="C140" s="1348"/>
      <c r="D140" s="1348"/>
      <c r="E140" s="1348"/>
      <c r="F140" s="1349"/>
      <c r="G140" s="1350"/>
      <c r="H140" s="1350"/>
      <c r="I140" s="1350"/>
      <c r="J140" s="1350"/>
      <c r="K140" s="1349"/>
      <c r="L140" s="1350"/>
      <c r="M140" s="1350"/>
      <c r="N140" s="1350"/>
      <c r="O140" s="1350"/>
      <c r="P140" s="1349"/>
      <c r="Q140" s="1350"/>
      <c r="R140" s="1350"/>
      <c r="S140" s="1350"/>
      <c r="T140" s="1350"/>
      <c r="U140" s="1349"/>
      <c r="V140" s="1350"/>
      <c r="W140" s="1350"/>
      <c r="X140" s="1350"/>
      <c r="Y140" s="1350"/>
      <c r="Z140" s="1349"/>
      <c r="AA140" s="1350"/>
      <c r="AB140" s="1350"/>
      <c r="AC140" s="1350"/>
      <c r="AD140" s="1350"/>
      <c r="AE140" s="1349"/>
      <c r="AF140" s="1350"/>
      <c r="AG140" s="1350"/>
      <c r="AH140" s="1350"/>
      <c r="AI140" s="1350"/>
      <c r="AJ140" s="1349"/>
      <c r="AK140" s="1350"/>
      <c r="AL140" s="1350"/>
      <c r="AM140" s="1350"/>
      <c r="AN140" s="1350"/>
      <c r="AO140" s="1349"/>
      <c r="AP140" s="1350"/>
      <c r="AQ140" s="1350"/>
      <c r="AR140" s="1350"/>
      <c r="AS140" s="1350"/>
      <c r="AT140" s="1349"/>
      <c r="AU140" s="1350"/>
      <c r="AV140" s="1350"/>
      <c r="AW140" s="1350"/>
      <c r="AX140" s="1350"/>
      <c r="AY140" s="1349"/>
      <c r="AZ140" s="1350"/>
      <c r="BA140" s="1350"/>
      <c r="BB140" s="1350"/>
      <c r="BC140" s="1350"/>
      <c r="BD140" s="1349"/>
      <c r="BE140" s="1350"/>
      <c r="BF140" s="1350"/>
      <c r="BG140" s="1350"/>
      <c r="BH140" s="1350"/>
      <c r="BI140" s="1349"/>
      <c r="BJ140" s="1350"/>
      <c r="BK140" s="1350"/>
      <c r="BL140" s="1350"/>
      <c r="BM140" s="1350"/>
      <c r="BN140" s="1349"/>
      <c r="BO140" s="1350"/>
      <c r="BP140" s="1350"/>
      <c r="BQ140" s="1350"/>
      <c r="BR140" s="1350"/>
      <c r="BS140" s="1349"/>
      <c r="BT140" s="1350"/>
      <c r="BU140" s="1350"/>
      <c r="BV140" s="1350"/>
      <c r="BW140" s="1350"/>
      <c r="BX140" s="1349"/>
      <c r="BY140" s="1350"/>
      <c r="BZ140" s="1350"/>
      <c r="CA140" s="1350"/>
      <c r="CB140" s="1350"/>
      <c r="CC140" s="1349"/>
      <c r="CD140" s="1351"/>
      <c r="CE140" s="1351">
        <f>+(CE138-CD138)*100</f>
        <v>-18.909427319567762</v>
      </c>
      <c r="CF140" s="1351">
        <f>+(CF138-CE138)*100</f>
        <v>-4.3379498415086477</v>
      </c>
      <c r="CG140" s="1351">
        <f>+(CG138-CF138)*100</f>
        <v>2.6393487945986061</v>
      </c>
      <c r="CH140" s="1352"/>
      <c r="CI140" s="1351">
        <f>+(CI138-CG138)*100</f>
        <v>9.3356731532972521</v>
      </c>
      <c r="CJ140" s="1351">
        <f>+(CJ138-CI138)*100</f>
        <v>-6.8403462844506935</v>
      </c>
      <c r="CK140" s="1351">
        <f>+(CK138-CJ138)*100</f>
        <v>2.9066772032452004</v>
      </c>
      <c r="CL140" s="1351">
        <f>+(CL138-CK138)*100</f>
        <v>13.732246875357145</v>
      </c>
      <c r="CM140" s="1352"/>
      <c r="CN140" s="1351">
        <f>+(CN138-CL138)*100</f>
        <v>-3.8282504704672204</v>
      </c>
      <c r="CO140" s="1351">
        <f>+(CO138-CN138)*100</f>
        <v>8.6289626392663799</v>
      </c>
      <c r="CP140" s="1351">
        <f>+(CP138-CO138)*100</f>
        <v>-16.282232298663391</v>
      </c>
      <c r="CQ140" s="1351">
        <f>+(CQ138-CP138)*100</f>
        <v>-1.819900463481372</v>
      </c>
      <c r="CR140" s="1352">
        <f>CR139</f>
        <v>-0.49055415578976858</v>
      </c>
      <c r="CS140" s="1351">
        <f>+(CS138-CQ138)*100</f>
        <v>-0.90847774122431169</v>
      </c>
      <c r="CT140" s="1351">
        <f>+(CT138-CS138)*100</f>
        <v>-4.7504476452830957E-2</v>
      </c>
      <c r="CU140" s="1351">
        <f>+(CU138-CT138)*100</f>
        <v>-1.4246912179948668</v>
      </c>
      <c r="CV140" s="1351">
        <f>+(CV138-CU138)*100</f>
        <v>-1.4254048953188714</v>
      </c>
      <c r="CW140" s="1352">
        <f>CW139</f>
        <v>-4.481263937938329</v>
      </c>
      <c r="CX140" s="1351">
        <f>+(CX138-CV138)*100</f>
        <v>8.1243723274078032</v>
      </c>
      <c r="CY140" s="1351">
        <f>+(CY138-CX138)*100</f>
        <v>-3.2261031751400937</v>
      </c>
      <c r="CZ140" s="1351">
        <f>+(CZ138-CY138)*100</f>
        <v>-2.4610031092065943</v>
      </c>
      <c r="DA140" s="1351">
        <f>+(DA138-CZ138)*100</f>
        <v>1.3876812118815196</v>
      </c>
      <c r="DB140" s="1352">
        <f>DB139</f>
        <v>2.9345580134056637</v>
      </c>
      <c r="DC140" s="1351">
        <f>+(DC138-DA138)*100</f>
        <v>3.7581166386744136</v>
      </c>
      <c r="DD140" s="1351">
        <f>+(DD138-DC138)*100</f>
        <v>-1.412572271210133</v>
      </c>
      <c r="DE140" s="1351">
        <f>+(DE138-DD138)*100</f>
        <v>-0.3645524443684045</v>
      </c>
      <c r="DF140" s="1351">
        <f>+(DF138-DE138)*100</f>
        <v>-1.1849378627101559</v>
      </c>
      <c r="DG140" s="1352">
        <f>DG139</f>
        <v>1.2773264179543831</v>
      </c>
      <c r="DH140" s="1351">
        <f>+(DH138-DF138)*100</f>
        <v>0.20015824832287921</v>
      </c>
      <c r="DI140" s="1351">
        <f>+(DI138-DH138)*100</f>
        <v>-1.7630824801010747</v>
      </c>
      <c r="DJ140" s="1351">
        <f>+(DJ138-DI138)*100</f>
        <v>1.6836820860279822</v>
      </c>
      <c r="DK140" s="1351">
        <f>+(DK138-DJ138)*100</f>
        <v>-1.1724158541267071</v>
      </c>
      <c r="DL140" s="1352"/>
      <c r="DM140" s="1351">
        <f>+(DM138-DK138)*100</f>
        <v>-0.57653736971871039</v>
      </c>
      <c r="DN140" s="1351">
        <f>+(DN138-DM138)*100</f>
        <v>-2.2671667319164035</v>
      </c>
      <c r="DO140" s="1351">
        <f>+(DO138-DN138)*100</f>
        <v>1.9316275138515748</v>
      </c>
      <c r="DP140" s="1351">
        <f>+(DP138-DO138)*100</f>
        <v>1.578883676528553</v>
      </c>
      <c r="DQ140" s="1352"/>
      <c r="DR140" s="1351">
        <f>+(DR138-DP138)*100</f>
        <v>-0.87803872322587129</v>
      </c>
      <c r="DS140" s="1351">
        <f>+(DS138-DR138)*100</f>
        <v>-0.37921542192526081</v>
      </c>
      <c r="DT140" s="1351">
        <f>+(DT138-DS138)*100</f>
        <v>1.2198585943487106</v>
      </c>
      <c r="DU140" s="1351">
        <f>+(DU138-DT138)*100</f>
        <v>-0.20000000000000018</v>
      </c>
      <c r="DV140" s="1352"/>
      <c r="DW140" s="1351">
        <f>+(DW138-DU138)*100</f>
        <v>1.6105185565027935</v>
      </c>
      <c r="DX140" s="1351">
        <f>+(DX138-DW138)*100</f>
        <v>-4.1384052348722111</v>
      </c>
      <c r="DY140" s="1351">
        <f>+(DY138-DX138)*100</f>
        <v>1.5099592224373737</v>
      </c>
      <c r="DZ140" s="1351">
        <f>+(DZ138-DY138)*100</f>
        <v>-0.29155031432890333</v>
      </c>
      <c r="EA140" s="1352"/>
      <c r="EB140" s="1351">
        <f>+(EB138-DZ138)*100</f>
        <v>1.5591263555916446</v>
      </c>
      <c r="EC140" s="1351">
        <f>+(EC138-EB138)*100</f>
        <v>-1.0737329858126587</v>
      </c>
      <c r="ED140" s="1351">
        <f>+(ED138-EC138)*100</f>
        <v>0.27408440048196647</v>
      </c>
      <c r="EE140" s="1351">
        <f>+(EE138-ED138)*100</f>
        <v>-0.31155884159345115</v>
      </c>
      <c r="EF140" s="1352"/>
      <c r="EG140" s="1353"/>
      <c r="EH140" s="1348"/>
      <c r="EI140" s="1348"/>
      <c r="EJ140" s="1354"/>
      <c r="EK140" s="1352"/>
      <c r="EL140" s="1353"/>
      <c r="EM140" s="1348"/>
      <c r="EN140" s="1348"/>
      <c r="EO140" s="1354"/>
      <c r="EP140" s="1352"/>
      <c r="EQ140" s="1353"/>
      <c r="ER140" s="1348"/>
      <c r="ES140" s="1348"/>
      <c r="ET140" s="1354"/>
      <c r="EU140" s="1352"/>
      <c r="EV140" s="1353"/>
      <c r="EW140" s="1348"/>
      <c r="EX140" s="1348"/>
      <c r="EY140" s="1354"/>
      <c r="EZ140" s="1352"/>
      <c r="FA140" s="1353"/>
      <c r="FB140" s="1348"/>
      <c r="FC140" s="1348"/>
      <c r="FD140" s="1354"/>
      <c r="FE140" s="1352"/>
      <c r="FF140" s="721"/>
      <c r="FG140" s="690"/>
      <c r="FH140" s="754"/>
      <c r="FI140" s="754"/>
      <c r="FJ140" s="754"/>
      <c r="FK140" s="754"/>
      <c r="FL140" s="690"/>
      <c r="FM140" s="708"/>
      <c r="FN140" s="708"/>
      <c r="FO140" s="723"/>
      <c r="FP140" s="723"/>
      <c r="FQ140" s="723"/>
      <c r="FR140" s="723"/>
      <c r="FS140" s="723"/>
      <c r="FT140" s="723"/>
      <c r="FU140" s="690"/>
      <c r="FV140"/>
      <c r="FW140"/>
      <c r="FX140"/>
      <c r="FY140"/>
      <c r="FZ140"/>
      <c r="GA140"/>
      <c r="GB140" s="961"/>
      <c r="GC140" s="535"/>
      <c r="GD140" s="535"/>
      <c r="GE140" s="535"/>
      <c r="GF140" s="535"/>
      <c r="GG140" s="535"/>
      <c r="GH140" s="535"/>
      <c r="GI140" s="535"/>
      <c r="GJ140" s="535"/>
      <c r="GK140" s="535"/>
      <c r="GL140" s="535"/>
      <c r="GM140" s="535"/>
      <c r="GN140" s="535"/>
      <c r="GO140" s="535"/>
      <c r="GP140" s="535"/>
      <c r="GQ140" s="535"/>
      <c r="GR140" s="535"/>
      <c r="GS140" s="535"/>
      <c r="GT140" s="535"/>
      <c r="GU140" s="535"/>
      <c r="GV140" s="535"/>
      <c r="GW140" s="535"/>
      <c r="GX140" s="535"/>
      <c r="GY140" s="535"/>
      <c r="GZ140" s="535"/>
      <c r="HA140" s="535"/>
      <c r="HB140" s="535"/>
      <c r="HC140" s="535"/>
      <c r="HD140" s="535"/>
      <c r="HE140" s="535"/>
      <c r="HF140" s="535"/>
      <c r="HG140" s="535"/>
      <c r="HH140" s="535"/>
      <c r="HI140" s="535"/>
      <c r="HJ140" s="535"/>
      <c r="HK140" s="535"/>
      <c r="HL140" s="535"/>
      <c r="HM140" s="535"/>
      <c r="HN140" s="535"/>
      <c r="HO140" s="535"/>
      <c r="HP140" s="535"/>
      <c r="HQ140" s="535"/>
      <c r="HR140" s="535"/>
      <c r="HS140" s="535"/>
      <c r="HT140" s="535"/>
      <c r="HU140" s="535"/>
      <c r="HV140" s="535"/>
      <c r="HW140" s="535"/>
      <c r="HX140" s="535"/>
      <c r="HY140" s="535"/>
      <c r="HZ140" s="535"/>
      <c r="IA140" s="535"/>
      <c r="IB140" s="535"/>
      <c r="IC140" s="535"/>
      <c r="ID140" s="535"/>
      <c r="IE140" s="535"/>
      <c r="IF140" s="535"/>
      <c r="IG140" s="535"/>
      <c r="IH140" s="535"/>
      <c r="II140" s="535"/>
      <c r="IJ140" s="535"/>
      <c r="IK140" s="535"/>
      <c r="IL140" s="535"/>
      <c r="IM140" s="535"/>
      <c r="IN140" s="535"/>
      <c r="IO140" s="535"/>
      <c r="IP140" s="535"/>
      <c r="IQ140" s="535"/>
      <c r="IR140" s="535"/>
      <c r="IS140" s="535"/>
      <c r="IT140" s="535"/>
      <c r="IU140" s="535"/>
      <c r="IV140" s="535"/>
      <c r="IW140" s="535"/>
      <c r="IX140" s="535"/>
      <c r="IY140" s="535"/>
      <c r="IZ140" s="535"/>
      <c r="JA140" s="535"/>
      <c r="JB140" s="535"/>
      <c r="JC140" s="535"/>
      <c r="JD140" s="535"/>
      <c r="JE140" s="535"/>
      <c r="JF140" s="535"/>
      <c r="JG140" s="535"/>
      <c r="JH140" s="535"/>
      <c r="JI140" s="535"/>
      <c r="JJ140" s="535"/>
      <c r="JK140" s="535"/>
      <c r="JL140" s="535"/>
    </row>
    <row r="141" spans="1:272" s="726" customFormat="1" ht="12.75" hidden="1" customHeight="1" outlineLevel="1">
      <c r="A141" s="1286" t="s">
        <v>356</v>
      </c>
      <c r="B141" s="1287"/>
      <c r="C141" s="720"/>
      <c r="D141" s="720"/>
      <c r="E141" s="720"/>
      <c r="F141" s="1288"/>
      <c r="G141" s="873"/>
      <c r="H141" s="873"/>
      <c r="I141" s="873"/>
      <c r="J141" s="873"/>
      <c r="K141" s="1288"/>
      <c r="L141" s="873"/>
      <c r="M141" s="873"/>
      <c r="N141" s="873"/>
      <c r="O141" s="873"/>
      <c r="P141" s="1288"/>
      <c r="Q141" s="873"/>
      <c r="R141" s="873"/>
      <c r="S141" s="873"/>
      <c r="T141" s="873"/>
      <c r="U141" s="1288"/>
      <c r="V141" s="873"/>
      <c r="W141" s="873"/>
      <c r="X141" s="873"/>
      <c r="Y141" s="873"/>
      <c r="Z141" s="1288"/>
      <c r="AA141" s="873"/>
      <c r="AB141" s="873"/>
      <c r="AC141" s="873"/>
      <c r="AD141" s="873"/>
      <c r="AE141" s="1288"/>
      <c r="AF141" s="873"/>
      <c r="AG141" s="873"/>
      <c r="AH141" s="873"/>
      <c r="AI141" s="873"/>
      <c r="AJ141" s="1288"/>
      <c r="AK141" s="873"/>
      <c r="AL141" s="873"/>
      <c r="AM141" s="873"/>
      <c r="AN141" s="873"/>
      <c r="AO141" s="1288"/>
      <c r="AP141" s="873"/>
      <c r="AQ141" s="873"/>
      <c r="AR141" s="873"/>
      <c r="AS141" s="873"/>
      <c r="AT141" s="1288"/>
      <c r="AU141" s="873"/>
      <c r="AV141" s="873"/>
      <c r="AW141" s="873"/>
      <c r="AX141" s="873"/>
      <c r="AY141" s="1288"/>
      <c r="AZ141" s="873"/>
      <c r="BA141" s="873"/>
      <c r="BB141" s="873"/>
      <c r="BC141" s="873"/>
      <c r="BD141" s="1288"/>
      <c r="BE141" s="873"/>
      <c r="BF141" s="873"/>
      <c r="BG141" s="873"/>
      <c r="BH141" s="873"/>
      <c r="BI141" s="1288"/>
      <c r="BJ141" s="873"/>
      <c r="BK141" s="873"/>
      <c r="BL141" s="873"/>
      <c r="BM141" s="873"/>
      <c r="BN141" s="1288"/>
      <c r="BO141" s="873"/>
      <c r="BP141" s="873"/>
      <c r="BQ141" s="873"/>
      <c r="BR141" s="873"/>
      <c r="BS141" s="1288"/>
      <c r="BT141" s="873">
        <f t="shared" ref="BT141:EE141" si="459">1-BT144/BT110</f>
        <v>0.98586604533607136</v>
      </c>
      <c r="BU141" s="873">
        <f t="shared" si="459"/>
        <v>0.98504028486073814</v>
      </c>
      <c r="BV141" s="873">
        <f t="shared" si="459"/>
        <v>0.98072467394023777</v>
      </c>
      <c r="BW141" s="873">
        <f t="shared" si="459"/>
        <v>0.98282165237926999</v>
      </c>
      <c r="BX141" s="1288">
        <f t="shared" si="459"/>
        <v>0.9835561283525085</v>
      </c>
      <c r="BY141" s="873">
        <f t="shared" si="459"/>
        <v>0.98144198429448215</v>
      </c>
      <c r="BZ141" s="873">
        <f t="shared" si="459"/>
        <v>0.9810382596817061</v>
      </c>
      <c r="CA141" s="873">
        <f t="shared" si="459"/>
        <v>0.98130804408813699</v>
      </c>
      <c r="CB141" s="873">
        <f t="shared" si="459"/>
        <v>0.9790550444605568</v>
      </c>
      <c r="CC141" s="1288">
        <f t="shared" si="459"/>
        <v>0.9806627506424328</v>
      </c>
      <c r="CD141" s="873">
        <f t="shared" si="459"/>
        <v>0.98334155768027054</v>
      </c>
      <c r="CE141" s="873">
        <f t="shared" si="459"/>
        <v>0.98222914747851975</v>
      </c>
      <c r="CF141" s="873">
        <f t="shared" si="459"/>
        <v>0.97776474998379359</v>
      </c>
      <c r="CG141" s="873">
        <f t="shared" si="459"/>
        <v>0.97781039213757071</v>
      </c>
      <c r="CH141" s="1288">
        <f t="shared" si="459"/>
        <v>0.98009067877707556</v>
      </c>
      <c r="CI141" s="873">
        <f t="shared" si="459"/>
        <v>0.98232160108842914</v>
      </c>
      <c r="CJ141" s="873">
        <f t="shared" si="459"/>
        <v>0.98238635542386354</v>
      </c>
      <c r="CK141" s="873">
        <f t="shared" si="459"/>
        <v>0.98397624894020874</v>
      </c>
      <c r="CL141" s="873">
        <f t="shared" si="459"/>
        <v>0.97519686644442427</v>
      </c>
      <c r="CM141" s="1288">
        <f t="shared" si="459"/>
        <v>0.98107820795897094</v>
      </c>
      <c r="CN141" s="873">
        <f t="shared" si="459"/>
        <v>0.9796130980230694</v>
      </c>
      <c r="CO141" s="873">
        <f t="shared" si="459"/>
        <v>0.97859779281058656</v>
      </c>
      <c r="CP141" s="873">
        <f t="shared" si="459"/>
        <v>0.98020701390754739</v>
      </c>
      <c r="CQ141" s="873">
        <f t="shared" si="459"/>
        <v>0.98253495948345815</v>
      </c>
      <c r="CR141" s="1288">
        <f t="shared" si="459"/>
        <v>0.98026860411878147</v>
      </c>
      <c r="CS141" s="873">
        <f t="shared" si="459"/>
        <v>0.98165860344161093</v>
      </c>
      <c r="CT141" s="873">
        <f t="shared" si="459"/>
        <v>0.9868647471980867</v>
      </c>
      <c r="CU141" s="873">
        <f t="shared" si="459"/>
        <v>0.99124760844113191</v>
      </c>
      <c r="CV141" s="873">
        <f t="shared" si="459"/>
        <v>1.1033902393267763</v>
      </c>
      <c r="CW141" s="1288">
        <f t="shared" si="459"/>
        <v>1.0156635773380451</v>
      </c>
      <c r="CX141" s="873">
        <f t="shared" si="459"/>
        <v>0.98428321805376062</v>
      </c>
      <c r="CY141" s="873">
        <f t="shared" si="459"/>
        <v>0.97619512731135272</v>
      </c>
      <c r="CZ141" s="873">
        <f t="shared" si="459"/>
        <v>0.97247886543169959</v>
      </c>
      <c r="DA141" s="873">
        <f t="shared" si="459"/>
        <v>0.98265303432783802</v>
      </c>
      <c r="DB141" s="1288">
        <f t="shared" si="459"/>
        <v>0.97880612120784383</v>
      </c>
      <c r="DC141" s="873">
        <f t="shared" si="459"/>
        <v>0.95592131380161771</v>
      </c>
      <c r="DD141" s="873">
        <f t="shared" si="459"/>
        <v>0.96628086319745965</v>
      </c>
      <c r="DE141" s="873">
        <f t="shared" si="459"/>
        <v>0.97265767506465362</v>
      </c>
      <c r="DF141" s="873">
        <f t="shared" si="459"/>
        <v>0.98176199857758306</v>
      </c>
      <c r="DG141" s="1288">
        <f t="shared" si="459"/>
        <v>0.96924467587016949</v>
      </c>
      <c r="DH141" s="873">
        <f t="shared" si="459"/>
        <v>0.97663085343604294</v>
      </c>
      <c r="DI141" s="873">
        <f t="shared" si="459"/>
        <v>0.96930296539191696</v>
      </c>
      <c r="DJ141" s="873">
        <f t="shared" si="459"/>
        <v>0.96960507453097511</v>
      </c>
      <c r="DK141" s="873">
        <f t="shared" si="459"/>
        <v>0.97229647927800134</v>
      </c>
      <c r="DL141" s="1288">
        <f t="shared" si="459"/>
        <v>0.97185712650487988</v>
      </c>
      <c r="DM141" s="873">
        <f t="shared" si="459"/>
        <v>0.97066893158946999</v>
      </c>
      <c r="DN141" s="873">
        <f t="shared" si="459"/>
        <v>0.97168040461666538</v>
      </c>
      <c r="DO141" s="873">
        <f>1-DO144/DO110</f>
        <v>0.97430982491409335</v>
      </c>
      <c r="DP141" s="873">
        <f>1-DP144/DP110</f>
        <v>0.97995519833779343</v>
      </c>
      <c r="DQ141" s="1288">
        <f t="shared" si="459"/>
        <v>0.97415361728282779</v>
      </c>
      <c r="DR141" s="873">
        <f t="shared" si="459"/>
        <v>0.98335189635969278</v>
      </c>
      <c r="DS141" s="873">
        <f t="shared" si="459"/>
        <v>0.97360804367430032</v>
      </c>
      <c r="DT141" s="873">
        <f t="shared" si="459"/>
        <v>0.97850999477071288</v>
      </c>
      <c r="DU141" s="873">
        <f t="shared" si="459"/>
        <v>0.99315563501756421</v>
      </c>
      <c r="DV141" s="1288">
        <f t="shared" si="459"/>
        <v>0.98234028975609566</v>
      </c>
      <c r="DW141" s="873">
        <f t="shared" si="459"/>
        <v>0.9848067623934148</v>
      </c>
      <c r="DX141" s="873">
        <f t="shared" si="459"/>
        <v>0.985200046120143</v>
      </c>
      <c r="DY141" s="873">
        <f t="shared" si="459"/>
        <v>0.98287625719402183</v>
      </c>
      <c r="DZ141" s="873">
        <f t="shared" si="459"/>
        <v>0.98386401414636504</v>
      </c>
      <c r="EA141" s="1288">
        <f t="shared" si="459"/>
        <v>0.98416904822755402</v>
      </c>
      <c r="EB141" s="873">
        <f t="shared" si="459"/>
        <v>0.9793415973337809</v>
      </c>
      <c r="EC141" s="873">
        <f>1-EC144/EC110</f>
        <v>0.98028260612510343</v>
      </c>
      <c r="ED141" s="873">
        <f t="shared" ref="ED141" si="460">1-ED144/ED110</f>
        <v>0.97732997481108308</v>
      </c>
      <c r="EE141" s="873">
        <f t="shared" si="459"/>
        <v>0.98372499999999996</v>
      </c>
      <c r="EF141" s="1288">
        <f t="shared" ref="EF141" si="461">1-EF144/EF110</f>
        <v>0.98016465429578592</v>
      </c>
      <c r="EG141" s="862"/>
      <c r="EH141" s="720"/>
      <c r="EI141" s="720"/>
      <c r="EJ141" s="863"/>
      <c r="EK141" s="1288">
        <f>1-EK144/EK110</f>
        <v>0.98114000000000001</v>
      </c>
      <c r="EL141" s="862"/>
      <c r="EM141" s="720"/>
      <c r="EN141" s="720"/>
      <c r="EO141" s="863"/>
      <c r="EP141" s="1288">
        <f>1-EP144/EP110</f>
        <v>0.98114000000000001</v>
      </c>
      <c r="EQ141" s="862"/>
      <c r="ER141" s="720"/>
      <c r="ES141" s="720"/>
      <c r="ET141" s="863"/>
      <c r="EU141" s="1288">
        <f>1-EU144/EU110</f>
        <v>0.98114000000000001</v>
      </c>
      <c r="EV141" s="862"/>
      <c r="EW141" s="720"/>
      <c r="EX141" s="720"/>
      <c r="EY141" s="863"/>
      <c r="EZ141" s="1288">
        <f>1-EZ144/EZ110</f>
        <v>0.98114000000000001</v>
      </c>
      <c r="FA141" s="862"/>
      <c r="FB141" s="720"/>
      <c r="FC141" s="720"/>
      <c r="FD141" s="863"/>
      <c r="FE141" s="1288">
        <f>1-FE144/FE110</f>
        <v>0.98114000000000001</v>
      </c>
      <c r="FF141" s="721"/>
      <c r="FG141" s="690"/>
      <c r="FH141" s="754"/>
      <c r="FI141" s="754"/>
      <c r="FJ141" s="754"/>
      <c r="FK141" s="754"/>
      <c r="FL141" s="690"/>
      <c r="FM141" s="940"/>
      <c r="FN141" s="708"/>
      <c r="FO141" s="723"/>
      <c r="FP141" s="723"/>
      <c r="FQ141" s="723"/>
      <c r="FR141" s="723"/>
      <c r="FS141" s="723"/>
      <c r="FT141" s="723"/>
      <c r="FU141" s="690"/>
      <c r="FV141"/>
      <c r="FW141"/>
      <c r="FX141"/>
      <c r="FY141"/>
      <c r="FZ141"/>
      <c r="GA141"/>
      <c r="GB141" s="961"/>
      <c r="GC141" s="535"/>
      <c r="GD141" s="535"/>
      <c r="GE141" s="535"/>
      <c r="GF141" s="535"/>
      <c r="GG141" s="535"/>
      <c r="GH141" s="535"/>
      <c r="GI141" s="535"/>
      <c r="GJ141" s="535"/>
      <c r="GK141" s="535"/>
      <c r="GL141" s="535"/>
      <c r="GM141" s="535"/>
      <c r="GN141" s="535"/>
      <c r="GO141" s="535"/>
      <c r="GP141" s="535"/>
      <c r="GQ141" s="535"/>
      <c r="GR141" s="535"/>
      <c r="GS141" s="535"/>
      <c r="GT141" s="535"/>
      <c r="GU141" s="535"/>
      <c r="GV141" s="535"/>
      <c r="GW141" s="535"/>
      <c r="GX141" s="535"/>
      <c r="GY141" s="535"/>
      <c r="GZ141" s="535"/>
      <c r="HA141" s="535"/>
      <c r="HB141" s="535"/>
      <c r="HC141" s="535"/>
      <c r="HD141" s="535"/>
      <c r="HE141" s="535"/>
      <c r="HF141" s="535"/>
      <c r="HG141" s="535"/>
      <c r="HH141" s="535"/>
      <c r="HI141" s="535"/>
      <c r="HJ141" s="535"/>
      <c r="HK141" s="535"/>
      <c r="HL141" s="535"/>
      <c r="HM141" s="535"/>
      <c r="HN141" s="535"/>
      <c r="HO141" s="535"/>
      <c r="HP141" s="535"/>
      <c r="HQ141" s="535"/>
      <c r="HR141" s="535"/>
      <c r="HS141" s="535"/>
      <c r="HT141" s="535"/>
      <c r="HU141" s="535"/>
      <c r="HV141" s="535"/>
      <c r="HW141" s="535"/>
      <c r="HX141" s="535"/>
      <c r="HY141" s="535"/>
      <c r="HZ141" s="535"/>
      <c r="IA141" s="535"/>
      <c r="IB141" s="535"/>
      <c r="IC141" s="535"/>
      <c r="ID141" s="535"/>
      <c r="IE141" s="535"/>
      <c r="IF141" s="535"/>
      <c r="IG141" s="535"/>
      <c r="IH141" s="535"/>
      <c r="II141" s="535"/>
      <c r="IJ141" s="535"/>
      <c r="IK141" s="535"/>
      <c r="IL141" s="535"/>
      <c r="IM141" s="535"/>
      <c r="IN141" s="535"/>
      <c r="IO141" s="535"/>
      <c r="IP141" s="535"/>
      <c r="IQ141" s="535"/>
      <c r="IR141" s="535"/>
      <c r="IS141" s="535"/>
      <c r="IT141" s="535"/>
      <c r="IU141" s="535"/>
      <c r="IV141" s="535"/>
      <c r="IW141" s="535"/>
      <c r="IX141" s="535"/>
      <c r="IY141" s="535"/>
      <c r="IZ141" s="535"/>
      <c r="JA141" s="535"/>
      <c r="JB141" s="535"/>
      <c r="JC141" s="535"/>
      <c r="JD141" s="535"/>
      <c r="JE141" s="535"/>
      <c r="JF141" s="535"/>
      <c r="JG141" s="535"/>
      <c r="JH141" s="535"/>
      <c r="JI141" s="535"/>
      <c r="JJ141" s="535"/>
      <c r="JK141" s="535"/>
      <c r="JL141" s="535"/>
    </row>
    <row r="142" spans="1:272" s="726" customFormat="1" ht="12.75" hidden="1" customHeight="1" outlineLevel="1">
      <c r="A142" s="1291" t="s">
        <v>86</v>
      </c>
      <c r="B142" s="1292"/>
      <c r="C142" s="1016"/>
      <c r="D142" s="1016"/>
      <c r="E142" s="1016"/>
      <c r="F142" s="808"/>
      <c r="G142" s="1149"/>
      <c r="H142" s="1149"/>
      <c r="I142" s="1149"/>
      <c r="J142" s="1149"/>
      <c r="K142" s="808"/>
      <c r="L142" s="1149"/>
      <c r="M142" s="1149"/>
      <c r="N142" s="1149"/>
      <c r="O142" s="1149"/>
      <c r="P142" s="808"/>
      <c r="Q142" s="1149"/>
      <c r="R142" s="1149"/>
      <c r="S142" s="1149"/>
      <c r="T142" s="1149"/>
      <c r="U142" s="808"/>
      <c r="V142" s="1149"/>
      <c r="W142" s="1149"/>
      <c r="X142" s="1149"/>
      <c r="Y142" s="1149"/>
      <c r="Z142" s="808"/>
      <c r="AA142" s="1149"/>
      <c r="AB142" s="1149"/>
      <c r="AC142" s="1149"/>
      <c r="AD142" s="1149"/>
      <c r="AE142" s="808"/>
      <c r="AF142" s="1149"/>
      <c r="AG142" s="1149"/>
      <c r="AH142" s="1149"/>
      <c r="AI142" s="1149"/>
      <c r="AJ142" s="808"/>
      <c r="AK142" s="1149"/>
      <c r="AL142" s="1149"/>
      <c r="AM142" s="1149"/>
      <c r="AN142" s="1149"/>
      <c r="AO142" s="808"/>
      <c r="AP142" s="1149"/>
      <c r="AQ142" s="1149"/>
      <c r="AR142" s="1149"/>
      <c r="AS142" s="1149"/>
      <c r="AT142" s="808"/>
      <c r="AU142" s="1149"/>
      <c r="AV142" s="1149"/>
      <c r="AW142" s="1149"/>
      <c r="AX142" s="1149"/>
      <c r="AY142" s="808"/>
      <c r="AZ142" s="1149"/>
      <c r="BA142" s="1149"/>
      <c r="BB142" s="1149"/>
      <c r="BC142" s="1149"/>
      <c r="BD142" s="808"/>
      <c r="BE142" s="1149"/>
      <c r="BF142" s="1149"/>
      <c r="BG142" s="1149"/>
      <c r="BH142" s="1149"/>
      <c r="BI142" s="808"/>
      <c r="BJ142" s="1149"/>
      <c r="BK142" s="1149"/>
      <c r="BL142" s="1149"/>
      <c r="BM142" s="1149"/>
      <c r="BN142" s="808"/>
      <c r="BO142" s="1149"/>
      <c r="BP142" s="1149"/>
      <c r="BQ142" s="1149"/>
      <c r="BR142" s="1149"/>
      <c r="BS142" s="808"/>
      <c r="BT142" s="1293"/>
      <c r="BU142" s="1293"/>
      <c r="BV142" s="1293"/>
      <c r="BW142" s="1293"/>
      <c r="BX142" s="1154"/>
      <c r="BY142" s="1293">
        <f t="shared" ref="BY142:EF142" si="462">(BY141-BT141)*100</f>
        <v>-0.44240610415892112</v>
      </c>
      <c r="BZ142" s="1293">
        <f t="shared" si="462"/>
        <v>-0.40020251790320316</v>
      </c>
      <c r="CA142" s="1293">
        <f t="shared" si="462"/>
        <v>5.8337014789922037E-2</v>
      </c>
      <c r="CB142" s="1293">
        <f t="shared" si="462"/>
        <v>-0.3766607918713194</v>
      </c>
      <c r="CC142" s="1154">
        <f t="shared" si="462"/>
        <v>-0.28933777100756952</v>
      </c>
      <c r="CD142" s="1293">
        <f t="shared" si="462"/>
        <v>0.1899573385788389</v>
      </c>
      <c r="CE142" s="1293">
        <f t="shared" si="462"/>
        <v>0.11908877968136444</v>
      </c>
      <c r="CF142" s="1293">
        <f t="shared" si="462"/>
        <v>-0.35432941043433974</v>
      </c>
      <c r="CG142" s="1293">
        <f t="shared" si="462"/>
        <v>-0.12446523229860951</v>
      </c>
      <c r="CH142" s="1154">
        <f t="shared" si="462"/>
        <v>-5.7207186535723764E-2</v>
      </c>
      <c r="CI142" s="1293">
        <f t="shared" si="462"/>
        <v>-0.10199565918413978</v>
      </c>
      <c r="CJ142" s="1293">
        <f t="shared" si="462"/>
        <v>1.5720794534379579E-2</v>
      </c>
      <c r="CK142" s="1293">
        <f t="shared" si="462"/>
        <v>0.62114989564151513</v>
      </c>
      <c r="CL142" s="1293">
        <f t="shared" si="462"/>
        <v>-0.26135256931464346</v>
      </c>
      <c r="CM142" s="1154">
        <f t="shared" si="462"/>
        <v>9.8752918189537464E-2</v>
      </c>
      <c r="CN142" s="1293">
        <f t="shared" si="462"/>
        <v>-0.27085030653597464</v>
      </c>
      <c r="CO142" s="1293">
        <f t="shared" si="462"/>
        <v>-0.37885626132769801</v>
      </c>
      <c r="CP142" s="1293">
        <f t="shared" si="462"/>
        <v>-0.37692350326613555</v>
      </c>
      <c r="CQ142" s="1293">
        <f t="shared" si="462"/>
        <v>0.73380930390338772</v>
      </c>
      <c r="CR142" s="1154">
        <f t="shared" si="462"/>
        <v>-8.0960384018946563E-2</v>
      </c>
      <c r="CS142" s="1293">
        <f t="shared" si="462"/>
        <v>0.20455054185415378</v>
      </c>
      <c r="CT142" s="1293">
        <f t="shared" si="462"/>
        <v>0.82669543875001361</v>
      </c>
      <c r="CU142" s="1293">
        <f t="shared" si="462"/>
        <v>1.1040594533584525</v>
      </c>
      <c r="CV142" s="1293">
        <f t="shared" si="462"/>
        <v>12.085527984331812</v>
      </c>
      <c r="CW142" s="1154">
        <f t="shared" si="462"/>
        <v>3.5394973219263659</v>
      </c>
      <c r="CX142" s="1293">
        <f t="shared" si="462"/>
        <v>0.26246146121496894</v>
      </c>
      <c r="CY142" s="1293">
        <f t="shared" si="462"/>
        <v>-1.0669619886733983</v>
      </c>
      <c r="CZ142" s="1293">
        <f t="shared" si="462"/>
        <v>-1.876874300943232</v>
      </c>
      <c r="DA142" s="1293">
        <f t="shared" si="462"/>
        <v>-12.073720499893826</v>
      </c>
      <c r="DB142" s="1154">
        <f t="shared" si="462"/>
        <v>-3.6857456130201305</v>
      </c>
      <c r="DC142" s="1293">
        <f t="shared" si="462"/>
        <v>-2.8361904252142911</v>
      </c>
      <c r="DD142" s="1293">
        <f t="shared" si="462"/>
        <v>-0.99142641138930676</v>
      </c>
      <c r="DE142" s="1293">
        <f t="shared" si="462"/>
        <v>1.7880963295402452E-2</v>
      </c>
      <c r="DF142" s="1293">
        <f t="shared" si="462"/>
        <v>-8.9103575025495374E-2</v>
      </c>
      <c r="DG142" s="1154">
        <f t="shared" si="462"/>
        <v>-0.95614453376743347</v>
      </c>
      <c r="DH142" s="1293">
        <f t="shared" si="462"/>
        <v>2.0709539634425234</v>
      </c>
      <c r="DI142" s="1293">
        <f t="shared" si="462"/>
        <v>0.30221021944573101</v>
      </c>
      <c r="DJ142" s="1293">
        <f t="shared" si="462"/>
        <v>-0.30526005336785067</v>
      </c>
      <c r="DK142" s="1293">
        <f t="shared" si="462"/>
        <v>-0.94655192995817261</v>
      </c>
      <c r="DL142" s="1154">
        <f t="shared" si="462"/>
        <v>0.26124506347103837</v>
      </c>
      <c r="DM142" s="1293">
        <f t="shared" si="462"/>
        <v>-0.59619218465729595</v>
      </c>
      <c r="DN142" s="1293">
        <f t="shared" si="462"/>
        <v>0.23774392247484233</v>
      </c>
      <c r="DO142" s="1293">
        <f t="shared" si="462"/>
        <v>0.47047503831182391</v>
      </c>
      <c r="DP142" s="1293">
        <f t="shared" si="462"/>
        <v>0.76587190597920962</v>
      </c>
      <c r="DQ142" s="1154">
        <f t="shared" si="462"/>
        <v>0.22964907779479127</v>
      </c>
      <c r="DR142" s="1293">
        <f>(DR141-DM141)*100</f>
        <v>1.2682964770222793</v>
      </c>
      <c r="DS142" s="1293">
        <f t="shared" si="462"/>
        <v>0.19276390576349334</v>
      </c>
      <c r="DT142" s="1293">
        <f t="shared" si="462"/>
        <v>0.42001698566195289</v>
      </c>
      <c r="DU142" s="1293">
        <f t="shared" si="462"/>
        <v>1.3200436679770777</v>
      </c>
      <c r="DV142" s="1154">
        <f t="shared" si="462"/>
        <v>0.81866724732678753</v>
      </c>
      <c r="DW142" s="1293">
        <f t="shared" si="462"/>
        <v>0.14548660337220243</v>
      </c>
      <c r="DX142" s="1293">
        <f t="shared" si="462"/>
        <v>1.1592002445842686</v>
      </c>
      <c r="DY142" s="1293">
        <f t="shared" si="462"/>
        <v>0.43662624233089531</v>
      </c>
      <c r="DZ142" s="1293">
        <f t="shared" si="462"/>
        <v>-0.92916208711991688</v>
      </c>
      <c r="EA142" s="1154">
        <f t="shared" si="462"/>
        <v>0.18287584714583582</v>
      </c>
      <c r="EB142" s="1293">
        <f t="shared" si="462"/>
        <v>-0.5465165059633903</v>
      </c>
      <c r="EC142" s="1293">
        <f t="shared" si="462"/>
        <v>-0.49174399950395742</v>
      </c>
      <c r="ED142" s="1293">
        <f t="shared" si="462"/>
        <v>-0.55462823829387498</v>
      </c>
      <c r="EE142" s="1293">
        <f t="shared" si="462"/>
        <v>-1.3901414636507958E-2</v>
      </c>
      <c r="EF142" s="1154">
        <f t="shared" si="462"/>
        <v>-0.40043939317681021</v>
      </c>
      <c r="EG142" s="1015"/>
      <c r="EH142" s="1016"/>
      <c r="EI142" s="1016"/>
      <c r="EJ142" s="1017"/>
      <c r="EK142" s="1154">
        <f>(EK141-EF141)*100</f>
        <v>9.7534570421409228E-2</v>
      </c>
      <c r="EL142" s="1015"/>
      <c r="EM142" s="1016"/>
      <c r="EN142" s="1016"/>
      <c r="EO142" s="1017"/>
      <c r="EP142" s="1154">
        <f>(EP141-EK141)*100</f>
        <v>0</v>
      </c>
      <c r="EQ142" s="1015"/>
      <c r="ER142" s="1016"/>
      <c r="ES142" s="1016"/>
      <c r="ET142" s="1017"/>
      <c r="EU142" s="1154">
        <f>(EU141-EP141)*100</f>
        <v>0</v>
      </c>
      <c r="EV142" s="1015"/>
      <c r="EW142" s="1016"/>
      <c r="EX142" s="1016"/>
      <c r="EY142" s="1017"/>
      <c r="EZ142" s="1154">
        <f>(EZ141-EU141)*100</f>
        <v>0</v>
      </c>
      <c r="FA142" s="1015"/>
      <c r="FB142" s="1016"/>
      <c r="FC142" s="1016"/>
      <c r="FD142" s="1017"/>
      <c r="FE142" s="1154">
        <f>(FE141-EZ141)*100</f>
        <v>0</v>
      </c>
      <c r="FF142" s="721"/>
      <c r="FG142" s="690"/>
      <c r="FH142" s="754"/>
      <c r="FI142" s="754"/>
      <c r="FJ142" s="754"/>
      <c r="FK142" s="754"/>
      <c r="FL142" s="690"/>
      <c r="FM142" s="708"/>
      <c r="FN142" s="708"/>
      <c r="FO142" s="723"/>
      <c r="FP142" s="723"/>
      <c r="FQ142" s="723"/>
      <c r="FR142" s="1295">
        <f>+EE144/3*2</f>
        <v>4.329702482000001</v>
      </c>
      <c r="FS142" s="723"/>
      <c r="FT142" s="723"/>
      <c r="FU142" s="690"/>
      <c r="FV142"/>
      <c r="FW142"/>
      <c r="FX142"/>
      <c r="FY142"/>
      <c r="FZ142"/>
      <c r="GA142"/>
      <c r="GB142" s="961"/>
      <c r="GC142" s="535"/>
      <c r="GD142" s="535"/>
      <c r="GE142" s="535"/>
      <c r="GF142" s="535"/>
      <c r="GG142" s="535"/>
      <c r="GH142" s="535"/>
      <c r="GI142" s="535"/>
      <c r="GJ142" s="535"/>
      <c r="GK142" s="535"/>
      <c r="GL142" s="535"/>
      <c r="GM142" s="535"/>
      <c r="GN142" s="535"/>
      <c r="GO142" s="535"/>
      <c r="GP142" s="535"/>
      <c r="GQ142" s="535"/>
      <c r="GR142" s="535"/>
      <c r="GS142" s="535"/>
      <c r="GT142" s="535"/>
      <c r="GU142" s="535"/>
      <c r="GV142" s="535"/>
      <c r="GW142" s="535"/>
      <c r="GX142" s="535"/>
      <c r="GY142" s="535"/>
      <c r="GZ142" s="535"/>
      <c r="HA142" s="535"/>
      <c r="HB142" s="535"/>
      <c r="HC142" s="535"/>
      <c r="HD142" s="535"/>
      <c r="HE142" s="535"/>
      <c r="HF142" s="535"/>
      <c r="HG142" s="535"/>
      <c r="HH142" s="535"/>
      <c r="HI142" s="535"/>
      <c r="HJ142" s="535"/>
      <c r="HK142" s="535"/>
      <c r="HL142" s="535"/>
      <c r="HM142" s="535"/>
      <c r="HN142" s="535"/>
      <c r="HO142" s="535"/>
      <c r="HP142" s="535"/>
      <c r="HQ142" s="535"/>
      <c r="HR142" s="535"/>
      <c r="HS142" s="535"/>
      <c r="HT142" s="535"/>
      <c r="HU142" s="535"/>
      <c r="HV142" s="535"/>
      <c r="HW142" s="535"/>
      <c r="HX142" s="535"/>
      <c r="HY142" s="535"/>
      <c r="HZ142" s="535"/>
      <c r="IA142" s="535"/>
      <c r="IB142" s="535"/>
      <c r="IC142" s="535"/>
      <c r="ID142" s="535"/>
      <c r="IE142" s="535"/>
      <c r="IF142" s="535"/>
      <c r="IG142" s="535"/>
      <c r="IH142" s="535"/>
      <c r="II142" s="535"/>
      <c r="IJ142" s="535"/>
      <c r="IK142" s="535"/>
      <c r="IL142" s="535"/>
      <c r="IM142" s="535"/>
      <c r="IN142" s="535"/>
      <c r="IO142" s="535"/>
      <c r="IP142" s="535"/>
      <c r="IQ142" s="535"/>
      <c r="IR142" s="535"/>
      <c r="IS142" s="535"/>
      <c r="IT142" s="535"/>
      <c r="IU142" s="535"/>
      <c r="IV142" s="535"/>
      <c r="IW142" s="535"/>
      <c r="IX142" s="535"/>
      <c r="IY142" s="535"/>
      <c r="IZ142" s="535"/>
      <c r="JA142" s="535"/>
      <c r="JB142" s="535"/>
      <c r="JC142" s="535"/>
      <c r="JD142" s="535"/>
      <c r="JE142" s="535"/>
      <c r="JF142" s="535"/>
      <c r="JG142" s="535"/>
      <c r="JH142" s="535"/>
      <c r="JI142" s="535"/>
      <c r="JJ142" s="535"/>
      <c r="JK142" s="535"/>
      <c r="JL142" s="535"/>
    </row>
    <row r="143" spans="1:272" s="726" customFormat="1" ht="12.75" hidden="1" customHeight="1" outlineLevel="1">
      <c r="A143" s="1291" t="s">
        <v>88</v>
      </c>
      <c r="B143" s="1292"/>
      <c r="C143" s="1016"/>
      <c r="D143" s="1016"/>
      <c r="E143" s="1016"/>
      <c r="F143" s="808"/>
      <c r="G143" s="1149"/>
      <c r="H143" s="1149"/>
      <c r="I143" s="1149"/>
      <c r="J143" s="1149"/>
      <c r="K143" s="808"/>
      <c r="L143" s="1149"/>
      <c r="M143" s="1149"/>
      <c r="N143" s="1149"/>
      <c r="O143" s="1149"/>
      <c r="P143" s="808"/>
      <c r="Q143" s="1149"/>
      <c r="R143" s="1149"/>
      <c r="S143" s="1149"/>
      <c r="T143" s="1149"/>
      <c r="U143" s="808"/>
      <c r="V143" s="1149"/>
      <c r="W143" s="1149"/>
      <c r="X143" s="1149"/>
      <c r="Y143" s="1149"/>
      <c r="Z143" s="808"/>
      <c r="AA143" s="1149"/>
      <c r="AB143" s="1149"/>
      <c r="AC143" s="1149"/>
      <c r="AD143" s="1149"/>
      <c r="AE143" s="808"/>
      <c r="AF143" s="1149"/>
      <c r="AG143" s="1149"/>
      <c r="AH143" s="1149"/>
      <c r="AI143" s="1149"/>
      <c r="AJ143" s="808"/>
      <c r="AK143" s="1149"/>
      <c r="AL143" s="1149"/>
      <c r="AM143" s="1149"/>
      <c r="AN143" s="1149"/>
      <c r="AO143" s="808"/>
      <c r="AP143" s="1149"/>
      <c r="AQ143" s="1149"/>
      <c r="AR143" s="1149"/>
      <c r="AS143" s="1149"/>
      <c r="AT143" s="808"/>
      <c r="AU143" s="1149"/>
      <c r="AV143" s="1149"/>
      <c r="AW143" s="1149"/>
      <c r="AX143" s="1149"/>
      <c r="AY143" s="808"/>
      <c r="AZ143" s="1149"/>
      <c r="BA143" s="1149"/>
      <c r="BB143" s="1149"/>
      <c r="BC143" s="1149"/>
      <c r="BD143" s="808"/>
      <c r="BE143" s="1149"/>
      <c r="BF143" s="1149"/>
      <c r="BG143" s="1149"/>
      <c r="BH143" s="1149"/>
      <c r="BI143" s="808"/>
      <c r="BJ143" s="1149"/>
      <c r="BK143" s="1149"/>
      <c r="BL143" s="1149"/>
      <c r="BM143" s="1149"/>
      <c r="BN143" s="808"/>
      <c r="BO143" s="1149"/>
      <c r="BP143" s="1149"/>
      <c r="BQ143" s="1149"/>
      <c r="BR143" s="1149"/>
      <c r="BS143" s="808"/>
      <c r="BT143" s="1293"/>
      <c r="BU143" s="1293">
        <f>+(BU141-BT141)*100</f>
        <v>-8.2576047533322594E-2</v>
      </c>
      <c r="BV143" s="1293">
        <f>+(BV141-BU141)*100</f>
        <v>-0.43156109205003679</v>
      </c>
      <c r="BW143" s="1293">
        <f>+(BW141-BV141)*100</f>
        <v>0.20969784390322266</v>
      </c>
      <c r="BX143" s="1154"/>
      <c r="BY143" s="1293">
        <f>+(BY141-BW141)*100</f>
        <v>-0.1379668084787844</v>
      </c>
      <c r="BZ143" s="1293">
        <f>+(BZ141-BY141)*100</f>
        <v>-4.0372461277604632E-2</v>
      </c>
      <c r="CA143" s="1293">
        <f>+(CA141-BZ141)*100</f>
        <v>2.6978440643088408E-2</v>
      </c>
      <c r="CB143" s="1293">
        <f>+(CB141-CA141)*100</f>
        <v>-0.22529996275801878</v>
      </c>
      <c r="CC143" s="1154">
        <f>CC142</f>
        <v>-0.28933777100756952</v>
      </c>
      <c r="CD143" s="1293">
        <f>+(CD141-CB141)*100</f>
        <v>0.4286513219713739</v>
      </c>
      <c r="CE143" s="1293">
        <f>+(CE141-CD141)*100</f>
        <v>-0.11124102017507909</v>
      </c>
      <c r="CF143" s="1293">
        <f>+(CF141-CE141)*100</f>
        <v>-0.44643974947261578</v>
      </c>
      <c r="CG143" s="1293">
        <f>+(CG141-CF141)*100</f>
        <v>4.5642153777114558E-3</v>
      </c>
      <c r="CH143" s="1154">
        <f>CH142</f>
        <v>-5.7207186535723764E-2</v>
      </c>
      <c r="CI143" s="1293">
        <f>+(CI141-CG141)*100</f>
        <v>0.45112089508584363</v>
      </c>
      <c r="CJ143" s="1293">
        <f>+(CJ141-CI141)*100</f>
        <v>6.4754335434402677E-3</v>
      </c>
      <c r="CK143" s="1293">
        <f>+(CK141-CJ141)*100</f>
        <v>0.15898935163451977</v>
      </c>
      <c r="CL143" s="1293">
        <f>+(CL141-CK141)*100</f>
        <v>-0.87793824957844713</v>
      </c>
      <c r="CM143" s="1154">
        <f>CM142</f>
        <v>9.8752918189537464E-2</v>
      </c>
      <c r="CN143" s="1293">
        <f>+(CN141-CL141)*100</f>
        <v>0.44162315786451245</v>
      </c>
      <c r="CO143" s="1293">
        <f>+(CO141-CN141)*100</f>
        <v>-0.1015305212482831</v>
      </c>
      <c r="CP143" s="1293">
        <f>+(CP141-CO141)*100</f>
        <v>0.16092210969608223</v>
      </c>
      <c r="CQ143" s="1293">
        <f>+(CQ141-CP141)*100</f>
        <v>0.23279455759107615</v>
      </c>
      <c r="CR143" s="1154">
        <f>CR142</f>
        <v>-8.0960384018946563E-2</v>
      </c>
      <c r="CS143" s="1293">
        <f>+(CS141-CQ141)*100</f>
        <v>-8.7635604184721494E-2</v>
      </c>
      <c r="CT143" s="1293">
        <f>+(CT141-CS141)*100</f>
        <v>0.52061437564757673</v>
      </c>
      <c r="CU143" s="1293">
        <f>+(CU141-CT141)*100</f>
        <v>0.43828612430452107</v>
      </c>
      <c r="CV143" s="1293">
        <f>+(CV141-CU141)*100</f>
        <v>11.214263088564437</v>
      </c>
      <c r="CW143" s="1154">
        <f>CW142</f>
        <v>3.5394973219263659</v>
      </c>
      <c r="CX143" s="1293">
        <f>+(CX141-CV141)*100</f>
        <v>-11.910702127301565</v>
      </c>
      <c r="CY143" s="1293">
        <f>+(CY141-CX141)*100</f>
        <v>-0.80880907424079052</v>
      </c>
      <c r="CZ143" s="1293">
        <f>+(CZ141-CY141)*100</f>
        <v>-0.37162618796531266</v>
      </c>
      <c r="DA143" s="1293">
        <f>+(DA141-CZ141)*100</f>
        <v>1.0174168896138425</v>
      </c>
      <c r="DB143" s="1154">
        <f>DB142</f>
        <v>-3.6857456130201305</v>
      </c>
      <c r="DC143" s="1293">
        <f>+(DC141-DA141)*100</f>
        <v>-2.6731720526220304</v>
      </c>
      <c r="DD143" s="1293">
        <f>+(DD141-DC141)*100</f>
        <v>1.0359549395841938</v>
      </c>
      <c r="DE143" s="1293">
        <f>+(DE141-DD141)*100</f>
        <v>0.63768118671939655</v>
      </c>
      <c r="DF143" s="1293">
        <f>+(DF141-DE141)*100</f>
        <v>0.91043235129294464</v>
      </c>
      <c r="DG143" s="1154">
        <f>DG142</f>
        <v>-0.95614453376743347</v>
      </c>
      <c r="DH143" s="1293">
        <f>+(DH141-DF141)*100</f>
        <v>-0.51311451415401166</v>
      </c>
      <c r="DI143" s="1293">
        <f>+(DI141-DH141)*100</f>
        <v>-0.73278880441259853</v>
      </c>
      <c r="DJ143" s="1293">
        <f>+(DJ141-DI141)*100</f>
        <v>3.0210913905814873E-2</v>
      </c>
      <c r="DK143" s="1293">
        <f>+(DK141-DJ141)*100</f>
        <v>0.2691404747026227</v>
      </c>
      <c r="DL143" s="1154"/>
      <c r="DM143" s="1293">
        <f>+(DM141-DK141)*100</f>
        <v>-0.162754768853135</v>
      </c>
      <c r="DN143" s="1293">
        <f>+(DN141-DM141)*100</f>
        <v>0.10114730271953976</v>
      </c>
      <c r="DO143" s="1293">
        <f>+(DO141-DN141)*100</f>
        <v>0.26294202974279646</v>
      </c>
      <c r="DP143" s="1293">
        <f>+(DP141-DO141)*100</f>
        <v>0.56453734237000841</v>
      </c>
      <c r="DQ143" s="1154"/>
      <c r="DR143" s="1355">
        <f>+(DR141-DP141)*100</f>
        <v>0.3396698021899347</v>
      </c>
      <c r="DS143" s="1355">
        <f>+(DS141-DR141)*100</f>
        <v>-0.97438526853924623</v>
      </c>
      <c r="DT143" s="1293">
        <f>+(DT141-DS141)*100</f>
        <v>0.49019510964125601</v>
      </c>
      <c r="DU143" s="1293">
        <f>+(DU141-DT141)*100</f>
        <v>1.4645640246851332</v>
      </c>
      <c r="DV143" s="1154"/>
      <c r="DW143" s="1355">
        <f>+(DW141-DU141)*100</f>
        <v>-0.8348872624149406</v>
      </c>
      <c r="DX143" s="1355">
        <f>+(DX141-DW141)*100</f>
        <v>3.9328372672819967E-2</v>
      </c>
      <c r="DY143" s="1293">
        <f>+(DY141-DX141)*100</f>
        <v>-0.2323788926121173</v>
      </c>
      <c r="DZ143" s="1293">
        <f>+(DZ141-DY141)*100</f>
        <v>9.8775695234321059E-2</v>
      </c>
      <c r="EA143" s="1154"/>
      <c r="EB143" s="1355">
        <f>+(EB141-DZ141)*100</f>
        <v>-0.45224168125841402</v>
      </c>
      <c r="EC143" s="1355">
        <f>+(EC141-EB141)*100</f>
        <v>9.4100879132252846E-2</v>
      </c>
      <c r="ED143" s="1293">
        <f>+(ED141-EC141)*100</f>
        <v>-0.29526313140203486</v>
      </c>
      <c r="EE143" s="1355">
        <f>+(EE141-ED141)*100</f>
        <v>0.63950251889168808</v>
      </c>
      <c r="EF143" s="1154"/>
      <c r="EG143" s="1015"/>
      <c r="EH143" s="1016"/>
      <c r="EI143" s="1016"/>
      <c r="EJ143" s="1017"/>
      <c r="EK143" s="1154"/>
      <c r="EL143" s="1015"/>
      <c r="EM143" s="1016"/>
      <c r="EN143" s="1016"/>
      <c r="EO143" s="1017"/>
      <c r="EP143" s="1154"/>
      <c r="EQ143" s="1015"/>
      <c r="ER143" s="1016"/>
      <c r="ES143" s="1016"/>
      <c r="ET143" s="1017"/>
      <c r="EU143" s="1154"/>
      <c r="EV143" s="1015"/>
      <c r="EW143" s="1016"/>
      <c r="EX143" s="1016"/>
      <c r="EY143" s="1017"/>
      <c r="EZ143" s="1154"/>
      <c r="FA143" s="1015"/>
      <c r="FB143" s="1016"/>
      <c r="FC143" s="1016"/>
      <c r="FD143" s="1017"/>
      <c r="FE143" s="1154"/>
      <c r="FF143" s="721"/>
      <c r="FG143" s="690"/>
      <c r="FH143" s="1294">
        <f>AVERAGE(CI143,CN143,DH143,DM143,DC143,CS143,CD143,BY143,BT143,DR143,DW143)</f>
        <v>-0.27484658335959589</v>
      </c>
      <c r="FI143" s="1294">
        <f>AVERAGE(CJ143,CO143,DI143,DN143,DD143,CT143,CY143,CE143,BZ143,BU143,DS143,DX143)</f>
        <v>-9.5681897771612845E-2</v>
      </c>
      <c r="FJ143" s="1294">
        <f>AVERAGE(CK143,CP143,DJ143,DO143,DE143,CU143,CZ143,CF143,CA143,BV143,DT143,DY143)</f>
        <v>6.0349945348949406E-2</v>
      </c>
      <c r="FK143" s="1294">
        <f>AVERAGE(CL143,CQ143,DK143,DP143,DF143,CV143,DA143,CG143,CB143,BW143,DU143,DZ143)</f>
        <v>1.2402456892499045</v>
      </c>
      <c r="FL143" s="690"/>
      <c r="FM143" s="708"/>
      <c r="FN143" s="708"/>
      <c r="FO143" s="723"/>
      <c r="FP143" s="723"/>
      <c r="FQ143" s="723"/>
      <c r="FR143" s="723"/>
      <c r="FS143" s="723"/>
      <c r="FT143" s="723"/>
      <c r="FU143" s="690"/>
      <c r="FV143"/>
      <c r="FW143"/>
      <c r="FX143"/>
      <c r="FY143"/>
      <c r="FZ143"/>
      <c r="GA143"/>
      <c r="GB143" s="961"/>
      <c r="GC143" s="535"/>
      <c r="GD143" s="535"/>
      <c r="GE143" s="535"/>
      <c r="GF143" s="535"/>
      <c r="GG143" s="535"/>
      <c r="GH143" s="535"/>
      <c r="GI143" s="535"/>
      <c r="GJ143" s="535"/>
      <c r="GK143" s="535"/>
      <c r="GL143" s="535"/>
      <c r="GM143" s="535"/>
      <c r="GN143" s="535"/>
      <c r="GO143" s="535"/>
      <c r="GP143" s="535"/>
      <c r="GQ143" s="535"/>
      <c r="GR143" s="535"/>
      <c r="GS143" s="535"/>
      <c r="GT143" s="535"/>
      <c r="GU143" s="535"/>
      <c r="GV143" s="535"/>
      <c r="GW143" s="535"/>
      <c r="GX143" s="535"/>
      <c r="GY143" s="535"/>
      <c r="GZ143" s="535"/>
      <c r="HA143" s="535"/>
      <c r="HB143" s="535"/>
      <c r="HC143" s="535"/>
      <c r="HD143" s="535"/>
      <c r="HE143" s="535"/>
      <c r="HF143" s="535"/>
      <c r="HG143" s="535"/>
      <c r="HH143" s="535"/>
      <c r="HI143" s="535"/>
      <c r="HJ143" s="535"/>
      <c r="HK143" s="535"/>
      <c r="HL143" s="535"/>
      <c r="HM143" s="535"/>
      <c r="HN143" s="535"/>
      <c r="HO143" s="535"/>
      <c r="HP143" s="535"/>
      <c r="HQ143" s="535"/>
      <c r="HR143" s="535"/>
      <c r="HS143" s="535"/>
      <c r="HT143" s="535"/>
      <c r="HU143" s="535"/>
      <c r="HV143" s="535"/>
      <c r="HW143" s="535"/>
      <c r="HX143" s="535"/>
      <c r="HY143" s="535"/>
      <c r="HZ143" s="535"/>
      <c r="IA143" s="535"/>
      <c r="IB143" s="535"/>
      <c r="IC143" s="535"/>
      <c r="ID143" s="535"/>
      <c r="IE143" s="535"/>
      <c r="IF143" s="535"/>
      <c r="IG143" s="535"/>
      <c r="IH143" s="535"/>
      <c r="II143" s="535"/>
      <c r="IJ143" s="535"/>
      <c r="IK143" s="535"/>
      <c r="IL143" s="535"/>
      <c r="IM143" s="535"/>
      <c r="IN143" s="535"/>
      <c r="IO143" s="535"/>
      <c r="IP143" s="535"/>
      <c r="IQ143" s="535"/>
      <c r="IR143" s="535"/>
      <c r="IS143" s="535"/>
      <c r="IT143" s="535"/>
      <c r="IU143" s="535"/>
      <c r="IV143" s="535"/>
      <c r="IW143" s="535"/>
      <c r="IX143" s="535"/>
      <c r="IY143" s="535"/>
      <c r="IZ143" s="535"/>
      <c r="JA143" s="535"/>
      <c r="JB143" s="535"/>
      <c r="JC143" s="535"/>
      <c r="JD143" s="535"/>
      <c r="JE143" s="535"/>
      <c r="JF143" s="535"/>
      <c r="JG143" s="535"/>
      <c r="JH143" s="535"/>
      <c r="JI143" s="535"/>
      <c r="JJ143" s="535"/>
      <c r="JK143" s="535"/>
      <c r="JL143" s="535"/>
    </row>
    <row r="144" spans="1:272" s="861" customFormat="1" ht="12.75" hidden="1" customHeight="1" outlineLevel="1">
      <c r="A144" s="1320" t="s">
        <v>194</v>
      </c>
      <c r="B144" s="1219"/>
      <c r="C144" s="854"/>
      <c r="D144" s="854"/>
      <c r="E144" s="854"/>
      <c r="F144" s="1221"/>
      <c r="G144" s="854"/>
      <c r="H144" s="854"/>
      <c r="I144" s="854"/>
      <c r="J144" s="854"/>
      <c r="K144" s="1221"/>
      <c r="L144" s="854"/>
      <c r="M144" s="854"/>
      <c r="N144" s="854"/>
      <c r="O144" s="854"/>
      <c r="P144" s="1221"/>
      <c r="Q144" s="854"/>
      <c r="R144" s="854"/>
      <c r="S144" s="854"/>
      <c r="T144" s="854"/>
      <c r="U144" s="1221"/>
      <c r="V144" s="854"/>
      <c r="W144" s="854"/>
      <c r="X144" s="854"/>
      <c r="Y144" s="854"/>
      <c r="Z144" s="1221"/>
      <c r="AA144" s="854"/>
      <c r="AB144" s="854"/>
      <c r="AC144" s="854"/>
      <c r="AD144" s="854"/>
      <c r="AE144" s="1221"/>
      <c r="AF144" s="854"/>
      <c r="AG144" s="854"/>
      <c r="AH144" s="854"/>
      <c r="AI144" s="854"/>
      <c r="AJ144" s="1221"/>
      <c r="AK144" s="854"/>
      <c r="AL144" s="854"/>
      <c r="AM144" s="854"/>
      <c r="AN144" s="854"/>
      <c r="AO144" s="1221"/>
      <c r="AP144" s="854"/>
      <c r="AQ144" s="854"/>
      <c r="AR144" s="854"/>
      <c r="AS144" s="854"/>
      <c r="AT144" s="1221"/>
      <c r="AU144" s="854"/>
      <c r="AV144" s="854"/>
      <c r="AW144" s="854"/>
      <c r="AX144" s="854"/>
      <c r="AY144" s="1221"/>
      <c r="AZ144" s="854"/>
      <c r="BA144" s="854"/>
      <c r="BB144" s="854"/>
      <c r="BC144" s="854"/>
      <c r="BD144" s="1221"/>
      <c r="BE144" s="854"/>
      <c r="BF144" s="854"/>
      <c r="BG144" s="854"/>
      <c r="BH144" s="854"/>
      <c r="BI144" s="1221"/>
      <c r="BJ144" s="854"/>
      <c r="BK144" s="854"/>
      <c r="BL144" s="854"/>
      <c r="BM144" s="854"/>
      <c r="BN144" s="1221"/>
      <c r="BO144" s="854"/>
      <c r="BP144" s="854"/>
      <c r="BQ144" s="854"/>
      <c r="BR144" s="854"/>
      <c r="BS144" s="1221"/>
      <c r="BT144" s="854">
        <v>3.5790000000000002</v>
      </c>
      <c r="BU144" s="854">
        <v>3.9660000000000002</v>
      </c>
      <c r="BV144" s="854">
        <v>5.3159999999999998</v>
      </c>
      <c r="BW144" s="854">
        <v>4.6189999999999998</v>
      </c>
      <c r="BX144" s="1221">
        <v>17.48</v>
      </c>
      <c r="BY144" s="854">
        <v>4.9770000000000003</v>
      </c>
      <c r="BZ144" s="854">
        <v>5.3579999999999997</v>
      </c>
      <c r="CA144" s="854">
        <v>5.71</v>
      </c>
      <c r="CB144" s="854">
        <v>6.673</v>
      </c>
      <c r="CC144" s="1221">
        <v>22.718000000000004</v>
      </c>
      <c r="CD144" s="854">
        <v>5.03</v>
      </c>
      <c r="CE144" s="854">
        <v>5.6340000000000003</v>
      </c>
      <c r="CF144" s="854">
        <v>7.8890000000000002</v>
      </c>
      <c r="CG144" s="854">
        <v>8.1189999999999998</v>
      </c>
      <c r="CH144" s="1221">
        <v>26.672000000000001</v>
      </c>
      <c r="CI144" s="854">
        <v>6.1849999999999996</v>
      </c>
      <c r="CJ144" s="854">
        <v>6.093</v>
      </c>
      <c r="CK144" s="854">
        <v>5.4619999999999997</v>
      </c>
      <c r="CL144" s="854">
        <v>7.9089999999999998</v>
      </c>
      <c r="CM144" s="1221">
        <v>25.648999999999997</v>
      </c>
      <c r="CN144" s="854">
        <v>6.5359999999999996</v>
      </c>
      <c r="CO144" s="854">
        <v>6.9349999999999996</v>
      </c>
      <c r="CP144" s="854">
        <v>6.1879999999999997</v>
      </c>
      <c r="CQ144" s="854">
        <v>5.94</v>
      </c>
      <c r="CR144" s="1221">
        <v>25.599</v>
      </c>
      <c r="CS144" s="854">
        <v>6.2629999999999999</v>
      </c>
      <c r="CT144" s="854">
        <v>4.9539999999999997</v>
      </c>
      <c r="CU144" s="854">
        <v>3.6779999999999999</v>
      </c>
      <c r="CV144" s="854">
        <v>-38.578000000000003</v>
      </c>
      <c r="CW144" s="1221">
        <v>-23.683000000000003</v>
      </c>
      <c r="CX144" s="854">
        <v>4.9740000000000002</v>
      </c>
      <c r="CY144" s="854">
        <v>7.7990000000000004</v>
      </c>
      <c r="CZ144" s="854">
        <v>9.532</v>
      </c>
      <c r="DA144" s="854">
        <v>5.923</v>
      </c>
      <c r="DB144" s="1221">
        <v>28.228000000000002</v>
      </c>
      <c r="DC144" s="854">
        <f>12.856+2.8</f>
        <v>15.655999999999999</v>
      </c>
      <c r="DD144" s="854">
        <v>13.007999999999999</v>
      </c>
      <c r="DE144" s="854">
        <f>-6.282+16.4</f>
        <v>10.117999999999999</v>
      </c>
      <c r="DF144" s="854">
        <v>6.6929999999999996</v>
      </c>
      <c r="DG144" s="1221">
        <f>26.275+19.181</f>
        <v>45.456000000000003</v>
      </c>
      <c r="DH144" s="854">
        <v>8.6460000000000008</v>
      </c>
      <c r="DI144" s="854">
        <v>12.095000000000001</v>
      </c>
      <c r="DJ144" s="854">
        <v>12.679</v>
      </c>
      <c r="DK144" s="854">
        <f>21.327-10</f>
        <v>11.327000000000002</v>
      </c>
      <c r="DL144" s="1221">
        <f>SUM(DH144:DK144)</f>
        <v>44.747</v>
      </c>
      <c r="DM144" s="854">
        <v>12.294</v>
      </c>
      <c r="DN144" s="854">
        <v>12.688000000000001</v>
      </c>
      <c r="DO144" s="854">
        <v>10.99</v>
      </c>
      <c r="DP144" s="854">
        <v>8.6440000000000001</v>
      </c>
      <c r="DQ144" s="1221">
        <f>SUM(DM144:DP144)</f>
        <v>44.616</v>
      </c>
      <c r="DR144" s="854">
        <v>6.532</v>
      </c>
      <c r="DS144" s="854">
        <v>9.7750000000000004</v>
      </c>
      <c r="DT144" s="854">
        <v>8.1780000000000008</v>
      </c>
      <c r="DU144" s="854">
        <v>2.718</v>
      </c>
      <c r="DV144" s="1221">
        <f>SUM(DR144:DU144)</f>
        <v>27.203000000000003</v>
      </c>
      <c r="DW144" s="854">
        <v>6.1740000000000004</v>
      </c>
      <c r="DX144" s="854">
        <v>6.4180000000000001</v>
      </c>
      <c r="DY144" s="854">
        <v>7.6020000000000003</v>
      </c>
      <c r="DZ144" s="854">
        <v>6.9989999999999997</v>
      </c>
      <c r="EA144" s="1221">
        <f>SUM(DW144:DZ144)</f>
        <v>27.193000000000001</v>
      </c>
      <c r="EB144" s="854">
        <v>8.6159999999999997</v>
      </c>
      <c r="EC144" s="854">
        <v>8.0039999999999996</v>
      </c>
      <c r="ED144" s="854">
        <v>9</v>
      </c>
      <c r="EE144" s="854">
        <f>EE146*EE151</f>
        <v>6.4945537230000019</v>
      </c>
      <c r="EF144" s="1221">
        <f>SUM(EB144:EE144)</f>
        <v>32.114553723</v>
      </c>
      <c r="EG144" s="853"/>
      <c r="EH144" s="854"/>
      <c r="EI144" s="854"/>
      <c r="EJ144" s="855"/>
      <c r="EK144" s="1221">
        <f>EK146*EK151</f>
        <v>30.199611905248002</v>
      </c>
      <c r="EL144" s="853"/>
      <c r="EM144" s="854"/>
      <c r="EN144" s="854"/>
      <c r="EO144" s="855"/>
      <c r="EP144" s="1221">
        <f>EP146*EP151</f>
        <v>29.957506429857926</v>
      </c>
      <c r="EQ144" s="853"/>
      <c r="ER144" s="854"/>
      <c r="ES144" s="854"/>
      <c r="ET144" s="855"/>
      <c r="EU144" s="1221">
        <f>EU146*EU151</f>
        <v>29.801772714612238</v>
      </c>
      <c r="EV144" s="853"/>
      <c r="EW144" s="854"/>
      <c r="EX144" s="854"/>
      <c r="EY144" s="855"/>
      <c r="EZ144" s="1221">
        <f>EZ146*EZ151</f>
        <v>29.725893447917528</v>
      </c>
      <c r="FA144" s="853"/>
      <c r="FB144" s="854"/>
      <c r="FC144" s="854"/>
      <c r="FD144" s="855"/>
      <c r="FE144" s="1221">
        <f>FE146*FE151</f>
        <v>29.724080512234885</v>
      </c>
      <c r="FF144" s="994"/>
      <c r="FG144" s="690"/>
      <c r="FH144" s="1229"/>
      <c r="FI144" s="1322"/>
      <c r="FJ144" s="1229"/>
      <c r="FK144" s="1229"/>
      <c r="FL144" s="690"/>
      <c r="FM144" s="1116" t="s">
        <v>357</v>
      </c>
      <c r="FN144" s="708"/>
      <c r="FO144" s="1244"/>
      <c r="FP144" s="1244"/>
      <c r="FQ144" s="1244"/>
      <c r="FR144" s="1244"/>
      <c r="FS144" s="1244"/>
      <c r="FT144" s="1244"/>
      <c r="FU144" s="690"/>
      <c r="FV144"/>
      <c r="FW144"/>
      <c r="FX144"/>
      <c r="FY144"/>
      <c r="FZ144"/>
      <c r="GA144"/>
      <c r="GB144" s="1245"/>
      <c r="GC144" s="1323"/>
      <c r="GD144" s="1323"/>
      <c r="GE144" s="1323"/>
      <c r="GF144" s="1323"/>
      <c r="GG144" s="1323"/>
      <c r="GH144" s="1323"/>
      <c r="GI144" s="1323"/>
      <c r="GJ144" s="1323"/>
      <c r="GK144" s="1323"/>
      <c r="GL144" s="1323"/>
      <c r="GM144" s="1323"/>
      <c r="GN144" s="1323"/>
      <c r="GO144" s="1323"/>
      <c r="GP144" s="1323"/>
      <c r="GQ144" s="1323"/>
      <c r="GR144" s="1323"/>
      <c r="GS144" s="1323"/>
      <c r="GT144" s="1323"/>
      <c r="GU144" s="1323"/>
      <c r="GV144" s="1323"/>
      <c r="GW144" s="1323"/>
      <c r="GX144" s="1323"/>
      <c r="GY144" s="1323"/>
      <c r="GZ144" s="1323"/>
      <c r="HA144" s="1323"/>
      <c r="HB144" s="1323"/>
      <c r="HC144" s="1323"/>
      <c r="HD144" s="1323"/>
      <c r="HE144" s="1323"/>
      <c r="HF144" s="1323"/>
      <c r="HG144" s="1323"/>
      <c r="HH144" s="1323"/>
      <c r="HI144" s="1323"/>
      <c r="HJ144" s="1323"/>
      <c r="HK144" s="1323"/>
      <c r="HL144" s="1323"/>
      <c r="HM144" s="1323"/>
      <c r="HN144" s="1323"/>
      <c r="HO144" s="1323"/>
      <c r="HP144" s="1323"/>
      <c r="HQ144" s="1323"/>
      <c r="HR144" s="1323"/>
      <c r="HS144" s="1323"/>
      <c r="HT144" s="1323"/>
      <c r="HU144" s="1323"/>
      <c r="HV144" s="1323"/>
      <c r="HW144" s="1323"/>
      <c r="HX144" s="1323"/>
      <c r="HY144" s="1323"/>
      <c r="HZ144" s="1323"/>
      <c r="IA144" s="1323"/>
      <c r="IB144" s="1323"/>
      <c r="IC144" s="1323"/>
      <c r="ID144" s="1323"/>
      <c r="IE144" s="1323"/>
      <c r="IF144" s="1323"/>
      <c r="IG144" s="1323"/>
      <c r="IH144" s="1323"/>
      <c r="II144" s="1323"/>
      <c r="IJ144" s="1323"/>
      <c r="IK144" s="1323"/>
      <c r="IL144" s="1323"/>
      <c r="IM144" s="1323"/>
      <c r="IN144" s="1323"/>
      <c r="IO144" s="1323"/>
      <c r="IP144" s="1323"/>
      <c r="IQ144" s="1323"/>
      <c r="IR144" s="1323"/>
      <c r="IS144" s="1323"/>
      <c r="IT144" s="1323"/>
      <c r="IU144" s="1323"/>
      <c r="IV144" s="1323"/>
      <c r="IW144" s="1323"/>
      <c r="IX144" s="1323"/>
      <c r="IY144" s="1323"/>
      <c r="IZ144" s="1323"/>
      <c r="JA144" s="1323"/>
      <c r="JB144" s="1323"/>
      <c r="JC144" s="1323"/>
      <c r="JD144" s="1323"/>
      <c r="JE144" s="1323"/>
      <c r="JF144" s="1323"/>
      <c r="JG144" s="1323"/>
      <c r="JH144" s="1323"/>
      <c r="JI144" s="1323"/>
      <c r="JJ144" s="1323"/>
      <c r="JK144" s="1323"/>
      <c r="JL144" s="1323"/>
    </row>
    <row r="145" spans="1:272" s="749" customFormat="1" ht="12.75" hidden="1" customHeight="1" outlineLevel="1">
      <c r="A145" s="58" t="s">
        <v>85</v>
      </c>
      <c r="B145" s="1300"/>
      <c r="C145" s="1301"/>
      <c r="D145" s="1301"/>
      <c r="E145" s="1301"/>
      <c r="F145" s="741"/>
      <c r="G145" s="1257"/>
      <c r="H145" s="1301"/>
      <c r="I145" s="1301"/>
      <c r="J145" s="1301"/>
      <c r="K145" s="741"/>
      <c r="L145" s="1257"/>
      <c r="M145" s="1301"/>
      <c r="N145" s="1301"/>
      <c r="O145" s="1301"/>
      <c r="P145" s="741"/>
      <c r="Q145" s="1257"/>
      <c r="R145" s="1301"/>
      <c r="S145" s="1301"/>
      <c r="T145" s="1301"/>
      <c r="U145" s="741"/>
      <c r="V145" s="1257"/>
      <c r="W145" s="1301"/>
      <c r="X145" s="1302"/>
      <c r="Y145" s="1302"/>
      <c r="Z145" s="741"/>
      <c r="AA145" s="1236"/>
      <c r="AB145" s="1302"/>
      <c r="AC145" s="1302"/>
      <c r="AD145" s="1302"/>
      <c r="AE145" s="741"/>
      <c r="AF145" s="721"/>
      <c r="AG145" s="721"/>
      <c r="AH145" s="721"/>
      <c r="AI145" s="721"/>
      <c r="AJ145" s="741"/>
      <c r="AK145" s="721"/>
      <c r="AL145" s="721"/>
      <c r="AM145" s="721"/>
      <c r="AN145" s="721"/>
      <c r="AO145" s="741"/>
      <c r="AP145" s="721"/>
      <c r="AQ145" s="742"/>
      <c r="AR145" s="742"/>
      <c r="AS145" s="721"/>
      <c r="AT145" s="741"/>
      <c r="AU145" s="721"/>
      <c r="AV145" s="742"/>
      <c r="AW145" s="721"/>
      <c r="AX145" s="721"/>
      <c r="AY145" s="741"/>
      <c r="AZ145" s="721"/>
      <c r="BA145" s="742"/>
      <c r="BB145" s="721"/>
      <c r="BC145" s="721"/>
      <c r="BD145" s="741"/>
      <c r="BE145" s="721"/>
      <c r="BF145" s="742"/>
      <c r="BG145" s="721"/>
      <c r="BH145" s="721"/>
      <c r="BI145" s="741"/>
      <c r="BJ145" s="721"/>
      <c r="BK145" s="742"/>
      <c r="BL145" s="721"/>
      <c r="BM145" s="721"/>
      <c r="BN145" s="741"/>
      <c r="BO145" s="721"/>
      <c r="BP145" s="742"/>
      <c r="BQ145" s="721"/>
      <c r="BR145" s="721"/>
      <c r="BS145" s="741"/>
      <c r="BT145" s="721"/>
      <c r="BU145" s="742"/>
      <c r="BV145" s="721"/>
      <c r="BW145" s="721"/>
      <c r="BX145" s="741"/>
      <c r="BY145" s="721">
        <f t="shared" ref="BY145:EF145" si="463">BY144/BT144-1</f>
        <v>0.39061190276613589</v>
      </c>
      <c r="BZ145" s="742">
        <f t="shared" si="463"/>
        <v>0.35098335854765494</v>
      </c>
      <c r="CA145" s="721">
        <f t="shared" si="463"/>
        <v>7.4115876598946695E-2</v>
      </c>
      <c r="CB145" s="721">
        <f t="shared" si="463"/>
        <v>0.44468499675254392</v>
      </c>
      <c r="CC145" s="741">
        <f t="shared" si="463"/>
        <v>0.29965675057208263</v>
      </c>
      <c r="CD145" s="721">
        <f t="shared" si="463"/>
        <v>1.0648985332529559E-2</v>
      </c>
      <c r="CE145" s="721">
        <f t="shared" si="463"/>
        <v>5.1511758118701234E-2</v>
      </c>
      <c r="CF145" s="721">
        <f t="shared" si="463"/>
        <v>0.3816112084063048</v>
      </c>
      <c r="CG145" s="721">
        <f t="shared" si="463"/>
        <v>0.21669414056646175</v>
      </c>
      <c r="CH145" s="741">
        <f t="shared" si="463"/>
        <v>0.17404701118056143</v>
      </c>
      <c r="CI145" s="721">
        <f t="shared" si="463"/>
        <v>0.22962226640159034</v>
      </c>
      <c r="CJ145" s="721">
        <f t="shared" si="463"/>
        <v>8.1469648562300323E-2</v>
      </c>
      <c r="CK145" s="721">
        <f t="shared" si="463"/>
        <v>-0.30764355431613644</v>
      </c>
      <c r="CL145" s="721">
        <f t="shared" si="463"/>
        <v>-2.5865254341667643E-2</v>
      </c>
      <c r="CM145" s="741">
        <f t="shared" si="463"/>
        <v>-3.8354829034193294E-2</v>
      </c>
      <c r="CN145" s="721">
        <f t="shared" si="463"/>
        <v>5.6750202101859326E-2</v>
      </c>
      <c r="CO145" s="721">
        <f t="shared" si="463"/>
        <v>0.1381913671426227</v>
      </c>
      <c r="CP145" s="721">
        <f t="shared" si="463"/>
        <v>0.13291834492859755</v>
      </c>
      <c r="CQ145" s="721">
        <f t="shared" si="463"/>
        <v>-0.24895688456189147</v>
      </c>
      <c r="CR145" s="741">
        <f t="shared" si="463"/>
        <v>-1.9493937385471893E-3</v>
      </c>
      <c r="CS145" s="721">
        <f t="shared" si="463"/>
        <v>-4.1768665850673181E-2</v>
      </c>
      <c r="CT145" s="721">
        <f t="shared" si="463"/>
        <v>-0.28565248738284066</v>
      </c>
      <c r="CU145" s="721">
        <f t="shared" si="463"/>
        <v>-0.40562378797672916</v>
      </c>
      <c r="CV145" s="721">
        <f t="shared" si="463"/>
        <v>-7.4946127946127943</v>
      </c>
      <c r="CW145" s="741">
        <f t="shared" si="463"/>
        <v>-1.9251533263018088</v>
      </c>
      <c r="CX145" s="721">
        <f t="shared" si="463"/>
        <v>-0.2058119112246527</v>
      </c>
      <c r="CY145" s="721">
        <f t="shared" si="463"/>
        <v>0.57428340734759797</v>
      </c>
      <c r="CZ145" s="721">
        <f t="shared" si="463"/>
        <v>1.5916258836324091</v>
      </c>
      <c r="DA145" s="721">
        <f t="shared" si="463"/>
        <v>-1.153533101767847</v>
      </c>
      <c r="DB145" s="741">
        <f t="shared" si="463"/>
        <v>-2.1919098087235569</v>
      </c>
      <c r="DC145" s="721">
        <f t="shared" si="463"/>
        <v>2.1475673502211494</v>
      </c>
      <c r="DD145" s="721">
        <f t="shared" si="463"/>
        <v>0.66790614181305274</v>
      </c>
      <c r="DE145" s="721">
        <f t="shared" si="463"/>
        <v>6.1477129668484842E-2</v>
      </c>
      <c r="DF145" s="721">
        <f t="shared" si="463"/>
        <v>0.13000168833361458</v>
      </c>
      <c r="DG145" s="741">
        <f t="shared" si="463"/>
        <v>0.61031599829956074</v>
      </c>
      <c r="DH145" s="721">
        <f t="shared" si="463"/>
        <v>-0.44775166070516081</v>
      </c>
      <c r="DI145" s="721">
        <f t="shared" si="463"/>
        <v>-7.0187576875768598E-2</v>
      </c>
      <c r="DJ145" s="721">
        <f t="shared" si="463"/>
        <v>0.25311326349080865</v>
      </c>
      <c r="DK145" s="721">
        <f t="shared" si="463"/>
        <v>0.69236515762737216</v>
      </c>
      <c r="DL145" s="741">
        <f t="shared" si="463"/>
        <v>-1.5597500879971915E-2</v>
      </c>
      <c r="DM145" s="721">
        <f t="shared" si="463"/>
        <v>0.42192921582234555</v>
      </c>
      <c r="DN145" s="721">
        <f t="shared" si="463"/>
        <v>4.9028524183546862E-2</v>
      </c>
      <c r="DO145" s="721">
        <f t="shared" si="463"/>
        <v>-0.13321239845413679</v>
      </c>
      <c r="DP145" s="721">
        <f t="shared" si="463"/>
        <v>-0.2368676613401608</v>
      </c>
      <c r="DQ145" s="741">
        <f t="shared" si="463"/>
        <v>-2.9275705633897697E-3</v>
      </c>
      <c r="DR145" s="743">
        <f>DR144/DM144-1</f>
        <v>-0.46868391085082151</v>
      </c>
      <c r="DS145" s="743">
        <f t="shared" si="463"/>
        <v>-0.22958701134930648</v>
      </c>
      <c r="DT145" s="721">
        <f t="shared" si="463"/>
        <v>-0.25586897179253865</v>
      </c>
      <c r="DU145" s="721">
        <f t="shared" si="463"/>
        <v>-0.68556223970384078</v>
      </c>
      <c r="DV145" s="741">
        <f t="shared" si="463"/>
        <v>-0.39028599605522674</v>
      </c>
      <c r="DW145" s="743">
        <f t="shared" si="463"/>
        <v>-5.4807103490508213E-2</v>
      </c>
      <c r="DX145" s="743">
        <f t="shared" si="463"/>
        <v>-0.3434271099744246</v>
      </c>
      <c r="DY145" s="721">
        <f t="shared" si="463"/>
        <v>-7.0432868672047011E-2</v>
      </c>
      <c r="DZ145" s="721">
        <f t="shared" si="463"/>
        <v>1.575055187637969</v>
      </c>
      <c r="EA145" s="741">
        <f t="shared" si="463"/>
        <v>-3.6760651398748401E-4</v>
      </c>
      <c r="EB145" s="743">
        <f t="shared" si="463"/>
        <v>0.39552964042759942</v>
      </c>
      <c r="EC145" s="743">
        <f>EC144/DX144-1</f>
        <v>0.2471174820816453</v>
      </c>
      <c r="ED145" s="721">
        <f t="shared" si="463"/>
        <v>0.1838989739542225</v>
      </c>
      <c r="EE145" s="743">
        <f t="shared" si="463"/>
        <v>-7.2074050150021107E-2</v>
      </c>
      <c r="EF145" s="754">
        <f t="shared" si="463"/>
        <v>0.18098605240319188</v>
      </c>
      <c r="EG145" s="1303"/>
      <c r="EH145" s="711"/>
      <c r="EI145" s="711"/>
      <c r="EJ145" s="1304"/>
      <c r="EK145" s="741">
        <f>EK144/EF144-1</f>
        <v>-5.9628473565881857E-2</v>
      </c>
      <c r="EL145" s="1303"/>
      <c r="EM145" s="711"/>
      <c r="EN145" s="711"/>
      <c r="EO145" s="1304"/>
      <c r="EP145" s="741">
        <f>EP144/EK144-1</f>
        <v>-8.0168406186704733E-3</v>
      </c>
      <c r="EQ145" s="1303"/>
      <c r="ER145" s="711"/>
      <c r="ES145" s="711"/>
      <c r="ET145" s="1304"/>
      <c r="EU145" s="741">
        <f>EU144/EP144-1</f>
        <v>-5.1984872509439617E-3</v>
      </c>
      <c r="EV145" s="1303"/>
      <c r="EW145" s="711"/>
      <c r="EX145" s="711"/>
      <c r="EY145" s="1304"/>
      <c r="EZ145" s="741">
        <f>EZ144/EU144-1</f>
        <v>-2.5461326553068986E-3</v>
      </c>
      <c r="FA145" s="1303"/>
      <c r="FB145" s="711"/>
      <c r="FC145" s="711"/>
      <c r="FD145" s="1304"/>
      <c r="FE145" s="741">
        <f>FE144/EZ144-1</f>
        <v>-6.098843373103513E-5</v>
      </c>
      <c r="FF145" s="1009"/>
      <c r="FG145" s="690"/>
      <c r="FH145" s="754"/>
      <c r="FI145" s="754"/>
      <c r="FJ145" s="754"/>
      <c r="FK145" s="754"/>
      <c r="FL145" s="690"/>
      <c r="FM145" s="1091"/>
      <c r="FN145" s="747"/>
      <c r="FO145" s="1306"/>
      <c r="FP145" s="1306"/>
      <c r="FQ145" s="1306"/>
      <c r="FR145" s="1306"/>
      <c r="FS145" s="1306"/>
      <c r="FT145" s="1306"/>
      <c r="FU145" s="690"/>
      <c r="FV145"/>
      <c r="FW145"/>
      <c r="FX145"/>
      <c r="FY145"/>
      <c r="FZ145"/>
      <c r="GA145"/>
      <c r="GC145" s="532"/>
      <c r="GD145" s="532"/>
      <c r="GE145" s="532"/>
      <c r="GF145" s="532"/>
      <c r="GG145" s="532"/>
      <c r="GH145" s="532"/>
      <c r="GI145" s="532"/>
      <c r="GJ145" s="532"/>
      <c r="GK145" s="532"/>
      <c r="GL145" s="532"/>
      <c r="GM145" s="532"/>
      <c r="GN145" s="532"/>
      <c r="GO145" s="532"/>
      <c r="GP145" s="532"/>
      <c r="GQ145" s="532"/>
      <c r="GR145" s="532"/>
      <c r="GS145" s="532"/>
      <c r="GT145" s="532"/>
      <c r="GU145" s="532"/>
      <c r="GV145" s="532"/>
      <c r="GW145" s="532"/>
      <c r="GX145" s="532"/>
      <c r="GY145" s="532"/>
      <c r="GZ145" s="532"/>
      <c r="HA145" s="532"/>
      <c r="HB145" s="532"/>
      <c r="HC145" s="532"/>
      <c r="HD145" s="532"/>
      <c r="HE145" s="532"/>
      <c r="HF145" s="532"/>
      <c r="HG145" s="532"/>
      <c r="HH145" s="532"/>
      <c r="HI145" s="532"/>
      <c r="HJ145" s="532"/>
      <c r="HK145" s="532"/>
      <c r="HL145" s="532"/>
      <c r="HM145" s="532"/>
      <c r="HN145" s="532"/>
      <c r="HO145" s="532"/>
      <c r="HP145" s="532"/>
      <c r="HQ145" s="532"/>
      <c r="HR145" s="532"/>
      <c r="HS145" s="532"/>
      <c r="HT145" s="532"/>
      <c r="HU145" s="532"/>
      <c r="HV145" s="532"/>
      <c r="HW145" s="532"/>
      <c r="HX145" s="532"/>
      <c r="HY145" s="532"/>
      <c r="HZ145" s="532"/>
      <c r="IA145" s="532"/>
      <c r="IB145" s="532"/>
      <c r="IC145" s="532"/>
      <c r="ID145" s="532"/>
      <c r="IE145" s="532"/>
      <c r="IF145" s="532"/>
      <c r="IG145" s="532"/>
      <c r="IH145" s="532"/>
      <c r="II145" s="532"/>
      <c r="IJ145" s="532"/>
      <c r="IK145" s="532"/>
      <c r="IL145" s="532"/>
      <c r="IM145" s="532"/>
      <c r="IN145" s="532"/>
      <c r="IO145" s="532"/>
      <c r="IP145" s="532"/>
      <c r="IQ145" s="532"/>
      <c r="IR145" s="532"/>
      <c r="IS145" s="532"/>
      <c r="IT145" s="532"/>
      <c r="IU145" s="532"/>
      <c r="IV145" s="532"/>
      <c r="IW145" s="532"/>
      <c r="IX145" s="532"/>
      <c r="IY145" s="532"/>
      <c r="IZ145" s="532"/>
      <c r="JA145" s="532"/>
      <c r="JB145" s="532"/>
      <c r="JC145" s="532"/>
      <c r="JD145" s="532"/>
      <c r="JE145" s="532"/>
      <c r="JF145" s="532"/>
      <c r="JG145" s="532"/>
      <c r="JH145" s="532"/>
      <c r="JI145" s="532"/>
      <c r="JJ145" s="532"/>
      <c r="JK145" s="532"/>
      <c r="JL145" s="532"/>
    </row>
    <row r="146" spans="1:272" s="811" customFormat="1" ht="12.75" hidden="1" customHeight="1" outlineLevel="1">
      <c r="A146" s="1296" t="s">
        <v>358</v>
      </c>
      <c r="B146" s="1297"/>
      <c r="C146" s="780"/>
      <c r="D146" s="780"/>
      <c r="E146" s="780"/>
      <c r="F146" s="1298"/>
      <c r="G146" s="780"/>
      <c r="H146" s="780"/>
      <c r="I146" s="780"/>
      <c r="J146" s="780"/>
      <c r="K146" s="1298"/>
      <c r="L146" s="780"/>
      <c r="M146" s="780"/>
      <c r="N146" s="780"/>
      <c r="O146" s="780"/>
      <c r="P146" s="1298"/>
      <c r="Q146" s="780"/>
      <c r="R146" s="780"/>
      <c r="S146" s="780"/>
      <c r="T146" s="780"/>
      <c r="U146" s="1298"/>
      <c r="V146" s="780"/>
      <c r="W146" s="780"/>
      <c r="X146" s="780"/>
      <c r="Y146" s="780"/>
      <c r="Z146" s="1298"/>
      <c r="AA146" s="780"/>
      <c r="AB146" s="780"/>
      <c r="AC146" s="780"/>
      <c r="AD146" s="780"/>
      <c r="AE146" s="1298"/>
      <c r="AF146" s="780"/>
      <c r="AG146" s="780"/>
      <c r="AH146" s="780"/>
      <c r="AI146" s="780"/>
      <c r="AJ146" s="1298"/>
      <c r="AK146" s="780"/>
      <c r="AL146" s="780"/>
      <c r="AM146" s="780"/>
      <c r="AN146" s="780"/>
      <c r="AO146" s="1298"/>
      <c r="AP146" s="780"/>
      <c r="AQ146" s="780"/>
      <c r="AR146" s="780"/>
      <c r="AS146" s="780"/>
      <c r="AT146" s="1298"/>
      <c r="AU146" s="780"/>
      <c r="AV146" s="780"/>
      <c r="AW146" s="780"/>
      <c r="AX146" s="780"/>
      <c r="AY146" s="1298"/>
      <c r="AZ146" s="780"/>
      <c r="BA146" s="780"/>
      <c r="BB146" s="780"/>
      <c r="BC146" s="780"/>
      <c r="BD146" s="1298"/>
      <c r="BE146" s="780"/>
      <c r="BF146" s="780"/>
      <c r="BG146" s="780"/>
      <c r="BH146" s="780"/>
      <c r="BI146" s="1298"/>
      <c r="BJ146" s="780"/>
      <c r="BK146" s="780"/>
      <c r="BL146" s="780"/>
      <c r="BM146" s="780"/>
      <c r="BN146" s="1298"/>
      <c r="BO146" s="780"/>
      <c r="BP146" s="780"/>
      <c r="BQ146" s="780"/>
      <c r="BR146" s="780"/>
      <c r="BS146" s="1298"/>
      <c r="BT146" s="780">
        <v>74.938000000000002</v>
      </c>
      <c r="BU146" s="780">
        <v>77.840999999999994</v>
      </c>
      <c r="BV146" s="780">
        <v>80.926000000000002</v>
      </c>
      <c r="BW146" s="780">
        <v>82.930999999999997</v>
      </c>
      <c r="BX146" s="1298">
        <f>SUM(BT146:BW146)</f>
        <v>316.63599999999997</v>
      </c>
      <c r="BY146" s="780">
        <v>81.808000000000007</v>
      </c>
      <c r="BZ146" s="780">
        <v>83.504999999999995</v>
      </c>
      <c r="CA146" s="780">
        <v>87.900999999999996</v>
      </c>
      <c r="CB146" s="780">
        <v>91.734999999999999</v>
      </c>
      <c r="CC146" s="1298">
        <f>SUM(BY146:CB146)</f>
        <v>344.94900000000001</v>
      </c>
      <c r="CD146" s="780">
        <v>89.046999999999997</v>
      </c>
      <c r="CE146" s="780">
        <v>91.022999999999996</v>
      </c>
      <c r="CF146" s="780">
        <v>94.117000000000004</v>
      </c>
      <c r="CG146" s="780">
        <v>93.221000000000004</v>
      </c>
      <c r="CH146" s="1298">
        <f>SUM(CD146:CG146)</f>
        <v>367.40800000000002</v>
      </c>
      <c r="CI146" s="780">
        <v>94.397000000000006</v>
      </c>
      <c r="CJ146" s="780">
        <v>96.8</v>
      </c>
      <c r="CK146" s="780">
        <v>99.772000000000006</v>
      </c>
      <c r="CL146" s="780">
        <v>101.514</v>
      </c>
      <c r="CM146" s="1298">
        <f>SUM(CI146:CL146)</f>
        <v>392.483</v>
      </c>
      <c r="CN146" s="780">
        <v>104.24</v>
      </c>
      <c r="CO146" s="780">
        <v>106.03400000000001</v>
      </c>
      <c r="CP146" s="780">
        <v>109.621</v>
      </c>
      <c r="CQ146" s="780">
        <v>126.113</v>
      </c>
      <c r="CR146" s="1298">
        <f>SUM(CN146:CQ146)</f>
        <v>446.00799999999998</v>
      </c>
      <c r="CS146" s="780">
        <v>126.01600000000001</v>
      </c>
      <c r="CT146" s="780">
        <v>126.646</v>
      </c>
      <c r="CU146" s="780">
        <v>128.26400000000001</v>
      </c>
      <c r="CV146" s="780">
        <v>129.27799999999999</v>
      </c>
      <c r="CW146" s="1298">
        <f>SUM(CS146:CV146)</f>
        <v>510.20400000000006</v>
      </c>
      <c r="CX146" s="780">
        <v>125.23299999999998</v>
      </c>
      <c r="CY146" s="780">
        <v>127.37</v>
      </c>
      <c r="CZ146" s="780">
        <v>131.30399999999997</v>
      </c>
      <c r="DA146" s="780">
        <v>136.27500000000001</v>
      </c>
      <c r="DB146" s="1298">
        <v>520.18199999999979</v>
      </c>
      <c r="DC146" s="780">
        <v>144.249</v>
      </c>
      <c r="DD146" s="780">
        <v>142.79699999999997</v>
      </c>
      <c r="DE146" s="780">
        <v>140.72899999999998</v>
      </c>
      <c r="DF146" s="780">
        <v>143.82399999999998</v>
      </c>
      <c r="DG146" s="1298">
        <v>571.59900000000005</v>
      </c>
      <c r="DH146" s="780">
        <v>142.32100000000003</v>
      </c>
      <c r="DI146" s="780">
        <v>146.98400000000001</v>
      </c>
      <c r="DJ146" s="780">
        <v>154.66499999999999</v>
      </c>
      <c r="DK146" s="780">
        <v>157.619</v>
      </c>
      <c r="DL146" s="1298">
        <f>SUM(DH146:DK146)</f>
        <v>601.58900000000006</v>
      </c>
      <c r="DM146" s="780">
        <v>155.72300000000001</v>
      </c>
      <c r="DN146" s="780">
        <v>161.83800000000002</v>
      </c>
      <c r="DO146" s="780">
        <v>159.75900000000001</v>
      </c>
      <c r="DP146" s="780">
        <v>161.82299999999998</v>
      </c>
      <c r="DQ146" s="1298">
        <f>SUM(DM146:DP146)</f>
        <v>639.14300000000003</v>
      </c>
      <c r="DR146" s="780">
        <v>157.15700000000001</v>
      </c>
      <c r="DS146" s="780">
        <v>161.37</v>
      </c>
      <c r="DT146" s="780">
        <v>172.83699999999999</v>
      </c>
      <c r="DU146" s="780">
        <v>190.56700000000001</v>
      </c>
      <c r="DV146" s="1298">
        <f>SUM(DR146:DU146)</f>
        <v>681.93100000000004</v>
      </c>
      <c r="DW146" s="780">
        <v>182.49</v>
      </c>
      <c r="DX146" s="780">
        <v>186.68700000000001</v>
      </c>
      <c r="DY146" s="780">
        <v>187.93700000000001</v>
      </c>
      <c r="DZ146" s="780">
        <v>191.75200000000001</v>
      </c>
      <c r="EA146" s="1298">
        <f>SUM(DW146:DZ146)</f>
        <v>748.86599999999999</v>
      </c>
      <c r="EB146" s="780">
        <v>190.155</v>
      </c>
      <c r="EC146" s="780">
        <v>187.221</v>
      </c>
      <c r="ED146" s="780">
        <v>187.93700000000001</v>
      </c>
      <c r="EE146" s="780">
        <f>EE110*EE148</f>
        <v>185.55867780000003</v>
      </c>
      <c r="EF146" s="1298">
        <f>SUM(EB146:EE146)</f>
        <v>750.87167780000004</v>
      </c>
      <c r="EG146" s="783"/>
      <c r="EH146" s="780"/>
      <c r="EI146" s="780"/>
      <c r="EJ146" s="781"/>
      <c r="EK146" s="1298">
        <f>EK110*EK148</f>
        <v>736.57590012800006</v>
      </c>
      <c r="EL146" s="783"/>
      <c r="EM146" s="780"/>
      <c r="EN146" s="780"/>
      <c r="EO146" s="781"/>
      <c r="EP146" s="1298">
        <f>EP110*EP148</f>
        <v>730.67088853312009</v>
      </c>
      <c r="EQ146" s="783"/>
      <c r="ER146" s="780"/>
      <c r="ES146" s="780"/>
      <c r="ET146" s="781"/>
      <c r="EU146" s="1298">
        <f>EU110*EU148</f>
        <v>726.87250523444482</v>
      </c>
      <c r="EV146" s="783"/>
      <c r="EW146" s="780"/>
      <c r="EX146" s="780"/>
      <c r="EY146" s="781"/>
      <c r="EZ146" s="1298">
        <f>EZ110*EZ148</f>
        <v>725.02179141262263</v>
      </c>
      <c r="FA146" s="783"/>
      <c r="FB146" s="780"/>
      <c r="FC146" s="780"/>
      <c r="FD146" s="781"/>
      <c r="FE146" s="1298">
        <f>FE110*FE148</f>
        <v>724.97757346914352</v>
      </c>
      <c r="FF146" s="938"/>
      <c r="FG146" s="690"/>
      <c r="FH146" s="754"/>
      <c r="FI146" s="754"/>
      <c r="FJ146" s="754"/>
      <c r="FK146" s="754"/>
      <c r="FL146" s="690"/>
      <c r="FM146" s="940"/>
      <c r="FN146" s="1091"/>
      <c r="FO146" s="941"/>
      <c r="FP146" s="941"/>
      <c r="FQ146" s="941"/>
      <c r="FR146" s="941"/>
      <c r="FS146" s="941"/>
      <c r="FT146" s="941"/>
      <c r="FU146" s="690"/>
      <c r="FV146"/>
      <c r="FW146"/>
      <c r="FX146"/>
      <c r="FY146"/>
      <c r="FZ146"/>
      <c r="GA146"/>
      <c r="GB146" s="943"/>
      <c r="GC146" s="965"/>
      <c r="GD146" s="965"/>
      <c r="GE146" s="965"/>
      <c r="GF146" s="965"/>
      <c r="GG146" s="965"/>
      <c r="GH146" s="965"/>
      <c r="GI146" s="965"/>
      <c r="GJ146" s="965"/>
      <c r="GK146" s="965"/>
      <c r="GL146" s="965"/>
      <c r="GM146" s="965"/>
      <c r="GN146" s="965"/>
      <c r="GO146" s="965"/>
      <c r="GP146" s="965"/>
      <c r="GQ146" s="965"/>
      <c r="GR146" s="965"/>
      <c r="GS146" s="965"/>
      <c r="GT146" s="965"/>
      <c r="GU146" s="965"/>
      <c r="GV146" s="965"/>
      <c r="GW146" s="965"/>
      <c r="GX146" s="965"/>
      <c r="GY146" s="965"/>
      <c r="GZ146" s="965"/>
      <c r="HA146" s="965"/>
      <c r="HB146" s="965"/>
      <c r="HC146" s="965"/>
      <c r="HD146" s="965"/>
      <c r="HE146" s="965"/>
      <c r="HF146" s="965"/>
      <c r="HG146" s="965"/>
      <c r="HH146" s="965"/>
      <c r="HI146" s="965"/>
      <c r="HJ146" s="965"/>
      <c r="HK146" s="965"/>
      <c r="HL146" s="965"/>
      <c r="HM146" s="965"/>
      <c r="HN146" s="965"/>
      <c r="HO146" s="965"/>
      <c r="HP146" s="965"/>
      <c r="HQ146" s="965"/>
      <c r="HR146" s="965"/>
      <c r="HS146" s="965"/>
      <c r="HT146" s="965"/>
      <c r="HU146" s="965"/>
      <c r="HV146" s="965"/>
      <c r="HW146" s="965"/>
      <c r="HX146" s="965"/>
      <c r="HY146" s="965"/>
      <c r="HZ146" s="965"/>
      <c r="IA146" s="965"/>
      <c r="IB146" s="965"/>
      <c r="IC146" s="965"/>
      <c r="ID146" s="965"/>
      <c r="IE146" s="965"/>
      <c r="IF146" s="965"/>
      <c r="IG146" s="965"/>
      <c r="IH146" s="965"/>
      <c r="II146" s="965"/>
      <c r="IJ146" s="965"/>
      <c r="IK146" s="965"/>
      <c r="IL146" s="965"/>
      <c r="IM146" s="965"/>
      <c r="IN146" s="965"/>
      <c r="IO146" s="965"/>
      <c r="IP146" s="965"/>
      <c r="IQ146" s="965"/>
      <c r="IR146" s="965"/>
      <c r="IS146" s="965"/>
      <c r="IT146" s="965"/>
      <c r="IU146" s="965"/>
      <c r="IV146" s="965"/>
      <c r="IW146" s="965"/>
      <c r="IX146" s="965"/>
      <c r="IY146" s="965"/>
      <c r="IZ146" s="965"/>
      <c r="JA146" s="965"/>
      <c r="JB146" s="965"/>
      <c r="JC146" s="965"/>
      <c r="JD146" s="965"/>
      <c r="JE146" s="965"/>
      <c r="JF146" s="965"/>
      <c r="JG146" s="965"/>
      <c r="JH146" s="965"/>
      <c r="JI146" s="965"/>
      <c r="JJ146" s="965"/>
      <c r="JK146" s="965"/>
      <c r="JL146" s="965"/>
    </row>
    <row r="147" spans="1:272" s="749" customFormat="1" ht="12.75" hidden="1" customHeight="1" outlineLevel="1">
      <c r="A147" s="58" t="s">
        <v>85</v>
      </c>
      <c r="B147" s="1300"/>
      <c r="C147" s="1301"/>
      <c r="D147" s="1301"/>
      <c r="E147" s="1301"/>
      <c r="F147" s="741"/>
      <c r="G147" s="1257"/>
      <c r="H147" s="1301"/>
      <c r="I147" s="1301"/>
      <c r="J147" s="1301"/>
      <c r="K147" s="741"/>
      <c r="L147" s="1257"/>
      <c r="M147" s="1301"/>
      <c r="N147" s="1301"/>
      <c r="O147" s="1301"/>
      <c r="P147" s="741"/>
      <c r="Q147" s="1257"/>
      <c r="R147" s="1301"/>
      <c r="S147" s="1301"/>
      <c r="T147" s="1301"/>
      <c r="U147" s="741"/>
      <c r="V147" s="1257"/>
      <c r="W147" s="1301"/>
      <c r="X147" s="1302"/>
      <c r="Y147" s="1302"/>
      <c r="Z147" s="741"/>
      <c r="AA147" s="1236"/>
      <c r="AB147" s="1302"/>
      <c r="AC147" s="1302"/>
      <c r="AD147" s="1302"/>
      <c r="AE147" s="741"/>
      <c r="AF147" s="721"/>
      <c r="AG147" s="721"/>
      <c r="AH147" s="721"/>
      <c r="AI147" s="721"/>
      <c r="AJ147" s="741"/>
      <c r="AK147" s="721"/>
      <c r="AL147" s="721"/>
      <c r="AM147" s="721"/>
      <c r="AN147" s="721"/>
      <c r="AO147" s="741"/>
      <c r="AP147" s="721"/>
      <c r="AQ147" s="742"/>
      <c r="AR147" s="742"/>
      <c r="AS147" s="721"/>
      <c r="AT147" s="741"/>
      <c r="AU147" s="721"/>
      <c r="AV147" s="742"/>
      <c r="AW147" s="721"/>
      <c r="AX147" s="721"/>
      <c r="AY147" s="741"/>
      <c r="AZ147" s="721"/>
      <c r="BA147" s="742"/>
      <c r="BB147" s="721"/>
      <c r="BC147" s="721"/>
      <c r="BD147" s="741"/>
      <c r="BE147" s="721"/>
      <c r="BF147" s="742"/>
      <c r="BG147" s="721"/>
      <c r="BH147" s="721"/>
      <c r="BI147" s="741"/>
      <c r="BJ147" s="721"/>
      <c r="BK147" s="742"/>
      <c r="BL147" s="721"/>
      <c r="BM147" s="721"/>
      <c r="BN147" s="741"/>
      <c r="BO147" s="721"/>
      <c r="BP147" s="742"/>
      <c r="BQ147" s="721"/>
      <c r="BR147" s="721"/>
      <c r="BS147" s="741"/>
      <c r="BT147" s="721"/>
      <c r="BU147" s="742"/>
      <c r="BV147" s="721"/>
      <c r="BW147" s="721"/>
      <c r="BX147" s="741"/>
      <c r="BY147" s="721">
        <f t="shared" ref="BY147:EF147" si="464">BY146/BT146-1</f>
        <v>9.167578531586118E-2</v>
      </c>
      <c r="BZ147" s="721">
        <f t="shared" si="464"/>
        <v>7.2763710640921797E-2</v>
      </c>
      <c r="CA147" s="721">
        <f t="shared" si="464"/>
        <v>8.6189852457800864E-2</v>
      </c>
      <c r="CB147" s="721">
        <f t="shared" si="464"/>
        <v>0.10616054310209688</v>
      </c>
      <c r="CC147" s="741">
        <f t="shared" si="464"/>
        <v>8.9418133124471222E-2</v>
      </c>
      <c r="CD147" s="721">
        <f t="shared" si="464"/>
        <v>8.8487678466653508E-2</v>
      </c>
      <c r="CE147" s="721">
        <f t="shared" si="464"/>
        <v>9.0030537093587215E-2</v>
      </c>
      <c r="CF147" s="721">
        <f t="shared" si="464"/>
        <v>7.0715919045289732E-2</v>
      </c>
      <c r="CG147" s="721">
        <f t="shared" si="464"/>
        <v>1.6198833596773321E-2</v>
      </c>
      <c r="CH147" s="741">
        <f t="shared" si="464"/>
        <v>6.5108175411437541E-2</v>
      </c>
      <c r="CI147" s="721">
        <f t="shared" si="464"/>
        <v>6.0080631576583166E-2</v>
      </c>
      <c r="CJ147" s="721">
        <f t="shared" si="464"/>
        <v>6.3467475253507377E-2</v>
      </c>
      <c r="CK147" s="721">
        <f t="shared" si="464"/>
        <v>6.0084788082918061E-2</v>
      </c>
      <c r="CL147" s="721">
        <f t="shared" si="464"/>
        <v>8.8960641915448058E-2</v>
      </c>
      <c r="CM147" s="741">
        <f t="shared" si="464"/>
        <v>6.8248377825196993E-2</v>
      </c>
      <c r="CN147" s="721">
        <f t="shared" si="464"/>
        <v>0.10427238153754881</v>
      </c>
      <c r="CO147" s="721">
        <f t="shared" si="464"/>
        <v>9.5392561983471236E-2</v>
      </c>
      <c r="CP147" s="721">
        <f t="shared" si="464"/>
        <v>9.8715070360421597E-2</v>
      </c>
      <c r="CQ147" s="721">
        <f t="shared" si="464"/>
        <v>0.24232125618141342</v>
      </c>
      <c r="CR147" s="741">
        <f t="shared" si="464"/>
        <v>0.13637533345393305</v>
      </c>
      <c r="CS147" s="721">
        <f t="shared" si="464"/>
        <v>0.20890253261703773</v>
      </c>
      <c r="CT147" s="721">
        <f t="shared" si="464"/>
        <v>0.19439047852575575</v>
      </c>
      <c r="CU147" s="721">
        <f t="shared" si="464"/>
        <v>0.17006777898395398</v>
      </c>
      <c r="CV147" s="721">
        <f t="shared" si="464"/>
        <v>2.5096540404240475E-2</v>
      </c>
      <c r="CW147" s="741">
        <f t="shared" si="464"/>
        <v>0.14393463794371431</v>
      </c>
      <c r="CX147" s="721">
        <f t="shared" si="464"/>
        <v>-6.2134966988320883E-3</v>
      </c>
      <c r="CY147" s="721">
        <f t="shared" si="464"/>
        <v>5.716722202043556E-3</v>
      </c>
      <c r="CZ147" s="721">
        <f t="shared" si="464"/>
        <v>2.3701116447327086E-2</v>
      </c>
      <c r="DA147" s="721">
        <f t="shared" si="464"/>
        <v>5.4123671467689816E-2</v>
      </c>
      <c r="DB147" s="741">
        <f t="shared" si="464"/>
        <v>1.9556883129100866E-2</v>
      </c>
      <c r="DC147" s="721">
        <f t="shared" si="464"/>
        <v>0.15184496099270972</v>
      </c>
      <c r="DD147" s="721">
        <f t="shared" si="464"/>
        <v>0.12111957289785624</v>
      </c>
      <c r="DE147" s="721">
        <f t="shared" si="464"/>
        <v>7.1779991470176219E-2</v>
      </c>
      <c r="DF147" s="721">
        <f t="shared" si="464"/>
        <v>5.5395340304531082E-2</v>
      </c>
      <c r="DG147" s="741">
        <f t="shared" si="464"/>
        <v>9.8844250666113576E-2</v>
      </c>
      <c r="DH147" s="721">
        <f t="shared" si="464"/>
        <v>-1.336577723242427E-2</v>
      </c>
      <c r="DI147" s="721">
        <f t="shared" si="464"/>
        <v>2.9321344285944573E-2</v>
      </c>
      <c r="DJ147" s="721">
        <f t="shared" si="464"/>
        <v>9.9027208322378435E-2</v>
      </c>
      <c r="DK147" s="721">
        <f t="shared" si="464"/>
        <v>9.5915841584158557E-2</v>
      </c>
      <c r="DL147" s="741">
        <f t="shared" si="464"/>
        <v>5.2466851761462152E-2</v>
      </c>
      <c r="DM147" s="721">
        <f t="shared" si="464"/>
        <v>9.4167410290821429E-2</v>
      </c>
      <c r="DN147" s="721">
        <f t="shared" si="464"/>
        <v>0.10105861862515653</v>
      </c>
      <c r="DO147" s="721">
        <f t="shared" si="464"/>
        <v>3.2935699738143809E-2</v>
      </c>
      <c r="DP147" s="721">
        <f t="shared" si="464"/>
        <v>2.667191138124192E-2</v>
      </c>
      <c r="DQ147" s="741">
        <f t="shared" si="464"/>
        <v>6.2424678642727827E-2</v>
      </c>
      <c r="DR147" s="743">
        <f>DR146/DM146-1</f>
        <v>9.2086589649569284E-3</v>
      </c>
      <c r="DS147" s="743">
        <f t="shared" si="464"/>
        <v>-2.8917806695585302E-3</v>
      </c>
      <c r="DT147" s="721">
        <f t="shared" si="464"/>
        <v>8.1860802834268886E-2</v>
      </c>
      <c r="DU147" s="721">
        <f t="shared" si="464"/>
        <v>0.17762617180499696</v>
      </c>
      <c r="DV147" s="741">
        <f t="shared" si="464"/>
        <v>6.6945894737171496E-2</v>
      </c>
      <c r="DW147" s="743">
        <f t="shared" si="464"/>
        <v>0.16119549240568354</v>
      </c>
      <c r="DX147" s="743">
        <f t="shared" si="464"/>
        <v>0.15688789737869491</v>
      </c>
      <c r="DY147" s="721">
        <f t="shared" si="464"/>
        <v>8.7365552514797384E-2</v>
      </c>
      <c r="DZ147" s="721">
        <f t="shared" si="464"/>
        <v>6.2182854324202008E-3</v>
      </c>
      <c r="EA147" s="741">
        <f t="shared" si="464"/>
        <v>9.8155091937454086E-2</v>
      </c>
      <c r="EB147" s="743">
        <f t="shared" si="464"/>
        <v>4.2002301495972283E-2</v>
      </c>
      <c r="EC147" s="743">
        <f t="shared" si="464"/>
        <v>2.8604027061338577E-3</v>
      </c>
      <c r="ED147" s="721">
        <f t="shared" si="464"/>
        <v>0</v>
      </c>
      <c r="EE147" s="743">
        <f t="shared" si="464"/>
        <v>-3.229860549042507E-2</v>
      </c>
      <c r="EF147" s="754">
        <f t="shared" si="464"/>
        <v>2.6782866360604007E-3</v>
      </c>
      <c r="EG147" s="1303"/>
      <c r="EH147" s="711"/>
      <c r="EI147" s="711"/>
      <c r="EJ147" s="1304"/>
      <c r="EK147" s="741">
        <f>EK146/EF146-1</f>
        <v>-1.9038909170053686E-2</v>
      </c>
      <c r="EL147" s="1303"/>
      <c r="EM147" s="711"/>
      <c r="EN147" s="711"/>
      <c r="EO147" s="1304"/>
      <c r="EP147" s="741">
        <f>EP146/EK146-1</f>
        <v>-8.0168406186705843E-3</v>
      </c>
      <c r="EQ147" s="1303"/>
      <c r="ER147" s="711"/>
      <c r="ES147" s="711"/>
      <c r="ET147" s="1304"/>
      <c r="EU147" s="741">
        <f>EU146/EP146-1</f>
        <v>-5.1984872509438507E-3</v>
      </c>
      <c r="EV147" s="1303"/>
      <c r="EW147" s="711"/>
      <c r="EX147" s="711"/>
      <c r="EY147" s="1304"/>
      <c r="EZ147" s="741">
        <f>EZ146/EU146-1</f>
        <v>-2.5461326553068986E-3</v>
      </c>
      <c r="FA147" s="1303"/>
      <c r="FB147" s="711"/>
      <c r="FC147" s="711"/>
      <c r="FD147" s="1304"/>
      <c r="FE147" s="741">
        <f>FE146/EZ146-1</f>
        <v>-6.098843373103513E-5</v>
      </c>
      <c r="FF147" s="1009"/>
      <c r="FG147" s="690"/>
      <c r="FH147" s="754"/>
      <c r="FI147" s="754"/>
      <c r="FJ147" s="754"/>
      <c r="FK147" s="754"/>
      <c r="FL147" s="690"/>
      <c r="FM147" s="747"/>
      <c r="FN147" s="1091"/>
      <c r="FO147" s="1306"/>
      <c r="FP147" s="1306"/>
      <c r="FQ147" s="1306"/>
      <c r="FR147" s="1306"/>
      <c r="FS147" s="1306"/>
      <c r="FT147" s="1306"/>
      <c r="FU147" s="690"/>
      <c r="FV147"/>
      <c r="FW147"/>
      <c r="FX147"/>
      <c r="FY147"/>
      <c r="FZ147"/>
      <c r="GA147"/>
      <c r="GC147" s="532"/>
      <c r="GD147" s="532"/>
      <c r="GE147" s="532"/>
      <c r="GF147" s="532"/>
      <c r="GG147" s="532"/>
      <c r="GH147" s="532"/>
      <c r="GI147" s="532"/>
      <c r="GJ147" s="532"/>
      <c r="GK147" s="532"/>
      <c r="GL147" s="532"/>
      <c r="GM147" s="532"/>
      <c r="GN147" s="532"/>
      <c r="GO147" s="532"/>
      <c r="GP147" s="532"/>
      <c r="GQ147" s="532"/>
      <c r="GR147" s="532"/>
      <c r="GS147" s="532"/>
      <c r="GT147" s="532"/>
      <c r="GU147" s="532"/>
      <c r="GV147" s="532"/>
      <c r="GW147" s="532"/>
      <c r="GX147" s="532"/>
      <c r="GY147" s="532"/>
      <c r="GZ147" s="532"/>
      <c r="HA147" s="532"/>
      <c r="HB147" s="532"/>
      <c r="HC147" s="532"/>
      <c r="HD147" s="532"/>
      <c r="HE147" s="532"/>
      <c r="HF147" s="532"/>
      <c r="HG147" s="532"/>
      <c r="HH147" s="532"/>
      <c r="HI147" s="532"/>
      <c r="HJ147" s="532"/>
      <c r="HK147" s="532"/>
      <c r="HL147" s="532"/>
      <c r="HM147" s="532"/>
      <c r="HN147" s="532"/>
      <c r="HO147" s="532"/>
      <c r="HP147" s="532"/>
      <c r="HQ147" s="532"/>
      <c r="HR147" s="532"/>
      <c r="HS147" s="532"/>
      <c r="HT147" s="532"/>
      <c r="HU147" s="532"/>
      <c r="HV147" s="532"/>
      <c r="HW147" s="532"/>
      <c r="HX147" s="532"/>
      <c r="HY147" s="532"/>
      <c r="HZ147" s="532"/>
      <c r="IA147" s="532"/>
      <c r="IB147" s="532"/>
      <c r="IC147" s="532"/>
      <c r="ID147" s="532"/>
      <c r="IE147" s="532"/>
      <c r="IF147" s="532"/>
      <c r="IG147" s="532"/>
      <c r="IH147" s="532"/>
      <c r="II147" s="532"/>
      <c r="IJ147" s="532"/>
      <c r="IK147" s="532"/>
      <c r="IL147" s="532"/>
      <c r="IM147" s="532"/>
      <c r="IN147" s="532"/>
      <c r="IO147" s="532"/>
      <c r="IP147" s="532"/>
      <c r="IQ147" s="532"/>
      <c r="IR147" s="532"/>
      <c r="IS147" s="532"/>
      <c r="IT147" s="532"/>
      <c r="IU147" s="532"/>
      <c r="IV147" s="532"/>
      <c r="IW147" s="532"/>
      <c r="IX147" s="532"/>
      <c r="IY147" s="532"/>
      <c r="IZ147" s="532"/>
      <c r="JA147" s="532"/>
      <c r="JB147" s="532"/>
      <c r="JC147" s="532"/>
      <c r="JD147" s="532"/>
      <c r="JE147" s="532"/>
      <c r="JF147" s="532"/>
      <c r="JG147" s="532"/>
      <c r="JH147" s="532"/>
      <c r="JI147" s="532"/>
      <c r="JJ147" s="532"/>
      <c r="JK147" s="532"/>
      <c r="JL147" s="532"/>
    </row>
    <row r="148" spans="1:272" s="726" customFormat="1" ht="12.75" hidden="1" customHeight="1" outlineLevel="1">
      <c r="A148" s="1356" t="s">
        <v>359</v>
      </c>
      <c r="B148" s="1292"/>
      <c r="C148" s="1016"/>
      <c r="D148" s="1016"/>
      <c r="E148" s="1016"/>
      <c r="F148" s="808"/>
      <c r="G148" s="1149"/>
      <c r="H148" s="1149"/>
      <c r="I148" s="1149"/>
      <c r="J148" s="1149"/>
      <c r="K148" s="808"/>
      <c r="L148" s="1149"/>
      <c r="M148" s="1149"/>
      <c r="N148" s="1149"/>
      <c r="O148" s="1149"/>
      <c r="P148" s="808"/>
      <c r="Q148" s="1149"/>
      <c r="R148" s="1149"/>
      <c r="S148" s="1149"/>
      <c r="T148" s="1149"/>
      <c r="U148" s="808"/>
      <c r="V148" s="1149"/>
      <c r="W148" s="1149"/>
      <c r="X148" s="1149"/>
      <c r="Y148" s="1149"/>
      <c r="Z148" s="808"/>
      <c r="AA148" s="1149"/>
      <c r="AB148" s="1149"/>
      <c r="AC148" s="1149"/>
      <c r="AD148" s="1149"/>
      <c r="AE148" s="808"/>
      <c r="AF148" s="1149"/>
      <c r="AG148" s="1149"/>
      <c r="AH148" s="1149"/>
      <c r="AI148" s="1149"/>
      <c r="AJ148" s="808"/>
      <c r="AK148" s="1149"/>
      <c r="AL148" s="1149"/>
      <c r="AM148" s="1149"/>
      <c r="AN148" s="1149"/>
      <c r="AO148" s="808"/>
      <c r="AP148" s="1149"/>
      <c r="AQ148" s="1149"/>
      <c r="AR148" s="1149"/>
      <c r="AS148" s="1149"/>
      <c r="AT148" s="808"/>
      <c r="AU148" s="1149"/>
      <c r="AV148" s="1149"/>
      <c r="AW148" s="1149"/>
      <c r="AX148" s="1149"/>
      <c r="AY148" s="808"/>
      <c r="AZ148" s="1149"/>
      <c r="BA148" s="1149"/>
      <c r="BB148" s="1149"/>
      <c r="BC148" s="1149"/>
      <c r="BD148" s="808"/>
      <c r="BE148" s="1149"/>
      <c r="BF148" s="1149"/>
      <c r="BG148" s="1149"/>
      <c r="BH148" s="1149"/>
      <c r="BI148" s="808"/>
      <c r="BJ148" s="1149"/>
      <c r="BK148" s="1149"/>
      <c r="BL148" s="1149"/>
      <c r="BM148" s="1149"/>
      <c r="BN148" s="808"/>
      <c r="BO148" s="1149"/>
      <c r="BP148" s="1149"/>
      <c r="BQ148" s="1149"/>
      <c r="BR148" s="1149"/>
      <c r="BS148" s="808"/>
      <c r="BT148" s="1357">
        <f t="shared" ref="BT148:EA148" si="465">BT146/BT110</f>
        <v>0.29594028907669223</v>
      </c>
      <c r="BU148" s="1357">
        <f t="shared" si="465"/>
        <v>0.29361552853133766</v>
      </c>
      <c r="BV148" s="1357">
        <f t="shared" si="465"/>
        <v>0.29343021759072929</v>
      </c>
      <c r="BW148" s="1357">
        <f t="shared" si="465"/>
        <v>0.30842553508005283</v>
      </c>
      <c r="BX148" s="808">
        <f t="shared" si="465"/>
        <v>0.29786737660040824</v>
      </c>
      <c r="BY148" s="1357">
        <f t="shared" si="465"/>
        <v>0.30504202307353856</v>
      </c>
      <c r="BZ148" s="1357">
        <f t="shared" si="465"/>
        <v>0.29552074006702783</v>
      </c>
      <c r="CA148" s="1357">
        <f t="shared" si="465"/>
        <v>0.28774809397700007</v>
      </c>
      <c r="CB148" s="1357">
        <f t="shared" si="465"/>
        <v>0.28793428688907935</v>
      </c>
      <c r="CC148" s="808">
        <f t="shared" si="465"/>
        <v>0.29361584772618365</v>
      </c>
      <c r="CD148" s="1357">
        <f t="shared" si="465"/>
        <v>0.29490741814014948</v>
      </c>
      <c r="CE148" s="1357">
        <f t="shared" si="465"/>
        <v>0.28710619614176308</v>
      </c>
      <c r="CF148" s="1357">
        <f t="shared" si="465"/>
        <v>0.26526999946448249</v>
      </c>
      <c r="CG148" s="1357">
        <f t="shared" si="465"/>
        <v>0.25477736599871004</v>
      </c>
      <c r="CH148" s="808">
        <f t="shared" si="465"/>
        <v>0.27425179558609036</v>
      </c>
      <c r="CI148" s="1357">
        <f t="shared" si="465"/>
        <v>0.2698120973412374</v>
      </c>
      <c r="CJ148" s="1357">
        <f t="shared" si="465"/>
        <v>0.27982944279829441</v>
      </c>
      <c r="CK148" s="1357">
        <f t="shared" si="465"/>
        <v>0.29269895473040963</v>
      </c>
      <c r="CL148" s="1357">
        <f t="shared" si="465"/>
        <v>0.31835444427370319</v>
      </c>
      <c r="CM148" s="808">
        <f t="shared" si="465"/>
        <v>0.2895427387281847</v>
      </c>
      <c r="CN148" s="1357">
        <f t="shared" si="465"/>
        <v>0.32514239015839147</v>
      </c>
      <c r="CO148" s="1357">
        <f t="shared" si="465"/>
        <v>0.32723311277898481</v>
      </c>
      <c r="CP148" s="1357">
        <f t="shared" si="465"/>
        <v>0.35063460382041733</v>
      </c>
      <c r="CQ148" s="1357">
        <f t="shared" si="465"/>
        <v>0.37080280381525865</v>
      </c>
      <c r="CR148" s="808">
        <f t="shared" si="465"/>
        <v>0.34377750748820307</v>
      </c>
      <c r="CS148" s="1357">
        <f t="shared" si="465"/>
        <v>0.36904190143732357</v>
      </c>
      <c r="CT148" s="1357">
        <f t="shared" si="465"/>
        <v>0.33579475703494338</v>
      </c>
      <c r="CU148" s="1357">
        <f t="shared" si="465"/>
        <v>0.30522478273699044</v>
      </c>
      <c r="CV148" s="1357">
        <f t="shared" si="465"/>
        <v>0.34646905904108488</v>
      </c>
      <c r="CW148" s="808">
        <f t="shared" si="465"/>
        <v>0.33744119461976652</v>
      </c>
      <c r="CX148" s="1357">
        <f t="shared" si="465"/>
        <v>0.39570964082697946</v>
      </c>
      <c r="CY148" s="1357">
        <f t="shared" si="465"/>
        <v>0.3887712058408776</v>
      </c>
      <c r="CZ148" s="1357">
        <f t="shared" si="465"/>
        <v>0.37910564974361338</v>
      </c>
      <c r="DA148" s="1357">
        <f t="shared" si="465"/>
        <v>0.399114932799911</v>
      </c>
      <c r="DB148" s="808">
        <f t="shared" si="465"/>
        <v>0.39055810747702135</v>
      </c>
      <c r="DC148" s="1357">
        <f t="shared" si="465"/>
        <v>0.40612585624875064</v>
      </c>
      <c r="DD148" s="1357">
        <f t="shared" si="465"/>
        <v>0.3701561791199533</v>
      </c>
      <c r="DE148" s="1357">
        <f t="shared" si="465"/>
        <v>0.38029828482173983</v>
      </c>
      <c r="DF148" s="1357">
        <f t="shared" si="465"/>
        <v>0.39191129786010714</v>
      </c>
      <c r="DG148" s="808">
        <f t="shared" si="465"/>
        <v>0.38674129965872528</v>
      </c>
      <c r="DH148" s="1357">
        <f t="shared" si="465"/>
        <v>0.38467734306372059</v>
      </c>
      <c r="DI148" s="1357">
        <f t="shared" si="465"/>
        <v>0.37304447580276745</v>
      </c>
      <c r="DJ148" s="1357">
        <f t="shared" si="465"/>
        <v>0.37077302213634683</v>
      </c>
      <c r="DK148" s="1357">
        <f t="shared" si="465"/>
        <v>0.38550377263889057</v>
      </c>
      <c r="DL148" s="808">
        <f t="shared" si="465"/>
        <v>0.37835928940612357</v>
      </c>
      <c r="DM148" s="1357">
        <f t="shared" si="465"/>
        <v>0.37152448072986505</v>
      </c>
      <c r="DN148" s="1357">
        <f t="shared" si="465"/>
        <v>0.36122215303027266</v>
      </c>
      <c r="DO148" s="1357">
        <f t="shared" si="465"/>
        <v>0.37345192734753035</v>
      </c>
      <c r="DP148" s="1357">
        <f t="shared" si="465"/>
        <v>0.37525566165933111</v>
      </c>
      <c r="DQ148" s="808">
        <f t="shared" si="465"/>
        <v>0.37026032340419623</v>
      </c>
      <c r="DR148" s="1357">
        <f t="shared" si="465"/>
        <v>0.4005459313839182</v>
      </c>
      <c r="DS148" s="1357">
        <f t="shared" si="465"/>
        <v>0.43569002478548946</v>
      </c>
      <c r="DT148" s="1357">
        <f t="shared" si="465"/>
        <v>0.45417804277504342</v>
      </c>
      <c r="DU148" s="1357">
        <f t="shared" si="465"/>
        <v>0.4798786245797817</v>
      </c>
      <c r="DV148" s="808">
        <f t="shared" si="465"/>
        <v>0.44269763872866702</v>
      </c>
      <c r="DW148" s="1357">
        <f t="shared" si="465"/>
        <v>0.44907902993614118</v>
      </c>
      <c r="DX148" s="1357">
        <f t="shared" si="465"/>
        <v>0.43050155655482536</v>
      </c>
      <c r="DY148" s="1357">
        <f t="shared" si="465"/>
        <v>0.42333397155052993</v>
      </c>
      <c r="DZ148" s="1357">
        <f t="shared" si="465"/>
        <v>0.44207851970370104</v>
      </c>
      <c r="EA148" s="808">
        <f t="shared" si="465"/>
        <v>0.43596740080257967</v>
      </c>
      <c r="EB148" s="1357">
        <f>EB146/EB110</f>
        <v>0.45593065912196995</v>
      </c>
      <c r="EC148" s="1357">
        <f>EC146/EC110</f>
        <v>0.46120817074612752</v>
      </c>
      <c r="ED148" s="1357">
        <f t="shared" ref="ED148" si="466">ED146/ED110</f>
        <v>0.47339294710327456</v>
      </c>
      <c r="EE148" s="1358">
        <v>0.46500000000000002</v>
      </c>
      <c r="EF148" s="808">
        <f>EF146/EF110</f>
        <v>0.46377101911895724</v>
      </c>
      <c r="EG148" s="1359"/>
      <c r="EH148" s="1360"/>
      <c r="EI148" s="1360"/>
      <c r="EJ148" s="1361"/>
      <c r="EK148" s="1362">
        <v>0.46</v>
      </c>
      <c r="EL148" s="1359"/>
      <c r="EM148" s="1360"/>
      <c r="EN148" s="1360"/>
      <c r="EO148" s="1361"/>
      <c r="EP148" s="1362">
        <v>0.46</v>
      </c>
      <c r="EQ148" s="1359"/>
      <c r="ER148" s="1360"/>
      <c r="ES148" s="1360"/>
      <c r="ET148" s="1361"/>
      <c r="EU148" s="1362">
        <v>0.46</v>
      </c>
      <c r="EV148" s="1359"/>
      <c r="EW148" s="1360"/>
      <c r="EX148" s="1360"/>
      <c r="EY148" s="1361"/>
      <c r="EZ148" s="1362">
        <v>0.46</v>
      </c>
      <c r="FA148" s="1359"/>
      <c r="FB148" s="1360"/>
      <c r="FC148" s="1360"/>
      <c r="FD148" s="1361"/>
      <c r="FE148" s="1362">
        <v>0.46</v>
      </c>
      <c r="FF148" s="872"/>
      <c r="FG148" s="690"/>
      <c r="FH148" s="808"/>
      <c r="FI148" s="808"/>
      <c r="FJ148" s="808"/>
      <c r="FK148" s="808"/>
      <c r="FL148" s="690"/>
      <c r="FM148" s="747"/>
      <c r="FN148" s="708"/>
      <c r="FO148" s="873"/>
      <c r="FP148" s="873"/>
      <c r="FQ148" s="873"/>
      <c r="FR148" s="873"/>
      <c r="FS148" s="873"/>
      <c r="FT148" s="873"/>
      <c r="FU148" s="690"/>
      <c r="FV148"/>
      <c r="FW148"/>
      <c r="FX148"/>
      <c r="FY148"/>
      <c r="FZ148"/>
      <c r="GA148"/>
      <c r="GB148" s="1363"/>
      <c r="GC148" s="535"/>
      <c r="GD148" s="535"/>
      <c r="GE148" s="535"/>
      <c r="GF148" s="535"/>
      <c r="GG148" s="535"/>
      <c r="GH148" s="535"/>
      <c r="GI148" s="535"/>
      <c r="GJ148" s="535"/>
      <c r="GK148" s="535"/>
      <c r="GL148" s="535"/>
      <c r="GM148" s="535"/>
      <c r="GN148" s="535"/>
      <c r="GO148" s="535"/>
      <c r="GP148" s="535"/>
      <c r="GQ148" s="535"/>
      <c r="GR148" s="535"/>
      <c r="GS148" s="535"/>
      <c r="GT148" s="535"/>
      <c r="GU148" s="535"/>
      <c r="GV148" s="535"/>
      <c r="GW148" s="535"/>
      <c r="GX148" s="535"/>
      <c r="GY148" s="535"/>
      <c r="GZ148" s="535"/>
      <c r="HA148" s="535"/>
      <c r="HB148" s="535"/>
      <c r="HC148" s="535"/>
      <c r="HD148" s="535"/>
      <c r="HE148" s="535"/>
      <c r="HF148" s="535"/>
      <c r="HG148" s="535"/>
      <c r="HH148" s="535"/>
      <c r="HI148" s="535"/>
      <c r="HJ148" s="535"/>
      <c r="HK148" s="535"/>
      <c r="HL148" s="535"/>
      <c r="HM148" s="535"/>
      <c r="HN148" s="535"/>
      <c r="HO148" s="535"/>
      <c r="HP148" s="535"/>
      <c r="HQ148" s="535"/>
      <c r="HR148" s="535"/>
      <c r="HS148" s="535"/>
      <c r="HT148" s="535"/>
      <c r="HU148" s="535"/>
      <c r="HV148" s="535"/>
      <c r="HW148" s="535"/>
      <c r="HX148" s="535"/>
      <c r="HY148" s="535"/>
      <c r="HZ148" s="535"/>
      <c r="IA148" s="535"/>
      <c r="IB148" s="535"/>
      <c r="IC148" s="535"/>
      <c r="ID148" s="535"/>
      <c r="IE148" s="535"/>
      <c r="IF148" s="535"/>
      <c r="IG148" s="535"/>
      <c r="IH148" s="535"/>
      <c r="II148" s="535"/>
      <c r="IJ148" s="535"/>
      <c r="IK148" s="535"/>
      <c r="IL148" s="535"/>
      <c r="IM148" s="535"/>
      <c r="IN148" s="535"/>
      <c r="IO148" s="535"/>
      <c r="IP148" s="535"/>
      <c r="IQ148" s="535"/>
      <c r="IR148" s="535"/>
      <c r="IS148" s="535"/>
      <c r="IT148" s="535"/>
      <c r="IU148" s="535"/>
      <c r="IV148" s="535"/>
      <c r="IW148" s="535"/>
      <c r="IX148" s="535"/>
      <c r="IY148" s="535"/>
      <c r="IZ148" s="535"/>
      <c r="JA148" s="535"/>
      <c r="JB148" s="535"/>
      <c r="JC148" s="535"/>
      <c r="JD148" s="535"/>
      <c r="JE148" s="535"/>
      <c r="JF148" s="535"/>
      <c r="JG148" s="535"/>
      <c r="JH148" s="535"/>
      <c r="JI148" s="535"/>
      <c r="JJ148" s="535"/>
      <c r="JK148" s="535"/>
      <c r="JL148" s="535"/>
    </row>
    <row r="149" spans="1:272" s="726" customFormat="1" ht="12.75" hidden="1" customHeight="1" outlineLevel="1">
      <c r="A149" s="1291" t="s">
        <v>86</v>
      </c>
      <c r="B149" s="1292"/>
      <c r="C149" s="1016"/>
      <c r="D149" s="1016"/>
      <c r="E149" s="1016"/>
      <c r="F149" s="808"/>
      <c r="G149" s="1149"/>
      <c r="H149" s="1149"/>
      <c r="I149" s="1149"/>
      <c r="J149" s="1149"/>
      <c r="K149" s="808"/>
      <c r="L149" s="1149"/>
      <c r="M149" s="1149"/>
      <c r="N149" s="1149"/>
      <c r="O149" s="1149"/>
      <c r="P149" s="808"/>
      <c r="Q149" s="1149"/>
      <c r="R149" s="1149"/>
      <c r="S149" s="1149"/>
      <c r="T149" s="1149"/>
      <c r="U149" s="808"/>
      <c r="V149" s="1149"/>
      <c r="W149" s="1149"/>
      <c r="X149" s="1149"/>
      <c r="Y149" s="1149"/>
      <c r="Z149" s="808"/>
      <c r="AA149" s="1149"/>
      <c r="AB149" s="1149"/>
      <c r="AC149" s="1149"/>
      <c r="AD149" s="1149"/>
      <c r="AE149" s="808"/>
      <c r="AF149" s="1149"/>
      <c r="AG149" s="1149"/>
      <c r="AH149" s="1149"/>
      <c r="AI149" s="1149"/>
      <c r="AJ149" s="808"/>
      <c r="AK149" s="1149"/>
      <c r="AL149" s="1149"/>
      <c r="AM149" s="1149"/>
      <c r="AN149" s="1149"/>
      <c r="AO149" s="808"/>
      <c r="AP149" s="1149"/>
      <c r="AQ149" s="1149"/>
      <c r="AR149" s="1149"/>
      <c r="AS149" s="1149"/>
      <c r="AT149" s="808"/>
      <c r="AU149" s="1149"/>
      <c r="AV149" s="1149"/>
      <c r="AW149" s="1149"/>
      <c r="AX149" s="1149"/>
      <c r="AY149" s="808"/>
      <c r="AZ149" s="1149"/>
      <c r="BA149" s="1149"/>
      <c r="BB149" s="1149"/>
      <c r="BC149" s="1149"/>
      <c r="BD149" s="808"/>
      <c r="BE149" s="1149"/>
      <c r="BF149" s="1149"/>
      <c r="BG149" s="1149"/>
      <c r="BH149" s="1149"/>
      <c r="BI149" s="808"/>
      <c r="BJ149" s="1149"/>
      <c r="BK149" s="1149"/>
      <c r="BL149" s="1149"/>
      <c r="BM149" s="1149"/>
      <c r="BN149" s="808"/>
      <c r="BO149" s="1149"/>
      <c r="BP149" s="1149"/>
      <c r="BQ149" s="1149"/>
      <c r="BR149" s="1149"/>
      <c r="BS149" s="808"/>
      <c r="BT149" s="1293"/>
      <c r="BU149" s="1293"/>
      <c r="BV149" s="1293"/>
      <c r="BW149" s="1293"/>
      <c r="BX149" s="1154"/>
      <c r="BY149" s="1293">
        <f t="shared" ref="BY149:EF149" si="467">(BY148-BT148)*100</f>
        <v>0.91017339968463284</v>
      </c>
      <c r="BZ149" s="1293">
        <f t="shared" si="467"/>
        <v>0.19052115356901766</v>
      </c>
      <c r="CA149" s="1293">
        <f t="shared" si="467"/>
        <v>-0.56821236137292175</v>
      </c>
      <c r="CB149" s="1293">
        <f t="shared" si="467"/>
        <v>-2.0491248190973477</v>
      </c>
      <c r="CC149" s="1154">
        <f t="shared" si="467"/>
        <v>-0.4251528874224586</v>
      </c>
      <c r="CD149" s="1293">
        <f t="shared" si="467"/>
        <v>-1.013460493338908</v>
      </c>
      <c r="CE149" s="1293">
        <f t="shared" si="467"/>
        <v>-0.84145439252647503</v>
      </c>
      <c r="CF149" s="1293">
        <f t="shared" si="467"/>
        <v>-2.2478094512517588</v>
      </c>
      <c r="CG149" s="1293">
        <f t="shared" si="467"/>
        <v>-3.315692089036931</v>
      </c>
      <c r="CH149" s="1154">
        <f t="shared" si="467"/>
        <v>-1.9364052140093291</v>
      </c>
      <c r="CI149" s="1293">
        <f t="shared" si="467"/>
        <v>-2.509532079891208</v>
      </c>
      <c r="CJ149" s="1293">
        <f t="shared" si="467"/>
        <v>-0.72767533434686671</v>
      </c>
      <c r="CK149" s="1293">
        <f t="shared" si="467"/>
        <v>2.7428955265927146</v>
      </c>
      <c r="CL149" s="1293">
        <f t="shared" si="467"/>
        <v>6.3577078274993148</v>
      </c>
      <c r="CM149" s="1154">
        <f t="shared" si="467"/>
        <v>1.5290943142094338</v>
      </c>
      <c r="CN149" s="1293">
        <f t="shared" si="467"/>
        <v>5.5330292817154074</v>
      </c>
      <c r="CO149" s="1293">
        <f t="shared" si="467"/>
        <v>4.7403669980690397</v>
      </c>
      <c r="CP149" s="1293">
        <f t="shared" si="467"/>
        <v>5.7935649090007697</v>
      </c>
      <c r="CQ149" s="1293">
        <f t="shared" si="467"/>
        <v>5.2448359541555467</v>
      </c>
      <c r="CR149" s="1154">
        <f t="shared" si="467"/>
        <v>5.4234768760018373</v>
      </c>
      <c r="CS149" s="1293">
        <f t="shared" si="467"/>
        <v>4.3899511278932106</v>
      </c>
      <c r="CT149" s="1293">
        <f t="shared" si="467"/>
        <v>0.8561644255958567</v>
      </c>
      <c r="CU149" s="1293">
        <f t="shared" si="467"/>
        <v>-4.5409821083426891</v>
      </c>
      <c r="CV149" s="1293">
        <f t="shared" si="467"/>
        <v>-2.4333744774173773</v>
      </c>
      <c r="CW149" s="1154">
        <f t="shared" si="467"/>
        <v>-0.63363128684365555</v>
      </c>
      <c r="CX149" s="1293">
        <f t="shared" si="467"/>
        <v>2.6667739389655889</v>
      </c>
      <c r="CY149" s="1293">
        <f t="shared" si="467"/>
        <v>5.2976448805934222</v>
      </c>
      <c r="CZ149" s="1293">
        <f t="shared" si="467"/>
        <v>7.3880867006622939</v>
      </c>
      <c r="DA149" s="1293">
        <f t="shared" si="467"/>
        <v>5.2645873758826127</v>
      </c>
      <c r="DB149" s="1154">
        <f t="shared" si="467"/>
        <v>5.3116912857254839</v>
      </c>
      <c r="DC149" s="1293">
        <f t="shared" si="467"/>
        <v>1.041621542177118</v>
      </c>
      <c r="DD149" s="1293">
        <f t="shared" si="467"/>
        <v>-1.8615026720924299</v>
      </c>
      <c r="DE149" s="1293">
        <f t="shared" si="467"/>
        <v>0.11926350781264472</v>
      </c>
      <c r="DF149" s="1293">
        <f t="shared" si="467"/>
        <v>-0.72036349398038602</v>
      </c>
      <c r="DG149" s="1154">
        <f t="shared" si="467"/>
        <v>-0.38168078182960752</v>
      </c>
      <c r="DH149" s="1293">
        <f t="shared" si="467"/>
        <v>-2.1448513185030049</v>
      </c>
      <c r="DI149" s="1293">
        <f t="shared" si="467"/>
        <v>0.2888296682814151</v>
      </c>
      <c r="DJ149" s="1293">
        <f t="shared" si="467"/>
        <v>-0.95252626853929989</v>
      </c>
      <c r="DK149" s="1293">
        <f t="shared" si="467"/>
        <v>-0.64075252212165701</v>
      </c>
      <c r="DL149" s="1154">
        <f t="shared" si="467"/>
        <v>-0.83820102526017126</v>
      </c>
      <c r="DM149" s="1293">
        <f t="shared" si="467"/>
        <v>-1.3152862333855542</v>
      </c>
      <c r="DN149" s="1293">
        <f t="shared" si="467"/>
        <v>-1.1822322772494787</v>
      </c>
      <c r="DO149" s="1293">
        <f t="shared" si="467"/>
        <v>0.26789052111835243</v>
      </c>
      <c r="DP149" s="1293">
        <f t="shared" si="467"/>
        <v>-1.0248110979559466</v>
      </c>
      <c r="DQ149" s="1154">
        <f t="shared" si="467"/>
        <v>-0.80989660019273324</v>
      </c>
      <c r="DR149" s="1293">
        <f>(DR148-DM148)*100</f>
        <v>2.9021450654053149</v>
      </c>
      <c r="DS149" s="1293">
        <f t="shared" si="467"/>
        <v>7.4467871755216795</v>
      </c>
      <c r="DT149" s="1293">
        <f t="shared" si="467"/>
        <v>8.0726115427513072</v>
      </c>
      <c r="DU149" s="1293">
        <f t="shared" si="467"/>
        <v>10.462296292045059</v>
      </c>
      <c r="DV149" s="1154">
        <f t="shared" si="467"/>
        <v>7.2437315324470788</v>
      </c>
      <c r="DW149" s="1293">
        <f t="shared" si="467"/>
        <v>4.8533098552222986</v>
      </c>
      <c r="DX149" s="1293">
        <f t="shared" si="467"/>
        <v>-0.51884682306641006</v>
      </c>
      <c r="DY149" s="1293">
        <f t="shared" si="467"/>
        <v>-3.0844071224513492</v>
      </c>
      <c r="DZ149" s="1293">
        <f t="shared" si="467"/>
        <v>-3.7800104876080654</v>
      </c>
      <c r="EA149" s="1154">
        <f t="shared" si="467"/>
        <v>-0.67302379260873457</v>
      </c>
      <c r="EB149" s="1293">
        <f t="shared" si="467"/>
        <v>0.6851629185828767</v>
      </c>
      <c r="EC149" s="1293">
        <f>(EC148-DX148)*100</f>
        <v>3.0706614191302162</v>
      </c>
      <c r="ED149" s="1293">
        <f t="shared" si="467"/>
        <v>5.0058975552744638</v>
      </c>
      <c r="EE149" s="1293">
        <f t="shared" si="467"/>
        <v>2.2921480296298977</v>
      </c>
      <c r="EF149" s="1154">
        <f t="shared" si="467"/>
        <v>2.7803618316377565</v>
      </c>
      <c r="EG149" s="1015"/>
      <c r="EH149" s="1016"/>
      <c r="EI149" s="1016"/>
      <c r="EJ149" s="1017"/>
      <c r="EK149" s="1154">
        <f>(EK148-EF148)*100</f>
        <v>-0.37710191189572195</v>
      </c>
      <c r="EL149" s="1015"/>
      <c r="EM149" s="1016"/>
      <c r="EN149" s="1016"/>
      <c r="EO149" s="1017"/>
      <c r="EP149" s="1154">
        <f>(EP148-EK148)*100</f>
        <v>0</v>
      </c>
      <c r="EQ149" s="1015"/>
      <c r="ER149" s="1016"/>
      <c r="ES149" s="1016"/>
      <c r="ET149" s="1017"/>
      <c r="EU149" s="1154">
        <f>(EU148-EP148)*100</f>
        <v>0</v>
      </c>
      <c r="EV149" s="1015"/>
      <c r="EW149" s="1016"/>
      <c r="EX149" s="1016"/>
      <c r="EY149" s="1017"/>
      <c r="EZ149" s="1154">
        <f>(EZ148-EU148)*100</f>
        <v>0</v>
      </c>
      <c r="FA149" s="1015"/>
      <c r="FB149" s="1016"/>
      <c r="FC149" s="1016"/>
      <c r="FD149" s="1017"/>
      <c r="FE149" s="1154">
        <f>(FE148-EZ148)*100</f>
        <v>0</v>
      </c>
      <c r="FF149" s="721"/>
      <c r="FG149" s="690"/>
      <c r="FH149" s="754"/>
      <c r="FI149" s="754"/>
      <c r="FJ149" s="754"/>
      <c r="FK149" s="754"/>
      <c r="FL149" s="690"/>
      <c r="FM149" s="708"/>
      <c r="FN149" s="708"/>
      <c r="FO149" s="723"/>
      <c r="FP149" s="723"/>
      <c r="FQ149" s="723"/>
      <c r="FR149" s="723"/>
      <c r="FS149" s="723"/>
      <c r="FT149" s="723"/>
      <c r="FU149" s="690"/>
      <c r="FV149"/>
      <c r="FW149"/>
      <c r="FX149"/>
      <c r="FY149"/>
      <c r="FZ149"/>
      <c r="GA149"/>
      <c r="GB149" s="961"/>
      <c r="GC149" s="535"/>
      <c r="GD149" s="535"/>
      <c r="GE149" s="535"/>
      <c r="GF149" s="535"/>
      <c r="GG149" s="535"/>
      <c r="GH149" s="535"/>
      <c r="GI149" s="535"/>
      <c r="GJ149" s="535"/>
      <c r="GK149" s="535"/>
      <c r="GL149" s="535"/>
      <c r="GM149" s="535"/>
      <c r="GN149" s="535"/>
      <c r="GO149" s="535"/>
      <c r="GP149" s="535"/>
      <c r="GQ149" s="535"/>
      <c r="GR149" s="535"/>
      <c r="GS149" s="535"/>
      <c r="GT149" s="535"/>
      <c r="GU149" s="535"/>
      <c r="GV149" s="535"/>
      <c r="GW149" s="535"/>
      <c r="GX149" s="535"/>
      <c r="GY149" s="535"/>
      <c r="GZ149" s="535"/>
      <c r="HA149" s="535"/>
      <c r="HB149" s="535"/>
      <c r="HC149" s="535"/>
      <c r="HD149" s="535"/>
      <c r="HE149" s="535"/>
      <c r="HF149" s="535"/>
      <c r="HG149" s="535"/>
      <c r="HH149" s="535"/>
      <c r="HI149" s="535"/>
      <c r="HJ149" s="535"/>
      <c r="HK149" s="535"/>
      <c r="HL149" s="535"/>
      <c r="HM149" s="535"/>
      <c r="HN149" s="535"/>
      <c r="HO149" s="535"/>
      <c r="HP149" s="535"/>
      <c r="HQ149" s="535"/>
      <c r="HR149" s="535"/>
      <c r="HS149" s="535"/>
      <c r="HT149" s="535"/>
      <c r="HU149" s="535"/>
      <c r="HV149" s="535"/>
      <c r="HW149" s="535"/>
      <c r="HX149" s="535"/>
      <c r="HY149" s="535"/>
      <c r="HZ149" s="535"/>
      <c r="IA149" s="535"/>
      <c r="IB149" s="535"/>
      <c r="IC149" s="535"/>
      <c r="ID149" s="535"/>
      <c r="IE149" s="535"/>
      <c r="IF149" s="535"/>
      <c r="IG149" s="535"/>
      <c r="IH149" s="535"/>
      <c r="II149" s="535"/>
      <c r="IJ149" s="535"/>
      <c r="IK149" s="535"/>
      <c r="IL149" s="535"/>
      <c r="IM149" s="535"/>
      <c r="IN149" s="535"/>
      <c r="IO149" s="535"/>
      <c r="IP149" s="535"/>
      <c r="IQ149" s="535"/>
      <c r="IR149" s="535"/>
      <c r="IS149" s="535"/>
      <c r="IT149" s="535"/>
      <c r="IU149" s="535"/>
      <c r="IV149" s="535"/>
      <c r="IW149" s="535"/>
      <c r="IX149" s="535"/>
      <c r="IY149" s="535"/>
      <c r="IZ149" s="535"/>
      <c r="JA149" s="535"/>
      <c r="JB149" s="535"/>
      <c r="JC149" s="535"/>
      <c r="JD149" s="535"/>
      <c r="JE149" s="535"/>
      <c r="JF149" s="535"/>
      <c r="JG149" s="535"/>
      <c r="JH149" s="535"/>
      <c r="JI149" s="535"/>
      <c r="JJ149" s="535"/>
      <c r="JK149" s="535"/>
      <c r="JL149" s="535"/>
    </row>
    <row r="150" spans="1:272" s="726" customFormat="1" ht="12.75" hidden="1" customHeight="1" outlineLevel="1">
      <c r="A150" s="1291" t="s">
        <v>88</v>
      </c>
      <c r="B150" s="1292"/>
      <c r="C150" s="1016"/>
      <c r="D150" s="1016"/>
      <c r="E150" s="1016"/>
      <c r="F150" s="808"/>
      <c r="G150" s="1149"/>
      <c r="H150" s="1149"/>
      <c r="I150" s="1149"/>
      <c r="J150" s="1149"/>
      <c r="K150" s="808"/>
      <c r="L150" s="1149"/>
      <c r="M150" s="1149"/>
      <c r="N150" s="1149"/>
      <c r="O150" s="1149"/>
      <c r="P150" s="808"/>
      <c r="Q150" s="1149"/>
      <c r="R150" s="1149"/>
      <c r="S150" s="1149"/>
      <c r="T150" s="1149"/>
      <c r="U150" s="808"/>
      <c r="V150" s="1149"/>
      <c r="W150" s="1149"/>
      <c r="X150" s="1149"/>
      <c r="Y150" s="1149"/>
      <c r="Z150" s="808"/>
      <c r="AA150" s="1149"/>
      <c r="AB150" s="1149"/>
      <c r="AC150" s="1149"/>
      <c r="AD150" s="1149"/>
      <c r="AE150" s="808"/>
      <c r="AF150" s="1149"/>
      <c r="AG150" s="1149"/>
      <c r="AH150" s="1149"/>
      <c r="AI150" s="1149"/>
      <c r="AJ150" s="808"/>
      <c r="AK150" s="1149"/>
      <c r="AL150" s="1149"/>
      <c r="AM150" s="1149"/>
      <c r="AN150" s="1149"/>
      <c r="AO150" s="808"/>
      <c r="AP150" s="1149"/>
      <c r="AQ150" s="1149"/>
      <c r="AR150" s="1149"/>
      <c r="AS150" s="1149"/>
      <c r="AT150" s="808"/>
      <c r="AU150" s="1149"/>
      <c r="AV150" s="1149"/>
      <c r="AW150" s="1149"/>
      <c r="AX150" s="1149"/>
      <c r="AY150" s="808"/>
      <c r="AZ150" s="1149"/>
      <c r="BA150" s="1149"/>
      <c r="BB150" s="1149"/>
      <c r="BC150" s="1149"/>
      <c r="BD150" s="808"/>
      <c r="BE150" s="1149"/>
      <c r="BF150" s="1149"/>
      <c r="BG150" s="1149"/>
      <c r="BH150" s="1149"/>
      <c r="BI150" s="808"/>
      <c r="BJ150" s="1149"/>
      <c r="BK150" s="1149"/>
      <c r="BL150" s="1149"/>
      <c r="BM150" s="1149"/>
      <c r="BN150" s="808"/>
      <c r="BO150" s="1149"/>
      <c r="BP150" s="1149"/>
      <c r="BQ150" s="1149"/>
      <c r="BR150" s="1149"/>
      <c r="BS150" s="808"/>
      <c r="BT150" s="1293"/>
      <c r="BU150" s="1293">
        <f>+(BU148-BT148)*100</f>
        <v>-0.23247605453545761</v>
      </c>
      <c r="BV150" s="1293">
        <f>+(BV148-BU148)*100</f>
        <v>-1.8531094060836306E-2</v>
      </c>
      <c r="BW150" s="1293">
        <f>+(BW148-BV148)*100</f>
        <v>1.4995317489323534</v>
      </c>
      <c r="BX150" s="1154"/>
      <c r="BY150" s="1293">
        <f>+(BY148-BW148)*100</f>
        <v>-0.33835120065142665</v>
      </c>
      <c r="BZ150" s="1293">
        <f>+(BZ148-BY148)*100</f>
        <v>-0.95212830065107279</v>
      </c>
      <c r="CA150" s="1293">
        <f>+(CA148-BZ148)*100</f>
        <v>-0.77726460900277572</v>
      </c>
      <c r="CB150" s="1293">
        <f>+(CB148-CA148)*100</f>
        <v>1.8619291207927491E-2</v>
      </c>
      <c r="CC150" s="1154">
        <f>CC149</f>
        <v>-0.4251528874224586</v>
      </c>
      <c r="CD150" s="1293">
        <f>+(CD148-CB148)*100</f>
        <v>0.69731312510701304</v>
      </c>
      <c r="CE150" s="1293">
        <f>+(CE148-CD148)*100</f>
        <v>-0.78012219983863984</v>
      </c>
      <c r="CF150" s="1293">
        <f>+(CF148-CE148)*100</f>
        <v>-2.1836196677280597</v>
      </c>
      <c r="CG150" s="1293">
        <f>+(CG148-CF148)*100</f>
        <v>-1.049263346577245</v>
      </c>
      <c r="CH150" s="1154">
        <f>CH149</f>
        <v>-1.9364052140093291</v>
      </c>
      <c r="CI150" s="1293">
        <f>+(CI148-CG148)*100</f>
        <v>1.5034731342527363</v>
      </c>
      <c r="CJ150" s="1293">
        <f>+(CJ148-CI148)*100</f>
        <v>1.0017345457057014</v>
      </c>
      <c r="CK150" s="1293">
        <f>+(CK148-CJ148)*100</f>
        <v>1.2869511932115218</v>
      </c>
      <c r="CL150" s="1293">
        <f>+(CL148-CK148)*100</f>
        <v>2.5655489543293553</v>
      </c>
      <c r="CM150" s="1154">
        <f>CM149</f>
        <v>1.5290943142094338</v>
      </c>
      <c r="CN150" s="1293">
        <f>+(CN148-CL148)*100</f>
        <v>0.67879458846882845</v>
      </c>
      <c r="CO150" s="1293">
        <f>+(CO148-CN148)*100</f>
        <v>0.20907226205933438</v>
      </c>
      <c r="CP150" s="1293">
        <f>+(CP148-CO148)*100</f>
        <v>2.3401491041432521</v>
      </c>
      <c r="CQ150" s="1293">
        <f>+(CQ148-CP148)*100</f>
        <v>2.0168199994841318</v>
      </c>
      <c r="CR150" s="1154">
        <f>CR149</f>
        <v>5.4234768760018373</v>
      </c>
      <c r="CS150" s="1293">
        <f>+(CS148-CQ148)*100</f>
        <v>-0.17609023779350808</v>
      </c>
      <c r="CT150" s="1293">
        <f>+(CT148-CS148)*100</f>
        <v>-3.3247144402380191</v>
      </c>
      <c r="CU150" s="1293">
        <f>+(CU148-CT148)*100</f>
        <v>-3.056997429795294</v>
      </c>
      <c r="CV150" s="1293">
        <f>+(CV148-CU148)*100</f>
        <v>4.1244276304094445</v>
      </c>
      <c r="CW150" s="1154">
        <f>CW149</f>
        <v>-0.63363128684365555</v>
      </c>
      <c r="CX150" s="1293">
        <f>+(CX148-CV148)*100</f>
        <v>4.9240581785894575</v>
      </c>
      <c r="CY150" s="1293">
        <f>+(CY148-CX148)*100</f>
        <v>-0.69384349861018602</v>
      </c>
      <c r="CZ150" s="1293">
        <f>+(CZ148-CY148)*100</f>
        <v>-0.96655560972642163</v>
      </c>
      <c r="DA150" s="1293">
        <f>+(DA148-CZ148)*100</f>
        <v>2.0009283056297624</v>
      </c>
      <c r="DB150" s="1154">
        <f>DB149</f>
        <v>5.3116912857254839</v>
      </c>
      <c r="DC150" s="1293">
        <f>+(DC148-DA148)*100</f>
        <v>0.70109234488396344</v>
      </c>
      <c r="DD150" s="1293">
        <f>+(DD148-DC148)*100</f>
        <v>-3.5969677128797342</v>
      </c>
      <c r="DE150" s="1293">
        <f>+(DE148-DD148)*100</f>
        <v>1.014210570178653</v>
      </c>
      <c r="DF150" s="1293">
        <f>+(DF148-DE148)*100</f>
        <v>1.1613013038367315</v>
      </c>
      <c r="DG150" s="1154">
        <f>DG149</f>
        <v>-0.38168078182960752</v>
      </c>
      <c r="DH150" s="1293">
        <f>+(DH148-DF148)*100</f>
        <v>-0.72339547963865547</v>
      </c>
      <c r="DI150" s="1293">
        <f>+(DI148-DH148)*100</f>
        <v>-1.1632867260953139</v>
      </c>
      <c r="DJ150" s="1293">
        <f>+(DJ148-DI148)*100</f>
        <v>-0.22714536664206197</v>
      </c>
      <c r="DK150" s="1293">
        <f>+(DK148-DJ148)*100</f>
        <v>1.4730750502543744</v>
      </c>
      <c r="DL150" s="1154"/>
      <c r="DM150" s="1293">
        <f>+(DM148-DK148)*100</f>
        <v>-1.3979291909025526</v>
      </c>
      <c r="DN150" s="1293">
        <f>+(DN148-DM148)*100</f>
        <v>-1.0302327699592384</v>
      </c>
      <c r="DO150" s="1293">
        <f>+(DO148-DN148)*100</f>
        <v>1.2229774317257691</v>
      </c>
      <c r="DP150" s="1293">
        <f>+(DP148-DO148)*100</f>
        <v>0.18037343118007532</v>
      </c>
      <c r="DQ150" s="1154"/>
      <c r="DR150" s="1293">
        <f>+(DR148-DP148)*100</f>
        <v>2.5290269724587091</v>
      </c>
      <c r="DS150" s="1293">
        <f>+(DS148-DR148)*100</f>
        <v>3.5144093401571261</v>
      </c>
      <c r="DT150" s="1293">
        <f>+(DT148-DS148)*100</f>
        <v>1.8488017989553962</v>
      </c>
      <c r="DU150" s="1293">
        <f>+(DU148-DT148)*100</f>
        <v>2.5700581804738274</v>
      </c>
      <c r="DV150" s="1154"/>
      <c r="DW150" s="1293">
        <f>+(DW148-DU148)*100</f>
        <v>-3.0799594643640518</v>
      </c>
      <c r="DX150" s="1293">
        <f>+(DX148-DW148)*100</f>
        <v>-1.8577473381315823</v>
      </c>
      <c r="DY150" s="1293">
        <f>+(DY148-DX148)*100</f>
        <v>-0.71675850042954292</v>
      </c>
      <c r="DZ150" s="1293">
        <f>+(DZ148-DY148)*100</f>
        <v>1.8744548153171114</v>
      </c>
      <c r="EA150" s="1154"/>
      <c r="EB150" s="1293">
        <f>+(EB148-DZ148)*100</f>
        <v>1.3852139418268905</v>
      </c>
      <c r="EC150" s="1293">
        <f>+(EC148-EB148)*100</f>
        <v>0.52775116241575715</v>
      </c>
      <c r="ED150" s="1293">
        <f>+(ED148-EC148)*100</f>
        <v>1.2184776357147042</v>
      </c>
      <c r="EE150" s="1293">
        <f>+(EE148-ED148)*100</f>
        <v>-0.83929471032745395</v>
      </c>
      <c r="EF150" s="1154"/>
      <c r="EG150" s="1015"/>
      <c r="EH150" s="1016"/>
      <c r="EI150" s="1016"/>
      <c r="EJ150" s="1017"/>
      <c r="EK150" s="1154"/>
      <c r="EL150" s="1015"/>
      <c r="EM150" s="1016"/>
      <c r="EN150" s="1016"/>
      <c r="EO150" s="1017"/>
      <c r="EP150" s="1154"/>
      <c r="EQ150" s="1015"/>
      <c r="ER150" s="1016"/>
      <c r="ES150" s="1016"/>
      <c r="ET150" s="1017"/>
      <c r="EU150" s="1154"/>
      <c r="EV150" s="1015"/>
      <c r="EW150" s="1016"/>
      <c r="EX150" s="1016"/>
      <c r="EY150" s="1017"/>
      <c r="EZ150" s="1154"/>
      <c r="FA150" s="1015"/>
      <c r="FB150" s="1016"/>
      <c r="FC150" s="1016"/>
      <c r="FD150" s="1017"/>
      <c r="FE150" s="1154"/>
      <c r="FF150" s="721"/>
      <c r="FG150" s="690"/>
      <c r="FH150" s="1294">
        <f>AVERAGE(CI150,CN150,DH150,DM150,DC150,CS150,CD150,BY150,BT150,DR150,DW150)</f>
        <v>3.9397459182105576E-2</v>
      </c>
      <c r="FI150" s="1294">
        <f>AVERAGE(CJ150,CO150,DI150,DN150,DD150,CT150,CY150,CE150,BZ150,BU150,DS150,DX150)</f>
        <v>-0.74219190775142341</v>
      </c>
      <c r="FJ150" s="1294">
        <f>AVERAGE(CK150,CP150,DJ150,DO150,DE150,CU150,CZ150,CF150,CA150,BV150,DT150,DY150)</f>
        <v>-1.9481848264199964E-2</v>
      </c>
      <c r="FK150" s="1294">
        <f>AVERAGE(CL150,CQ150,DK150,DP150,DF150,CV150,DA150,CG150,CB150,BW150,DU150,DZ150)</f>
        <v>1.5363229470398212</v>
      </c>
      <c r="FL150" s="690"/>
      <c r="FM150" s="708"/>
      <c r="FN150" s="708"/>
      <c r="FO150" s="723"/>
      <c r="FP150" s="723"/>
      <c r="FQ150" s="723"/>
      <c r="FR150" s="723"/>
      <c r="FS150" s="723"/>
      <c r="FT150" s="723"/>
      <c r="FU150" s="690"/>
      <c r="FV150"/>
      <c r="FW150"/>
      <c r="FX150"/>
      <c r="FY150"/>
      <c r="FZ150"/>
      <c r="GA150"/>
      <c r="GB150" s="961"/>
      <c r="GC150" s="535"/>
      <c r="GD150" s="535"/>
      <c r="GE150" s="535"/>
      <c r="GF150" s="535"/>
      <c r="GG150" s="535"/>
      <c r="GH150" s="535"/>
      <c r="GI150" s="535"/>
      <c r="GJ150" s="535"/>
      <c r="GK150" s="535"/>
      <c r="GL150" s="535"/>
      <c r="GM150" s="535"/>
      <c r="GN150" s="535"/>
      <c r="GO150" s="535"/>
      <c r="GP150" s="535"/>
      <c r="GQ150" s="535"/>
      <c r="GR150" s="535"/>
      <c r="GS150" s="535"/>
      <c r="GT150" s="535"/>
      <c r="GU150" s="535"/>
      <c r="GV150" s="535"/>
      <c r="GW150" s="535"/>
      <c r="GX150" s="535"/>
      <c r="GY150" s="535"/>
      <c r="GZ150" s="535"/>
      <c r="HA150" s="535"/>
      <c r="HB150" s="535"/>
      <c r="HC150" s="535"/>
      <c r="HD150" s="535"/>
      <c r="HE150" s="535"/>
      <c r="HF150" s="535"/>
      <c r="HG150" s="535"/>
      <c r="HH150" s="535"/>
      <c r="HI150" s="535"/>
      <c r="HJ150" s="535"/>
      <c r="HK150" s="535"/>
      <c r="HL150" s="535"/>
      <c r="HM150" s="535"/>
      <c r="HN150" s="535"/>
      <c r="HO150" s="535"/>
      <c r="HP150" s="535"/>
      <c r="HQ150" s="535"/>
      <c r="HR150" s="535"/>
      <c r="HS150" s="535"/>
      <c r="HT150" s="535"/>
      <c r="HU150" s="535"/>
      <c r="HV150" s="535"/>
      <c r="HW150" s="535"/>
      <c r="HX150" s="535"/>
      <c r="HY150" s="535"/>
      <c r="HZ150" s="535"/>
      <c r="IA150" s="535"/>
      <c r="IB150" s="535"/>
      <c r="IC150" s="535"/>
      <c r="ID150" s="535"/>
      <c r="IE150" s="535"/>
      <c r="IF150" s="535"/>
      <c r="IG150" s="535"/>
      <c r="IH150" s="535"/>
      <c r="II150" s="535"/>
      <c r="IJ150" s="535"/>
      <c r="IK150" s="535"/>
      <c r="IL150" s="535"/>
      <c r="IM150" s="535"/>
      <c r="IN150" s="535"/>
      <c r="IO150" s="535"/>
      <c r="IP150" s="535"/>
      <c r="IQ150" s="535"/>
      <c r="IR150" s="535"/>
      <c r="IS150" s="535"/>
      <c r="IT150" s="535"/>
      <c r="IU150" s="535"/>
      <c r="IV150" s="535"/>
      <c r="IW150" s="535"/>
      <c r="IX150" s="535"/>
      <c r="IY150" s="535"/>
      <c r="IZ150" s="535"/>
      <c r="JA150" s="535"/>
      <c r="JB150" s="535"/>
      <c r="JC150" s="535"/>
      <c r="JD150" s="535"/>
      <c r="JE150" s="535"/>
      <c r="JF150" s="535"/>
      <c r="JG150" s="535"/>
      <c r="JH150" s="535"/>
      <c r="JI150" s="535"/>
      <c r="JJ150" s="535"/>
      <c r="JK150" s="535"/>
      <c r="JL150" s="535"/>
    </row>
    <row r="151" spans="1:272" s="726" customFormat="1" ht="12.75" hidden="1" customHeight="1" outlineLevel="1">
      <c r="A151" s="1364" t="s">
        <v>360</v>
      </c>
      <c r="B151" s="1365"/>
      <c r="C151" s="1366"/>
      <c r="D151" s="1366"/>
      <c r="E151" s="1366"/>
      <c r="F151" s="1367"/>
      <c r="G151" s="1368"/>
      <c r="H151" s="1368"/>
      <c r="I151" s="1368"/>
      <c r="J151" s="1368"/>
      <c r="K151" s="1367"/>
      <c r="L151" s="1368"/>
      <c r="M151" s="1368"/>
      <c r="N151" s="1368"/>
      <c r="O151" s="1368"/>
      <c r="P151" s="1367"/>
      <c r="Q151" s="1368"/>
      <c r="R151" s="1368"/>
      <c r="S151" s="1368"/>
      <c r="T151" s="1368"/>
      <c r="U151" s="1367"/>
      <c r="V151" s="1368"/>
      <c r="W151" s="1368"/>
      <c r="X151" s="1368"/>
      <c r="Y151" s="1368"/>
      <c r="Z151" s="1367"/>
      <c r="AA151" s="1368"/>
      <c r="AB151" s="1368"/>
      <c r="AC151" s="1368"/>
      <c r="AD151" s="1368"/>
      <c r="AE151" s="1367"/>
      <c r="AF151" s="1368"/>
      <c r="AG151" s="1368"/>
      <c r="AH151" s="1368"/>
      <c r="AI151" s="1368"/>
      <c r="AJ151" s="1367"/>
      <c r="AK151" s="1368"/>
      <c r="AL151" s="1368"/>
      <c r="AM151" s="1368"/>
      <c r="AN151" s="1368"/>
      <c r="AO151" s="1367"/>
      <c r="AP151" s="1368"/>
      <c r="AQ151" s="1368"/>
      <c r="AR151" s="1368"/>
      <c r="AS151" s="1368"/>
      <c r="AT151" s="1367"/>
      <c r="AU151" s="1368"/>
      <c r="AV151" s="1368"/>
      <c r="AW151" s="1368"/>
      <c r="AX151" s="1368"/>
      <c r="AY151" s="1367"/>
      <c r="AZ151" s="1368"/>
      <c r="BA151" s="1368"/>
      <c r="BB151" s="1368"/>
      <c r="BC151" s="1368"/>
      <c r="BD151" s="1367"/>
      <c r="BE151" s="1368"/>
      <c r="BF151" s="1368"/>
      <c r="BG151" s="1368"/>
      <c r="BH151" s="1368"/>
      <c r="BI151" s="1367"/>
      <c r="BJ151" s="1368"/>
      <c r="BK151" s="1368"/>
      <c r="BL151" s="1368"/>
      <c r="BM151" s="1368"/>
      <c r="BN151" s="1367"/>
      <c r="BO151" s="1368"/>
      <c r="BP151" s="1368"/>
      <c r="BQ151" s="1368"/>
      <c r="BR151" s="1368"/>
      <c r="BS151" s="1367"/>
      <c r="BT151" s="1368">
        <f t="shared" ref="BT151:EA151" si="468">BT144/BT146</f>
        <v>4.7759481171101445E-2</v>
      </c>
      <c r="BU151" s="1368">
        <f t="shared" si="468"/>
        <v>5.0950013489035349E-2</v>
      </c>
      <c r="BV151" s="1368">
        <f t="shared" si="468"/>
        <v>6.5689642389343342E-2</v>
      </c>
      <c r="BW151" s="1368">
        <f t="shared" si="468"/>
        <v>5.5696904655677608E-2</v>
      </c>
      <c r="BX151" s="1367">
        <f t="shared" si="468"/>
        <v>5.5205346201947988E-2</v>
      </c>
      <c r="BY151" s="1368">
        <f t="shared" si="468"/>
        <v>6.0837570897711711E-2</v>
      </c>
      <c r="BZ151" s="1368">
        <f t="shared" si="468"/>
        <v>6.4163822525597269E-2</v>
      </c>
      <c r="CA151" s="1368">
        <f t="shared" si="468"/>
        <v>6.4959443009749609E-2</v>
      </c>
      <c r="CB151" s="1368">
        <f t="shared" si="468"/>
        <v>7.274213767918461E-2</v>
      </c>
      <c r="CC151" s="1367">
        <f t="shared" si="468"/>
        <v>6.5859011042212048E-2</v>
      </c>
      <c r="CD151" s="1368">
        <f t="shared" si="468"/>
        <v>5.6487023706581922E-2</v>
      </c>
      <c r="CE151" s="1368">
        <f t="shared" si="468"/>
        <v>6.1896443755973772E-2</v>
      </c>
      <c r="CF151" s="1368">
        <f t="shared" si="468"/>
        <v>8.3821201270758733E-2</v>
      </c>
      <c r="CG151" s="1368">
        <f t="shared" si="468"/>
        <v>8.7094109696313052E-2</v>
      </c>
      <c r="CH151" s="1367">
        <f t="shared" si="468"/>
        <v>7.2595044201541614E-2</v>
      </c>
      <c r="CI151" s="1368">
        <f t="shared" si="468"/>
        <v>6.5521150036547765E-2</v>
      </c>
      <c r="CJ151" s="1368">
        <f t="shared" si="468"/>
        <v>6.2944214876033064E-2</v>
      </c>
      <c r="CK151" s="1368">
        <f t="shared" si="468"/>
        <v>5.4744818185462847E-2</v>
      </c>
      <c r="CL151" s="1368">
        <f t="shared" si="468"/>
        <v>7.7910435998975514E-2</v>
      </c>
      <c r="CM151" s="1367">
        <f t="shared" si="468"/>
        <v>6.5350601172534856E-2</v>
      </c>
      <c r="CN151" s="1368">
        <f t="shared" si="468"/>
        <v>6.2701458173445898E-2</v>
      </c>
      <c r="CO151" s="1368">
        <f t="shared" si="468"/>
        <v>6.5403549804779595E-2</v>
      </c>
      <c r="CP151" s="1368">
        <f t="shared" si="468"/>
        <v>5.644903804927888E-2</v>
      </c>
      <c r="CQ151" s="1368">
        <f t="shared" si="468"/>
        <v>4.7100616114119878E-2</v>
      </c>
      <c r="CR151" s="1367">
        <f t="shared" si="468"/>
        <v>5.7395831464906462E-2</v>
      </c>
      <c r="CS151" s="1368">
        <f t="shared" si="468"/>
        <v>4.9700038090401216E-2</v>
      </c>
      <c r="CT151" s="1368">
        <f t="shared" si="468"/>
        <v>3.9116908548236816E-2</v>
      </c>
      <c r="CU151" s="1368">
        <f t="shared" si="468"/>
        <v>2.8675232333312539E-2</v>
      </c>
      <c r="CV151" s="1368">
        <f t="shared" si="468"/>
        <v>-0.29841117591546901</v>
      </c>
      <c r="CW151" s="1367">
        <f t="shared" si="468"/>
        <v>-4.6418687426989992E-2</v>
      </c>
      <c r="CX151" s="1368">
        <f t="shared" si="468"/>
        <v>3.9717965711913002E-2</v>
      </c>
      <c r="CY151" s="1368">
        <f t="shared" si="468"/>
        <v>6.123105911910183E-2</v>
      </c>
      <c r="CZ151" s="1368">
        <f t="shared" si="468"/>
        <v>7.2594894291110726E-2</v>
      </c>
      <c r="DA151" s="1368">
        <f t="shared" si="468"/>
        <v>4.3463584663364516E-2</v>
      </c>
      <c r="DB151" s="1367">
        <f t="shared" si="468"/>
        <v>5.4265622416769542E-2</v>
      </c>
      <c r="DC151" s="1368">
        <f t="shared" si="468"/>
        <v>0.10853454789981212</v>
      </c>
      <c r="DD151" s="1368">
        <f t="shared" si="468"/>
        <v>9.1094350721653825E-2</v>
      </c>
      <c r="DE151" s="1368">
        <f t="shared" si="468"/>
        <v>7.189705035920102E-2</v>
      </c>
      <c r="DF151" s="1368">
        <f t="shared" si="468"/>
        <v>4.6536044053843588E-2</v>
      </c>
      <c r="DG151" s="1367">
        <f t="shared" si="468"/>
        <v>7.9524281882928413E-2</v>
      </c>
      <c r="DH151" s="1368">
        <f t="shared" si="468"/>
        <v>6.0749994730222516E-2</v>
      </c>
      <c r="DI151" s="1368">
        <f t="shared" si="468"/>
        <v>8.2287868067272632E-2</v>
      </c>
      <c r="DJ151" s="1368">
        <f t="shared" si="468"/>
        <v>8.1977176478194816E-2</v>
      </c>
      <c r="DK151" s="1368">
        <f t="shared" si="468"/>
        <v>7.1863163704883312E-2</v>
      </c>
      <c r="DL151" s="1367">
        <f t="shared" si="468"/>
        <v>7.4381346733401035E-2</v>
      </c>
      <c r="DM151" s="1368">
        <f t="shared" si="468"/>
        <v>7.8947875394129313E-2</v>
      </c>
      <c r="DN151" s="1368">
        <f t="shared" si="468"/>
        <v>7.8399387041362345E-2</v>
      </c>
      <c r="DO151" s="1368">
        <f t="shared" si="468"/>
        <v>6.8791116619407983E-2</v>
      </c>
      <c r="DP151" s="1368">
        <f t="shared" si="468"/>
        <v>5.3416387040161169E-2</v>
      </c>
      <c r="DQ151" s="1367">
        <f t="shared" si="468"/>
        <v>6.9805974562813011E-2</v>
      </c>
      <c r="DR151" s="1368">
        <f t="shared" si="468"/>
        <v>4.1563532009391876E-2</v>
      </c>
      <c r="DS151" s="1368">
        <f t="shared" si="468"/>
        <v>6.0575075912499228E-2</v>
      </c>
      <c r="DT151" s="1368">
        <f t="shared" si="468"/>
        <v>4.731625751430539E-2</v>
      </c>
      <c r="DU151" s="1368">
        <f t="shared" si="468"/>
        <v>1.4262700257652163E-2</v>
      </c>
      <c r="DV151" s="1367">
        <f t="shared" si="468"/>
        <v>3.9891132680579124E-2</v>
      </c>
      <c r="DW151" s="1368">
        <f t="shared" si="468"/>
        <v>3.3831990794016109E-2</v>
      </c>
      <c r="DX151" s="1368">
        <f t="shared" si="468"/>
        <v>3.4378398067353377E-2</v>
      </c>
      <c r="DY151" s="1368">
        <f t="shared" si="468"/>
        <v>4.0449725173861452E-2</v>
      </c>
      <c r="DZ151" s="1368">
        <f t="shared" si="468"/>
        <v>3.6500271183612161E-2</v>
      </c>
      <c r="EA151" s="1367">
        <f t="shared" si="468"/>
        <v>3.6312237436337075E-2</v>
      </c>
      <c r="EB151" s="1368">
        <f>EB144/EB146</f>
        <v>4.5310404669874571E-2</v>
      </c>
      <c r="EC151" s="1368">
        <f>EC144/EC146</f>
        <v>4.2751614402230513E-2</v>
      </c>
      <c r="ED151" s="1368">
        <f t="shared" ref="ED151" si="469">ED144/ED146</f>
        <v>4.7888388130064859E-2</v>
      </c>
      <c r="EE151" s="1369">
        <v>3.5000000000000003E-2</v>
      </c>
      <c r="EF151" s="1367">
        <f>EF144/EF146</f>
        <v>4.2769696437470292E-2</v>
      </c>
      <c r="EG151" s="1370"/>
      <c r="EH151" s="1371"/>
      <c r="EI151" s="1371"/>
      <c r="EJ151" s="1372"/>
      <c r="EK151" s="1373">
        <v>4.1000000000000002E-2</v>
      </c>
      <c r="EL151" s="1370"/>
      <c r="EM151" s="1371"/>
      <c r="EN151" s="1371"/>
      <c r="EO151" s="1372"/>
      <c r="EP151" s="1373">
        <v>4.1000000000000002E-2</v>
      </c>
      <c r="EQ151" s="1370"/>
      <c r="ER151" s="1371"/>
      <c r="ES151" s="1371"/>
      <c r="ET151" s="1372"/>
      <c r="EU151" s="1373">
        <v>4.1000000000000002E-2</v>
      </c>
      <c r="EV151" s="1370"/>
      <c r="EW151" s="1371"/>
      <c r="EX151" s="1371"/>
      <c r="EY151" s="1372"/>
      <c r="EZ151" s="1373">
        <v>4.1000000000000002E-2</v>
      </c>
      <c r="FA151" s="1370"/>
      <c r="FB151" s="1371"/>
      <c r="FC151" s="1371"/>
      <c r="FD151" s="1372"/>
      <c r="FE151" s="1373">
        <v>4.1000000000000002E-2</v>
      </c>
      <c r="FF151" s="721"/>
      <c r="FG151" s="690"/>
      <c r="FH151" s="754"/>
      <c r="FI151" s="754"/>
      <c r="FJ151" s="754"/>
      <c r="FK151" s="754"/>
      <c r="FL151" s="690"/>
      <c r="FM151" s="747"/>
      <c r="FN151" s="708"/>
      <c r="FO151" s="723"/>
      <c r="FP151" s="723"/>
      <c r="FQ151" s="723"/>
      <c r="FR151" s="723"/>
      <c r="FS151" s="723"/>
      <c r="FT151" s="723"/>
      <c r="FU151" s="690"/>
      <c r="FV151"/>
      <c r="FW151"/>
      <c r="FX151"/>
      <c r="FY151"/>
      <c r="FZ151"/>
      <c r="GA151"/>
      <c r="GB151" s="961"/>
      <c r="GC151" s="535"/>
      <c r="GD151" s="535"/>
      <c r="GE151" s="535"/>
      <c r="GF151" s="535"/>
      <c r="GG151" s="535"/>
      <c r="GH151" s="535"/>
      <c r="GI151" s="535"/>
      <c r="GJ151" s="535"/>
      <c r="GK151" s="535"/>
      <c r="GL151" s="535"/>
      <c r="GM151" s="535"/>
      <c r="GN151" s="535"/>
      <c r="GO151" s="535"/>
      <c r="GP151" s="535"/>
      <c r="GQ151" s="535"/>
      <c r="GR151" s="535"/>
      <c r="GS151" s="535"/>
      <c r="GT151" s="535"/>
      <c r="GU151" s="535"/>
      <c r="GV151" s="535"/>
      <c r="GW151" s="535"/>
      <c r="GX151" s="535"/>
      <c r="GY151" s="535"/>
      <c r="GZ151" s="535"/>
      <c r="HA151" s="535"/>
      <c r="HB151" s="535"/>
      <c r="HC151" s="535"/>
      <c r="HD151" s="535"/>
      <c r="HE151" s="535"/>
      <c r="HF151" s="535"/>
      <c r="HG151" s="535"/>
      <c r="HH151" s="535"/>
      <c r="HI151" s="535"/>
      <c r="HJ151" s="535"/>
      <c r="HK151" s="535"/>
      <c r="HL151" s="535"/>
      <c r="HM151" s="535"/>
      <c r="HN151" s="535"/>
      <c r="HO151" s="535"/>
      <c r="HP151" s="535"/>
      <c r="HQ151" s="535"/>
      <c r="HR151" s="535"/>
      <c r="HS151" s="535"/>
      <c r="HT151" s="535"/>
      <c r="HU151" s="535"/>
      <c r="HV151" s="535"/>
      <c r="HW151" s="535"/>
      <c r="HX151" s="535"/>
      <c r="HY151" s="535"/>
      <c r="HZ151" s="535"/>
      <c r="IA151" s="535"/>
      <c r="IB151" s="535"/>
      <c r="IC151" s="535"/>
      <c r="ID151" s="535"/>
      <c r="IE151" s="535"/>
      <c r="IF151" s="535"/>
      <c r="IG151" s="535"/>
      <c r="IH151" s="535"/>
      <c r="II151" s="535"/>
      <c r="IJ151" s="535"/>
      <c r="IK151" s="535"/>
      <c r="IL151" s="535"/>
      <c r="IM151" s="535"/>
      <c r="IN151" s="535"/>
      <c r="IO151" s="535"/>
      <c r="IP151" s="535"/>
      <c r="IQ151" s="535"/>
      <c r="IR151" s="535"/>
      <c r="IS151" s="535"/>
      <c r="IT151" s="535"/>
      <c r="IU151" s="535"/>
      <c r="IV151" s="535"/>
      <c r="IW151" s="535"/>
      <c r="IX151" s="535"/>
      <c r="IY151" s="535"/>
      <c r="IZ151" s="535"/>
      <c r="JA151" s="535"/>
      <c r="JB151" s="535"/>
      <c r="JC151" s="535"/>
      <c r="JD151" s="535"/>
      <c r="JE151" s="535"/>
      <c r="JF151" s="535"/>
      <c r="JG151" s="535"/>
      <c r="JH151" s="535"/>
      <c r="JI151" s="535"/>
      <c r="JJ151" s="535"/>
      <c r="JK151" s="535"/>
      <c r="JL151" s="535"/>
    </row>
    <row r="152" spans="1:272" s="726" customFormat="1" ht="12.75" hidden="1" customHeight="1" outlineLevel="1">
      <c r="A152" s="1291" t="s">
        <v>86</v>
      </c>
      <c r="B152" s="1292"/>
      <c r="C152" s="1016"/>
      <c r="D152" s="1016"/>
      <c r="E152" s="1016"/>
      <c r="F152" s="808"/>
      <c r="G152" s="1149"/>
      <c r="H152" s="1149"/>
      <c r="I152" s="1149"/>
      <c r="J152" s="1149"/>
      <c r="K152" s="808"/>
      <c r="L152" s="1149"/>
      <c r="M152" s="1149"/>
      <c r="N152" s="1149"/>
      <c r="O152" s="1149"/>
      <c r="P152" s="808"/>
      <c r="Q152" s="1149"/>
      <c r="R152" s="1149"/>
      <c r="S152" s="1149"/>
      <c r="T152" s="1149"/>
      <c r="U152" s="808"/>
      <c r="V152" s="1149"/>
      <c r="W152" s="1149"/>
      <c r="X152" s="1149"/>
      <c r="Y152" s="1149"/>
      <c r="Z152" s="808"/>
      <c r="AA152" s="1149"/>
      <c r="AB152" s="1149"/>
      <c r="AC152" s="1149"/>
      <c r="AD152" s="1149"/>
      <c r="AE152" s="808"/>
      <c r="AF152" s="1149"/>
      <c r="AG152" s="1149"/>
      <c r="AH152" s="1149"/>
      <c r="AI152" s="1149"/>
      <c r="AJ152" s="808"/>
      <c r="AK152" s="1149"/>
      <c r="AL152" s="1149"/>
      <c r="AM152" s="1149"/>
      <c r="AN152" s="1149"/>
      <c r="AO152" s="808"/>
      <c r="AP152" s="1149"/>
      <c r="AQ152" s="1149"/>
      <c r="AR152" s="1149"/>
      <c r="AS152" s="1149"/>
      <c r="AT152" s="808"/>
      <c r="AU152" s="1149"/>
      <c r="AV152" s="1149"/>
      <c r="AW152" s="1149"/>
      <c r="AX152" s="1149"/>
      <c r="AY152" s="808"/>
      <c r="AZ152" s="1149"/>
      <c r="BA152" s="1149"/>
      <c r="BB152" s="1149"/>
      <c r="BC152" s="1149"/>
      <c r="BD152" s="808"/>
      <c r="BE152" s="1149"/>
      <c r="BF152" s="1149"/>
      <c r="BG152" s="1149"/>
      <c r="BH152" s="1149"/>
      <c r="BI152" s="808"/>
      <c r="BJ152" s="1149"/>
      <c r="BK152" s="1149"/>
      <c r="BL152" s="1149"/>
      <c r="BM152" s="1149"/>
      <c r="BN152" s="808"/>
      <c r="BO152" s="1149"/>
      <c r="BP152" s="1149"/>
      <c r="BQ152" s="1149"/>
      <c r="BR152" s="1149"/>
      <c r="BS152" s="808"/>
      <c r="BT152" s="1293"/>
      <c r="BU152" s="1293"/>
      <c r="BV152" s="1293"/>
      <c r="BW152" s="1293"/>
      <c r="BX152" s="1154"/>
      <c r="BY152" s="1293">
        <f t="shared" ref="BY152:EF152" si="470">(BY151-BT151)*100</f>
        <v>1.3078089726610267</v>
      </c>
      <c r="BZ152" s="1293">
        <f t="shared" si="470"/>
        <v>1.3213809036561921</v>
      </c>
      <c r="CA152" s="1293">
        <f t="shared" si="470"/>
        <v>-7.3019937959373227E-2</v>
      </c>
      <c r="CB152" s="1293">
        <f t="shared" si="470"/>
        <v>1.7045233023507003</v>
      </c>
      <c r="CC152" s="1154">
        <f t="shared" si="470"/>
        <v>1.0653664840264061</v>
      </c>
      <c r="CD152" s="1293">
        <f t="shared" si="470"/>
        <v>-0.43505471911297888</v>
      </c>
      <c r="CE152" s="1293">
        <f t="shared" si="470"/>
        <v>-0.22673787696234973</v>
      </c>
      <c r="CF152" s="1293">
        <f t="shared" si="470"/>
        <v>1.8861758261009123</v>
      </c>
      <c r="CG152" s="1293">
        <f t="shared" si="470"/>
        <v>1.4351972017128443</v>
      </c>
      <c r="CH152" s="1154">
        <f t="shared" si="470"/>
        <v>0.67360331593295664</v>
      </c>
      <c r="CI152" s="1293">
        <f t="shared" si="470"/>
        <v>0.90341263299658425</v>
      </c>
      <c r="CJ152" s="1293">
        <f t="shared" si="470"/>
        <v>0.10477711200592918</v>
      </c>
      <c r="CK152" s="1293">
        <f t="shared" si="470"/>
        <v>-2.9076383085295885</v>
      </c>
      <c r="CL152" s="1293">
        <f t="shared" si="470"/>
        <v>-0.91836736973375377</v>
      </c>
      <c r="CM152" s="1154">
        <f t="shared" si="470"/>
        <v>-0.72444430290067585</v>
      </c>
      <c r="CN152" s="1293">
        <f t="shared" si="470"/>
        <v>-0.28196918631018669</v>
      </c>
      <c r="CO152" s="1293">
        <f t="shared" si="470"/>
        <v>0.24593349287465316</v>
      </c>
      <c r="CP152" s="1293">
        <f t="shared" si="470"/>
        <v>0.17042198638160325</v>
      </c>
      <c r="CQ152" s="1293">
        <f t="shared" si="470"/>
        <v>-3.0809819884855636</v>
      </c>
      <c r="CR152" s="1154">
        <f t="shared" si="470"/>
        <v>-0.79547697076283941</v>
      </c>
      <c r="CS152" s="1293">
        <f t="shared" si="470"/>
        <v>-1.3001420083044681</v>
      </c>
      <c r="CT152" s="1293">
        <f t="shared" si="470"/>
        <v>-2.6286641256542778</v>
      </c>
      <c r="CU152" s="1293">
        <f t="shared" si="470"/>
        <v>-2.777380571596634</v>
      </c>
      <c r="CV152" s="1293">
        <f t="shared" si="470"/>
        <v>-34.551179202958885</v>
      </c>
      <c r="CW152" s="1154">
        <f t="shared" si="470"/>
        <v>-10.381451889189645</v>
      </c>
      <c r="CX152" s="1293">
        <f t="shared" si="470"/>
        <v>-0.99820723784882148</v>
      </c>
      <c r="CY152" s="1293">
        <f t="shared" si="470"/>
        <v>2.2114150570865014</v>
      </c>
      <c r="CZ152" s="1293">
        <f t="shared" si="470"/>
        <v>4.3919661957798191</v>
      </c>
      <c r="DA152" s="1293">
        <f t="shared" si="470"/>
        <v>34.187476057883352</v>
      </c>
      <c r="DB152" s="1154">
        <f t="shared" si="470"/>
        <v>10.068430984375954</v>
      </c>
      <c r="DC152" s="1293">
        <f t="shared" si="470"/>
        <v>6.8816582187899131</v>
      </c>
      <c r="DD152" s="1293">
        <f t="shared" si="470"/>
        <v>2.9863291602551993</v>
      </c>
      <c r="DE152" s="1293">
        <f t="shared" si="470"/>
        <v>-6.9784393190970573E-2</v>
      </c>
      <c r="DF152" s="1293">
        <f t="shared" si="470"/>
        <v>0.3072459390479072</v>
      </c>
      <c r="DG152" s="1154">
        <f t="shared" si="470"/>
        <v>2.525865946615887</v>
      </c>
      <c r="DH152" s="1293">
        <f t="shared" si="470"/>
        <v>-4.7784553169589605</v>
      </c>
      <c r="DI152" s="1293">
        <f t="shared" si="470"/>
        <v>-0.88064826543811925</v>
      </c>
      <c r="DJ152" s="1293">
        <f t="shared" si="470"/>
        <v>1.0080126118993795</v>
      </c>
      <c r="DK152" s="1293">
        <f t="shared" si="470"/>
        <v>2.5327119651039722</v>
      </c>
      <c r="DL152" s="1154">
        <f t="shared" si="470"/>
        <v>-0.51429351495273778</v>
      </c>
      <c r="DM152" s="1293">
        <f t="shared" si="470"/>
        <v>1.8197880663906798</v>
      </c>
      <c r="DN152" s="1293">
        <f t="shared" si="470"/>
        <v>-0.3888481025910287</v>
      </c>
      <c r="DO152" s="1293">
        <f t="shared" si="470"/>
        <v>-1.3186059858786834</v>
      </c>
      <c r="DP152" s="1293">
        <f t="shared" si="470"/>
        <v>-1.8446776664722144</v>
      </c>
      <c r="DQ152" s="1154">
        <f t="shared" si="470"/>
        <v>-0.4575372170588024</v>
      </c>
      <c r="DR152" s="1293">
        <f>(DR151-DM151)*100</f>
        <v>-3.7384343384737435</v>
      </c>
      <c r="DS152" s="1293">
        <f t="shared" si="470"/>
        <v>-1.7824311128863117</v>
      </c>
      <c r="DT152" s="1293">
        <f t="shared" si="470"/>
        <v>-2.1474859105102593</v>
      </c>
      <c r="DU152" s="1293">
        <f t="shared" si="470"/>
        <v>-3.9153686782509007</v>
      </c>
      <c r="DV152" s="1154">
        <f t="shared" si="470"/>
        <v>-2.9914841882233887</v>
      </c>
      <c r="DW152" s="1293">
        <f t="shared" si="470"/>
        <v>-0.77315412153757679</v>
      </c>
      <c r="DX152" s="1293">
        <f t="shared" si="470"/>
        <v>-2.619667784514585</v>
      </c>
      <c r="DY152" s="1293">
        <f t="shared" si="470"/>
        <v>-0.68665323404439382</v>
      </c>
      <c r="DZ152" s="1293">
        <f t="shared" si="470"/>
        <v>2.2237570925959997</v>
      </c>
      <c r="EA152" s="1154">
        <f t="shared" si="470"/>
        <v>-0.35788952442420485</v>
      </c>
      <c r="EB152" s="1293">
        <f t="shared" si="470"/>
        <v>1.1478413875858462</v>
      </c>
      <c r="EC152" s="1293">
        <f>(EC151-DX151)*100</f>
        <v>0.8373216334877136</v>
      </c>
      <c r="ED152" s="1293">
        <f t="shared" si="470"/>
        <v>0.74386629562034068</v>
      </c>
      <c r="EE152" s="1293">
        <f t="shared" si="470"/>
        <v>-0.15002711836121577</v>
      </c>
      <c r="EF152" s="1154">
        <f t="shared" si="470"/>
        <v>0.64574590011332167</v>
      </c>
      <c r="EG152" s="1015"/>
      <c r="EH152" s="1016"/>
      <c r="EI152" s="1016"/>
      <c r="EJ152" s="1017"/>
      <c r="EK152" s="1154">
        <f>(EK151-EF151)*100</f>
        <v>-0.17696964374702903</v>
      </c>
      <c r="EL152" s="1015"/>
      <c r="EM152" s="1016"/>
      <c r="EN152" s="1016"/>
      <c r="EO152" s="1017"/>
      <c r="EP152" s="1154">
        <f>(EP151-EK151)*100</f>
        <v>0</v>
      </c>
      <c r="EQ152" s="1015"/>
      <c r="ER152" s="1016"/>
      <c r="ES152" s="1016"/>
      <c r="ET152" s="1017"/>
      <c r="EU152" s="1154">
        <f>(EU151-EP151)*100</f>
        <v>0</v>
      </c>
      <c r="EV152" s="1015"/>
      <c r="EW152" s="1016"/>
      <c r="EX152" s="1016"/>
      <c r="EY152" s="1017"/>
      <c r="EZ152" s="1154">
        <f>(EZ151-EU151)*100</f>
        <v>0</v>
      </c>
      <c r="FA152" s="1015"/>
      <c r="FB152" s="1016"/>
      <c r="FC152" s="1016"/>
      <c r="FD152" s="1017"/>
      <c r="FE152" s="1154">
        <f>(FE151-EZ151)*100</f>
        <v>0</v>
      </c>
      <c r="FF152" s="721"/>
      <c r="FG152" s="690"/>
      <c r="FH152" s="754"/>
      <c r="FI152" s="754"/>
      <c r="FJ152" s="754"/>
      <c r="FK152" s="754"/>
      <c r="FL152" s="690"/>
      <c r="FM152" s="708"/>
      <c r="FN152" s="940"/>
      <c r="FO152" s="723"/>
      <c r="FP152" s="723"/>
      <c r="FQ152" s="723"/>
      <c r="FR152" s="723"/>
      <c r="FS152" s="723"/>
      <c r="FT152" s="723"/>
      <c r="FU152" s="690"/>
      <c r="FV152"/>
      <c r="FW152"/>
      <c r="FX152"/>
      <c r="FY152"/>
      <c r="FZ152"/>
      <c r="GA152"/>
      <c r="GB152" s="961"/>
      <c r="GC152" s="535"/>
      <c r="GD152" s="535"/>
      <c r="GE152" s="535"/>
      <c r="GF152" s="535"/>
      <c r="GG152" s="535"/>
      <c r="GH152" s="535"/>
      <c r="GI152" s="535"/>
      <c r="GJ152" s="535"/>
      <c r="GK152" s="535"/>
      <c r="GL152" s="535"/>
      <c r="GM152" s="535"/>
      <c r="GN152" s="535"/>
      <c r="GO152" s="535"/>
      <c r="GP152" s="535"/>
      <c r="GQ152" s="535"/>
      <c r="GR152" s="535"/>
      <c r="GS152" s="535"/>
      <c r="GT152" s="535"/>
      <c r="GU152" s="535"/>
      <c r="GV152" s="535"/>
      <c r="GW152" s="535"/>
      <c r="GX152" s="535"/>
      <c r="GY152" s="535"/>
      <c r="GZ152" s="535"/>
      <c r="HA152" s="535"/>
      <c r="HB152" s="535"/>
      <c r="HC152" s="535"/>
      <c r="HD152" s="535"/>
      <c r="HE152" s="535"/>
      <c r="HF152" s="535"/>
      <c r="HG152" s="535"/>
      <c r="HH152" s="535"/>
      <c r="HI152" s="535"/>
      <c r="HJ152" s="535"/>
      <c r="HK152" s="535"/>
      <c r="HL152" s="535"/>
      <c r="HM152" s="535"/>
      <c r="HN152" s="535"/>
      <c r="HO152" s="535"/>
      <c r="HP152" s="535"/>
      <c r="HQ152" s="535"/>
      <c r="HR152" s="535"/>
      <c r="HS152" s="535"/>
      <c r="HT152" s="535"/>
      <c r="HU152" s="535"/>
      <c r="HV152" s="535"/>
      <c r="HW152" s="535"/>
      <c r="HX152" s="535"/>
      <c r="HY152" s="535"/>
      <c r="HZ152" s="535"/>
      <c r="IA152" s="535"/>
      <c r="IB152" s="535"/>
      <c r="IC152" s="535"/>
      <c r="ID152" s="535"/>
      <c r="IE152" s="535"/>
      <c r="IF152" s="535"/>
      <c r="IG152" s="535"/>
      <c r="IH152" s="535"/>
      <c r="II152" s="535"/>
      <c r="IJ152" s="535"/>
      <c r="IK152" s="535"/>
      <c r="IL152" s="535"/>
      <c r="IM152" s="535"/>
      <c r="IN152" s="535"/>
      <c r="IO152" s="535"/>
      <c r="IP152" s="535"/>
      <c r="IQ152" s="535"/>
      <c r="IR152" s="535"/>
      <c r="IS152" s="535"/>
      <c r="IT152" s="535"/>
      <c r="IU152" s="535"/>
      <c r="IV152" s="535"/>
      <c r="IW152" s="535"/>
      <c r="IX152" s="535"/>
      <c r="IY152" s="535"/>
      <c r="IZ152" s="535"/>
      <c r="JA152" s="535"/>
      <c r="JB152" s="535"/>
      <c r="JC152" s="535"/>
      <c r="JD152" s="535"/>
      <c r="JE152" s="535"/>
      <c r="JF152" s="535"/>
      <c r="JG152" s="535"/>
      <c r="JH152" s="535"/>
      <c r="JI152" s="535"/>
      <c r="JJ152" s="535"/>
      <c r="JK152" s="535"/>
      <c r="JL152" s="535"/>
    </row>
    <row r="153" spans="1:272" s="726" customFormat="1" ht="12.75" hidden="1" customHeight="1" outlineLevel="1">
      <c r="A153" s="1291" t="s">
        <v>88</v>
      </c>
      <c r="B153" s="1292"/>
      <c r="C153" s="1016"/>
      <c r="D153" s="1016"/>
      <c r="E153" s="1016"/>
      <c r="F153" s="808"/>
      <c r="G153" s="1149"/>
      <c r="H153" s="1149"/>
      <c r="I153" s="1149"/>
      <c r="J153" s="1149"/>
      <c r="K153" s="808"/>
      <c r="L153" s="1149"/>
      <c r="M153" s="1149"/>
      <c r="N153" s="1149"/>
      <c r="O153" s="1149"/>
      <c r="P153" s="808"/>
      <c r="Q153" s="1149"/>
      <c r="R153" s="1149"/>
      <c r="S153" s="1149"/>
      <c r="T153" s="1149"/>
      <c r="U153" s="808"/>
      <c r="V153" s="1149"/>
      <c r="W153" s="1149"/>
      <c r="X153" s="1149"/>
      <c r="Y153" s="1149"/>
      <c r="Z153" s="808"/>
      <c r="AA153" s="1149"/>
      <c r="AB153" s="1149"/>
      <c r="AC153" s="1149"/>
      <c r="AD153" s="1149"/>
      <c r="AE153" s="808"/>
      <c r="AF153" s="1149"/>
      <c r="AG153" s="1149"/>
      <c r="AH153" s="1149"/>
      <c r="AI153" s="1149"/>
      <c r="AJ153" s="808"/>
      <c r="AK153" s="1149"/>
      <c r="AL153" s="1149"/>
      <c r="AM153" s="1149"/>
      <c r="AN153" s="1149"/>
      <c r="AO153" s="808"/>
      <c r="AP153" s="1149"/>
      <c r="AQ153" s="1149"/>
      <c r="AR153" s="1149"/>
      <c r="AS153" s="1149"/>
      <c r="AT153" s="808"/>
      <c r="AU153" s="1149"/>
      <c r="AV153" s="1149"/>
      <c r="AW153" s="1149"/>
      <c r="AX153" s="1149"/>
      <c r="AY153" s="808"/>
      <c r="AZ153" s="1149"/>
      <c r="BA153" s="1149"/>
      <c r="BB153" s="1149"/>
      <c r="BC153" s="1149"/>
      <c r="BD153" s="808"/>
      <c r="BE153" s="1149"/>
      <c r="BF153" s="1149"/>
      <c r="BG153" s="1149"/>
      <c r="BH153" s="1149"/>
      <c r="BI153" s="808"/>
      <c r="BJ153" s="1149"/>
      <c r="BK153" s="1149"/>
      <c r="BL153" s="1149"/>
      <c r="BM153" s="1149"/>
      <c r="BN153" s="808"/>
      <c r="BO153" s="1149"/>
      <c r="BP153" s="1149"/>
      <c r="BQ153" s="1149"/>
      <c r="BR153" s="1149"/>
      <c r="BS153" s="808"/>
      <c r="BT153" s="1293"/>
      <c r="BU153" s="1293"/>
      <c r="BV153" s="1293"/>
      <c r="BW153" s="1293"/>
      <c r="BX153" s="1154"/>
      <c r="BY153" s="1293">
        <f>+(BY151-BW151)*100</f>
        <v>0.51406662420341032</v>
      </c>
      <c r="BZ153" s="1293">
        <f>+(BZ151-BY151)*100</f>
        <v>0.33262516278855581</v>
      </c>
      <c r="CA153" s="1293">
        <f>+(CA151-BZ151)*100</f>
        <v>7.956204841523401E-2</v>
      </c>
      <c r="CB153" s="1293">
        <f>+(CB151-CA151)*100</f>
        <v>0.77826946694349997</v>
      </c>
      <c r="CC153" s="1154">
        <f>CC152</f>
        <v>1.0653664840264061</v>
      </c>
      <c r="CD153" s="1293">
        <f>+(CD151-CB151)*100</f>
        <v>-1.6255113972602688</v>
      </c>
      <c r="CE153" s="1293">
        <f>+(CE151-CD151)*100</f>
        <v>0.54094200493918498</v>
      </c>
      <c r="CF153" s="1293">
        <f>+(CF151-CE151)*100</f>
        <v>2.1924757514784963</v>
      </c>
      <c r="CG153" s="1293">
        <f>+(CG151-CF151)*100</f>
        <v>0.32729084255543189</v>
      </c>
      <c r="CH153" s="1154">
        <f>CH152</f>
        <v>0.67360331593295664</v>
      </c>
      <c r="CI153" s="1293">
        <f>+(CI151-CG151)*100</f>
        <v>-2.1572959659765285</v>
      </c>
      <c r="CJ153" s="1293">
        <f>+(CJ151-CI151)*100</f>
        <v>-0.25769351605147012</v>
      </c>
      <c r="CK153" s="1293">
        <f>+(CK151-CJ151)*100</f>
        <v>-0.81993966905702165</v>
      </c>
      <c r="CL153" s="1293">
        <f>+(CL151-CK151)*100</f>
        <v>2.3165617813512664</v>
      </c>
      <c r="CM153" s="1154">
        <f>CM152</f>
        <v>-0.72444430290067585</v>
      </c>
      <c r="CN153" s="1293">
        <f>+(CN151-CL151)*100</f>
        <v>-1.5208977825529615</v>
      </c>
      <c r="CO153" s="1293">
        <f>+(CO151-CN151)*100</f>
        <v>0.27020916313336973</v>
      </c>
      <c r="CP153" s="1293">
        <f>+(CP151-CO151)*100</f>
        <v>-0.89545117555007159</v>
      </c>
      <c r="CQ153" s="1293">
        <f>+(CQ151-CP151)*100</f>
        <v>-0.93484219351590014</v>
      </c>
      <c r="CR153" s="1154">
        <f>CR152</f>
        <v>-0.79547697076283941</v>
      </c>
      <c r="CS153" s="1293">
        <f>+(CS151-CQ151)*100</f>
        <v>0.25994219762813381</v>
      </c>
      <c r="CT153" s="1293">
        <f>+(CT151-CS151)*100</f>
        <v>-1.05831295421644</v>
      </c>
      <c r="CU153" s="1293">
        <f>+(CU151-CT151)*100</f>
        <v>-1.0441676214924276</v>
      </c>
      <c r="CV153" s="1293">
        <f>+(CV151-CU151)*100</f>
        <v>-32.708640824878152</v>
      </c>
      <c r="CW153" s="1154">
        <f>CW152</f>
        <v>-10.381451889189645</v>
      </c>
      <c r="CX153" s="1293">
        <f>+(CX151-CV151)*100</f>
        <v>33.812914162738203</v>
      </c>
      <c r="CY153" s="1293">
        <f>+(CY151-CX151)*100</f>
        <v>2.1513093407188828</v>
      </c>
      <c r="CZ153" s="1293">
        <f>+(CZ151-CY151)*100</f>
        <v>1.1363835172008896</v>
      </c>
      <c r="DA153" s="1293">
        <f>+(DA151-CZ151)*100</f>
        <v>-2.9131309627746211</v>
      </c>
      <c r="DB153" s="1154">
        <f>DB152</f>
        <v>10.068430984375954</v>
      </c>
      <c r="DC153" s="1293">
        <f>+(DC151-DA151)*100</f>
        <v>6.5070963236447605</v>
      </c>
      <c r="DD153" s="1293">
        <f>+(DD151-DC151)*100</f>
        <v>-1.7440197178158299</v>
      </c>
      <c r="DE153" s="1293">
        <f>+(DE151-DD151)*100</f>
        <v>-1.9197300362452805</v>
      </c>
      <c r="DF153" s="1293">
        <f>+(DF151-DE151)*100</f>
        <v>-2.5361006305357434</v>
      </c>
      <c r="DG153" s="1154">
        <f>DG152</f>
        <v>2.525865946615887</v>
      </c>
      <c r="DH153" s="1293">
        <f>+(DH151-DF151)*100</f>
        <v>1.4213950676378928</v>
      </c>
      <c r="DI153" s="1293">
        <f>+(DI151-DH151)*100</f>
        <v>2.1537873337050115</v>
      </c>
      <c r="DJ153" s="1293">
        <f>+(DJ151-DI151)*100</f>
        <v>-3.1069158907781613E-2</v>
      </c>
      <c r="DK153" s="1293">
        <f>+(DK151-DJ151)*100</f>
        <v>-1.0114012773311503</v>
      </c>
      <c r="DL153" s="1154"/>
      <c r="DM153" s="1293">
        <f>+(DM151-DK151)*100</f>
        <v>0.70847116892460016</v>
      </c>
      <c r="DN153" s="1293">
        <f>+(DN151-DM151)*100</f>
        <v>-5.4848835276696817E-2</v>
      </c>
      <c r="DO153" s="1293">
        <f>+(DO151-DN151)*100</f>
        <v>-0.96082704219543624</v>
      </c>
      <c r="DP153" s="1293">
        <f>+(DP151-DO151)*100</f>
        <v>-1.5374729579246813</v>
      </c>
      <c r="DQ153" s="1154"/>
      <c r="DR153" s="1293">
        <f>+(DR151-DP151)*100</f>
        <v>-1.1852855030769291</v>
      </c>
      <c r="DS153" s="1293">
        <f>+(DS151-DR151)*100</f>
        <v>1.9011543903107351</v>
      </c>
      <c r="DT153" s="1293">
        <f>+(DT151-DS151)*100</f>
        <v>-1.3258818398193837</v>
      </c>
      <c r="DU153" s="1293">
        <f>+(DU151-DT151)*100</f>
        <v>-3.3053557256653225</v>
      </c>
      <c r="DV153" s="1154"/>
      <c r="DW153" s="1293">
        <f>+(DW151-DU151)*100</f>
        <v>1.9569290536363946</v>
      </c>
      <c r="DX153" s="1293">
        <f>+(DX151-DW151)*100</f>
        <v>5.4640727333726824E-2</v>
      </c>
      <c r="DY153" s="1293">
        <f>+(DY151-DX151)*100</f>
        <v>0.60713271065080743</v>
      </c>
      <c r="DZ153" s="1293">
        <f>+(DZ151-DY151)*100</f>
        <v>-0.39494539902492909</v>
      </c>
      <c r="EA153" s="1154"/>
      <c r="EB153" s="1293">
        <f>+(EB151-DZ151)*100</f>
        <v>0.88101334862624103</v>
      </c>
      <c r="EC153" s="1293">
        <f>+(EC151-EB151)*100</f>
        <v>-0.25587902676440577</v>
      </c>
      <c r="ED153" s="1293">
        <f>+(ED151-EC151)*100</f>
        <v>0.5136773727834345</v>
      </c>
      <c r="EE153" s="1293">
        <f>+(EE151-ED151)*100</f>
        <v>-1.2888388130064856</v>
      </c>
      <c r="EF153" s="1154"/>
      <c r="EG153" s="1015"/>
      <c r="EH153" s="1016"/>
      <c r="EI153" s="1016"/>
      <c r="EJ153" s="1017"/>
      <c r="EK153" s="1154"/>
      <c r="EL153" s="1015"/>
      <c r="EM153" s="1016"/>
      <c r="EN153" s="1016"/>
      <c r="EO153" s="1017"/>
      <c r="EP153" s="1154"/>
      <c r="EQ153" s="1015"/>
      <c r="ER153" s="1016"/>
      <c r="ES153" s="1016"/>
      <c r="ET153" s="1017"/>
      <c r="EU153" s="1154"/>
      <c r="EV153" s="1015"/>
      <c r="EW153" s="1016"/>
      <c r="EX153" s="1016"/>
      <c r="EY153" s="1017"/>
      <c r="EZ153" s="1154"/>
      <c r="FA153" s="1015"/>
      <c r="FB153" s="1016"/>
      <c r="FC153" s="1016"/>
      <c r="FD153" s="1017"/>
      <c r="FE153" s="1154"/>
      <c r="FF153" s="721"/>
      <c r="FG153" s="690"/>
      <c r="FH153" s="1294">
        <f>AVERAGE(CI153,CN153,DH153,DM153,DC153,CS153,CD153,BY153,BT153,DR153,DW153)</f>
        <v>0.48789097868085046</v>
      </c>
      <c r="FI153" s="1294">
        <f>AVERAGE(CJ153,CO153,DI153,DN153,DD153,CT153,CY153,CE153,BZ153,BU153,DS153,DX153)</f>
        <v>0.38998119086991179</v>
      </c>
      <c r="FJ153" s="1294">
        <f>AVERAGE(CK153,CP153,DJ153,DO153,DE153,CU153,CZ153,CF153,CA153,BV153,DT153,DY153)</f>
        <v>-0.27104659232017947</v>
      </c>
      <c r="FK153" s="1294">
        <f>AVERAGE(CL153,CQ153,DK153,DP153,DF153,DA153,CG153,CB153,DZ153,DU153)</f>
        <v>-0.92111270559221503</v>
      </c>
      <c r="FL153" s="690"/>
      <c r="FM153" s="708"/>
      <c r="FN153" s="708"/>
      <c r="FO153" s="723"/>
      <c r="FP153" s="723"/>
      <c r="FQ153" s="723"/>
      <c r="FR153" s="723"/>
      <c r="FS153" s="723"/>
      <c r="FT153" s="723"/>
      <c r="FU153" s="690"/>
      <c r="FV153"/>
      <c r="FW153"/>
      <c r="FX153"/>
      <c r="FY153"/>
      <c r="FZ153"/>
      <c r="GA153"/>
      <c r="GB153" s="961"/>
      <c r="GC153" s="535"/>
      <c r="GD153" s="535"/>
      <c r="GE153" s="535"/>
      <c r="GF153" s="535"/>
      <c r="GG153" s="535"/>
      <c r="GH153" s="535"/>
      <c r="GI153" s="535"/>
      <c r="GJ153" s="535"/>
      <c r="GK153" s="535"/>
      <c r="GL153" s="535"/>
      <c r="GM153" s="535"/>
      <c r="GN153" s="535"/>
      <c r="GO153" s="535"/>
      <c r="GP153" s="535"/>
      <c r="GQ153" s="535"/>
      <c r="GR153" s="535"/>
      <c r="GS153" s="535"/>
      <c r="GT153" s="535"/>
      <c r="GU153" s="535"/>
      <c r="GV153" s="535"/>
      <c r="GW153" s="535"/>
      <c r="GX153" s="535"/>
      <c r="GY153" s="535"/>
      <c r="GZ153" s="535"/>
      <c r="HA153" s="535"/>
      <c r="HB153" s="535"/>
      <c r="HC153" s="535"/>
      <c r="HD153" s="535"/>
      <c r="HE153" s="535"/>
      <c r="HF153" s="535"/>
      <c r="HG153" s="535"/>
      <c r="HH153" s="535"/>
      <c r="HI153" s="535"/>
      <c r="HJ153" s="535"/>
      <c r="HK153" s="535"/>
      <c r="HL153" s="535"/>
      <c r="HM153" s="535"/>
      <c r="HN153" s="535"/>
      <c r="HO153" s="535"/>
      <c r="HP153" s="535"/>
      <c r="HQ153" s="535"/>
      <c r="HR153" s="535"/>
      <c r="HS153" s="535"/>
      <c r="HT153" s="535"/>
      <c r="HU153" s="535"/>
      <c r="HV153" s="535"/>
      <c r="HW153" s="535"/>
      <c r="HX153" s="535"/>
      <c r="HY153" s="535"/>
      <c r="HZ153" s="535"/>
      <c r="IA153" s="535"/>
      <c r="IB153" s="535"/>
      <c r="IC153" s="535"/>
      <c r="ID153" s="535"/>
      <c r="IE153" s="535"/>
      <c r="IF153" s="535"/>
      <c r="IG153" s="535"/>
      <c r="IH153" s="535"/>
      <c r="II153" s="535"/>
      <c r="IJ153" s="535"/>
      <c r="IK153" s="535"/>
      <c r="IL153" s="535"/>
      <c r="IM153" s="535"/>
      <c r="IN153" s="535"/>
      <c r="IO153" s="535"/>
      <c r="IP153" s="535"/>
      <c r="IQ153" s="535"/>
      <c r="IR153" s="535"/>
      <c r="IS153" s="535"/>
      <c r="IT153" s="535"/>
      <c r="IU153" s="535"/>
      <c r="IV153" s="535"/>
      <c r="IW153" s="535"/>
      <c r="IX153" s="535"/>
      <c r="IY153" s="535"/>
      <c r="IZ153" s="535"/>
      <c r="JA153" s="535"/>
      <c r="JB153" s="535"/>
      <c r="JC153" s="535"/>
      <c r="JD153" s="535"/>
      <c r="JE153" s="535"/>
      <c r="JF153" s="535"/>
      <c r="JG153" s="535"/>
      <c r="JH153" s="535"/>
      <c r="JI153" s="535"/>
      <c r="JJ153" s="535"/>
      <c r="JK153" s="535"/>
      <c r="JL153" s="535"/>
    </row>
    <row r="154" spans="1:272" s="726" customFormat="1" ht="12.75" hidden="1" customHeight="1" outlineLevel="1">
      <c r="A154" s="1307" t="s">
        <v>361</v>
      </c>
      <c r="B154" s="1292"/>
      <c r="C154" s="1016"/>
      <c r="D154" s="1016"/>
      <c r="E154" s="1016"/>
      <c r="F154" s="808"/>
      <c r="G154" s="1149"/>
      <c r="H154" s="1149"/>
      <c r="I154" s="1149"/>
      <c r="J154" s="1149"/>
      <c r="K154" s="808"/>
      <c r="L154" s="1149"/>
      <c r="M154" s="1149"/>
      <c r="N154" s="1149"/>
      <c r="O154" s="1149"/>
      <c r="P154" s="808"/>
      <c r="Q154" s="1149"/>
      <c r="R154" s="1149"/>
      <c r="S154" s="1149"/>
      <c r="T154" s="1149"/>
      <c r="U154" s="808"/>
      <c r="V154" s="1149"/>
      <c r="W154" s="1149"/>
      <c r="X154" s="1149"/>
      <c r="Y154" s="1149"/>
      <c r="Z154" s="808"/>
      <c r="AA154" s="1149"/>
      <c r="AB154" s="1149"/>
      <c r="AC154" s="1149"/>
      <c r="AD154" s="1149"/>
      <c r="AE154" s="808"/>
      <c r="AF154" s="1149"/>
      <c r="AG154" s="1149"/>
      <c r="AH154" s="1149"/>
      <c r="AI154" s="1149"/>
      <c r="AJ154" s="808"/>
      <c r="AK154" s="1149"/>
      <c r="AL154" s="1149"/>
      <c r="AM154" s="1149"/>
      <c r="AN154" s="1149"/>
      <c r="AO154" s="808"/>
      <c r="AP154" s="1149"/>
      <c r="AQ154" s="1149"/>
      <c r="AR154" s="1149"/>
      <c r="AS154" s="1149"/>
      <c r="AT154" s="808"/>
      <c r="AU154" s="1149"/>
      <c r="AV154" s="1149"/>
      <c r="AW154" s="1149"/>
      <c r="AX154" s="1149"/>
      <c r="AY154" s="808"/>
      <c r="AZ154" s="1149"/>
      <c r="BA154" s="1149"/>
      <c r="BB154" s="1149"/>
      <c r="BC154" s="1149"/>
      <c r="BD154" s="808"/>
      <c r="BE154" s="1149"/>
      <c r="BF154" s="1149"/>
      <c r="BG154" s="1149"/>
      <c r="BH154" s="1149"/>
      <c r="BI154" s="808"/>
      <c r="BJ154" s="1149"/>
      <c r="BK154" s="1149"/>
      <c r="BL154" s="1149"/>
      <c r="BM154" s="1149"/>
      <c r="BN154" s="808"/>
      <c r="BO154" s="1149"/>
      <c r="BP154" s="1149"/>
      <c r="BQ154" s="1149"/>
      <c r="BR154" s="1149"/>
      <c r="BS154" s="808"/>
      <c r="BT154" s="1374"/>
      <c r="BU154" s="1374"/>
      <c r="BV154" s="1374"/>
      <c r="BW154" s="1374"/>
      <c r="BX154" s="1310"/>
      <c r="BY154" s="1374">
        <f t="shared" ref="BY154:EF154" si="471">(BY144-BT144)/(BY146-BT146)</f>
        <v>0.20349344978165929</v>
      </c>
      <c r="BZ154" s="1374">
        <f t="shared" si="471"/>
        <v>0.24576271186440662</v>
      </c>
      <c r="CA154" s="1374">
        <f t="shared" si="471"/>
        <v>5.6487455197132684E-2</v>
      </c>
      <c r="CB154" s="1374">
        <f t="shared" si="471"/>
        <v>0.23330304407087685</v>
      </c>
      <c r="CC154" s="1310">
        <f t="shared" si="471"/>
        <v>0.18500335534913273</v>
      </c>
      <c r="CD154" s="1374">
        <f t="shared" si="471"/>
        <v>7.3214532393977077E-3</v>
      </c>
      <c r="CE154" s="1374">
        <f t="shared" si="471"/>
        <v>3.6711891460494903E-2</v>
      </c>
      <c r="CF154" s="1374">
        <f t="shared" si="471"/>
        <v>0.35054697554697511</v>
      </c>
      <c r="CG154" s="1374">
        <f t="shared" si="471"/>
        <v>0.9730820995962286</v>
      </c>
      <c r="CH154" s="1310">
        <f t="shared" si="471"/>
        <v>0.17605414310521378</v>
      </c>
      <c r="CI154" s="1374">
        <f t="shared" si="471"/>
        <v>0.21588785046728926</v>
      </c>
      <c r="CJ154" s="1374">
        <f t="shared" si="471"/>
        <v>7.94530032889042E-2</v>
      </c>
      <c r="CK154" s="1374">
        <f t="shared" si="471"/>
        <v>-0.42917771883289124</v>
      </c>
      <c r="CL154" s="1374">
        <f t="shared" si="471"/>
        <v>-2.5322561196189579E-2</v>
      </c>
      <c r="CM154" s="1310">
        <f t="shared" si="471"/>
        <v>-4.0797607178464756E-2</v>
      </c>
      <c r="CN154" s="1374">
        <f t="shared" si="471"/>
        <v>3.5659859798841856E-2</v>
      </c>
      <c r="CO154" s="1374">
        <f t="shared" si="471"/>
        <v>9.1184752003465333E-2</v>
      </c>
      <c r="CP154" s="1374">
        <f t="shared" si="471"/>
        <v>7.3713067316478906E-2</v>
      </c>
      <c r="CQ154" s="1374">
        <f t="shared" si="471"/>
        <v>-8.0043904223748893E-2</v>
      </c>
      <c r="CR154" s="1310">
        <f t="shared" si="471"/>
        <v>-9.3414292386729896E-4</v>
      </c>
      <c r="CS154" s="1374">
        <f t="shared" si="471"/>
        <v>-1.2536737692872868E-2</v>
      </c>
      <c r="CT154" s="1374">
        <f t="shared" si="471"/>
        <v>-9.6109062681932866E-2</v>
      </c>
      <c r="CU154" s="1374">
        <f t="shared" si="471"/>
        <v>-0.13463498363997198</v>
      </c>
      <c r="CV154" s="1374">
        <f t="shared" si="471"/>
        <v>-14.065718799368124</v>
      </c>
      <c r="CW154" s="1310">
        <f t="shared" si="471"/>
        <v>-0.76768022929777457</v>
      </c>
      <c r="CX154" s="1374">
        <f t="shared" si="471"/>
        <v>1.6462324393358247</v>
      </c>
      <c r="CY154" s="1374">
        <f t="shared" si="471"/>
        <v>3.9295580110497044</v>
      </c>
      <c r="CZ154" s="1374">
        <f t="shared" si="471"/>
        <v>1.9256578947368652</v>
      </c>
      <c r="DA154" s="1374">
        <f t="shared" si="471"/>
        <v>6.3600114334714757</v>
      </c>
      <c r="DB154" s="1310">
        <f t="shared" si="471"/>
        <v>5.2025456003208497</v>
      </c>
      <c r="DC154" s="1374">
        <f t="shared" si="471"/>
        <v>0.56173748422381087</v>
      </c>
      <c r="DD154" s="1374">
        <f t="shared" si="471"/>
        <v>0.33765476113307907</v>
      </c>
      <c r="DE154" s="1374">
        <f t="shared" si="471"/>
        <v>6.2175066312997115E-2</v>
      </c>
      <c r="DF154" s="1374">
        <f t="shared" si="471"/>
        <v>0.10200026493575332</v>
      </c>
      <c r="DG154" s="1310">
        <f t="shared" si="471"/>
        <v>0.33506427835151631</v>
      </c>
      <c r="DH154" s="1374">
        <f t="shared" si="471"/>
        <v>3.6358921161826303</v>
      </c>
      <c r="DI154" s="1374">
        <f t="shared" si="471"/>
        <v>-0.21805588727011935</v>
      </c>
      <c r="DJ154" s="1374">
        <f t="shared" si="471"/>
        <v>0.18376865671641793</v>
      </c>
      <c r="DK154" s="1374">
        <f t="shared" si="471"/>
        <v>0.33591881116346478</v>
      </c>
      <c r="DL154" s="1310">
        <f t="shared" si="471"/>
        <v>-2.3641213737912736E-2</v>
      </c>
      <c r="DM154" s="1374">
        <f t="shared" si="471"/>
        <v>0.27219817937621277</v>
      </c>
      <c r="DN154" s="1374">
        <f t="shared" si="471"/>
        <v>3.9921906557156286E-2</v>
      </c>
      <c r="DO154" s="1374">
        <f t="shared" si="471"/>
        <v>-0.33156654888103504</v>
      </c>
      <c r="DP154" s="1374">
        <f t="shared" si="471"/>
        <v>-0.63820171265461823</v>
      </c>
      <c r="DQ154" s="1310">
        <f t="shared" si="471"/>
        <v>-3.4883101666933034E-3</v>
      </c>
      <c r="DR154" s="1374">
        <f>(DR144-DM144)/(DR146-DM146)</f>
        <v>-4.0181311018131174</v>
      </c>
      <c r="DS154" s="1374">
        <f t="shared" si="471"/>
        <v>6.2243589743587391</v>
      </c>
      <c r="DT154" s="1374">
        <f t="shared" si="471"/>
        <v>-0.21501758678697086</v>
      </c>
      <c r="DU154" s="1374">
        <f t="shared" si="471"/>
        <v>-0.20616476482048407</v>
      </c>
      <c r="DV154" s="1310">
        <f t="shared" si="471"/>
        <v>-0.40695989529774684</v>
      </c>
      <c r="DW154" s="1374">
        <f t="shared" si="471"/>
        <v>-1.4131764891643299E-2</v>
      </c>
      <c r="DX154" s="1374">
        <f t="shared" si="471"/>
        <v>-0.13259864912904371</v>
      </c>
      <c r="DY154" s="1374">
        <f t="shared" si="471"/>
        <v>-3.814569536423839E-2</v>
      </c>
      <c r="DZ154" s="1374">
        <f t="shared" si="471"/>
        <v>3.6126582278480939</v>
      </c>
      <c r="EA154" s="1310">
        <f t="shared" si="471"/>
        <v>-1.4939867035185735E-4</v>
      </c>
      <c r="EB154" s="1374">
        <f t="shared" si="471"/>
        <v>0.31859099804305308</v>
      </c>
      <c r="EC154" s="1374">
        <f>(EC144-DX144)/(EC146-DX146)</f>
        <v>2.9700374531835649</v>
      </c>
      <c r="ED154" s="1374" t="e">
        <f t="shared" si="471"/>
        <v>#DIV/0!</v>
      </c>
      <c r="EE154" s="1374">
        <f t="shared" si="471"/>
        <v>8.1450029678739974E-2</v>
      </c>
      <c r="EF154" s="1310">
        <f t="shared" si="471"/>
        <v>2.4538107381952661</v>
      </c>
      <c r="EG154" s="1015"/>
      <c r="EH154" s="1016"/>
      <c r="EI154" s="1016"/>
      <c r="EJ154" s="1017"/>
      <c r="EK154" s="1310">
        <f>(EK144-EF144)/(EK146-EF146)</f>
        <v>0.13395156679742187</v>
      </c>
      <c r="EL154" s="1015"/>
      <c r="EM154" s="1016"/>
      <c r="EN154" s="1016"/>
      <c r="EO154" s="1017"/>
      <c r="EP154" s="1310">
        <f>(EP144-EK144)/(EP146-EK146)</f>
        <v>4.0999999999999592E-2</v>
      </c>
      <c r="EQ154" s="1015"/>
      <c r="ER154" s="1016"/>
      <c r="ES154" s="1016"/>
      <c r="ET154" s="1017"/>
      <c r="EU154" s="1310">
        <f>(EU144-EP144)/(EU146-EP146)</f>
        <v>4.1000000000000481E-2</v>
      </c>
      <c r="EV154" s="1015"/>
      <c r="EW154" s="1016"/>
      <c r="EX154" s="1016"/>
      <c r="EY154" s="1017"/>
      <c r="EZ154" s="1310">
        <f>(EZ144-EU144)/(EZ146-EU146)</f>
        <v>4.0999999999999988E-2</v>
      </c>
      <c r="FA154" s="1015"/>
      <c r="FB154" s="1016"/>
      <c r="FC154" s="1016"/>
      <c r="FD154" s="1017"/>
      <c r="FE154" s="1310">
        <f>(FE144-EZ144)/(FE146-EZ146)</f>
        <v>4.0999999999998711E-2</v>
      </c>
      <c r="FF154" s="721"/>
      <c r="FG154" s="690"/>
      <c r="FH154" s="754"/>
      <c r="FI154" s="754"/>
      <c r="FJ154" s="754"/>
      <c r="FK154" s="754"/>
      <c r="FL154" s="690"/>
      <c r="FM154" s="708"/>
      <c r="FN154" s="708"/>
      <c r="FO154" s="723"/>
      <c r="FP154" s="723"/>
      <c r="FQ154" s="723"/>
      <c r="FR154" s="723"/>
      <c r="FS154" s="723"/>
      <c r="FT154" s="723"/>
      <c r="FU154" s="690"/>
      <c r="FV154"/>
      <c r="FW154"/>
      <c r="FX154"/>
      <c r="FY154"/>
      <c r="FZ154"/>
      <c r="GA154"/>
      <c r="GB154" s="961"/>
      <c r="GC154" s="535"/>
      <c r="GD154" s="535"/>
      <c r="GE154" s="535"/>
      <c r="GF154" s="535"/>
      <c r="GG154" s="535"/>
      <c r="GH154" s="535"/>
      <c r="GI154" s="535"/>
      <c r="GJ154" s="535"/>
      <c r="GK154" s="535"/>
      <c r="GL154" s="535"/>
      <c r="GM154" s="535"/>
      <c r="GN154" s="535"/>
      <c r="GO154" s="535"/>
      <c r="GP154" s="535"/>
      <c r="GQ154" s="535"/>
      <c r="GR154" s="535"/>
      <c r="GS154" s="535"/>
      <c r="GT154" s="535"/>
      <c r="GU154" s="535"/>
      <c r="GV154" s="535"/>
      <c r="GW154" s="535"/>
      <c r="GX154" s="535"/>
      <c r="GY154" s="535"/>
      <c r="GZ154" s="535"/>
      <c r="HA154" s="535"/>
      <c r="HB154" s="535"/>
      <c r="HC154" s="535"/>
      <c r="HD154" s="535"/>
      <c r="HE154" s="535"/>
      <c r="HF154" s="535"/>
      <c r="HG154" s="535"/>
      <c r="HH154" s="535"/>
      <c r="HI154" s="535"/>
      <c r="HJ154" s="535"/>
      <c r="HK154" s="535"/>
      <c r="HL154" s="535"/>
      <c r="HM154" s="535"/>
      <c r="HN154" s="535"/>
      <c r="HO154" s="535"/>
      <c r="HP154" s="535"/>
      <c r="HQ154" s="535"/>
      <c r="HR154" s="535"/>
      <c r="HS154" s="535"/>
      <c r="HT154" s="535"/>
      <c r="HU154" s="535"/>
      <c r="HV154" s="535"/>
      <c r="HW154" s="535"/>
      <c r="HX154" s="535"/>
      <c r="HY154" s="535"/>
      <c r="HZ154" s="535"/>
      <c r="IA154" s="535"/>
      <c r="IB154" s="535"/>
      <c r="IC154" s="535"/>
      <c r="ID154" s="535"/>
      <c r="IE154" s="535"/>
      <c r="IF154" s="535"/>
      <c r="IG154" s="535"/>
      <c r="IH154" s="535"/>
      <c r="II154" s="535"/>
      <c r="IJ154" s="535"/>
      <c r="IK154" s="535"/>
      <c r="IL154" s="535"/>
      <c r="IM154" s="535"/>
      <c r="IN154" s="535"/>
      <c r="IO154" s="535"/>
      <c r="IP154" s="535"/>
      <c r="IQ154" s="535"/>
      <c r="IR154" s="535"/>
      <c r="IS154" s="535"/>
      <c r="IT154" s="535"/>
      <c r="IU154" s="535"/>
      <c r="IV154" s="535"/>
      <c r="IW154" s="535"/>
      <c r="IX154" s="535"/>
      <c r="IY154" s="535"/>
      <c r="IZ154" s="535"/>
      <c r="JA154" s="535"/>
      <c r="JB154" s="535"/>
      <c r="JC154" s="535"/>
      <c r="JD154" s="535"/>
      <c r="JE154" s="535"/>
      <c r="JF154" s="535"/>
      <c r="JG154" s="535"/>
      <c r="JH154" s="535"/>
      <c r="JI154" s="535"/>
      <c r="JJ154" s="535"/>
      <c r="JK154" s="535"/>
      <c r="JL154" s="535"/>
    </row>
    <row r="155" spans="1:272" s="811" customFormat="1" ht="12.75" hidden="1" customHeight="1" outlineLevel="1">
      <c r="A155" s="1375" t="s">
        <v>362</v>
      </c>
      <c r="B155" s="1238"/>
      <c r="C155" s="1231"/>
      <c r="D155" s="1231"/>
      <c r="E155" s="1231"/>
      <c r="F155" s="1240"/>
      <c r="G155" s="1231"/>
      <c r="H155" s="1231"/>
      <c r="I155" s="1231"/>
      <c r="J155" s="1231"/>
      <c r="K155" s="1240"/>
      <c r="L155" s="1231"/>
      <c r="M155" s="1231"/>
      <c r="N155" s="1231"/>
      <c r="O155" s="1231"/>
      <c r="P155" s="1240"/>
      <c r="Q155" s="1231"/>
      <c r="R155" s="1231"/>
      <c r="S155" s="1231"/>
      <c r="T155" s="1231"/>
      <c r="U155" s="1240"/>
      <c r="V155" s="1231"/>
      <c r="W155" s="1231"/>
      <c r="X155" s="1231"/>
      <c r="Y155" s="1231"/>
      <c r="Z155" s="1240"/>
      <c r="AA155" s="1231"/>
      <c r="AB155" s="1231"/>
      <c r="AC155" s="1231"/>
      <c r="AD155" s="1231"/>
      <c r="AE155" s="1240"/>
      <c r="AF155" s="1231"/>
      <c r="AG155" s="1231"/>
      <c r="AH155" s="1231"/>
      <c r="AI155" s="1231"/>
      <c r="AJ155" s="1240"/>
      <c r="AK155" s="1231"/>
      <c r="AL155" s="1231"/>
      <c r="AM155" s="1231"/>
      <c r="AN155" s="1231"/>
      <c r="AO155" s="1240"/>
      <c r="AP155" s="1231"/>
      <c r="AQ155" s="1231"/>
      <c r="AR155" s="1231"/>
      <c r="AS155" s="1231"/>
      <c r="AT155" s="1240"/>
      <c r="AU155" s="1231"/>
      <c r="AV155" s="1231"/>
      <c r="AW155" s="1231"/>
      <c r="AX155" s="1231"/>
      <c r="AY155" s="1240"/>
      <c r="AZ155" s="1231"/>
      <c r="BA155" s="1231"/>
      <c r="BB155" s="1231"/>
      <c r="BC155" s="1231"/>
      <c r="BD155" s="1240"/>
      <c r="BE155" s="1231"/>
      <c r="BF155" s="1231"/>
      <c r="BG155" s="1231"/>
      <c r="BH155" s="1231"/>
      <c r="BI155" s="1240"/>
      <c r="BJ155" s="1231"/>
      <c r="BK155" s="1231"/>
      <c r="BL155" s="1231"/>
      <c r="BM155" s="1231"/>
      <c r="BN155" s="1240"/>
      <c r="BO155" s="1231"/>
      <c r="BP155" s="1231"/>
      <c r="BQ155" s="1231"/>
      <c r="BR155" s="1231"/>
      <c r="BS155" s="1240"/>
      <c r="BT155" s="1231"/>
      <c r="BU155" s="1231"/>
      <c r="BV155" s="1231"/>
      <c r="BW155" s="1231"/>
      <c r="BX155" s="1240"/>
      <c r="BY155" s="1231"/>
      <c r="BZ155" s="1231"/>
      <c r="CA155" s="1231"/>
      <c r="CB155" s="1231"/>
      <c r="CC155" s="1376"/>
      <c r="CD155" s="1231">
        <f>0.635+4.035</f>
        <v>4.67</v>
      </c>
      <c r="CE155" s="1231">
        <f>-0.822+3.419</f>
        <v>2.597</v>
      </c>
      <c r="CF155" s="1231">
        <f>-2.638+3.379</f>
        <v>0.7410000000000001</v>
      </c>
      <c r="CG155" s="1231">
        <f>-0.27+5.228</f>
        <v>4.9580000000000002</v>
      </c>
      <c r="CH155" s="1240">
        <f>-3.095+16.061</f>
        <v>12.965999999999999</v>
      </c>
      <c r="CI155" s="1231">
        <f>0.982+4.194</f>
        <v>5.1760000000000002</v>
      </c>
      <c r="CJ155" s="1231">
        <f>-0.785+4.665</f>
        <v>3.88</v>
      </c>
      <c r="CK155" s="1231">
        <f>-0.284+1.999</f>
        <v>1.7150000000000001</v>
      </c>
      <c r="CL155" s="1231">
        <f>0.196+41.741</f>
        <v>41.936999999999998</v>
      </c>
      <c r="CM155" s="1240">
        <f>0.109+52.599</f>
        <v>52.707999999999998</v>
      </c>
      <c r="CN155" s="1231">
        <f>-1.732-2.699</f>
        <v>-4.431</v>
      </c>
      <c r="CO155" s="1231">
        <v>0.84</v>
      </c>
      <c r="CP155" s="1231">
        <v>-1.51</v>
      </c>
      <c r="CQ155" s="1231">
        <v>9.1999999999999998E-2</v>
      </c>
      <c r="CR155" s="1240">
        <f>-2.699-2.31</f>
        <v>-5.0090000000000003</v>
      </c>
      <c r="CS155" s="1231">
        <v>1.3919999999999999</v>
      </c>
      <c r="CT155" s="1231">
        <v>9.5000000000000001E-2</v>
      </c>
      <c r="CU155" s="1231">
        <v>-1.0629999999999999</v>
      </c>
      <c r="CV155" s="1231">
        <v>-1.6830000000000001</v>
      </c>
      <c r="CW155" s="1240">
        <v>-1.2590000000000001</v>
      </c>
      <c r="CX155" s="1231">
        <v>0.77900000000000003</v>
      </c>
      <c r="CY155" s="1231">
        <v>2.294</v>
      </c>
      <c r="CZ155" s="1231">
        <v>-1.8340000000000001</v>
      </c>
      <c r="DA155" s="1231">
        <v>0.318</v>
      </c>
      <c r="DB155" s="1240">
        <f>1.557+5.359</f>
        <v>6.9160000000000004</v>
      </c>
      <c r="DC155" s="1231">
        <v>1.722</v>
      </c>
      <c r="DD155" s="1231">
        <v>6.6000000000000003E-2</v>
      </c>
      <c r="DE155" s="1231">
        <f>0.246+(5.49-4.4)</f>
        <v>1.3359999999999999</v>
      </c>
      <c r="DF155" s="1231">
        <f>0.109+1.147</f>
        <v>1.256</v>
      </c>
      <c r="DG155" s="1240">
        <f>2.143+(4.99+3.938-5.4)</f>
        <v>5.6710000000000003</v>
      </c>
      <c r="DH155" s="1231">
        <v>0.623</v>
      </c>
      <c r="DI155" s="1231">
        <v>-1.4079999999999999</v>
      </c>
      <c r="DJ155" s="1231">
        <v>-0.14199999999999999</v>
      </c>
      <c r="DK155" s="1231">
        <v>-0.48399999999999999</v>
      </c>
      <c r="DL155" s="1240">
        <f>SUM(DH155:DK155)</f>
        <v>-1.411</v>
      </c>
      <c r="DM155" s="1231">
        <v>-1.6559999999999999</v>
      </c>
      <c r="DN155" s="1231">
        <v>-0.59299999999999997</v>
      </c>
      <c r="DO155" s="1231">
        <v>-1.4910000000000001</v>
      </c>
      <c r="DP155" s="1231">
        <v>-0.82499999999999996</v>
      </c>
      <c r="DQ155" s="1240">
        <f>SUM(DM155:DP155)</f>
        <v>-4.5649999999999995</v>
      </c>
      <c r="DR155" s="1231">
        <v>-0.91200000000000003</v>
      </c>
      <c r="DS155" s="1231">
        <v>-0.9139999999999997</v>
      </c>
      <c r="DT155" s="1231">
        <v>-1.044</v>
      </c>
      <c r="DU155" s="1231">
        <v>-1.994</v>
      </c>
      <c r="DV155" s="1240">
        <f>SUM(DR155:DU155)</f>
        <v>-4.8639999999999999</v>
      </c>
      <c r="DW155" s="1231">
        <v>1.9430000000000001</v>
      </c>
      <c r="DX155" s="1231">
        <v>-0.23799999999999999</v>
      </c>
      <c r="DY155" s="1377">
        <v>1.19</v>
      </c>
      <c r="DZ155" s="1231">
        <v>3.7579999999999991</v>
      </c>
      <c r="EA155" s="1240">
        <f>SUM(DW155:DZ155)</f>
        <v>6.6529999999999987</v>
      </c>
      <c r="EB155" s="1231">
        <v>-0.50399999999999978</v>
      </c>
      <c r="EC155" s="1231">
        <v>-1.6159999999999999</v>
      </c>
      <c r="ED155" s="1377">
        <v>1.19</v>
      </c>
      <c r="EE155" s="1378">
        <f>+ED155</f>
        <v>1.19</v>
      </c>
      <c r="EF155" s="1240">
        <f>SUM(EB155:EE155)</f>
        <v>0.26000000000000023</v>
      </c>
      <c r="EG155" s="1379"/>
      <c r="EH155" s="1380"/>
      <c r="EI155" s="1380"/>
      <c r="EJ155" s="1381"/>
      <c r="EK155" s="1382">
        <v>0</v>
      </c>
      <c r="EL155" s="1379"/>
      <c r="EM155" s="1380"/>
      <c r="EN155" s="1380"/>
      <c r="EO155" s="1381"/>
      <c r="EP155" s="1382">
        <v>0</v>
      </c>
      <c r="EQ155" s="1379"/>
      <c r="ER155" s="1380"/>
      <c r="ES155" s="1380"/>
      <c r="ET155" s="1381"/>
      <c r="EU155" s="1382">
        <v>0</v>
      </c>
      <c r="EV155" s="1379"/>
      <c r="EW155" s="1380"/>
      <c r="EX155" s="1380"/>
      <c r="EY155" s="1381"/>
      <c r="EZ155" s="1382">
        <v>0</v>
      </c>
      <c r="FA155" s="1379"/>
      <c r="FB155" s="1380"/>
      <c r="FC155" s="1380"/>
      <c r="FD155" s="1381"/>
      <c r="FE155" s="1382">
        <v>0</v>
      </c>
      <c r="FF155" s="938"/>
      <c r="FG155" s="690"/>
      <c r="FH155" s="754"/>
      <c r="FI155" s="754"/>
      <c r="FJ155" s="754"/>
      <c r="FK155" s="754"/>
      <c r="FL155" s="690"/>
      <c r="FM155" s="1383" t="s">
        <v>363</v>
      </c>
      <c r="FN155" s="940"/>
      <c r="FO155" s="941"/>
      <c r="FP155" s="941"/>
      <c r="FQ155" s="941"/>
      <c r="FR155" s="941"/>
      <c r="FS155" s="941"/>
      <c r="FT155" s="941"/>
      <c r="FU155" s="690"/>
      <c r="FV155"/>
      <c r="FW155"/>
      <c r="FX155"/>
      <c r="FY155"/>
      <c r="FZ155"/>
      <c r="GA155"/>
      <c r="GB155" s="943"/>
      <c r="GC155" s="965"/>
      <c r="GD155" s="965"/>
      <c r="GE155" s="965"/>
      <c r="GF155" s="965"/>
      <c r="GG155" s="965"/>
      <c r="GH155" s="965"/>
      <c r="GI155" s="965"/>
      <c r="GJ155" s="965"/>
      <c r="GK155" s="965"/>
      <c r="GL155" s="965"/>
      <c r="GM155" s="965"/>
      <c r="GN155" s="965"/>
      <c r="GO155" s="965"/>
      <c r="GP155" s="965"/>
      <c r="GQ155" s="965"/>
      <c r="GR155" s="965"/>
      <c r="GS155" s="965"/>
      <c r="GT155" s="965"/>
      <c r="GU155" s="965"/>
      <c r="GV155" s="965"/>
      <c r="GW155" s="965"/>
      <c r="GX155" s="965"/>
      <c r="GY155" s="965"/>
      <c r="GZ155" s="965"/>
      <c r="HA155" s="965"/>
      <c r="HB155" s="965"/>
      <c r="HC155" s="965"/>
      <c r="HD155" s="965"/>
      <c r="HE155" s="965"/>
      <c r="HF155" s="965"/>
      <c r="HG155" s="965"/>
      <c r="HH155" s="965"/>
      <c r="HI155" s="965"/>
      <c r="HJ155" s="965"/>
      <c r="HK155" s="965"/>
      <c r="HL155" s="965"/>
      <c r="HM155" s="965"/>
      <c r="HN155" s="965"/>
      <c r="HO155" s="965"/>
      <c r="HP155" s="965"/>
      <c r="HQ155" s="965"/>
      <c r="HR155" s="965"/>
      <c r="HS155" s="965"/>
      <c r="HT155" s="965"/>
      <c r="HU155" s="965"/>
      <c r="HV155" s="965"/>
      <c r="HW155" s="965"/>
      <c r="HX155" s="965"/>
      <c r="HY155" s="965"/>
      <c r="HZ155" s="965"/>
      <c r="IA155" s="965"/>
      <c r="IB155" s="965"/>
      <c r="IC155" s="965"/>
      <c r="ID155" s="965"/>
      <c r="IE155" s="965"/>
      <c r="IF155" s="965"/>
      <c r="IG155" s="965"/>
      <c r="IH155" s="965"/>
      <c r="II155" s="965"/>
      <c r="IJ155" s="965"/>
      <c r="IK155" s="965"/>
      <c r="IL155" s="965"/>
      <c r="IM155" s="965"/>
      <c r="IN155" s="965"/>
      <c r="IO155" s="965"/>
      <c r="IP155" s="965"/>
      <c r="IQ155" s="965"/>
      <c r="IR155" s="965"/>
      <c r="IS155" s="965"/>
      <c r="IT155" s="965"/>
      <c r="IU155" s="965"/>
      <c r="IV155" s="965"/>
      <c r="IW155" s="965"/>
      <c r="IX155" s="965"/>
      <c r="IY155" s="965"/>
      <c r="IZ155" s="965"/>
      <c r="JA155" s="965"/>
      <c r="JB155" s="965"/>
      <c r="JC155" s="965"/>
      <c r="JD155" s="965"/>
      <c r="JE155" s="965"/>
      <c r="JF155" s="965"/>
      <c r="JG155" s="965"/>
      <c r="JH155" s="965"/>
      <c r="JI155" s="965"/>
      <c r="JJ155" s="965"/>
      <c r="JK155" s="965"/>
      <c r="JL155" s="965"/>
    </row>
    <row r="156" spans="1:272" s="749" customFormat="1" ht="12.75" hidden="1" customHeight="1" outlineLevel="1">
      <c r="A156" s="58" t="s">
        <v>85</v>
      </c>
      <c r="B156" s="1300"/>
      <c r="C156" s="1301"/>
      <c r="D156" s="1301"/>
      <c r="E156" s="1301"/>
      <c r="F156" s="741"/>
      <c r="G156" s="1257"/>
      <c r="H156" s="1301"/>
      <c r="I156" s="1301"/>
      <c r="J156" s="1301"/>
      <c r="K156" s="741"/>
      <c r="L156" s="1257"/>
      <c r="M156" s="1301"/>
      <c r="N156" s="1301"/>
      <c r="O156" s="1301"/>
      <c r="P156" s="741"/>
      <c r="Q156" s="1257"/>
      <c r="R156" s="1301"/>
      <c r="S156" s="1301"/>
      <c r="T156" s="1301"/>
      <c r="U156" s="741"/>
      <c r="V156" s="1257"/>
      <c r="W156" s="1301"/>
      <c r="X156" s="1302"/>
      <c r="Y156" s="1302"/>
      <c r="Z156" s="741"/>
      <c r="AA156" s="1236"/>
      <c r="AB156" s="1302"/>
      <c r="AC156" s="1302"/>
      <c r="AD156" s="1302"/>
      <c r="AE156" s="741"/>
      <c r="AF156" s="721"/>
      <c r="AG156" s="721"/>
      <c r="AH156" s="721"/>
      <c r="AI156" s="721"/>
      <c r="AJ156" s="741"/>
      <c r="AK156" s="721"/>
      <c r="AL156" s="721"/>
      <c r="AM156" s="721"/>
      <c r="AN156" s="721"/>
      <c r="AO156" s="741"/>
      <c r="AP156" s="721"/>
      <c r="AQ156" s="742"/>
      <c r="AR156" s="742"/>
      <c r="AS156" s="721"/>
      <c r="AT156" s="741"/>
      <c r="AU156" s="721"/>
      <c r="AV156" s="742"/>
      <c r="AW156" s="721"/>
      <c r="AX156" s="721"/>
      <c r="AY156" s="741"/>
      <c r="AZ156" s="721"/>
      <c r="BA156" s="742"/>
      <c r="BB156" s="721"/>
      <c r="BC156" s="721"/>
      <c r="BD156" s="741"/>
      <c r="BE156" s="721"/>
      <c r="BF156" s="742"/>
      <c r="BG156" s="721"/>
      <c r="BH156" s="721"/>
      <c r="BI156" s="741"/>
      <c r="BJ156" s="721"/>
      <c r="BK156" s="742"/>
      <c r="BL156" s="721"/>
      <c r="BM156" s="721"/>
      <c r="BN156" s="741"/>
      <c r="BO156" s="721"/>
      <c r="BP156" s="742"/>
      <c r="BQ156" s="721"/>
      <c r="BR156" s="721"/>
      <c r="BS156" s="741"/>
      <c r="BT156" s="721"/>
      <c r="BU156" s="742"/>
      <c r="BV156" s="721"/>
      <c r="BW156" s="721"/>
      <c r="BX156" s="741"/>
      <c r="BY156" s="721"/>
      <c r="BZ156" s="742"/>
      <c r="CA156" s="721"/>
      <c r="CB156" s="721"/>
      <c r="CC156" s="741"/>
      <c r="CD156" s="721"/>
      <c r="CE156" s="721"/>
      <c r="CF156" s="721"/>
      <c r="CG156" s="721"/>
      <c r="CH156" s="741"/>
      <c r="CI156" s="721">
        <f t="shared" ref="CI156:DQ156" si="472">CI155/CD155-1</f>
        <v>0.10835117773019287</v>
      </c>
      <c r="CJ156" s="721">
        <f t="shared" si="472"/>
        <v>0.49403157489410865</v>
      </c>
      <c r="CK156" s="721">
        <f t="shared" si="472"/>
        <v>1.3144399460188931</v>
      </c>
      <c r="CL156" s="721">
        <f t="shared" si="472"/>
        <v>7.4584509883017329</v>
      </c>
      <c r="CM156" s="741">
        <f t="shared" si="472"/>
        <v>3.0650933209933671</v>
      </c>
      <c r="CN156" s="721">
        <f t="shared" si="472"/>
        <v>-1.8560664605873261</v>
      </c>
      <c r="CO156" s="721">
        <f t="shared" si="472"/>
        <v>-0.78350515463917525</v>
      </c>
      <c r="CP156" s="721">
        <f t="shared" si="472"/>
        <v>-1.880466472303207</v>
      </c>
      <c r="CQ156" s="721">
        <f t="shared" si="472"/>
        <v>-0.99780623315926276</v>
      </c>
      <c r="CR156" s="741">
        <f t="shared" si="472"/>
        <v>-1.0950330120664795</v>
      </c>
      <c r="CS156" s="721">
        <f t="shared" si="472"/>
        <v>-1.3141503046716316</v>
      </c>
      <c r="CT156" s="721">
        <f t="shared" si="472"/>
        <v>-0.88690476190476186</v>
      </c>
      <c r="CU156" s="721">
        <f t="shared" si="472"/>
        <v>-0.29602649006622517</v>
      </c>
      <c r="CV156" s="721">
        <f t="shared" si="472"/>
        <v>-19.293478260869566</v>
      </c>
      <c r="CW156" s="741">
        <f t="shared" si="472"/>
        <v>-0.74865242563385903</v>
      </c>
      <c r="CX156" s="721">
        <f t="shared" si="472"/>
        <v>-0.44037356321839072</v>
      </c>
      <c r="CY156" s="721">
        <f t="shared" si="472"/>
        <v>23.147368421052633</v>
      </c>
      <c r="CZ156" s="721">
        <f t="shared" si="472"/>
        <v>0.72530573847601154</v>
      </c>
      <c r="DA156" s="721">
        <f t="shared" si="472"/>
        <v>-1.1889483065953654</v>
      </c>
      <c r="DB156" s="741">
        <f t="shared" si="472"/>
        <v>-6.4932486100079423</v>
      </c>
      <c r="DC156" s="721">
        <f t="shared" si="472"/>
        <v>1.2105263157894735</v>
      </c>
      <c r="DD156" s="721">
        <f t="shared" si="472"/>
        <v>-0.97122929380993894</v>
      </c>
      <c r="DE156" s="721">
        <f t="shared" si="472"/>
        <v>-1.7284623773173391</v>
      </c>
      <c r="DF156" s="721">
        <f t="shared" si="472"/>
        <v>2.949685534591195</v>
      </c>
      <c r="DG156" s="741">
        <f t="shared" si="472"/>
        <v>-0.18001735106998262</v>
      </c>
      <c r="DH156" s="721">
        <f t="shared" si="472"/>
        <v>-0.63821138211382111</v>
      </c>
      <c r="DI156" s="721">
        <f t="shared" si="472"/>
        <v>-22.333333333333332</v>
      </c>
      <c r="DJ156" s="721">
        <f t="shared" si="472"/>
        <v>-1.1062874251497006</v>
      </c>
      <c r="DK156" s="721">
        <f t="shared" si="472"/>
        <v>-1.3853503184713376</v>
      </c>
      <c r="DL156" s="741">
        <f t="shared" si="472"/>
        <v>-1.2488097337330277</v>
      </c>
      <c r="DM156" s="721"/>
      <c r="DN156" s="721"/>
      <c r="DO156" s="721"/>
      <c r="DP156" s="721">
        <f t="shared" si="472"/>
        <v>0.70454545454545459</v>
      </c>
      <c r="DQ156" s="741">
        <f t="shared" si="472"/>
        <v>2.2352941176470584</v>
      </c>
      <c r="DR156" s="721"/>
      <c r="DS156" s="721"/>
      <c r="DT156" s="721"/>
      <c r="DU156" s="721"/>
      <c r="DV156" s="741">
        <f>DV155/DQ155-1</f>
        <v>6.5498357064622148E-2</v>
      </c>
      <c r="DW156" s="721"/>
      <c r="DX156" s="721"/>
      <c r="DY156" s="721"/>
      <c r="DZ156" s="721"/>
      <c r="EA156" s="741">
        <f>EA155/DV155-1</f>
        <v>-2.3678042763157894</v>
      </c>
      <c r="EB156" s="721"/>
      <c r="EC156" s="721"/>
      <c r="ED156" s="721"/>
      <c r="EE156" s="721"/>
      <c r="EF156" s="741">
        <f>EF155/EA155-1</f>
        <v>-0.96091988576581988</v>
      </c>
      <c r="EG156" s="1303"/>
      <c r="EH156" s="711"/>
      <c r="EI156" s="711"/>
      <c r="EJ156" s="1304"/>
      <c r="EK156" s="741"/>
      <c r="EL156" s="1303"/>
      <c r="EM156" s="711"/>
      <c r="EN156" s="711"/>
      <c r="EO156" s="1304"/>
      <c r="EP156" s="741"/>
      <c r="EQ156" s="1303"/>
      <c r="ER156" s="711"/>
      <c r="ES156" s="711"/>
      <c r="ET156" s="1304"/>
      <c r="EU156" s="741"/>
      <c r="EV156" s="1303"/>
      <c r="EW156" s="711"/>
      <c r="EX156" s="711"/>
      <c r="EY156" s="1304"/>
      <c r="EZ156" s="741"/>
      <c r="FA156" s="1303"/>
      <c r="FB156" s="711"/>
      <c r="FC156" s="711"/>
      <c r="FD156" s="1304"/>
      <c r="FE156" s="741"/>
      <c r="FF156" s="1009"/>
      <c r="FG156" s="690"/>
      <c r="FH156" s="754"/>
      <c r="FI156" s="754"/>
      <c r="FJ156" s="754"/>
      <c r="FK156" s="754"/>
      <c r="FL156" s="690"/>
      <c r="FM156" s="1168" t="s">
        <v>364</v>
      </c>
      <c r="FN156" s="1091"/>
      <c r="FO156" s="1306"/>
      <c r="FP156" s="1306"/>
      <c r="FQ156" s="1306"/>
      <c r="FR156" s="1306"/>
      <c r="FS156" s="1306"/>
      <c r="FT156" s="1306"/>
      <c r="FU156" s="690"/>
      <c r="FV156"/>
      <c r="FW156"/>
      <c r="FX156"/>
      <c r="FY156"/>
      <c r="FZ156"/>
      <c r="GA156"/>
      <c r="GC156" s="532"/>
      <c r="GD156" s="532"/>
      <c r="GE156" s="532"/>
      <c r="GF156" s="532"/>
      <c r="GG156" s="532"/>
      <c r="GH156" s="532"/>
      <c r="GI156" s="532"/>
      <c r="GJ156" s="532"/>
      <c r="GK156" s="532"/>
      <c r="GL156" s="532"/>
      <c r="GM156" s="532"/>
      <c r="GN156" s="532"/>
      <c r="GO156" s="532"/>
      <c r="GP156" s="532"/>
      <c r="GQ156" s="532"/>
      <c r="GR156" s="532"/>
      <c r="GS156" s="532"/>
      <c r="GT156" s="532"/>
      <c r="GU156" s="532"/>
      <c r="GV156" s="532"/>
      <c r="GW156" s="532"/>
      <c r="GX156" s="532"/>
      <c r="GY156" s="532"/>
      <c r="GZ156" s="532"/>
      <c r="HA156" s="532"/>
      <c r="HB156" s="532"/>
      <c r="HC156" s="532"/>
      <c r="HD156" s="532"/>
      <c r="HE156" s="532"/>
      <c r="HF156" s="532"/>
      <c r="HG156" s="532"/>
      <c r="HH156" s="532"/>
      <c r="HI156" s="532"/>
      <c r="HJ156" s="532"/>
      <c r="HK156" s="532"/>
      <c r="HL156" s="532"/>
      <c r="HM156" s="532"/>
      <c r="HN156" s="532"/>
      <c r="HO156" s="532"/>
      <c r="HP156" s="532"/>
      <c r="HQ156" s="532"/>
      <c r="HR156" s="532"/>
      <c r="HS156" s="532"/>
      <c r="HT156" s="532"/>
      <c r="HU156" s="532"/>
      <c r="HV156" s="532"/>
      <c r="HW156" s="532"/>
      <c r="HX156" s="532"/>
      <c r="HY156" s="532"/>
      <c r="HZ156" s="532"/>
      <c r="IA156" s="532"/>
      <c r="IB156" s="532"/>
      <c r="IC156" s="532"/>
      <c r="ID156" s="532"/>
      <c r="IE156" s="532"/>
      <c r="IF156" s="532"/>
      <c r="IG156" s="532"/>
      <c r="IH156" s="532"/>
      <c r="II156" s="532"/>
      <c r="IJ156" s="532"/>
      <c r="IK156" s="532"/>
      <c r="IL156" s="532"/>
      <c r="IM156" s="532"/>
      <c r="IN156" s="532"/>
      <c r="IO156" s="532"/>
      <c r="IP156" s="532"/>
      <c r="IQ156" s="532"/>
      <c r="IR156" s="532"/>
      <c r="IS156" s="532"/>
      <c r="IT156" s="532"/>
      <c r="IU156" s="532"/>
      <c r="IV156" s="532"/>
      <c r="IW156" s="532"/>
      <c r="IX156" s="532"/>
      <c r="IY156" s="532"/>
      <c r="IZ156" s="532"/>
      <c r="JA156" s="532"/>
      <c r="JB156" s="532"/>
      <c r="JC156" s="532"/>
      <c r="JD156" s="532"/>
      <c r="JE156" s="532"/>
      <c r="JF156" s="532"/>
      <c r="JG156" s="532"/>
      <c r="JH156" s="532"/>
      <c r="JI156" s="532"/>
      <c r="JJ156" s="532"/>
      <c r="JK156" s="532"/>
      <c r="JL156" s="532"/>
    </row>
    <row r="157" spans="1:272" s="726" customFormat="1" ht="12.75" customHeight="1" collapsed="1">
      <c r="A157" s="1286" t="s">
        <v>365</v>
      </c>
      <c r="B157" s="1287"/>
      <c r="C157" s="720"/>
      <c r="D157" s="720"/>
      <c r="E157" s="720"/>
      <c r="F157" s="1288"/>
      <c r="G157" s="873"/>
      <c r="H157" s="873"/>
      <c r="I157" s="873"/>
      <c r="J157" s="873"/>
      <c r="K157" s="1288"/>
      <c r="L157" s="873"/>
      <c r="M157" s="873"/>
      <c r="N157" s="873"/>
      <c r="O157" s="873"/>
      <c r="P157" s="1288"/>
      <c r="Q157" s="873"/>
      <c r="R157" s="873"/>
      <c r="S157" s="873"/>
      <c r="T157" s="873"/>
      <c r="U157" s="1288"/>
      <c r="V157" s="873"/>
      <c r="W157" s="873"/>
      <c r="X157" s="873"/>
      <c r="Y157" s="873"/>
      <c r="Z157" s="1288"/>
      <c r="AA157" s="873"/>
      <c r="AB157" s="873"/>
      <c r="AC157" s="873"/>
      <c r="AD157" s="873"/>
      <c r="AE157" s="1288"/>
      <c r="AF157" s="873"/>
      <c r="AG157" s="873"/>
      <c r="AH157" s="873"/>
      <c r="AI157" s="873"/>
      <c r="AJ157" s="1288"/>
      <c r="AK157" s="873"/>
      <c r="AL157" s="873"/>
      <c r="AM157" s="873"/>
      <c r="AN157" s="873"/>
      <c r="AO157" s="1288"/>
      <c r="AP157" s="873"/>
      <c r="AQ157" s="873"/>
      <c r="AR157" s="873"/>
      <c r="AS157" s="873"/>
      <c r="AT157" s="1288"/>
      <c r="AU157" s="873"/>
      <c r="AV157" s="873"/>
      <c r="AW157" s="873"/>
      <c r="AX157" s="873"/>
      <c r="AY157" s="1288"/>
      <c r="AZ157" s="873"/>
      <c r="BA157" s="873"/>
      <c r="BB157" s="873"/>
      <c r="BC157" s="873"/>
      <c r="BD157" s="1288"/>
      <c r="BE157" s="873"/>
      <c r="BF157" s="873"/>
      <c r="BG157" s="873"/>
      <c r="BH157" s="873"/>
      <c r="BI157" s="1288"/>
      <c r="BJ157" s="873"/>
      <c r="BK157" s="873"/>
      <c r="BL157" s="873"/>
      <c r="BM157" s="873"/>
      <c r="BN157" s="1288"/>
      <c r="BO157" s="873"/>
      <c r="BP157" s="873"/>
      <c r="BQ157" s="873"/>
      <c r="BR157" s="873"/>
      <c r="BS157" s="1288"/>
      <c r="BT157" s="873">
        <f t="shared" ref="BT157:EE157" si="473">1-BT204/BT198</f>
        <v>0.94388597388028528</v>
      </c>
      <c r="BU157" s="873">
        <f t="shared" si="473"/>
        <v>0.93795168939773044</v>
      </c>
      <c r="BV157" s="873">
        <f t="shared" si="473"/>
        <v>0.92504609558584061</v>
      </c>
      <c r="BW157" s="873">
        <f t="shared" si="473"/>
        <v>0.92547081151672705</v>
      </c>
      <c r="BX157" s="1288">
        <f t="shared" si="473"/>
        <v>0.93280209966373751</v>
      </c>
      <c r="BY157" s="873">
        <f t="shared" si="473"/>
        <v>0.93359763681592034</v>
      </c>
      <c r="BZ157" s="873">
        <f t="shared" si="473"/>
        <v>0.92237154757527706</v>
      </c>
      <c r="CA157" s="873">
        <f t="shared" si="473"/>
        <v>0.91909606546912515</v>
      </c>
      <c r="CB157" s="873">
        <f t="shared" si="473"/>
        <v>0.9265721601592396</v>
      </c>
      <c r="CC157" s="1288">
        <f t="shared" si="473"/>
        <v>0.92517255404032839</v>
      </c>
      <c r="CD157" s="873">
        <f t="shared" si="473"/>
        <v>0.92106627333408153</v>
      </c>
      <c r="CE157" s="873">
        <f t="shared" si="473"/>
        <v>0.89808578015104279</v>
      </c>
      <c r="CF157" s="873">
        <f t="shared" si="473"/>
        <v>0.90432446837449521</v>
      </c>
      <c r="CG157" s="873">
        <f t="shared" si="473"/>
        <v>0.91691667644358532</v>
      </c>
      <c r="CH157" s="1288">
        <f t="shared" si="473"/>
        <v>0.90986775845416501</v>
      </c>
      <c r="CI157" s="873">
        <f t="shared" si="473"/>
        <v>0.92551759478083961</v>
      </c>
      <c r="CJ157" s="873">
        <f t="shared" si="473"/>
        <v>0.89833844218273318</v>
      </c>
      <c r="CK157" s="873">
        <f t="shared" si="473"/>
        <v>0.90498297280756901</v>
      </c>
      <c r="CL157" s="873">
        <f t="shared" si="473"/>
        <v>0.89007707582510787</v>
      </c>
      <c r="CM157" s="1288">
        <f t="shared" si="473"/>
        <v>0.90481343264136405</v>
      </c>
      <c r="CN157" s="873">
        <f t="shared" si="473"/>
        <v>0.95098738663588078</v>
      </c>
      <c r="CO157" s="873">
        <f t="shared" si="473"/>
        <v>0.92770813910928107</v>
      </c>
      <c r="CP157" s="873">
        <f t="shared" si="473"/>
        <v>0.93909616995697809</v>
      </c>
      <c r="CQ157" s="873">
        <f t="shared" si="473"/>
        <v>0.94164954397822964</v>
      </c>
      <c r="CR157" s="1288">
        <f t="shared" si="473"/>
        <v>0.9397239298412281</v>
      </c>
      <c r="CS157" s="873">
        <f t="shared" si="473"/>
        <v>0.95505255159660485</v>
      </c>
      <c r="CT157" s="873">
        <f t="shared" si="473"/>
        <v>0.92919231013260584</v>
      </c>
      <c r="CU157" s="873">
        <f t="shared" si="473"/>
        <v>0.94240345534018066</v>
      </c>
      <c r="CV157" s="873">
        <f t="shared" si="473"/>
        <v>1.0312453904540857</v>
      </c>
      <c r="CW157" s="1288">
        <f t="shared" si="473"/>
        <v>0.96175719705520368</v>
      </c>
      <c r="CX157" s="873">
        <f t="shared" si="473"/>
        <v>1.016109133355211</v>
      </c>
      <c r="CY157" s="873">
        <f t="shared" si="473"/>
        <v>0.9375518894136603</v>
      </c>
      <c r="CZ157" s="873">
        <f t="shared" si="473"/>
        <v>0.96370874178717725</v>
      </c>
      <c r="DA157" s="873">
        <f t="shared" si="473"/>
        <v>0.9845199380582571</v>
      </c>
      <c r="DB157" s="1288">
        <f t="shared" si="473"/>
        <v>0.97245317022541955</v>
      </c>
      <c r="DC157" s="873">
        <f t="shared" si="473"/>
        <v>0.98519680078766791</v>
      </c>
      <c r="DD157" s="873">
        <f t="shared" si="473"/>
        <v>0.97287529387267346</v>
      </c>
      <c r="DE157" s="873">
        <f t="shared" si="473"/>
        <v>0.97292413301288327</v>
      </c>
      <c r="DF157" s="873">
        <f t="shared" si="473"/>
        <v>0.98600576940665419</v>
      </c>
      <c r="DG157" s="1288">
        <f t="shared" si="473"/>
        <v>0.97853811742341013</v>
      </c>
      <c r="DH157" s="873">
        <f t="shared" si="473"/>
        <v>0.97054013761744085</v>
      </c>
      <c r="DI157" s="873">
        <f t="shared" si="473"/>
        <v>0.95538538087974556</v>
      </c>
      <c r="DJ157" s="873">
        <f t="shared" si="473"/>
        <v>0.9556116013300906</v>
      </c>
      <c r="DK157" s="873">
        <f t="shared" si="473"/>
        <v>0.96971103315543061</v>
      </c>
      <c r="DL157" s="1288">
        <f t="shared" si="473"/>
        <v>0.96258395443563172</v>
      </c>
      <c r="DM157" s="873">
        <f t="shared" si="473"/>
        <v>0.95923613688284182</v>
      </c>
      <c r="DN157" s="873">
        <f t="shared" si="473"/>
        <v>0.94730501986036886</v>
      </c>
      <c r="DO157" s="873">
        <f t="shared" si="473"/>
        <v>0.96067766625620588</v>
      </c>
      <c r="DP157" s="873">
        <f t="shared" si="473"/>
        <v>0.97228853649452007</v>
      </c>
      <c r="DQ157" s="1288">
        <f t="shared" si="473"/>
        <v>0.95969711729554574</v>
      </c>
      <c r="DR157" s="873">
        <f t="shared" si="473"/>
        <v>0.97635095691846208</v>
      </c>
      <c r="DS157" s="873">
        <f t="shared" si="473"/>
        <v>0.94612377567197781</v>
      </c>
      <c r="DT157" s="873">
        <f t="shared" si="473"/>
        <v>0.95159228652502359</v>
      </c>
      <c r="DU157" s="873">
        <f t="shared" si="473"/>
        <v>0.97541613240821001</v>
      </c>
      <c r="DV157" s="1288">
        <f t="shared" si="473"/>
        <v>0.96216635643652637</v>
      </c>
      <c r="DW157" s="873">
        <f t="shared" si="473"/>
        <v>0.97584675525242848</v>
      </c>
      <c r="DX157" s="873">
        <f t="shared" si="473"/>
        <v>0.9334606047244981</v>
      </c>
      <c r="DY157" s="873">
        <f t="shared" ref="DY157:ED157" si="474">1-DY204/DY198</f>
        <v>0.93925140444769473</v>
      </c>
      <c r="DZ157" s="873">
        <f t="shared" si="474"/>
        <v>0.9595495885063583</v>
      </c>
      <c r="EA157" s="1288">
        <f t="shared" si="474"/>
        <v>0.95142754934534879</v>
      </c>
      <c r="EB157" s="873">
        <f t="shared" si="474"/>
        <v>0.96134669065330058</v>
      </c>
      <c r="EC157" s="873">
        <f t="shared" si="474"/>
        <v>0.94029554814147409</v>
      </c>
      <c r="ED157" s="873">
        <f t="shared" si="474"/>
        <v>0.93808953053416688</v>
      </c>
      <c r="EE157" s="873">
        <f t="shared" si="473"/>
        <v>0.94507234764507642</v>
      </c>
      <c r="EF157" s="1288">
        <f t="shared" ref="EF157" si="475">1-EF204/EF198</f>
        <v>0.94609547848662878</v>
      </c>
      <c r="EG157" s="862"/>
      <c r="EH157" s="720"/>
      <c r="EI157" s="720"/>
      <c r="EJ157" s="720"/>
      <c r="EK157" s="1384">
        <f>1-EK204/EK198</f>
        <v>0.87103629437051988</v>
      </c>
      <c r="EL157" s="862"/>
      <c r="EM157" s="720"/>
      <c r="EN157" s="720"/>
      <c r="EO157" s="720"/>
      <c r="EP157" s="1384">
        <f>1-EP204/EP198</f>
        <v>0.85880653974374987</v>
      </c>
      <c r="EQ157" s="862"/>
      <c r="ER157" s="720"/>
      <c r="ES157" s="720"/>
      <c r="ET157" s="720"/>
      <c r="EU157" s="1384">
        <f>1-EU204/EU198</f>
        <v>0.84405632505396921</v>
      </c>
      <c r="EV157" s="862"/>
      <c r="EW157" s="720"/>
      <c r="EX157" s="720"/>
      <c r="EY157" s="720"/>
      <c r="EZ157" s="1384">
        <f>1-EZ204/EZ198</f>
        <v>0.84064113277346431</v>
      </c>
      <c r="FA157" s="862"/>
      <c r="FB157" s="720"/>
      <c r="FC157" s="720"/>
      <c r="FD157" s="720"/>
      <c r="FE157" s="1384">
        <f>1-FE204/FE198</f>
        <v>0.83743853572720117</v>
      </c>
      <c r="FF157" s="721"/>
      <c r="FG157" s="690"/>
      <c r="FH157" s="754"/>
      <c r="FI157" s="754"/>
      <c r="FJ157" s="754"/>
      <c r="FK157" s="754"/>
      <c r="FL157" s="690"/>
      <c r="FM157" s="752"/>
      <c r="FN157" s="708"/>
      <c r="FO157" s="723"/>
      <c r="FP157" s="723"/>
      <c r="FQ157" s="723"/>
      <c r="FR157" s="723"/>
      <c r="FS157" s="723"/>
      <c r="FT157" s="723"/>
      <c r="FU157" s="690"/>
      <c r="FV157"/>
      <c r="FW157"/>
      <c r="FX157"/>
      <c r="FY157"/>
      <c r="FZ157"/>
      <c r="GA157"/>
      <c r="GB157" s="961"/>
      <c r="GC157" s="535"/>
      <c r="GD157" s="535"/>
      <c r="GE157" s="535"/>
      <c r="GF157" s="535"/>
      <c r="GG157" s="535"/>
      <c r="GH157" s="535"/>
      <c r="GI157" s="535"/>
      <c r="GJ157" s="535"/>
      <c r="GK157" s="535"/>
      <c r="GL157" s="535"/>
      <c r="GM157" s="535"/>
      <c r="GN157" s="535"/>
      <c r="GO157" s="535"/>
      <c r="GP157" s="535"/>
      <c r="GQ157" s="535"/>
      <c r="GR157" s="535"/>
      <c r="GS157" s="535"/>
      <c r="GT157" s="535"/>
      <c r="GU157" s="535"/>
      <c r="GV157" s="535"/>
      <c r="GW157" s="535"/>
      <c r="GX157" s="535"/>
      <c r="GY157" s="535"/>
      <c r="GZ157" s="535"/>
      <c r="HA157" s="535"/>
      <c r="HB157" s="535"/>
      <c r="HC157" s="535"/>
      <c r="HD157" s="535"/>
      <c r="HE157" s="535"/>
      <c r="HF157" s="535"/>
      <c r="HG157" s="535"/>
      <c r="HH157" s="535"/>
      <c r="HI157" s="535"/>
      <c r="HJ157" s="535"/>
      <c r="HK157" s="535"/>
      <c r="HL157" s="535"/>
      <c r="HM157" s="535"/>
      <c r="HN157" s="535"/>
      <c r="HO157" s="535"/>
      <c r="HP157" s="535"/>
      <c r="HQ157" s="535"/>
      <c r="HR157" s="535"/>
      <c r="HS157" s="535"/>
      <c r="HT157" s="535"/>
      <c r="HU157" s="535"/>
      <c r="HV157" s="535"/>
      <c r="HW157" s="535"/>
      <c r="HX157" s="535"/>
      <c r="HY157" s="535"/>
      <c r="HZ157" s="535"/>
      <c r="IA157" s="535"/>
      <c r="IB157" s="535"/>
      <c r="IC157" s="535"/>
      <c r="ID157" s="535"/>
      <c r="IE157" s="535"/>
      <c r="IF157" s="535"/>
      <c r="IG157" s="535"/>
      <c r="IH157" s="535"/>
      <c r="II157" s="535"/>
      <c r="IJ157" s="535"/>
      <c r="IK157" s="535"/>
      <c r="IL157" s="535"/>
      <c r="IM157" s="535"/>
      <c r="IN157" s="535"/>
      <c r="IO157" s="535"/>
      <c r="IP157" s="535"/>
      <c r="IQ157" s="535"/>
      <c r="IR157" s="535"/>
      <c r="IS157" s="535"/>
      <c r="IT157" s="535"/>
      <c r="IU157" s="535"/>
      <c r="IV157" s="535"/>
      <c r="IW157" s="535"/>
      <c r="IX157" s="535"/>
      <c r="IY157" s="535"/>
      <c r="IZ157" s="535"/>
      <c r="JA157" s="535"/>
      <c r="JB157" s="535"/>
      <c r="JC157" s="535"/>
      <c r="JD157" s="535"/>
      <c r="JE157" s="535"/>
      <c r="JF157" s="535"/>
      <c r="JG157" s="535"/>
      <c r="JH157" s="535"/>
      <c r="JI157" s="535"/>
      <c r="JJ157" s="535"/>
      <c r="JK157" s="535"/>
      <c r="JL157" s="535"/>
    </row>
    <row r="158" spans="1:272" s="726" customFormat="1" ht="12.75" customHeight="1">
      <c r="A158" s="1291" t="s">
        <v>86</v>
      </c>
      <c r="B158" s="1292"/>
      <c r="C158" s="1016"/>
      <c r="D158" s="1016"/>
      <c r="E158" s="1016"/>
      <c r="F158" s="808"/>
      <c r="G158" s="1149"/>
      <c r="H158" s="1149"/>
      <c r="I158" s="1149"/>
      <c r="J158" s="1149"/>
      <c r="K158" s="808"/>
      <c r="L158" s="1149"/>
      <c r="M158" s="1149"/>
      <c r="N158" s="1149"/>
      <c r="O158" s="1149"/>
      <c r="P158" s="808"/>
      <c r="Q158" s="1149"/>
      <c r="R158" s="1149"/>
      <c r="S158" s="1149"/>
      <c r="T158" s="1149"/>
      <c r="U158" s="808"/>
      <c r="V158" s="1149"/>
      <c r="W158" s="1149"/>
      <c r="X158" s="1149"/>
      <c r="Y158" s="1149"/>
      <c r="Z158" s="808"/>
      <c r="AA158" s="1149"/>
      <c r="AB158" s="1149"/>
      <c r="AC158" s="1149"/>
      <c r="AD158" s="1149"/>
      <c r="AE158" s="808"/>
      <c r="AF158" s="1149"/>
      <c r="AG158" s="1149"/>
      <c r="AH158" s="1149"/>
      <c r="AI158" s="1149"/>
      <c r="AJ158" s="808"/>
      <c r="AK158" s="1149"/>
      <c r="AL158" s="1149"/>
      <c r="AM158" s="1149"/>
      <c r="AN158" s="1149"/>
      <c r="AO158" s="808"/>
      <c r="AP158" s="1149"/>
      <c r="AQ158" s="1149"/>
      <c r="AR158" s="1149"/>
      <c r="AS158" s="1149"/>
      <c r="AT158" s="808"/>
      <c r="AU158" s="1149"/>
      <c r="AV158" s="1149"/>
      <c r="AW158" s="1149"/>
      <c r="AX158" s="1149"/>
      <c r="AY158" s="808"/>
      <c r="AZ158" s="1149"/>
      <c r="BA158" s="1149"/>
      <c r="BB158" s="1149"/>
      <c r="BC158" s="1149"/>
      <c r="BD158" s="808"/>
      <c r="BE158" s="1149"/>
      <c r="BF158" s="1149"/>
      <c r="BG158" s="1149"/>
      <c r="BH158" s="1149"/>
      <c r="BI158" s="808"/>
      <c r="BJ158" s="1149"/>
      <c r="BK158" s="1149"/>
      <c r="BL158" s="1149"/>
      <c r="BM158" s="1149"/>
      <c r="BN158" s="808"/>
      <c r="BO158" s="1149"/>
      <c r="BP158" s="1149"/>
      <c r="BQ158" s="1149"/>
      <c r="BR158" s="1149"/>
      <c r="BS158" s="808"/>
      <c r="BT158" s="1293"/>
      <c r="BU158" s="1293"/>
      <c r="BV158" s="1293"/>
      <c r="BW158" s="1293"/>
      <c r="BX158" s="1154"/>
      <c r="BY158" s="1293">
        <f t="shared" ref="BY158:EF158" si="476">(BY157-BT157)*100</f>
        <v>-1.0288337064364939</v>
      </c>
      <c r="BZ158" s="1293">
        <f t="shared" si="476"/>
        <v>-1.5580141822453375</v>
      </c>
      <c r="CA158" s="1293">
        <f t="shared" si="476"/>
        <v>-0.59500301167154657</v>
      </c>
      <c r="CB158" s="1293">
        <f t="shared" si="476"/>
        <v>0.11013486425125452</v>
      </c>
      <c r="CC158" s="1154">
        <f t="shared" si="476"/>
        <v>-0.76295456234091175</v>
      </c>
      <c r="CD158" s="1293">
        <f t="shared" si="476"/>
        <v>-1.2531363481838809</v>
      </c>
      <c r="CE158" s="1293">
        <f t="shared" si="476"/>
        <v>-2.4285767424234272</v>
      </c>
      <c r="CF158" s="1293">
        <f t="shared" si="476"/>
        <v>-1.477159709462994</v>
      </c>
      <c r="CG158" s="1293">
        <f t="shared" si="476"/>
        <v>-0.96554837156542783</v>
      </c>
      <c r="CH158" s="1154">
        <f t="shared" si="476"/>
        <v>-1.5304795586163378</v>
      </c>
      <c r="CI158" s="1293">
        <f t="shared" si="476"/>
        <v>0.44513214467580831</v>
      </c>
      <c r="CJ158" s="1293">
        <f t="shared" si="476"/>
        <v>2.5266203169038715E-2</v>
      </c>
      <c r="CK158" s="1293">
        <f t="shared" si="476"/>
        <v>6.5850443307380324E-2</v>
      </c>
      <c r="CL158" s="1293">
        <f t="shared" si="476"/>
        <v>-2.6839600618477455</v>
      </c>
      <c r="CM158" s="1154">
        <f t="shared" si="476"/>
        <v>-0.50543258128009638</v>
      </c>
      <c r="CN158" s="1293">
        <f t="shared" si="476"/>
        <v>2.5469791855041168</v>
      </c>
      <c r="CO158" s="1293">
        <f t="shared" si="476"/>
        <v>2.9369696926547895</v>
      </c>
      <c r="CP158" s="1293">
        <f t="shared" si="476"/>
        <v>3.411319714940908</v>
      </c>
      <c r="CQ158" s="1293">
        <f t="shared" si="476"/>
        <v>5.1572468153121775</v>
      </c>
      <c r="CR158" s="1154">
        <f t="shared" si="476"/>
        <v>3.4910497199864055</v>
      </c>
      <c r="CS158" s="1293">
        <f t="shared" si="476"/>
        <v>0.40651649607240659</v>
      </c>
      <c r="CT158" s="1293">
        <f t="shared" si="476"/>
        <v>0.14841710233247651</v>
      </c>
      <c r="CU158" s="1293">
        <f t="shared" si="476"/>
        <v>0.33072853832025739</v>
      </c>
      <c r="CV158" s="1293">
        <f t="shared" si="476"/>
        <v>8.959584647585606</v>
      </c>
      <c r="CW158" s="1154">
        <f t="shared" si="476"/>
        <v>2.2033267213975583</v>
      </c>
      <c r="CX158" s="1293">
        <f t="shared" si="476"/>
        <v>6.1056581758606177</v>
      </c>
      <c r="CY158" s="1293">
        <f t="shared" si="476"/>
        <v>0.83595792810544634</v>
      </c>
      <c r="CZ158" s="1293">
        <f t="shared" si="476"/>
        <v>2.1305286446996585</v>
      </c>
      <c r="DA158" s="1293">
        <f t="shared" si="476"/>
        <v>-4.6725452395828597</v>
      </c>
      <c r="DB158" s="1154">
        <f t="shared" si="476"/>
        <v>1.0695973170215867</v>
      </c>
      <c r="DC158" s="1293">
        <f t="shared" si="476"/>
        <v>-3.091233256754311</v>
      </c>
      <c r="DD158" s="1293">
        <f t="shared" si="476"/>
        <v>3.5323404459013164</v>
      </c>
      <c r="DE158" s="1293">
        <f t="shared" si="476"/>
        <v>0.92153912257060266</v>
      </c>
      <c r="DF158" s="1293">
        <f t="shared" si="476"/>
        <v>0.1485831348397082</v>
      </c>
      <c r="DG158" s="1154">
        <f t="shared" si="476"/>
        <v>0.60849471979905756</v>
      </c>
      <c r="DH158" s="1293">
        <f t="shared" si="476"/>
        <v>-1.4656663170227069</v>
      </c>
      <c r="DI158" s="1293">
        <f t="shared" si="476"/>
        <v>-1.7489912992927903</v>
      </c>
      <c r="DJ158" s="1293">
        <f t="shared" si="476"/>
        <v>-1.7312531682792676</v>
      </c>
      <c r="DK158" s="1293">
        <f t="shared" si="476"/>
        <v>-1.6294736251223574</v>
      </c>
      <c r="DL158" s="1154">
        <f t="shared" si="476"/>
        <v>-1.5954162987778409</v>
      </c>
      <c r="DM158" s="1293">
        <f t="shared" si="476"/>
        <v>-1.1304000734599029</v>
      </c>
      <c r="DN158" s="1293">
        <f t="shared" si="476"/>
        <v>-0.80803610193767028</v>
      </c>
      <c r="DO158" s="1293">
        <f t="shared" si="476"/>
        <v>0.50660649261152768</v>
      </c>
      <c r="DP158" s="1293">
        <f t="shared" si="476"/>
        <v>0.25775033390894597</v>
      </c>
      <c r="DQ158" s="1154">
        <f t="shared" si="476"/>
        <v>-0.28868371400859738</v>
      </c>
      <c r="DR158" s="1293">
        <f>(DR157-DM157)*100</f>
        <v>1.711482003562026</v>
      </c>
      <c r="DS158" s="1293">
        <f t="shared" si="476"/>
        <v>-0.11812441883910507</v>
      </c>
      <c r="DT158" s="1293">
        <f t="shared" si="476"/>
        <v>-0.90853797311822859</v>
      </c>
      <c r="DU158" s="1293">
        <f t="shared" si="476"/>
        <v>0.31275959136899401</v>
      </c>
      <c r="DV158" s="1154">
        <f t="shared" si="476"/>
        <v>0.2469239140980628</v>
      </c>
      <c r="DW158" s="1293">
        <f t="shared" si="476"/>
        <v>-5.0420166603359906E-2</v>
      </c>
      <c r="DX158" s="1293">
        <f t="shared" si="476"/>
        <v>-1.2663170947479707</v>
      </c>
      <c r="DY158" s="1293">
        <f t="shared" si="476"/>
        <v>-1.2340882077328863</v>
      </c>
      <c r="DZ158" s="1293">
        <f t="shared" si="476"/>
        <v>-1.5866543901851715</v>
      </c>
      <c r="EA158" s="1154">
        <f t="shared" si="476"/>
        <v>-1.0738807091177582</v>
      </c>
      <c r="EB158" s="1293">
        <f t="shared" si="476"/>
        <v>-1.4500064599127893</v>
      </c>
      <c r="EC158" s="1293">
        <f>(EC157-DX157)*100</f>
        <v>0.68349434169759915</v>
      </c>
      <c r="ED158" s="1293">
        <f t="shared" si="476"/>
        <v>-0.11618739135278444</v>
      </c>
      <c r="EE158" s="1293">
        <f t="shared" si="476"/>
        <v>-1.4477240861281881</v>
      </c>
      <c r="EF158" s="1154">
        <f t="shared" si="476"/>
        <v>-0.53320708587200061</v>
      </c>
      <c r="EG158" s="1015"/>
      <c r="EH158" s="1016"/>
      <c r="EI158" s="1016"/>
      <c r="EJ158" s="1017"/>
      <c r="EK158" s="1154">
        <f>(EK157-EF157)*100</f>
        <v>-7.5059184116108906</v>
      </c>
      <c r="EL158" s="1015"/>
      <c r="EM158" s="1016"/>
      <c r="EN158" s="1016"/>
      <c r="EO158" s="1017"/>
      <c r="EP158" s="1154">
        <f>(EP157-EK157)*100</f>
        <v>-1.2229754626770006</v>
      </c>
      <c r="EQ158" s="1015"/>
      <c r="ER158" s="1016"/>
      <c r="ES158" s="1016"/>
      <c r="ET158" s="1017"/>
      <c r="EU158" s="1154">
        <f>(EU157-EP157)*100</f>
        <v>-1.4750214689780661</v>
      </c>
      <c r="EV158" s="1015"/>
      <c r="EW158" s="1016"/>
      <c r="EX158" s="1016"/>
      <c r="EY158" s="1017"/>
      <c r="EZ158" s="1154">
        <f>(EZ157-EU157)*100</f>
        <v>-0.34151922805049084</v>
      </c>
      <c r="FA158" s="1015"/>
      <c r="FB158" s="1016"/>
      <c r="FC158" s="1016"/>
      <c r="FD158" s="1017"/>
      <c r="FE158" s="1154">
        <f>(FE157-EZ157)*100</f>
        <v>-0.32025970462631337</v>
      </c>
      <c r="FF158" s="721"/>
      <c r="FG158" s="690"/>
      <c r="FH158" s="754"/>
      <c r="FI158" s="754"/>
      <c r="FJ158" s="754"/>
      <c r="FK158" s="754"/>
      <c r="FL158" s="690"/>
      <c r="FM158" s="708"/>
      <c r="FN158" s="708"/>
      <c r="FO158" s="723"/>
      <c r="FP158" s="723"/>
      <c r="FQ158" s="723"/>
      <c r="FR158" s="723"/>
      <c r="FS158" s="723"/>
      <c r="FT158" s="723"/>
      <c r="FU158" s="690"/>
      <c r="FV158"/>
      <c r="FW158"/>
      <c r="FX158"/>
      <c r="FY158"/>
      <c r="FZ158"/>
      <c r="GA158"/>
      <c r="GB158" s="961"/>
      <c r="GC158" s="535"/>
      <c r="GD158" s="535"/>
      <c r="GE158" s="535"/>
      <c r="GF158" s="535"/>
      <c r="GG158" s="535"/>
      <c r="GH158" s="535"/>
      <c r="GI158" s="535"/>
      <c r="GJ158" s="535"/>
      <c r="GK158" s="535"/>
      <c r="GL158" s="535"/>
      <c r="GM158" s="535"/>
      <c r="GN158" s="535"/>
      <c r="GO158" s="535"/>
      <c r="GP158" s="535"/>
      <c r="GQ158" s="535"/>
      <c r="GR158" s="535"/>
      <c r="GS158" s="535"/>
      <c r="GT158" s="535"/>
      <c r="GU158" s="535"/>
      <c r="GV158" s="535"/>
      <c r="GW158" s="535"/>
      <c r="GX158" s="535"/>
      <c r="GY158" s="535"/>
      <c r="GZ158" s="535"/>
      <c r="HA158" s="535"/>
      <c r="HB158" s="535"/>
      <c r="HC158" s="535"/>
      <c r="HD158" s="535"/>
      <c r="HE158" s="535"/>
      <c r="HF158" s="535"/>
      <c r="HG158" s="535"/>
      <c r="HH158" s="535"/>
      <c r="HI158" s="535"/>
      <c r="HJ158" s="535"/>
      <c r="HK158" s="535"/>
      <c r="HL158" s="535"/>
      <c r="HM158" s="535"/>
      <c r="HN158" s="535"/>
      <c r="HO158" s="535"/>
      <c r="HP158" s="535"/>
      <c r="HQ158" s="535"/>
      <c r="HR158" s="535"/>
      <c r="HS158" s="535"/>
      <c r="HT158" s="535"/>
      <c r="HU158" s="535"/>
      <c r="HV158" s="535"/>
      <c r="HW158" s="535"/>
      <c r="HX158" s="535"/>
      <c r="HY158" s="535"/>
      <c r="HZ158" s="535"/>
      <c r="IA158" s="535"/>
      <c r="IB158" s="535"/>
      <c r="IC158" s="535"/>
      <c r="ID158" s="535"/>
      <c r="IE158" s="535"/>
      <c r="IF158" s="535"/>
      <c r="IG158" s="535"/>
      <c r="IH158" s="535"/>
      <c r="II158" s="535"/>
      <c r="IJ158" s="535"/>
      <c r="IK158" s="535"/>
      <c r="IL158" s="535"/>
      <c r="IM158" s="535"/>
      <c r="IN158" s="535"/>
      <c r="IO158" s="535"/>
      <c r="IP158" s="535"/>
      <c r="IQ158" s="535"/>
      <c r="IR158" s="535"/>
      <c r="IS158" s="535"/>
      <c r="IT158" s="535"/>
      <c r="IU158" s="535"/>
      <c r="IV158" s="535"/>
      <c r="IW158" s="535"/>
      <c r="IX158" s="535"/>
      <c r="IY158" s="535"/>
      <c r="IZ158" s="535"/>
      <c r="JA158" s="535"/>
      <c r="JB158" s="535"/>
      <c r="JC158" s="535"/>
      <c r="JD158" s="535"/>
      <c r="JE158" s="535"/>
      <c r="JF158" s="535"/>
      <c r="JG158" s="535"/>
      <c r="JH158" s="535"/>
      <c r="JI158" s="535"/>
      <c r="JJ158" s="535"/>
      <c r="JK158" s="535"/>
      <c r="JL158" s="535"/>
    </row>
    <row r="159" spans="1:272" s="726" customFormat="1" ht="12.75" customHeight="1">
      <c r="A159" s="1291" t="s">
        <v>88</v>
      </c>
      <c r="B159" s="1292"/>
      <c r="C159" s="1016"/>
      <c r="D159" s="1016"/>
      <c r="E159" s="1016"/>
      <c r="F159" s="808"/>
      <c r="G159" s="1149"/>
      <c r="H159" s="1149"/>
      <c r="I159" s="1149"/>
      <c r="J159" s="1149"/>
      <c r="K159" s="808"/>
      <c r="L159" s="1149"/>
      <c r="M159" s="1149"/>
      <c r="N159" s="1149"/>
      <c r="O159" s="1149"/>
      <c r="P159" s="808"/>
      <c r="Q159" s="1149"/>
      <c r="R159" s="1149"/>
      <c r="S159" s="1149"/>
      <c r="T159" s="1149"/>
      <c r="U159" s="808"/>
      <c r="V159" s="1149"/>
      <c r="W159" s="1149"/>
      <c r="X159" s="1149"/>
      <c r="Y159" s="1149"/>
      <c r="Z159" s="808"/>
      <c r="AA159" s="1149"/>
      <c r="AB159" s="1149"/>
      <c r="AC159" s="1149"/>
      <c r="AD159" s="1149"/>
      <c r="AE159" s="808"/>
      <c r="AF159" s="1149"/>
      <c r="AG159" s="1149"/>
      <c r="AH159" s="1149"/>
      <c r="AI159" s="1149"/>
      <c r="AJ159" s="808"/>
      <c r="AK159" s="1149"/>
      <c r="AL159" s="1149"/>
      <c r="AM159" s="1149"/>
      <c r="AN159" s="1149"/>
      <c r="AO159" s="808"/>
      <c r="AP159" s="1149"/>
      <c r="AQ159" s="1149"/>
      <c r="AR159" s="1149"/>
      <c r="AS159" s="1149"/>
      <c r="AT159" s="808"/>
      <c r="AU159" s="1149"/>
      <c r="AV159" s="1149"/>
      <c r="AW159" s="1149"/>
      <c r="AX159" s="1149"/>
      <c r="AY159" s="808"/>
      <c r="AZ159" s="1149"/>
      <c r="BA159" s="1149"/>
      <c r="BB159" s="1149"/>
      <c r="BC159" s="1149"/>
      <c r="BD159" s="808"/>
      <c r="BE159" s="1149"/>
      <c r="BF159" s="1149"/>
      <c r="BG159" s="1149"/>
      <c r="BH159" s="1149"/>
      <c r="BI159" s="808"/>
      <c r="BJ159" s="1149"/>
      <c r="BK159" s="1149"/>
      <c r="BL159" s="1149"/>
      <c r="BM159" s="1149"/>
      <c r="BN159" s="808"/>
      <c r="BO159" s="1149"/>
      <c r="BP159" s="1149"/>
      <c r="BQ159" s="1149"/>
      <c r="BR159" s="1149"/>
      <c r="BS159" s="808"/>
      <c r="BT159" s="1293"/>
      <c r="BU159" s="1293"/>
      <c r="BV159" s="1293"/>
      <c r="BW159" s="1293"/>
      <c r="BX159" s="1154"/>
      <c r="BY159" s="1293">
        <f>+(BY157-BW157)*100</f>
        <v>0.81268252991932854</v>
      </c>
      <c r="BZ159" s="1293">
        <f>+(BZ157-BY157)*100</f>
        <v>-1.1226089240643278</v>
      </c>
      <c r="CA159" s="1293">
        <f>+(CA157-BZ157)*100</f>
        <v>-0.32754821061519168</v>
      </c>
      <c r="CB159" s="1293">
        <f>+(CB157-CA157)*100</f>
        <v>0.74760946901144543</v>
      </c>
      <c r="CC159" s="1154">
        <f>CC158</f>
        <v>-0.76295456234091175</v>
      </c>
      <c r="CD159" s="1293">
        <f>+(CD157-CB157)*100</f>
        <v>-0.55058868251580684</v>
      </c>
      <c r="CE159" s="1293">
        <f>+(CE157-CD157)*100</f>
        <v>-2.2980493183038742</v>
      </c>
      <c r="CF159" s="1293">
        <f>+(CF157-CE157)*100</f>
        <v>0.62386882234524155</v>
      </c>
      <c r="CG159" s="1293">
        <f>+(CG157-CF157)*100</f>
        <v>1.2592208069090116</v>
      </c>
      <c r="CH159" s="1154">
        <f>CH158</f>
        <v>-1.5304795586163378</v>
      </c>
      <c r="CI159" s="1293">
        <f>+(CI157-CG157)*100</f>
        <v>0.8600918337254293</v>
      </c>
      <c r="CJ159" s="1293">
        <f>+(CJ157-CI157)*100</f>
        <v>-2.7179152598106437</v>
      </c>
      <c r="CK159" s="1293">
        <f>+(CK157-CJ157)*100</f>
        <v>0.66445306248358316</v>
      </c>
      <c r="CL159" s="1293">
        <f>+(CL157-CK157)*100</f>
        <v>-1.4905896982461142</v>
      </c>
      <c r="CM159" s="1154">
        <f>CM158</f>
        <v>-0.50543258128009638</v>
      </c>
      <c r="CN159" s="1293">
        <f>+(CN157-CL157)*100</f>
        <v>6.0910310810772916</v>
      </c>
      <c r="CO159" s="1293">
        <f>+(CO157-CN157)*100</f>
        <v>-2.3279247526599711</v>
      </c>
      <c r="CP159" s="1293">
        <f>+(CP157-CO157)*100</f>
        <v>1.1388030847697017</v>
      </c>
      <c r="CQ159" s="1293">
        <f>+(CQ157-CP157)*100</f>
        <v>0.25533740212515532</v>
      </c>
      <c r="CR159" s="1154">
        <f>CR158</f>
        <v>3.4910497199864055</v>
      </c>
      <c r="CS159" s="1293">
        <f>+(CS157-CQ157)*100</f>
        <v>1.3403007618375207</v>
      </c>
      <c r="CT159" s="1293">
        <f>+(CT157-CS157)*100</f>
        <v>-2.5860241463999012</v>
      </c>
      <c r="CU159" s="1293">
        <f>+(CU157-CT157)*100</f>
        <v>1.3211145207574826</v>
      </c>
      <c r="CV159" s="1293">
        <f>+(CV157-CU157)*100</f>
        <v>8.8841935113905031</v>
      </c>
      <c r="CW159" s="1154">
        <f>CW158</f>
        <v>2.2033267213975583</v>
      </c>
      <c r="CX159" s="1293">
        <f>+(CX157-CV157)*100</f>
        <v>-1.5136257098874673</v>
      </c>
      <c r="CY159" s="1293">
        <f>+(CY157-CX157)*100</f>
        <v>-7.8557243941550725</v>
      </c>
      <c r="CZ159" s="1293">
        <f>+(CZ157-CY157)*100</f>
        <v>2.6156852373516948</v>
      </c>
      <c r="DA159" s="1293">
        <f>+(DA157-CZ157)*100</f>
        <v>2.0811196271079857</v>
      </c>
      <c r="DB159" s="1154">
        <f>DB158</f>
        <v>1.0695973170215867</v>
      </c>
      <c r="DC159" s="1293">
        <f>+(DC157-DA157)*100</f>
        <v>6.7686272941080983E-2</v>
      </c>
      <c r="DD159" s="1293">
        <f>+(DD157-DC157)*100</f>
        <v>-1.2321506914994451</v>
      </c>
      <c r="DE159" s="1293">
        <f>+(DE157-DD157)*100</f>
        <v>4.883914020981095E-3</v>
      </c>
      <c r="DF159" s="1293">
        <f>+(DF157-DE157)*100</f>
        <v>1.3081636393770912</v>
      </c>
      <c r="DG159" s="1154">
        <f>DG158</f>
        <v>0.60849471979905756</v>
      </c>
      <c r="DH159" s="1293">
        <f>+(DH157-DF157)*100</f>
        <v>-1.5465631789213341</v>
      </c>
      <c r="DI159" s="1293">
        <f>+(DI157-DH157)*100</f>
        <v>-1.5154756737695285</v>
      </c>
      <c r="DJ159" s="1293">
        <f>+(DJ157-DI157)*100</f>
        <v>2.2622045034503824E-2</v>
      </c>
      <c r="DK159" s="1293">
        <f>+(DK157-DJ157)*100</f>
        <v>1.4099431825340014</v>
      </c>
      <c r="DL159" s="1154"/>
      <c r="DM159" s="1293">
        <f>+(DM157-DK157)*100</f>
        <v>-1.0474896272588796</v>
      </c>
      <c r="DN159" s="1293">
        <f>+(DN157-DM157)*100</f>
        <v>-1.1931117022472959</v>
      </c>
      <c r="DO159" s="1293">
        <f>+(DO157-DN157)*100</f>
        <v>1.3372646395837018</v>
      </c>
      <c r="DP159" s="1293">
        <f>+(DP157-DO157)*100</f>
        <v>1.1610870238314197</v>
      </c>
      <c r="DQ159" s="1154"/>
      <c r="DR159" s="1293">
        <f>+(DR157-DP157)*100</f>
        <v>0.40624204239420036</v>
      </c>
      <c r="DS159" s="1293">
        <f>+(DS157-DR157)*100</f>
        <v>-3.0227181246484269</v>
      </c>
      <c r="DT159" s="1293">
        <f>+(DT157-DS157)*100</f>
        <v>0.54685108530457827</v>
      </c>
      <c r="DU159" s="1293">
        <f>+(DU157-DT157)*100</f>
        <v>2.3823845883186423</v>
      </c>
      <c r="DV159" s="1154"/>
      <c r="DW159" s="1293">
        <f>+(DW157-DU157)*100</f>
        <v>4.3062284421846453E-2</v>
      </c>
      <c r="DX159" s="1293">
        <f>+(DX157-DW157)*100</f>
        <v>-4.2386150527930377</v>
      </c>
      <c r="DY159" s="1293">
        <f>+(DY157-DX157)*100</f>
        <v>0.57907997231966268</v>
      </c>
      <c r="DZ159" s="1293">
        <f>+(DZ157-DY157)*100</f>
        <v>2.0298184058663571</v>
      </c>
      <c r="EA159" s="1154"/>
      <c r="EB159" s="1293">
        <f>+(EB157-DZ157)*100</f>
        <v>0.17971021469422865</v>
      </c>
      <c r="EC159" s="1293">
        <f>+(EC157-EB157)*100</f>
        <v>-2.1051142511826493</v>
      </c>
      <c r="ED159" s="1293">
        <f>+(ED157-EC157)*100</f>
        <v>-0.22060176073072091</v>
      </c>
      <c r="EE159" s="1293">
        <f>+(EE157-ED157)*100</f>
        <v>0.69828171109095338</v>
      </c>
      <c r="EF159" s="1154"/>
      <c r="EG159" s="1015"/>
      <c r="EH159" s="1016"/>
      <c r="EI159" s="1016"/>
      <c r="EJ159" s="1017"/>
      <c r="EK159" s="1154"/>
      <c r="EL159" s="1015"/>
      <c r="EM159" s="1016"/>
      <c r="EN159" s="1016"/>
      <c r="EO159" s="1017"/>
      <c r="EP159" s="1154"/>
      <c r="EQ159" s="1015"/>
      <c r="ER159" s="1016"/>
      <c r="ES159" s="1016"/>
      <c r="ET159" s="1017"/>
      <c r="EU159" s="1154"/>
      <c r="EV159" s="1015"/>
      <c r="EW159" s="1016"/>
      <c r="EX159" s="1016"/>
      <c r="EY159" s="1017"/>
      <c r="EZ159" s="1154"/>
      <c r="FA159" s="1015"/>
      <c r="FB159" s="1016"/>
      <c r="FC159" s="1016"/>
      <c r="FD159" s="1017"/>
      <c r="FE159" s="1154"/>
      <c r="FF159" s="721"/>
      <c r="FG159" s="690"/>
      <c r="FH159" s="1294">
        <f>AVERAGE(DH159,DM159,DC159,DR159,DW159,EB159,EG159,EL159)</f>
        <v>-0.31622533195480956</v>
      </c>
      <c r="FI159" s="1294">
        <f t="shared" ref="FI159" si="477">AVERAGE(DI159,DN159,DD159,DS159,DX159,EC159,EH159,EM159)</f>
        <v>-2.2178642493567309</v>
      </c>
      <c r="FJ159" s="1294">
        <f t="shared" ref="FJ159" si="478">AVERAGE(DJ159,DO159,DE159,DT159,DY159,ED159,EI159,EN159)</f>
        <v>0.37834998258878444</v>
      </c>
      <c r="FK159" s="1294">
        <f t="shared" ref="FK159" si="479">AVERAGE(DK159,DP159,DF159,DU159,DZ159,EE159,EJ159,EO159)</f>
        <v>1.4982797585030774</v>
      </c>
      <c r="FL159" s="690"/>
      <c r="FM159" s="708"/>
      <c r="FN159" s="708"/>
      <c r="FO159" s="723"/>
      <c r="FP159" s="723"/>
      <c r="FQ159" s="723"/>
      <c r="FR159" s="723"/>
      <c r="FS159" s="723"/>
      <c r="FT159" s="723"/>
      <c r="FU159" s="690"/>
      <c r="FV159"/>
      <c r="FW159"/>
      <c r="FX159"/>
      <c r="FY159"/>
      <c r="FZ159"/>
      <c r="GA159"/>
      <c r="GB159" s="961"/>
      <c r="GC159" s="535"/>
      <c r="GD159" s="535"/>
      <c r="GE159" s="535"/>
      <c r="GF159" s="535"/>
      <c r="GG159" s="535"/>
      <c r="GH159" s="535"/>
      <c r="GI159" s="535"/>
      <c r="GJ159" s="535"/>
      <c r="GK159" s="535"/>
      <c r="GL159" s="535"/>
      <c r="GM159" s="535"/>
      <c r="GN159" s="535"/>
      <c r="GO159" s="535"/>
      <c r="GP159" s="535"/>
      <c r="GQ159" s="535"/>
      <c r="GR159" s="535"/>
      <c r="GS159" s="535"/>
      <c r="GT159" s="535"/>
      <c r="GU159" s="535"/>
      <c r="GV159" s="535"/>
      <c r="GW159" s="535"/>
      <c r="GX159" s="535"/>
      <c r="GY159" s="535"/>
      <c r="GZ159" s="535"/>
      <c r="HA159" s="535"/>
      <c r="HB159" s="535"/>
      <c r="HC159" s="535"/>
      <c r="HD159" s="535"/>
      <c r="HE159" s="535"/>
      <c r="HF159" s="535"/>
      <c r="HG159" s="535"/>
      <c r="HH159" s="535"/>
      <c r="HI159" s="535"/>
      <c r="HJ159" s="535"/>
      <c r="HK159" s="535"/>
      <c r="HL159" s="535"/>
      <c r="HM159" s="535"/>
      <c r="HN159" s="535"/>
      <c r="HO159" s="535"/>
      <c r="HP159" s="535"/>
      <c r="HQ159" s="535"/>
      <c r="HR159" s="535"/>
      <c r="HS159" s="535"/>
      <c r="HT159" s="535"/>
      <c r="HU159" s="535"/>
      <c r="HV159" s="535"/>
      <c r="HW159" s="535"/>
      <c r="HX159" s="535"/>
      <c r="HY159" s="535"/>
      <c r="HZ159" s="535"/>
      <c r="IA159" s="535"/>
      <c r="IB159" s="535"/>
      <c r="IC159" s="535"/>
      <c r="ID159" s="535"/>
      <c r="IE159" s="535"/>
      <c r="IF159" s="535"/>
      <c r="IG159" s="535"/>
      <c r="IH159" s="535"/>
      <c r="II159" s="535"/>
      <c r="IJ159" s="535"/>
      <c r="IK159" s="535"/>
      <c r="IL159" s="535"/>
      <c r="IM159" s="535"/>
      <c r="IN159" s="535"/>
      <c r="IO159" s="535"/>
      <c r="IP159" s="535"/>
      <c r="IQ159" s="535"/>
      <c r="IR159" s="535"/>
      <c r="IS159" s="535"/>
      <c r="IT159" s="535"/>
      <c r="IU159" s="535"/>
      <c r="IV159" s="535"/>
      <c r="IW159" s="535"/>
      <c r="IX159" s="535"/>
      <c r="IY159" s="535"/>
      <c r="IZ159" s="535"/>
      <c r="JA159" s="535"/>
      <c r="JB159" s="535"/>
      <c r="JC159" s="535"/>
      <c r="JD159" s="535"/>
      <c r="JE159" s="535"/>
      <c r="JF159" s="535"/>
      <c r="JG159" s="535"/>
      <c r="JH159" s="535"/>
      <c r="JI159" s="535"/>
      <c r="JJ159" s="535"/>
      <c r="JK159" s="535"/>
      <c r="JL159" s="535"/>
    </row>
    <row r="160" spans="1:272" s="726" customFormat="1" ht="12.75" customHeight="1">
      <c r="A160" s="1307" t="s">
        <v>366</v>
      </c>
      <c r="B160" s="1292"/>
      <c r="C160" s="1016"/>
      <c r="D160" s="1016"/>
      <c r="E160" s="1016"/>
      <c r="F160" s="808"/>
      <c r="G160" s="1149"/>
      <c r="H160" s="1149"/>
      <c r="I160" s="1149"/>
      <c r="J160" s="1149"/>
      <c r="K160" s="808"/>
      <c r="L160" s="1149"/>
      <c r="M160" s="1149"/>
      <c r="N160" s="1149"/>
      <c r="O160" s="1149"/>
      <c r="P160" s="808"/>
      <c r="Q160" s="1149"/>
      <c r="R160" s="1149"/>
      <c r="S160" s="1149"/>
      <c r="T160" s="1149"/>
      <c r="U160" s="808"/>
      <c r="V160" s="1149"/>
      <c r="W160" s="1149"/>
      <c r="X160" s="1149"/>
      <c r="Y160" s="1149"/>
      <c r="Z160" s="808"/>
      <c r="AA160" s="1149"/>
      <c r="AB160" s="1149"/>
      <c r="AC160" s="1149"/>
      <c r="AD160" s="1149"/>
      <c r="AE160" s="808"/>
      <c r="AF160" s="1149"/>
      <c r="AG160" s="1149"/>
      <c r="AH160" s="1149"/>
      <c r="AI160" s="1149"/>
      <c r="AJ160" s="808"/>
      <c r="AK160" s="1149"/>
      <c r="AL160" s="1149"/>
      <c r="AM160" s="1149"/>
      <c r="AN160" s="1149"/>
      <c r="AO160" s="808"/>
      <c r="AP160" s="1149"/>
      <c r="AQ160" s="1149"/>
      <c r="AR160" s="1149"/>
      <c r="AS160" s="1149"/>
      <c r="AT160" s="808"/>
      <c r="AU160" s="1149"/>
      <c r="AV160" s="1149"/>
      <c r="AW160" s="1149"/>
      <c r="AX160" s="1149"/>
      <c r="AY160" s="808"/>
      <c r="AZ160" s="1149"/>
      <c r="BA160" s="1149"/>
      <c r="BB160" s="1149"/>
      <c r="BC160" s="1149"/>
      <c r="BD160" s="808"/>
      <c r="BE160" s="1149"/>
      <c r="BF160" s="1149"/>
      <c r="BG160" s="1149"/>
      <c r="BH160" s="1149"/>
      <c r="BI160" s="808"/>
      <c r="BJ160" s="1149"/>
      <c r="BK160" s="1149"/>
      <c r="BL160" s="1149"/>
      <c r="BM160" s="1149"/>
      <c r="BN160" s="808"/>
      <c r="BO160" s="1149"/>
      <c r="BP160" s="1149"/>
      <c r="BQ160" s="1149"/>
      <c r="BR160" s="1149"/>
      <c r="BS160" s="808"/>
      <c r="BT160" s="1374"/>
      <c r="BU160" s="1374"/>
      <c r="BV160" s="1374"/>
      <c r="BW160" s="1374"/>
      <c r="BX160" s="1310">
        <f t="shared" ref="BX160:EF160" si="480">(BX204-BS204)/(BX198-BS198)</f>
        <v>0.37211360250920528</v>
      </c>
      <c r="BY160" s="1374">
        <f t="shared" si="480"/>
        <v>0.16100320665227955</v>
      </c>
      <c r="BZ160" s="1374">
        <f t="shared" si="480"/>
        <v>0.17670196182953229</v>
      </c>
      <c r="CA160" s="1374">
        <f t="shared" si="480"/>
        <v>0.11792889913440394</v>
      </c>
      <c r="CB160" s="1374">
        <f t="shared" si="480"/>
        <v>6.6653152848787561E-2</v>
      </c>
      <c r="CC160" s="1310">
        <f t="shared" si="480"/>
        <v>0.12636507775008099</v>
      </c>
      <c r="CD160" s="1374">
        <f t="shared" si="480"/>
        <v>0.18431135917936284</v>
      </c>
      <c r="CE160" s="1374">
        <f t="shared" si="480"/>
        <v>0.30229104410033519</v>
      </c>
      <c r="CF160" s="1374">
        <f t="shared" si="480"/>
        <v>0.20832836177067229</v>
      </c>
      <c r="CG160" s="1374">
        <f t="shared" si="480"/>
        <v>0.15882270589882255</v>
      </c>
      <c r="CH160" s="1310">
        <f t="shared" si="480"/>
        <v>0.21265352475104499</v>
      </c>
      <c r="CI160" s="1374">
        <f t="shared" si="480"/>
        <v>3.6758245242171611E-2</v>
      </c>
      <c r="CJ160" s="1374">
        <f t="shared" si="480"/>
        <v>9.8372978964669441E-2</v>
      </c>
      <c r="CK160" s="1374">
        <f t="shared" si="480"/>
        <v>0.18836601307190096</v>
      </c>
      <c r="CL160" s="1374">
        <f t="shared" si="480"/>
        <v>-0.27271641157027054</v>
      </c>
      <c r="CM160" s="1310">
        <f t="shared" si="480"/>
        <v>0.29160647007166762</v>
      </c>
      <c r="CN160" s="1374">
        <f t="shared" si="480"/>
        <v>0.65724526837286879</v>
      </c>
      <c r="CO160" s="1374">
        <f t="shared" si="480"/>
        <v>1.2991076514144642</v>
      </c>
      <c r="CP160" s="1374">
        <f t="shared" si="480"/>
        <v>-1.0042625993156615</v>
      </c>
      <c r="CQ160" s="1374">
        <f t="shared" si="480"/>
        <v>-0.19719651673406602</v>
      </c>
      <c r="CR160" s="1310">
        <f t="shared" si="480"/>
        <v>-0.82813394821713593</v>
      </c>
      <c r="CS160" s="1374">
        <f t="shared" si="480"/>
        <v>2.451477004864832E-2</v>
      </c>
      <c r="CT160" s="1374">
        <f t="shared" si="480"/>
        <v>6.4816068098417695E-2</v>
      </c>
      <c r="CU160" s="1374">
        <f t="shared" si="480"/>
        <v>4.3399156352848398E-2</v>
      </c>
      <c r="CV160" s="1374">
        <f t="shared" si="480"/>
        <v>1.4066996523134534</v>
      </c>
      <c r="CW160" s="1310">
        <f t="shared" si="480"/>
        <v>-0.11060213656394394</v>
      </c>
      <c r="CX160" s="1374">
        <f t="shared" si="480"/>
        <v>0.29130647939023396</v>
      </c>
      <c r="CY160" s="1374">
        <f t="shared" si="480"/>
        <v>0.10197210536717588</v>
      </c>
      <c r="CZ160" s="1374">
        <f t="shared" si="480"/>
        <v>0.15960511642053304</v>
      </c>
      <c r="DA160" s="1374">
        <f t="shared" si="480"/>
        <v>-5.926884393716696</v>
      </c>
      <c r="DB160" s="1310">
        <f t="shared" si="480"/>
        <v>9.7733389961672079E-2</v>
      </c>
      <c r="DC160" s="1374">
        <f t="shared" si="480"/>
        <v>0.16439925821317819</v>
      </c>
      <c r="DD160" s="1374">
        <f t="shared" si="480"/>
        <v>-0.12217020765814433</v>
      </c>
      <c r="DE160" s="1374">
        <f t="shared" si="480"/>
        <v>-4.9315918078383314E-2</v>
      </c>
      <c r="DF160" s="1374">
        <f t="shared" si="480"/>
        <v>-3.0892801977139795E-3</v>
      </c>
      <c r="DG160" s="1310">
        <f t="shared" si="480"/>
        <v>-1.6587337936581986E-2</v>
      </c>
      <c r="DH160" s="1374">
        <f t="shared" si="480"/>
        <v>0.23288260308662587</v>
      </c>
      <c r="DI160" s="1374">
        <f t="shared" si="480"/>
        <v>0.58489807501300584</v>
      </c>
      <c r="DJ160" s="1374">
        <f t="shared" si="480"/>
        <v>0.25013730698660963</v>
      </c>
      <c r="DK160" s="1374">
        <f t="shared" si="480"/>
        <v>0.21853314930274606</v>
      </c>
      <c r="DL160" s="1310">
        <f t="shared" si="480"/>
        <v>0.27120360377741998</v>
      </c>
      <c r="DM160" s="1374">
        <f t="shared" si="480"/>
        <v>0.15758209301939724</v>
      </c>
      <c r="DN160" s="1374">
        <f t="shared" si="480"/>
        <v>0.16440280070120039</v>
      </c>
      <c r="DO160" s="1374">
        <f t="shared" si="480"/>
        <v>-0.21844516701152913</v>
      </c>
      <c r="DP160" s="1374">
        <f t="shared" si="480"/>
        <v>-4.7523130727345174E-2</v>
      </c>
      <c r="DQ160" s="1310">
        <f t="shared" si="480"/>
        <v>9.2903421361724817E-2</v>
      </c>
      <c r="DR160" s="1374">
        <f>(DR204-DM204)/(DR198-DM198)</f>
        <v>0.80311364469780144</v>
      </c>
      <c r="DS160" s="1374">
        <f t="shared" si="480"/>
        <v>2.7485090998980118E-2</v>
      </c>
      <c r="DT160" s="1374">
        <f t="shared" si="480"/>
        <v>-2.0456336178595307</v>
      </c>
      <c r="DU160" s="1374">
        <f t="shared" si="480"/>
        <v>0.72674897119338289</v>
      </c>
      <c r="DV160" s="1310">
        <f t="shared" si="480"/>
        <v>0.16674150996351178</v>
      </c>
      <c r="DW160" s="1374">
        <f t="shared" si="480"/>
        <v>4.4768811775146029E-2</v>
      </c>
      <c r="DX160" s="1374">
        <f t="shared" si="480"/>
        <v>0.2241595256760282</v>
      </c>
      <c r="DY160" s="1374">
        <f t="shared" si="480"/>
        <v>0.223313137785148</v>
      </c>
      <c r="DZ160" s="1374">
        <f t="shared" si="480"/>
        <v>0.30024359067119955</v>
      </c>
      <c r="EA160" s="1310">
        <f t="shared" si="480"/>
        <v>0.22523315890872805</v>
      </c>
      <c r="EB160" s="1374">
        <f t="shared" si="480"/>
        <v>5.5705128205128744</v>
      </c>
      <c r="EC160" s="1374">
        <f>(EC204-DX204)/(EC198-DX198)</f>
        <v>0.21654493734143176</v>
      </c>
      <c r="ED160" s="1374">
        <f t="shared" si="480"/>
        <v>4.3672907144198872E-2</v>
      </c>
      <c r="EE160" s="1374">
        <f t="shared" si="480"/>
        <v>-0.16712034945102547</v>
      </c>
      <c r="EF160" s="1310">
        <f t="shared" si="480"/>
        <v>-6.9334200774019916E-2</v>
      </c>
      <c r="EG160" s="1015"/>
      <c r="EH160" s="1016"/>
      <c r="EI160" s="1016"/>
      <c r="EJ160" s="1017"/>
      <c r="EK160" s="1310">
        <f>(EK204-EF204)/(EK198-EF198)</f>
        <v>-6.868080612989326E-2</v>
      </c>
      <c r="EL160" s="1015"/>
      <c r="EM160" s="1016"/>
      <c r="EN160" s="1016"/>
      <c r="EO160" s="1017"/>
      <c r="EP160" s="1310">
        <f>(EP204-EK204)/(EP198-EK198)</f>
        <v>0.35627857314859657</v>
      </c>
      <c r="EQ160" s="1015"/>
      <c r="ER160" s="1016"/>
      <c r="ES160" s="1016"/>
      <c r="ET160" s="1017"/>
      <c r="EU160" s="1310">
        <f>(EU204-EP204)/(EU198-EP198)</f>
        <v>0.42889663214895235</v>
      </c>
      <c r="EV160" s="1015"/>
      <c r="EW160" s="1016"/>
      <c r="EX160" s="1016"/>
      <c r="EY160" s="1017"/>
      <c r="EZ160" s="1310">
        <f>(EZ204-EU204)/(EZ198-EU198)</f>
        <v>0.21672184260015862</v>
      </c>
      <c r="FA160" s="1015"/>
      <c r="FB160" s="1016"/>
      <c r="FC160" s="1016"/>
      <c r="FD160" s="1017"/>
      <c r="FE160" s="1310">
        <f>(FE204-EZ204)/(FE198-EZ198)</f>
        <v>0.21765443455892727</v>
      </c>
      <c r="FF160" s="721"/>
      <c r="FG160" s="690"/>
      <c r="FH160" s="754"/>
      <c r="FI160" s="754"/>
      <c r="FJ160" s="754"/>
      <c r="FK160" s="754"/>
      <c r="FL160" s="690"/>
      <c r="FM160" s="708"/>
      <c r="FN160" s="708"/>
      <c r="FO160" s="723"/>
      <c r="FP160" s="723"/>
      <c r="FQ160" s="723"/>
      <c r="FR160" s="723"/>
      <c r="FS160" s="723"/>
      <c r="FT160" s="723"/>
      <c r="FU160" s="690"/>
      <c r="FV160"/>
      <c r="FW160"/>
      <c r="FX160"/>
      <c r="FY160"/>
      <c r="FZ160"/>
      <c r="GA160"/>
      <c r="GB160" s="961"/>
      <c r="GC160" s="535"/>
      <c r="GD160" s="535"/>
      <c r="GE160" s="535"/>
      <c r="GF160" s="535"/>
      <c r="GG160" s="535"/>
      <c r="GH160" s="535"/>
      <c r="GI160" s="535"/>
      <c r="GJ160" s="535"/>
      <c r="GK160" s="535"/>
      <c r="GL160" s="535"/>
      <c r="GM160" s="535"/>
      <c r="GN160" s="535"/>
      <c r="GO160" s="535"/>
      <c r="GP160" s="535"/>
      <c r="GQ160" s="535"/>
      <c r="GR160" s="535"/>
      <c r="GS160" s="535"/>
      <c r="GT160" s="535"/>
      <c r="GU160" s="535"/>
      <c r="GV160" s="535"/>
      <c r="GW160" s="535"/>
      <c r="GX160" s="535"/>
      <c r="GY160" s="535"/>
      <c r="GZ160" s="535"/>
      <c r="HA160" s="535"/>
      <c r="HB160" s="535"/>
      <c r="HC160" s="535"/>
      <c r="HD160" s="535"/>
      <c r="HE160" s="535"/>
      <c r="HF160" s="535"/>
      <c r="HG160" s="535"/>
      <c r="HH160" s="535"/>
      <c r="HI160" s="535"/>
      <c r="HJ160" s="535"/>
      <c r="HK160" s="535"/>
      <c r="HL160" s="535"/>
      <c r="HM160" s="535"/>
      <c r="HN160" s="535"/>
      <c r="HO160" s="535"/>
      <c r="HP160" s="535"/>
      <c r="HQ160" s="535"/>
      <c r="HR160" s="535"/>
      <c r="HS160" s="535"/>
      <c r="HT160" s="535"/>
      <c r="HU160" s="535"/>
      <c r="HV160" s="535"/>
      <c r="HW160" s="535"/>
      <c r="HX160" s="535"/>
      <c r="HY160" s="535"/>
      <c r="HZ160" s="535"/>
      <c r="IA160" s="535"/>
      <c r="IB160" s="535"/>
      <c r="IC160" s="535"/>
      <c r="ID160" s="535"/>
      <c r="IE160" s="535"/>
      <c r="IF160" s="535"/>
      <c r="IG160" s="535"/>
      <c r="IH160" s="535"/>
      <c r="II160" s="535"/>
      <c r="IJ160" s="535"/>
      <c r="IK160" s="535"/>
      <c r="IL160" s="535"/>
      <c r="IM160" s="535"/>
      <c r="IN160" s="535"/>
      <c r="IO160" s="535"/>
      <c r="IP160" s="535"/>
      <c r="IQ160" s="535"/>
      <c r="IR160" s="535"/>
      <c r="IS160" s="535"/>
      <c r="IT160" s="535"/>
      <c r="IU160" s="535"/>
      <c r="IV160" s="535"/>
      <c r="IW160" s="535"/>
      <c r="IX160" s="535"/>
      <c r="IY160" s="535"/>
      <c r="IZ160" s="535"/>
      <c r="JA160" s="535"/>
      <c r="JB160" s="535"/>
      <c r="JC160" s="535"/>
      <c r="JD160" s="535"/>
      <c r="JE160" s="535"/>
      <c r="JF160" s="535"/>
      <c r="JG160" s="535"/>
      <c r="JH160" s="535"/>
      <c r="JI160" s="535"/>
      <c r="JJ160" s="535"/>
      <c r="JK160" s="535"/>
      <c r="JL160" s="535"/>
    </row>
    <row r="161" spans="1:272" s="1387" customFormat="1" ht="12.75" customHeight="1">
      <c r="A161" s="1385" t="s">
        <v>367</v>
      </c>
      <c r="B161" s="1341"/>
      <c r="C161" s="1341"/>
      <c r="D161" s="1341"/>
      <c r="E161" s="1341"/>
      <c r="F161" s="1342"/>
      <c r="G161" s="1343"/>
      <c r="H161" s="1343"/>
      <c r="I161" s="1343"/>
      <c r="J161" s="1343"/>
      <c r="K161" s="1342"/>
      <c r="L161" s="1343"/>
      <c r="M161" s="1343"/>
      <c r="N161" s="1343"/>
      <c r="O161" s="1343"/>
      <c r="P161" s="1342"/>
      <c r="Q161" s="1343"/>
      <c r="R161" s="1343"/>
      <c r="S161" s="1343"/>
      <c r="T161" s="1343"/>
      <c r="U161" s="1342"/>
      <c r="V161" s="1343"/>
      <c r="W161" s="1343"/>
      <c r="X161" s="1343"/>
      <c r="Y161" s="1343"/>
      <c r="Z161" s="1342"/>
      <c r="AA161" s="1343"/>
      <c r="AB161" s="1343"/>
      <c r="AC161" s="1343"/>
      <c r="AD161" s="1343"/>
      <c r="AE161" s="1342"/>
      <c r="AF161" s="1343"/>
      <c r="AG161" s="1343"/>
      <c r="AH161" s="1343"/>
      <c r="AI161" s="1343"/>
      <c r="AJ161" s="1342"/>
      <c r="AK161" s="1343"/>
      <c r="AL161" s="1343"/>
      <c r="AM161" s="1343"/>
      <c r="AN161" s="1343"/>
      <c r="AO161" s="1342"/>
      <c r="AP161" s="1343"/>
      <c r="AQ161" s="1343"/>
      <c r="AR161" s="1343"/>
      <c r="AS161" s="1343"/>
      <c r="AT161" s="1342"/>
      <c r="AU161" s="1343"/>
      <c r="AV161" s="1343"/>
      <c r="AW161" s="1343"/>
      <c r="AX161" s="1343"/>
      <c r="AY161" s="1342"/>
      <c r="AZ161" s="1343"/>
      <c r="BA161" s="1343"/>
      <c r="BB161" s="1343"/>
      <c r="BC161" s="1343"/>
      <c r="BD161" s="1342"/>
      <c r="BE161" s="1343"/>
      <c r="BF161" s="1343"/>
      <c r="BG161" s="1343"/>
      <c r="BH161" s="1343"/>
      <c r="BI161" s="1342"/>
      <c r="BJ161" s="1343"/>
      <c r="BK161" s="1343"/>
      <c r="BL161" s="1343"/>
      <c r="BM161" s="1343"/>
      <c r="BN161" s="1342"/>
      <c r="BO161" s="1343"/>
      <c r="BP161" s="1343"/>
      <c r="BQ161" s="1343"/>
      <c r="BR161" s="1343"/>
      <c r="BS161" s="1342"/>
      <c r="BT161" s="1343">
        <f t="shared" ref="BT161:EE161" si="481">BT207/BT198</f>
        <v>5.6114026119714736E-2</v>
      </c>
      <c r="BU161" s="1343">
        <f t="shared" si="481"/>
        <v>6.204831060226957E-2</v>
      </c>
      <c r="BV161" s="1343">
        <f t="shared" si="481"/>
        <v>7.4953904414159389E-2</v>
      </c>
      <c r="BW161" s="1343">
        <f t="shared" si="481"/>
        <v>7.4529188483272987E-2</v>
      </c>
      <c r="BX161" s="1342">
        <f t="shared" si="481"/>
        <v>9.8904981680659795E-2</v>
      </c>
      <c r="BY161" s="1343">
        <f t="shared" si="481"/>
        <v>9.6552095292766996E-2</v>
      </c>
      <c r="BZ161" s="1343">
        <f t="shared" si="481"/>
        <v>0.10538723679805953</v>
      </c>
      <c r="CA161" s="1343">
        <f t="shared" si="481"/>
        <v>0.10849112691422716</v>
      </c>
      <c r="CB161" s="1343">
        <f t="shared" si="481"/>
        <v>0.10079924243617241</v>
      </c>
      <c r="CC161" s="1342">
        <f t="shared" si="481"/>
        <v>0.10298685495183359</v>
      </c>
      <c r="CD161" s="1343">
        <f t="shared" si="481"/>
        <v>0.10722374531715109</v>
      </c>
      <c r="CE161" s="1343">
        <f t="shared" si="481"/>
        <v>0.12851947746839407</v>
      </c>
      <c r="CF161" s="1343">
        <f t="shared" si="481"/>
        <v>0.12271118172504768</v>
      </c>
      <c r="CG161" s="1343">
        <f t="shared" si="481"/>
        <v>0.11191219768370826</v>
      </c>
      <c r="CH161" s="1342">
        <f t="shared" si="481"/>
        <v>0.12126786658000398</v>
      </c>
      <c r="CI161" s="1343">
        <f t="shared" si="481"/>
        <v>0.10831822805528148</v>
      </c>
      <c r="CJ161" s="1343">
        <f t="shared" si="481"/>
        <v>0.13369186183925849</v>
      </c>
      <c r="CK161" s="1343">
        <f t="shared" si="481"/>
        <v>0.12877052247988729</v>
      </c>
      <c r="CL161" s="1343">
        <f t="shared" si="481"/>
        <v>0.14672645542329618</v>
      </c>
      <c r="CM161" s="1342">
        <f t="shared" si="481"/>
        <v>0.12923293690029883</v>
      </c>
      <c r="CN161" s="1343">
        <f t="shared" si="481"/>
        <v>8.5994585862375544E-2</v>
      </c>
      <c r="CO161" s="1343">
        <f t="shared" si="481"/>
        <v>0.10681399288639375</v>
      </c>
      <c r="CP161" s="1343">
        <f t="shared" si="481"/>
        <v>9.9549803697134759E-2</v>
      </c>
      <c r="CQ161" s="1343">
        <f t="shared" si="481"/>
        <v>0.10006899068625735</v>
      </c>
      <c r="CR161" s="1342">
        <f t="shared" si="481"/>
        <v>9.8373214160761238E-2</v>
      </c>
      <c r="CS161" s="1343">
        <f t="shared" si="481"/>
        <v>8.7580446095602352E-2</v>
      </c>
      <c r="CT161" s="1343">
        <f t="shared" si="481"/>
        <v>0.10960860202211715</v>
      </c>
      <c r="CU161" s="1343">
        <f t="shared" si="481"/>
        <v>9.6137775705040743E-2</v>
      </c>
      <c r="CV161" s="1343">
        <f t="shared" si="481"/>
        <v>1.516996006689285E-2</v>
      </c>
      <c r="CW161" s="1342">
        <f t="shared" si="481"/>
        <v>7.9588557614858821E-2</v>
      </c>
      <c r="CX161" s="1343">
        <f t="shared" si="481"/>
        <v>3.5923616620903667E-2</v>
      </c>
      <c r="CY161" s="1343">
        <f t="shared" si="481"/>
        <v>0.10870057074805008</v>
      </c>
      <c r="CZ161" s="1343">
        <f t="shared" si="481"/>
        <v>7.8101992075458732E-2</v>
      </c>
      <c r="DA161" s="1343">
        <f t="shared" si="481"/>
        <v>5.6731865515842375E-2</v>
      </c>
      <c r="DB161" s="1342">
        <f t="shared" si="481"/>
        <v>7.2615986127738466E-2</v>
      </c>
      <c r="DC161" s="1343">
        <f t="shared" si="481"/>
        <v>5.3554876406196342E-2</v>
      </c>
      <c r="DD161" s="1343">
        <f t="shared" si="481"/>
        <v>6.3823288265839273E-2</v>
      </c>
      <c r="DE161" s="1343">
        <f t="shared" si="481"/>
        <v>6.6887807372814245E-2</v>
      </c>
      <c r="DF161" s="1343">
        <f t="shared" si="481"/>
        <v>5.4343822689209266E-2</v>
      </c>
      <c r="DG161" s="1342">
        <f t="shared" si="481"/>
        <v>6.0335557712399471E-2</v>
      </c>
      <c r="DH161" s="1343">
        <f t="shared" si="481"/>
        <v>6.9852371536583566E-2</v>
      </c>
      <c r="DI161" s="1343">
        <f t="shared" si="481"/>
        <v>8.2091937334127271E-2</v>
      </c>
      <c r="DJ161" s="1343">
        <f t="shared" si="481"/>
        <v>8.1289046359279873E-2</v>
      </c>
      <c r="DK161" s="1343">
        <f t="shared" si="481"/>
        <v>6.8947552813456908E-2</v>
      </c>
      <c r="DL161" s="1342">
        <f t="shared" si="481"/>
        <v>7.5724164605042443E-2</v>
      </c>
      <c r="DM161" s="1343">
        <f t="shared" si="481"/>
        <v>7.8711074317009494E-2</v>
      </c>
      <c r="DN161" s="1343">
        <f t="shared" si="481"/>
        <v>8.9651032849824633E-2</v>
      </c>
      <c r="DO161" s="1343">
        <f>DO207/DO198</f>
        <v>7.8779984232038316E-2</v>
      </c>
      <c r="DP161" s="1343">
        <f>DP207/DP198</f>
        <v>6.8424842141074402E-2</v>
      </c>
      <c r="DQ161" s="1342">
        <f t="shared" si="481"/>
        <v>7.9049382410739583E-2</v>
      </c>
      <c r="DR161" s="1343">
        <f t="shared" si="481"/>
        <v>6.5506180379055257E-2</v>
      </c>
      <c r="DS161" s="1343">
        <f t="shared" si="481"/>
        <v>9.5309728747547756E-2</v>
      </c>
      <c r="DT161" s="1343">
        <f t="shared" si="481"/>
        <v>9.0546565466470108E-2</v>
      </c>
      <c r="DU161" s="1343">
        <f t="shared" si="481"/>
        <v>6.7798594934014633E-2</v>
      </c>
      <c r="DV161" s="1342">
        <f t="shared" si="481"/>
        <v>7.9992604171919404E-2</v>
      </c>
      <c r="DW161" s="1343">
        <f t="shared" si="481"/>
        <v>6.7701701363852534E-2</v>
      </c>
      <c r="DX161" s="1343">
        <f t="shared" si="481"/>
        <v>0.107312699643314</v>
      </c>
      <c r="DY161" s="1343">
        <f t="shared" si="481"/>
        <v>0.10120200777847954</v>
      </c>
      <c r="DZ161" s="1343">
        <f t="shared" si="481"/>
        <v>8.3033773921082896E-2</v>
      </c>
      <c r="EA161" s="1342">
        <f t="shared" si="481"/>
        <v>9.0366304637440581E-2</v>
      </c>
      <c r="EB161" s="1343">
        <f t="shared" si="481"/>
        <v>8.2344394727312337E-2</v>
      </c>
      <c r="EC161" s="1343">
        <f>EC207/EC198</f>
        <v>0.10154878323900697</v>
      </c>
      <c r="ED161" s="1343">
        <f t="shared" ref="ED161" si="482">ED207/ED198</f>
        <v>8.8253839315384802E-2</v>
      </c>
      <c r="EE161" s="1343">
        <f t="shared" si="481"/>
        <v>9.4354632833236793E-2</v>
      </c>
      <c r="EF161" s="1342">
        <f t="shared" ref="EF161:EJ161" si="483">EF207/EF198</f>
        <v>9.1689075314620949E-2</v>
      </c>
      <c r="EG161" s="2308"/>
      <c r="EH161" s="2309">
        <f t="shared" si="483"/>
        <v>0.19965811965811964</v>
      </c>
      <c r="EI161" s="2309">
        <f t="shared" si="483"/>
        <v>0.18087153367289191</v>
      </c>
      <c r="EJ161" s="2310">
        <f t="shared" si="483"/>
        <v>0.15788240805809325</v>
      </c>
      <c r="EK161" s="1342">
        <f>EK207/EK198</f>
        <v>0.16753258061707255</v>
      </c>
      <c r="EL161" s="2308">
        <f>EL207/EL198</f>
        <v>0.17322565969062784</v>
      </c>
      <c r="EM161" s="2309">
        <f t="shared" ref="EM161:ET161" si="484">EM207/EM198</f>
        <v>0.21646760384737343</v>
      </c>
      <c r="EN161" s="2309">
        <f t="shared" si="484"/>
        <v>0.18675282714054928</v>
      </c>
      <c r="EO161" s="2310">
        <f>EO207/EO198</f>
        <v>0.16294793779580799</v>
      </c>
      <c r="EP161" s="1342">
        <f>EP207/EP198</f>
        <v>0.18540591013951443</v>
      </c>
      <c r="EQ161" s="2308">
        <f t="shared" si="484"/>
        <v>0.1734897073095929</v>
      </c>
      <c r="ER161" s="2309">
        <f t="shared" si="484"/>
        <v>0.21068978913376935</v>
      </c>
      <c r="ES161" s="2309">
        <f t="shared" si="484"/>
        <v>0.21258013234790718</v>
      </c>
      <c r="ET161" s="2310">
        <f t="shared" si="484"/>
        <v>0.19901771192531625</v>
      </c>
      <c r="EU161" s="1342">
        <f>EU207/EU198</f>
        <v>0.19936363900090581</v>
      </c>
      <c r="EV161" s="2308">
        <f t="shared" ref="EV161:EY161" si="485">EV207/EV198</f>
        <v>0.21170730275695637</v>
      </c>
      <c r="EW161" s="2309">
        <f t="shared" si="485"/>
        <v>0.21874906659316554</v>
      </c>
      <c r="EX161" s="2309">
        <f t="shared" si="485"/>
        <v>0.21196421875763394</v>
      </c>
      <c r="EY161" s="2310">
        <f t="shared" si="485"/>
        <v>0.19253580292492198</v>
      </c>
      <c r="EZ161" s="1342">
        <f>EZ207/EZ198</f>
        <v>0.20255943231283127</v>
      </c>
      <c r="FA161" s="2308">
        <f t="shared" ref="FA161:FD161" si="486">FA207/FA198</f>
        <v>-2.9950000000000001</v>
      </c>
      <c r="FB161" s="2309">
        <f t="shared" si="486"/>
        <v>-2.9609999999999999</v>
      </c>
      <c r="FC161" s="2309">
        <f t="shared" si="486"/>
        <v>-2.9929999999999999</v>
      </c>
      <c r="FD161" s="2310">
        <f t="shared" si="486"/>
        <v>-3.0149999999999997</v>
      </c>
      <c r="FE161" s="1342">
        <f>FE207/FE198</f>
        <v>0.20555668629682675</v>
      </c>
      <c r="FF161" s="1312"/>
      <c r="FG161" s="690"/>
      <c r="FH161" s="754"/>
      <c r="FI161" s="754"/>
      <c r="FJ161" s="754"/>
      <c r="FK161" s="754"/>
      <c r="FL161" s="690"/>
      <c r="FM161" s="708"/>
      <c r="FN161" s="708"/>
      <c r="FO161" s="1314"/>
      <c r="FP161" s="1314"/>
      <c r="FQ161" s="1314"/>
      <c r="FR161" s="1314"/>
      <c r="FS161" s="1314"/>
      <c r="FT161" s="1314"/>
      <c r="FU161" s="690"/>
      <c r="FV161"/>
      <c r="FW161"/>
      <c r="FX161"/>
      <c r="FY161"/>
      <c r="FZ161"/>
      <c r="GA161"/>
      <c r="GB161" s="1315"/>
      <c r="GC161" s="1386"/>
      <c r="GD161" s="1386"/>
      <c r="GE161" s="1386"/>
      <c r="GF161" s="1386"/>
      <c r="GG161" s="1386"/>
      <c r="GH161" s="1386"/>
      <c r="GI161" s="1386"/>
      <c r="GJ161" s="1386"/>
      <c r="GK161" s="1386"/>
      <c r="GL161" s="1386"/>
      <c r="GM161" s="1386"/>
      <c r="GN161" s="1386"/>
      <c r="GO161" s="1386"/>
      <c r="GP161" s="1386"/>
      <c r="GQ161" s="1386"/>
      <c r="GR161" s="1386"/>
      <c r="GS161" s="1386"/>
      <c r="GT161" s="1386"/>
      <c r="GU161" s="1386"/>
      <c r="GV161" s="1386"/>
      <c r="GW161" s="1386"/>
      <c r="GX161" s="1386"/>
      <c r="GY161" s="1386"/>
      <c r="GZ161" s="1386"/>
      <c r="HA161" s="1386"/>
      <c r="HB161" s="1386"/>
      <c r="HC161" s="1386"/>
      <c r="HD161" s="1386"/>
      <c r="HE161" s="1386"/>
      <c r="HF161" s="1386"/>
      <c r="HG161" s="1386"/>
      <c r="HH161" s="1386"/>
      <c r="HI161" s="1386"/>
      <c r="HJ161" s="1386"/>
      <c r="HK161" s="1386"/>
      <c r="HL161" s="1386"/>
      <c r="HM161" s="1386"/>
      <c r="HN161" s="1386"/>
      <c r="HO161" s="1386"/>
      <c r="HP161" s="1386"/>
      <c r="HQ161" s="1386"/>
      <c r="HR161" s="1386"/>
      <c r="HS161" s="1386"/>
      <c r="HT161" s="1386"/>
      <c r="HU161" s="1386"/>
      <c r="HV161" s="1386"/>
      <c r="HW161" s="1386"/>
      <c r="HX161" s="1386"/>
      <c r="HY161" s="1386"/>
      <c r="HZ161" s="1386"/>
      <c r="IA161" s="1386"/>
      <c r="IB161" s="1386"/>
      <c r="IC161" s="1386"/>
      <c r="ID161" s="1386"/>
      <c r="IE161" s="1386"/>
      <c r="IF161" s="1386"/>
      <c r="IG161" s="1386"/>
      <c r="IH161" s="1386"/>
      <c r="II161" s="1386"/>
      <c r="IJ161" s="1386"/>
      <c r="IK161" s="1386"/>
      <c r="IL161" s="1386"/>
      <c r="IM161" s="1386"/>
      <c r="IN161" s="1386"/>
      <c r="IO161" s="1386"/>
      <c r="IP161" s="1386"/>
      <c r="IQ161" s="1386"/>
      <c r="IR161" s="1386"/>
      <c r="IS161" s="1386"/>
      <c r="IT161" s="1386"/>
      <c r="IU161" s="1386"/>
      <c r="IV161" s="1386"/>
      <c r="IW161" s="1386"/>
      <c r="IX161" s="1386"/>
      <c r="IY161" s="1386"/>
      <c r="IZ161" s="1386"/>
      <c r="JA161" s="1386"/>
      <c r="JB161" s="1386"/>
      <c r="JC161" s="1386"/>
      <c r="JD161" s="1386"/>
      <c r="JE161" s="1386"/>
      <c r="JF161" s="1386"/>
      <c r="JG161" s="1386"/>
      <c r="JH161" s="1386"/>
      <c r="JI161" s="1386"/>
      <c r="JJ161" s="1386"/>
      <c r="JK161" s="1386"/>
      <c r="JL161" s="1386"/>
    </row>
    <row r="162" spans="1:272" s="726" customFormat="1" ht="12.75" customHeight="1">
      <c r="A162" s="1291" t="s">
        <v>86</v>
      </c>
      <c r="B162" s="1292"/>
      <c r="C162" s="1016"/>
      <c r="D162" s="1016"/>
      <c r="E162" s="1016"/>
      <c r="F162" s="808"/>
      <c r="G162" s="1149"/>
      <c r="H162" s="1149"/>
      <c r="I162" s="1149"/>
      <c r="J162" s="1149"/>
      <c r="K162" s="808"/>
      <c r="L162" s="1149"/>
      <c r="M162" s="1149"/>
      <c r="N162" s="1149"/>
      <c r="O162" s="1149"/>
      <c r="P162" s="808"/>
      <c r="Q162" s="1149"/>
      <c r="R162" s="1149"/>
      <c r="S162" s="1149"/>
      <c r="T162" s="1149"/>
      <c r="U162" s="808"/>
      <c r="V162" s="1149"/>
      <c r="W162" s="1149"/>
      <c r="X162" s="1149"/>
      <c r="Y162" s="1149"/>
      <c r="Z162" s="808"/>
      <c r="AA162" s="1149"/>
      <c r="AB162" s="1149"/>
      <c r="AC162" s="1149"/>
      <c r="AD162" s="1149"/>
      <c r="AE162" s="808"/>
      <c r="AF162" s="1149"/>
      <c r="AG162" s="1149"/>
      <c r="AH162" s="1149"/>
      <c r="AI162" s="1149"/>
      <c r="AJ162" s="808"/>
      <c r="AK162" s="1149"/>
      <c r="AL162" s="1149"/>
      <c r="AM162" s="1149"/>
      <c r="AN162" s="1149"/>
      <c r="AO162" s="808"/>
      <c r="AP162" s="1149"/>
      <c r="AQ162" s="1149"/>
      <c r="AR162" s="1149"/>
      <c r="AS162" s="1149"/>
      <c r="AT162" s="808"/>
      <c r="AU162" s="1149"/>
      <c r="AV162" s="1149"/>
      <c r="AW162" s="1149"/>
      <c r="AX162" s="1149"/>
      <c r="AY162" s="808"/>
      <c r="AZ162" s="1149"/>
      <c r="BA162" s="1149"/>
      <c r="BB162" s="1149"/>
      <c r="BC162" s="1149"/>
      <c r="BD162" s="808"/>
      <c r="BE162" s="1149"/>
      <c r="BF162" s="1149"/>
      <c r="BG162" s="1149"/>
      <c r="BH162" s="1149"/>
      <c r="BI162" s="808"/>
      <c r="BJ162" s="1149"/>
      <c r="BK162" s="1149"/>
      <c r="BL162" s="1149"/>
      <c r="BM162" s="1149"/>
      <c r="BN162" s="808"/>
      <c r="BO162" s="1149"/>
      <c r="BP162" s="1149"/>
      <c r="BQ162" s="1149"/>
      <c r="BR162" s="1149"/>
      <c r="BS162" s="808"/>
      <c r="BT162" s="1293">
        <f t="shared" ref="BT162:EE162" si="487">(BT161-BO161)*100</f>
        <v>5.6114026119714735</v>
      </c>
      <c r="BU162" s="1293">
        <f t="shared" si="487"/>
        <v>6.2048310602269572</v>
      </c>
      <c r="BV162" s="1293">
        <f t="shared" si="487"/>
        <v>7.4953904414159389</v>
      </c>
      <c r="BW162" s="1293">
        <f t="shared" si="487"/>
        <v>7.4529188483272986</v>
      </c>
      <c r="BX162" s="1154">
        <f t="shared" si="487"/>
        <v>9.8904981680659798</v>
      </c>
      <c r="BY162" s="1293">
        <f t="shared" si="487"/>
        <v>4.0438069173052256</v>
      </c>
      <c r="BZ162" s="1293">
        <f t="shared" si="487"/>
        <v>4.3338926195789957</v>
      </c>
      <c r="CA162" s="1293">
        <f t="shared" si="487"/>
        <v>3.3537222500067769</v>
      </c>
      <c r="CB162" s="1293">
        <f t="shared" si="487"/>
        <v>2.6270053952899426</v>
      </c>
      <c r="CC162" s="1154">
        <f t="shared" si="487"/>
        <v>0.40818732711737915</v>
      </c>
      <c r="CD162" s="1293">
        <f t="shared" si="487"/>
        <v>1.0671650024384096</v>
      </c>
      <c r="CE162" s="1293">
        <f t="shared" si="487"/>
        <v>2.3132240670334534</v>
      </c>
      <c r="CF162" s="1293">
        <f t="shared" si="487"/>
        <v>1.4220054810820517</v>
      </c>
      <c r="CG162" s="1293">
        <f t="shared" si="487"/>
        <v>1.1112955247535847</v>
      </c>
      <c r="CH162" s="1154">
        <f t="shared" si="487"/>
        <v>1.8281011628170392</v>
      </c>
      <c r="CI162" s="1293">
        <f t="shared" si="487"/>
        <v>0.1094482738130384</v>
      </c>
      <c r="CJ162" s="1293">
        <f t="shared" si="487"/>
        <v>0.51723843708644246</v>
      </c>
      <c r="CK162" s="1293">
        <f t="shared" si="487"/>
        <v>0.60593407548396172</v>
      </c>
      <c r="CL162" s="1293">
        <f t="shared" si="487"/>
        <v>3.4814257739587919</v>
      </c>
      <c r="CM162" s="1154">
        <f t="shared" si="487"/>
        <v>0.79650703202948514</v>
      </c>
      <c r="CN162" s="1293">
        <f t="shared" si="487"/>
        <v>-2.2323642192905933</v>
      </c>
      <c r="CO162" s="1293">
        <f t="shared" si="487"/>
        <v>-2.6877868952864743</v>
      </c>
      <c r="CP162" s="1293">
        <f t="shared" si="487"/>
        <v>-2.9220718782752537</v>
      </c>
      <c r="CQ162" s="1293">
        <f t="shared" si="487"/>
        <v>-4.6657464737038827</v>
      </c>
      <c r="CR162" s="1154">
        <f t="shared" si="487"/>
        <v>-3.0859722739537592</v>
      </c>
      <c r="CS162" s="1293">
        <f t="shared" si="487"/>
        <v>0.15858602332268074</v>
      </c>
      <c r="CT162" s="1293">
        <f t="shared" si="487"/>
        <v>0.27946091357234082</v>
      </c>
      <c r="CU162" s="1293">
        <f t="shared" si="487"/>
        <v>-0.34120279920940161</v>
      </c>
      <c r="CV162" s="1293">
        <f t="shared" si="487"/>
        <v>-8.4899030619364506</v>
      </c>
      <c r="CW162" s="1154">
        <f t="shared" si="487"/>
        <v>-1.8784656545902418</v>
      </c>
      <c r="CX162" s="1293">
        <f t="shared" si="487"/>
        <v>-5.1656829474698682</v>
      </c>
      <c r="CY162" s="1293">
        <f t="shared" si="487"/>
        <v>-9.0803127406707818E-2</v>
      </c>
      <c r="CZ162" s="1293">
        <f t="shared" si="487"/>
        <v>-1.8035783629582012</v>
      </c>
      <c r="DA162" s="1293">
        <f t="shared" si="487"/>
        <v>4.1561905448949528</v>
      </c>
      <c r="DB162" s="1154">
        <f t="shared" si="487"/>
        <v>-0.69725714871203548</v>
      </c>
      <c r="DC162" s="1293">
        <f t="shared" si="487"/>
        <v>1.7631259785292674</v>
      </c>
      <c r="DD162" s="1293">
        <f t="shared" si="487"/>
        <v>-4.4877282482210807</v>
      </c>
      <c r="DE162" s="1293">
        <f t="shared" si="487"/>
        <v>-1.1214184702644485</v>
      </c>
      <c r="DF162" s="1293">
        <f t="shared" si="487"/>
        <v>-0.23880428266331091</v>
      </c>
      <c r="DG162" s="1154">
        <f t="shared" si="487"/>
        <v>-1.2280428415338995</v>
      </c>
      <c r="DH162" s="1293">
        <f t="shared" si="487"/>
        <v>1.6297495130387225</v>
      </c>
      <c r="DI162" s="1293">
        <f t="shared" si="487"/>
        <v>1.8268649068287999</v>
      </c>
      <c r="DJ162" s="1293">
        <f t="shared" si="487"/>
        <v>1.4401238986465628</v>
      </c>
      <c r="DK162" s="1293">
        <f t="shared" si="487"/>
        <v>1.4603730124247642</v>
      </c>
      <c r="DL162" s="1154">
        <f t="shared" si="487"/>
        <v>1.5388606892642973</v>
      </c>
      <c r="DM162" s="1293">
        <f t="shared" si="487"/>
        <v>0.88587027804259288</v>
      </c>
      <c r="DN162" s="1293">
        <f t="shared" si="487"/>
        <v>0.75590955156973616</v>
      </c>
      <c r="DO162" s="1293">
        <f t="shared" si="487"/>
        <v>-0.2509062127241557</v>
      </c>
      <c r="DP162" s="1293">
        <f t="shared" si="487"/>
        <v>-5.2271067238250646E-2</v>
      </c>
      <c r="DQ162" s="1154">
        <f t="shared" si="487"/>
        <v>0.33252178056971393</v>
      </c>
      <c r="DR162" s="1355">
        <f>(DR161-DM161)*100</f>
        <v>-1.3204893937954236</v>
      </c>
      <c r="DS162" s="1293">
        <f t="shared" si="487"/>
        <v>0.56586958977231228</v>
      </c>
      <c r="DT162" s="1293">
        <f t="shared" si="487"/>
        <v>1.1766581234431792</v>
      </c>
      <c r="DU162" s="1293">
        <f t="shared" si="487"/>
        <v>-6.2624720705976855E-2</v>
      </c>
      <c r="DV162" s="1154">
        <f t="shared" si="487"/>
        <v>9.4322176117982159E-2</v>
      </c>
      <c r="DW162" s="1355">
        <f t="shared" si="487"/>
        <v>0.21955209847972779</v>
      </c>
      <c r="DX162" s="1293">
        <f t="shared" si="487"/>
        <v>1.2002970895766241</v>
      </c>
      <c r="DY162" s="1293">
        <f t="shared" si="487"/>
        <v>1.0655442312009433</v>
      </c>
      <c r="DZ162" s="1293">
        <f t="shared" si="487"/>
        <v>1.5235178987068263</v>
      </c>
      <c r="EA162" s="1154">
        <f t="shared" si="487"/>
        <v>1.0373700465521176</v>
      </c>
      <c r="EB162" s="1355">
        <f t="shared" si="487"/>
        <v>1.4642693363459802</v>
      </c>
      <c r="EC162" s="1293">
        <f>(EC161-DX161)*100</f>
        <v>-0.57639164043070257</v>
      </c>
      <c r="ED162" s="1293">
        <f t="shared" si="487"/>
        <v>-1.294816846309474</v>
      </c>
      <c r="EE162" s="1293">
        <f t="shared" si="487"/>
        <v>1.1320858912153897</v>
      </c>
      <c r="EF162" s="1154">
        <f t="shared" ref="EF162" si="488">(EF161-EA161)*100</f>
        <v>0.13227706771803682</v>
      </c>
      <c r="EG162" s="1015"/>
      <c r="EH162" s="1016"/>
      <c r="EI162" s="1016"/>
      <c r="EJ162" s="1017"/>
      <c r="EK162" s="1154">
        <f>(EK161-EF161)*100</f>
        <v>7.5843505302451595</v>
      </c>
      <c r="EL162" s="1015"/>
      <c r="EM162" s="1016"/>
      <c r="EN162" s="1016"/>
      <c r="EO162" s="1017"/>
      <c r="EP162" s="1154">
        <f>(EP161-EK161)*100</f>
        <v>1.787332952244189</v>
      </c>
      <c r="EQ162" s="1015"/>
      <c r="ER162" s="1016"/>
      <c r="ES162" s="1016"/>
      <c r="ET162" s="1017"/>
      <c r="EU162" s="1154">
        <f>(EU161-EP161)*100</f>
        <v>1.3957728861391376</v>
      </c>
      <c r="EV162" s="1015"/>
      <c r="EW162" s="1016"/>
      <c r="EX162" s="1016"/>
      <c r="EY162" s="1017"/>
      <c r="EZ162" s="1154">
        <f>(EZ161-EU161)*100</f>
        <v>0.319579331192546</v>
      </c>
      <c r="FA162" s="1015"/>
      <c r="FB162" s="1016"/>
      <c r="FC162" s="1016"/>
      <c r="FD162" s="1017"/>
      <c r="FE162" s="1154">
        <f>(FE161-EZ161)*100</f>
        <v>0.29972539839954737</v>
      </c>
      <c r="FF162" s="721"/>
      <c r="FG162" s="690"/>
      <c r="FH162" s="754"/>
      <c r="FI162" s="754"/>
      <c r="FJ162" s="754"/>
      <c r="FK162" s="754"/>
      <c r="FL162" s="690"/>
      <c r="FM162" s="708"/>
      <c r="FN162" s="708"/>
      <c r="FO162" s="723"/>
      <c r="FP162" s="723"/>
      <c r="FQ162" s="723"/>
      <c r="FR162" s="723"/>
      <c r="FS162" s="723"/>
      <c r="FT162" s="723"/>
      <c r="FU162" s="690"/>
      <c r="FV162"/>
      <c r="FW162"/>
      <c r="FX162"/>
      <c r="FY162"/>
      <c r="FZ162"/>
      <c r="GA162"/>
      <c r="GB162" s="961"/>
      <c r="GC162" s="535"/>
      <c r="GD162" s="535"/>
      <c r="GE162" s="535"/>
      <c r="GF162" s="535"/>
      <c r="GG162" s="535"/>
      <c r="GH162" s="535"/>
      <c r="GI162" s="535"/>
      <c r="GJ162" s="535"/>
      <c r="GK162" s="535"/>
      <c r="GL162" s="535"/>
      <c r="GM162" s="535"/>
      <c r="GN162" s="535"/>
      <c r="GO162" s="535"/>
      <c r="GP162" s="535"/>
      <c r="GQ162" s="535"/>
      <c r="GR162" s="535"/>
      <c r="GS162" s="535"/>
      <c r="GT162" s="535"/>
      <c r="GU162" s="535"/>
      <c r="GV162" s="535"/>
      <c r="GW162" s="535"/>
      <c r="GX162" s="535"/>
      <c r="GY162" s="535"/>
      <c r="GZ162" s="535"/>
      <c r="HA162" s="535"/>
      <c r="HB162" s="535"/>
      <c r="HC162" s="535"/>
      <c r="HD162" s="535"/>
      <c r="HE162" s="535"/>
      <c r="HF162" s="535"/>
      <c r="HG162" s="535"/>
      <c r="HH162" s="535"/>
      <c r="HI162" s="535"/>
      <c r="HJ162" s="535"/>
      <c r="HK162" s="535"/>
      <c r="HL162" s="535"/>
      <c r="HM162" s="535"/>
      <c r="HN162" s="535"/>
      <c r="HO162" s="535"/>
      <c r="HP162" s="535"/>
      <c r="HQ162" s="535"/>
      <c r="HR162" s="535"/>
      <c r="HS162" s="535"/>
      <c r="HT162" s="535"/>
      <c r="HU162" s="535"/>
      <c r="HV162" s="535"/>
      <c r="HW162" s="535"/>
      <c r="HX162" s="535"/>
      <c r="HY162" s="535"/>
      <c r="HZ162" s="535"/>
      <c r="IA162" s="535"/>
      <c r="IB162" s="535"/>
      <c r="IC162" s="535"/>
      <c r="ID162" s="535"/>
      <c r="IE162" s="535"/>
      <c r="IF162" s="535"/>
      <c r="IG162" s="535"/>
      <c r="IH162" s="535"/>
      <c r="II162" s="535"/>
      <c r="IJ162" s="535"/>
      <c r="IK162" s="535"/>
      <c r="IL162" s="535"/>
      <c r="IM162" s="535"/>
      <c r="IN162" s="535"/>
      <c r="IO162" s="535"/>
      <c r="IP162" s="535"/>
      <c r="IQ162" s="535"/>
      <c r="IR162" s="535"/>
      <c r="IS162" s="535"/>
      <c r="IT162" s="535"/>
      <c r="IU162" s="535"/>
      <c r="IV162" s="535"/>
      <c r="IW162" s="535"/>
      <c r="IX162" s="535"/>
      <c r="IY162" s="535"/>
      <c r="IZ162" s="535"/>
      <c r="JA162" s="535"/>
      <c r="JB162" s="535"/>
      <c r="JC162" s="535"/>
      <c r="JD162" s="535"/>
      <c r="JE162" s="535"/>
      <c r="JF162" s="535"/>
      <c r="JG162" s="535"/>
      <c r="JH162" s="535"/>
      <c r="JI162" s="535"/>
      <c r="JJ162" s="535"/>
      <c r="JK162" s="535"/>
      <c r="JL162" s="535"/>
    </row>
    <row r="163" spans="1:272" s="726" customFormat="1" ht="12.75" customHeight="1">
      <c r="A163" s="1291" t="s">
        <v>88</v>
      </c>
      <c r="B163" s="1292"/>
      <c r="C163" s="1016"/>
      <c r="D163" s="1016"/>
      <c r="E163" s="1016"/>
      <c r="F163" s="808"/>
      <c r="G163" s="1149"/>
      <c r="H163" s="1149"/>
      <c r="I163" s="1149"/>
      <c r="J163" s="1149"/>
      <c r="K163" s="808"/>
      <c r="L163" s="1149"/>
      <c r="M163" s="1149"/>
      <c r="N163" s="1149"/>
      <c r="O163" s="1149"/>
      <c r="P163" s="808"/>
      <c r="Q163" s="1149"/>
      <c r="R163" s="1149"/>
      <c r="S163" s="1149"/>
      <c r="T163" s="1149"/>
      <c r="U163" s="808"/>
      <c r="V163" s="1149"/>
      <c r="W163" s="1149"/>
      <c r="X163" s="1149"/>
      <c r="Y163" s="1149"/>
      <c r="Z163" s="808"/>
      <c r="AA163" s="1149"/>
      <c r="AB163" s="1149"/>
      <c r="AC163" s="1149"/>
      <c r="AD163" s="1149"/>
      <c r="AE163" s="808"/>
      <c r="AF163" s="1149"/>
      <c r="AG163" s="1149"/>
      <c r="AH163" s="1149"/>
      <c r="AI163" s="1149"/>
      <c r="AJ163" s="808"/>
      <c r="AK163" s="1149"/>
      <c r="AL163" s="1149"/>
      <c r="AM163" s="1149"/>
      <c r="AN163" s="1149"/>
      <c r="AO163" s="808"/>
      <c r="AP163" s="1149"/>
      <c r="AQ163" s="1149"/>
      <c r="AR163" s="1149"/>
      <c r="AS163" s="1149"/>
      <c r="AT163" s="808"/>
      <c r="AU163" s="1149"/>
      <c r="AV163" s="1149"/>
      <c r="AW163" s="1149"/>
      <c r="AX163" s="1149"/>
      <c r="AY163" s="808"/>
      <c r="AZ163" s="1149"/>
      <c r="BA163" s="1149"/>
      <c r="BB163" s="1149"/>
      <c r="BC163" s="1149"/>
      <c r="BD163" s="808"/>
      <c r="BE163" s="1149"/>
      <c r="BF163" s="1149"/>
      <c r="BG163" s="1149"/>
      <c r="BH163" s="1149"/>
      <c r="BI163" s="808"/>
      <c r="BJ163" s="1149"/>
      <c r="BK163" s="1149"/>
      <c r="BL163" s="1149"/>
      <c r="BM163" s="1149"/>
      <c r="BN163" s="808"/>
      <c r="BO163" s="1149"/>
      <c r="BP163" s="1149"/>
      <c r="BQ163" s="1149"/>
      <c r="BR163" s="1149"/>
      <c r="BS163" s="808"/>
      <c r="BT163" s="1293">
        <f>+(BT161-BR161)*100</f>
        <v>5.6114026119714735</v>
      </c>
      <c r="BU163" s="1293">
        <f>+(BU161-BT161)*100</f>
        <v>0.59342844825548346</v>
      </c>
      <c r="BV163" s="1293">
        <f>+(BV161-BU161)*100</f>
        <v>1.2905593811889819</v>
      </c>
      <c r="BW163" s="1293">
        <f>+(BW161-BV161)*100</f>
        <v>-4.247159308864018E-2</v>
      </c>
      <c r="BX163" s="1154">
        <f>BX162</f>
        <v>9.8904981680659798</v>
      </c>
      <c r="BY163" s="1293">
        <f>+(BY161-BW161)*100</f>
        <v>2.2022906809494009</v>
      </c>
      <c r="BZ163" s="1293">
        <f>+(BZ161-BY161)*100</f>
        <v>0.88351415052925342</v>
      </c>
      <c r="CA163" s="1293">
        <f>+(CA161-BZ161)*100</f>
        <v>0.31038901161676291</v>
      </c>
      <c r="CB163" s="1293">
        <f>+(CB161-CA161)*100</f>
        <v>-0.76918844780547446</v>
      </c>
      <c r="CC163" s="1154">
        <f>CC162</f>
        <v>0.40818732711737915</v>
      </c>
      <c r="CD163" s="1293">
        <f>+(CD161-CB161)*100</f>
        <v>0.64245028809786775</v>
      </c>
      <c r="CE163" s="1293">
        <f>+(CE161-CD161)*100</f>
        <v>2.1295732151242976</v>
      </c>
      <c r="CF163" s="1293">
        <f>+(CF161-CE161)*100</f>
        <v>-0.580829574334639</v>
      </c>
      <c r="CG163" s="1293">
        <f>+(CG161-CF161)*100</f>
        <v>-1.0798984041339414</v>
      </c>
      <c r="CH163" s="1154">
        <f>CH162</f>
        <v>1.8281011628170392</v>
      </c>
      <c r="CI163" s="1293">
        <f>+(CI161-CG161)*100</f>
        <v>-0.35939696284267852</v>
      </c>
      <c r="CJ163" s="1293">
        <f>+(CJ161-CI161)*100</f>
        <v>2.5373633783977017</v>
      </c>
      <c r="CK163" s="1293">
        <f>+(CK161-CJ161)*100</f>
        <v>-0.49213393593711963</v>
      </c>
      <c r="CL163" s="1293">
        <f>+(CL161-CK161)*100</f>
        <v>1.7955932943408888</v>
      </c>
      <c r="CM163" s="1154">
        <f>CM162</f>
        <v>0.79650703202948514</v>
      </c>
      <c r="CN163" s="1293">
        <f>+(CN161-CL161)*100</f>
        <v>-6.0731869560920639</v>
      </c>
      <c r="CO163" s="1293">
        <f>+(CO161-CN161)*100</f>
        <v>2.0819407024018202</v>
      </c>
      <c r="CP163" s="1293">
        <f>+(CP161-CO161)*100</f>
        <v>-0.72641891892589872</v>
      </c>
      <c r="CQ163" s="1293">
        <f>+(CQ161-CP161)*100</f>
        <v>5.191869891225942E-2</v>
      </c>
      <c r="CR163" s="1154">
        <f>CR162</f>
        <v>-3.0859722739537592</v>
      </c>
      <c r="CS163" s="1293">
        <f>+(CS161-CQ161)*100</f>
        <v>-1.2488544590655002</v>
      </c>
      <c r="CT163" s="1293">
        <f>+(CT161-CS161)*100</f>
        <v>2.2028155926514801</v>
      </c>
      <c r="CU163" s="1293">
        <f>+(CU161-CT161)*100</f>
        <v>-1.3470826317076412</v>
      </c>
      <c r="CV163" s="1293">
        <f>+(CV161-CU161)*100</f>
        <v>-8.0967815638147886</v>
      </c>
      <c r="CW163" s="1154">
        <f>CW162</f>
        <v>-1.8784656545902418</v>
      </c>
      <c r="CX163" s="1293">
        <f>+(CX161-CV161)*100</f>
        <v>2.075365655401082</v>
      </c>
      <c r="CY163" s="1293">
        <f>+(CY161-CX161)*100</f>
        <v>7.2776954127146407</v>
      </c>
      <c r="CZ163" s="1293">
        <f>+(CZ161-CY161)*100</f>
        <v>-3.0598578672591343</v>
      </c>
      <c r="DA163" s="1293">
        <f>+(DA161-CZ161)*100</f>
        <v>-2.1370126559616356</v>
      </c>
      <c r="DB163" s="1154">
        <f>DB162</f>
        <v>-0.69725714871203548</v>
      </c>
      <c r="DC163" s="1293">
        <f>+(DC161-DA161)*100</f>
        <v>-0.31769891096460334</v>
      </c>
      <c r="DD163" s="1293">
        <f>+(DD161-DC161)*100</f>
        <v>1.0268411859642932</v>
      </c>
      <c r="DE163" s="1293">
        <f>+(DE161-DD161)*100</f>
        <v>0.30645191069749722</v>
      </c>
      <c r="DF163" s="1293">
        <f>+(DF161-DE161)*100</f>
        <v>-1.2543984683604978</v>
      </c>
      <c r="DG163" s="1154">
        <f>DG162</f>
        <v>-1.2280428415338995</v>
      </c>
      <c r="DH163" s="1293">
        <f>+(DH161-DF161)*100</f>
        <v>1.5508548847374299</v>
      </c>
      <c r="DI163" s="1293">
        <f>+(DI161-DH161)*100</f>
        <v>1.2239565797543706</v>
      </c>
      <c r="DJ163" s="1293">
        <f>+(DJ161-DI161)*100</f>
        <v>-8.028909748473978E-2</v>
      </c>
      <c r="DK163" s="1293">
        <f>+(DK161-DJ161)*100</f>
        <v>-1.2341493545822966</v>
      </c>
      <c r="DL163" s="1154"/>
      <c r="DM163" s="1293">
        <f>+(DM161-DK161)*100</f>
        <v>0.97635215035525857</v>
      </c>
      <c r="DN163" s="1293">
        <f>+(DN161-DM161)*100</f>
        <v>1.0939958532815139</v>
      </c>
      <c r="DO163" s="1293">
        <f>+(DO161-DN161)*100</f>
        <v>-1.0871048617786316</v>
      </c>
      <c r="DP163" s="1293">
        <f>+(DP161-DO161)*100</f>
        <v>-1.0355142090963914</v>
      </c>
      <c r="DQ163" s="1154"/>
      <c r="DR163" s="1355">
        <f>+(DR161-DP161)*100</f>
        <v>-0.29186617620191452</v>
      </c>
      <c r="DS163" s="1293">
        <f>+(DS161-DR161)*100</f>
        <v>2.9803548368492501</v>
      </c>
      <c r="DT163" s="1293">
        <f>+(DT161-DS161)*100</f>
        <v>-0.47631632810776481</v>
      </c>
      <c r="DU163" s="1293">
        <f>+(DU161-DT161)*100</f>
        <v>-2.2747970532455475</v>
      </c>
      <c r="DV163" s="1154"/>
      <c r="DW163" s="1355">
        <f>+(DW161-DU161)*100</f>
        <v>-9.6893570162098763E-3</v>
      </c>
      <c r="DX163" s="1293">
        <f>+(DX161-DW161)*100</f>
        <v>3.9610998279461462</v>
      </c>
      <c r="DY163" s="1293">
        <f>+(DY161-DX161)*100</f>
        <v>-0.61106918648344555</v>
      </c>
      <c r="DZ163" s="1293">
        <f>+(DZ161-DY161)*100</f>
        <v>-1.8168233857396645</v>
      </c>
      <c r="EA163" s="1154"/>
      <c r="EB163" s="1355">
        <f>+(EB161-DZ161)*100</f>
        <v>-6.8937919377055901E-2</v>
      </c>
      <c r="EC163" s="1293">
        <f>+(EC161-EB161)*100</f>
        <v>1.9204388511694634</v>
      </c>
      <c r="ED163" s="1293">
        <f>+(ED161-EC161)*100</f>
        <v>-1.3294943923622169</v>
      </c>
      <c r="EE163" s="1293">
        <f>+(EE161-ED161)*100</f>
        <v>0.61007935178519901</v>
      </c>
      <c r="EF163" s="1154"/>
      <c r="EG163" s="1015"/>
      <c r="EH163" s="1016"/>
      <c r="EI163" s="1293">
        <f>+(EI161-EH161)*100</f>
        <v>-1.8786585985227728</v>
      </c>
      <c r="EJ163" s="1293">
        <f>+(EJ161-EI161)*100</f>
        <v>-2.2989125614798658</v>
      </c>
      <c r="EK163" s="1154"/>
      <c r="EL163" s="1293">
        <f t="shared" ref="EL163:ET163" si="489">+(EL161-EK161)*100</f>
        <v>0.56930790735552905</v>
      </c>
      <c r="EM163" s="1293">
        <f t="shared" si="489"/>
        <v>4.3241944156745591</v>
      </c>
      <c r="EN163" s="1293">
        <f t="shared" si="489"/>
        <v>-2.9714776706824155</v>
      </c>
      <c r="EO163" s="1293">
        <f t="shared" si="489"/>
        <v>-2.3804889344741289</v>
      </c>
      <c r="EP163" s="1154"/>
      <c r="EQ163" s="1293">
        <f>+(EQ161-EO161)*100</f>
        <v>1.0541769513784911</v>
      </c>
      <c r="ER163" s="1293">
        <f t="shared" si="489"/>
        <v>3.7200081824176445</v>
      </c>
      <c r="ES163" s="1293">
        <f t="shared" si="489"/>
        <v>0.18903432141378351</v>
      </c>
      <c r="ET163" s="1293">
        <f t="shared" si="489"/>
        <v>-1.3562420422590926</v>
      </c>
      <c r="EU163" s="1154"/>
      <c r="EV163" s="1293">
        <f>+(EV161-ET161)*100</f>
        <v>1.2689590831640118</v>
      </c>
      <c r="EW163" s="1293">
        <f t="shared" ref="EW163" si="490">+(EW161-EV161)*100</f>
        <v>0.70417638362091639</v>
      </c>
      <c r="EX163" s="1293">
        <f t="shared" ref="EX163" si="491">+(EX161-EW161)*100</f>
        <v>-0.67848478355315989</v>
      </c>
      <c r="EY163" s="1293">
        <f t="shared" ref="EY163" si="492">+(EY161-EX161)*100</f>
        <v>-1.9428415832711958</v>
      </c>
      <c r="EZ163" s="1154"/>
      <c r="FA163" s="1293">
        <f>+(FA161-EY161)*100</f>
        <v>-318.75358029249219</v>
      </c>
      <c r="FB163" s="1293">
        <f t="shared" ref="FB163" si="493">+(FB161-FA161)*100</f>
        <v>3.4000000000000252</v>
      </c>
      <c r="FC163" s="1293">
        <f t="shared" ref="FC163" si="494">+(FC161-FB161)*100</f>
        <v>-3.2000000000000028</v>
      </c>
      <c r="FD163" s="1293">
        <f t="shared" ref="FD163" si="495">+(FD161-FC161)*100</f>
        <v>-2.1999999999999797</v>
      </c>
      <c r="FE163" s="1154"/>
      <c r="FF163" s="721"/>
      <c r="FG163" s="690"/>
      <c r="FH163" s="1294">
        <f>AVERAGE(DH163,DM163,DC163,DR163,DW163,EB163,EG163,EL163)</f>
        <v>0.34404608269834774</v>
      </c>
      <c r="FI163" s="1294">
        <f t="shared" ref="FI163" si="496">AVERAGE(DI163,DN163,DD163,DS163,DX163,EC163,EH163,EM163)</f>
        <v>2.3615545072342279</v>
      </c>
      <c r="FJ163" s="1294">
        <f t="shared" ref="FJ163" si="497">AVERAGE(DJ163,DO163,DE163,DT163,DY163,ED163,EI163,EN163)</f>
        <v>-1.0159947780905614</v>
      </c>
      <c r="FK163" s="1294">
        <f t="shared" ref="FK163" si="498">AVERAGE(DK163,DP163,DF163,DU163,DZ163,EE163,EJ163,EO163)</f>
        <v>-1.4606255768991492</v>
      </c>
      <c r="FL163" s="690"/>
      <c r="FM163" s="708"/>
      <c r="FN163" s="708"/>
      <c r="FO163" s="723"/>
      <c r="FP163" s="723"/>
      <c r="FQ163" s="723"/>
      <c r="FR163" s="723"/>
      <c r="FS163" s="723"/>
      <c r="FT163" s="723"/>
      <c r="FU163" s="690"/>
      <c r="FV163"/>
      <c r="FW163"/>
      <c r="FX163"/>
      <c r="FY163"/>
      <c r="FZ163"/>
      <c r="GA163"/>
      <c r="GB163" s="961"/>
      <c r="GC163" s="535"/>
      <c r="GD163" s="535"/>
      <c r="GE163" s="535"/>
      <c r="GF163" s="535"/>
      <c r="GG163" s="535"/>
      <c r="GH163" s="535"/>
      <c r="GI163" s="535"/>
      <c r="GJ163" s="535"/>
      <c r="GK163" s="535"/>
      <c r="GL163" s="535"/>
      <c r="GM163" s="535"/>
      <c r="GN163" s="535"/>
      <c r="GO163" s="535"/>
      <c r="GP163" s="535"/>
      <c r="GQ163" s="535"/>
      <c r="GR163" s="535"/>
      <c r="GS163" s="535"/>
      <c r="GT163" s="535"/>
      <c r="GU163" s="535"/>
      <c r="GV163" s="535"/>
      <c r="GW163" s="535"/>
      <c r="GX163" s="535"/>
      <c r="GY163" s="535"/>
      <c r="GZ163" s="535"/>
      <c r="HA163" s="535"/>
      <c r="HB163" s="535"/>
      <c r="HC163" s="535"/>
      <c r="HD163" s="535"/>
      <c r="HE163" s="535"/>
      <c r="HF163" s="535"/>
      <c r="HG163" s="535"/>
      <c r="HH163" s="535"/>
      <c r="HI163" s="535"/>
      <c r="HJ163" s="535"/>
      <c r="HK163" s="535"/>
      <c r="HL163" s="535"/>
      <c r="HM163" s="535"/>
      <c r="HN163" s="535"/>
      <c r="HO163" s="535"/>
      <c r="HP163" s="535"/>
      <c r="HQ163" s="535"/>
      <c r="HR163" s="535"/>
      <c r="HS163" s="535"/>
      <c r="HT163" s="535"/>
      <c r="HU163" s="535"/>
      <c r="HV163" s="535"/>
      <c r="HW163" s="535"/>
      <c r="HX163" s="535"/>
      <c r="HY163" s="535"/>
      <c r="HZ163" s="535"/>
      <c r="IA163" s="535"/>
      <c r="IB163" s="535"/>
      <c r="IC163" s="535"/>
      <c r="ID163" s="535"/>
      <c r="IE163" s="535"/>
      <c r="IF163" s="535"/>
      <c r="IG163" s="535"/>
      <c r="IH163" s="535"/>
      <c r="II163" s="535"/>
      <c r="IJ163" s="535"/>
      <c r="IK163" s="535"/>
      <c r="IL163" s="535"/>
      <c r="IM163" s="535"/>
      <c r="IN163" s="535"/>
      <c r="IO163" s="535"/>
      <c r="IP163" s="535"/>
      <c r="IQ163" s="535"/>
      <c r="IR163" s="535"/>
      <c r="IS163" s="535"/>
      <c r="IT163" s="535"/>
      <c r="IU163" s="535"/>
      <c r="IV163" s="535"/>
      <c r="IW163" s="535"/>
      <c r="IX163" s="535"/>
      <c r="IY163" s="535"/>
      <c r="IZ163" s="535"/>
      <c r="JA163" s="535"/>
      <c r="JB163" s="535"/>
      <c r="JC163" s="535"/>
      <c r="JD163" s="535"/>
      <c r="JE163" s="535"/>
      <c r="JF163" s="535"/>
      <c r="JG163" s="535"/>
      <c r="JH163" s="535"/>
      <c r="JI163" s="535"/>
      <c r="JJ163" s="535"/>
      <c r="JK163" s="535"/>
      <c r="JL163" s="535"/>
    </row>
    <row r="164" spans="1:272" s="749" customFormat="1" ht="12.75" customHeight="1">
      <c r="A164" s="1388" t="s">
        <v>87</v>
      </c>
      <c r="B164" s="921"/>
      <c r="C164" s="922"/>
      <c r="D164" s="922"/>
      <c r="E164" s="922"/>
      <c r="F164" s="923"/>
      <c r="G164" s="922"/>
      <c r="H164" s="922"/>
      <c r="I164" s="922"/>
      <c r="J164" s="922"/>
      <c r="K164" s="923"/>
      <c r="L164" s="922"/>
      <c r="M164" s="922"/>
      <c r="N164" s="922"/>
      <c r="O164" s="922"/>
      <c r="P164" s="923"/>
      <c r="Q164" s="922"/>
      <c r="R164" s="922"/>
      <c r="S164" s="922"/>
      <c r="T164" s="922"/>
      <c r="U164" s="923"/>
      <c r="V164" s="922"/>
      <c r="W164" s="922"/>
      <c r="X164" s="922"/>
      <c r="Y164" s="922"/>
      <c r="Z164" s="923"/>
      <c r="AA164" s="922"/>
      <c r="AB164" s="922"/>
      <c r="AC164" s="922"/>
      <c r="AD164" s="922"/>
      <c r="AE164" s="923"/>
      <c r="AF164" s="922"/>
      <c r="AG164" s="922"/>
      <c r="AH164" s="922"/>
      <c r="AI164" s="922"/>
      <c r="AJ164" s="923"/>
      <c r="AK164" s="922"/>
      <c r="AL164" s="922"/>
      <c r="AM164" s="922"/>
      <c r="AN164" s="922"/>
      <c r="AO164" s="923"/>
      <c r="AP164" s="922"/>
      <c r="AQ164" s="922"/>
      <c r="AR164" s="922"/>
      <c r="AS164" s="922"/>
      <c r="AT164" s="923"/>
      <c r="AU164" s="922"/>
      <c r="AV164" s="922"/>
      <c r="AW164" s="922"/>
      <c r="AX164" s="922"/>
      <c r="AY164" s="923"/>
      <c r="AZ164" s="922"/>
      <c r="BA164" s="922"/>
      <c r="BB164" s="922"/>
      <c r="BC164" s="922"/>
      <c r="BD164" s="923"/>
      <c r="BE164" s="922"/>
      <c r="BF164" s="922"/>
      <c r="BG164" s="922"/>
      <c r="BH164" s="922"/>
      <c r="BI164" s="923"/>
      <c r="BJ164" s="922"/>
      <c r="BK164" s="922"/>
      <c r="BL164" s="922"/>
      <c r="BM164" s="922"/>
      <c r="BN164" s="923"/>
      <c r="BO164" s="922"/>
      <c r="BP164" s="922"/>
      <c r="BQ164" s="922"/>
      <c r="BR164" s="922"/>
      <c r="BS164" s="923"/>
      <c r="BT164" s="922"/>
      <c r="BU164" s="922"/>
      <c r="BV164" s="922"/>
      <c r="BW164" s="922"/>
      <c r="BX164" s="923"/>
      <c r="BY164" s="922"/>
      <c r="BZ164" s="922"/>
      <c r="CA164" s="922"/>
      <c r="CB164" s="922"/>
      <c r="CC164" s="923"/>
      <c r="CD164" s="922"/>
      <c r="CE164" s="922"/>
      <c r="CF164" s="922"/>
      <c r="CG164" s="922"/>
      <c r="CH164" s="923"/>
      <c r="CI164" s="922"/>
      <c r="CJ164" s="922"/>
      <c r="CK164" s="922"/>
      <c r="CL164" s="922"/>
      <c r="CM164" s="923"/>
      <c r="CN164" s="922"/>
      <c r="CO164" s="922"/>
      <c r="CP164" s="922"/>
      <c r="CQ164" s="922"/>
      <c r="CR164" s="923"/>
      <c r="CS164" s="922"/>
      <c r="CT164" s="922"/>
      <c r="CU164" s="922"/>
      <c r="CV164" s="922"/>
      <c r="CW164" s="923"/>
      <c r="CX164" s="922"/>
      <c r="CY164" s="922"/>
      <c r="CZ164" s="922"/>
      <c r="DA164" s="922"/>
      <c r="DB164" s="923"/>
      <c r="DC164" s="922"/>
      <c r="DD164" s="922"/>
      <c r="DE164" s="922"/>
      <c r="DF164" s="922"/>
      <c r="DG164" s="923"/>
      <c r="DH164" s="922"/>
      <c r="DI164" s="922"/>
      <c r="DJ164" s="922"/>
      <c r="DK164" s="922"/>
      <c r="DL164" s="923"/>
      <c r="DM164" s="1389"/>
      <c r="DN164" s="1389"/>
      <c r="DO164" s="1389"/>
      <c r="DP164" s="922"/>
      <c r="DQ164" s="923"/>
      <c r="DR164" s="1389"/>
      <c r="DS164" s="1389"/>
      <c r="DT164" s="1389"/>
      <c r="DU164" s="922"/>
      <c r="DV164" s="923"/>
      <c r="DW164" s="1389"/>
      <c r="DX164" s="1389"/>
      <c r="DY164" s="1389"/>
      <c r="DZ164" s="922"/>
      <c r="EA164" s="923"/>
      <c r="EB164" s="1389"/>
      <c r="EC164" s="1389"/>
      <c r="ED164" s="1389"/>
      <c r="EE164" s="1389"/>
      <c r="EF164" s="923"/>
      <c r="EG164" s="925"/>
      <c r="EH164" s="922"/>
      <c r="EI164" s="922"/>
      <c r="EJ164" s="928"/>
      <c r="EK164" s="923"/>
      <c r="EL164" s="925"/>
      <c r="EM164" s="922"/>
      <c r="EN164" s="922"/>
      <c r="EO164" s="928"/>
      <c r="EP164" s="923"/>
      <c r="EQ164" s="925"/>
      <c r="ER164" s="922"/>
      <c r="ES164" s="922"/>
      <c r="ET164" s="928"/>
      <c r="EU164" s="923"/>
      <c r="EV164" s="925"/>
      <c r="EW164" s="922"/>
      <c r="EX164" s="922"/>
      <c r="EY164" s="928"/>
      <c r="EZ164" s="923"/>
      <c r="FA164" s="925"/>
      <c r="FB164" s="922"/>
      <c r="FC164" s="922"/>
      <c r="FD164" s="928"/>
      <c r="FE164" s="923"/>
      <c r="FF164" s="721"/>
      <c r="FG164" s="690"/>
      <c r="FH164" s="754"/>
      <c r="FI164" s="754"/>
      <c r="FJ164" s="754"/>
      <c r="FK164" s="754"/>
      <c r="FL164" s="690"/>
      <c r="FM164" s="940"/>
      <c r="FN164" s="708"/>
      <c r="FO164" s="723"/>
      <c r="FP164" s="723"/>
      <c r="FQ164" s="723"/>
      <c r="FR164" s="723"/>
      <c r="FS164" s="723"/>
      <c r="FT164" s="723"/>
      <c r="FU164" s="690"/>
      <c r="FV164"/>
      <c r="FW164"/>
      <c r="FX164"/>
      <c r="FY164"/>
      <c r="FZ164"/>
      <c r="GA164"/>
      <c r="GB164" s="961"/>
      <c r="GC164" s="532"/>
      <c r="GD164" s="532"/>
      <c r="GE164" s="532"/>
      <c r="GF164" s="532"/>
      <c r="GG164" s="532"/>
      <c r="GH164" s="532"/>
      <c r="GI164" s="532"/>
      <c r="GJ164" s="532"/>
      <c r="GK164" s="532"/>
      <c r="GL164" s="532"/>
      <c r="GM164" s="532"/>
      <c r="GN164" s="532"/>
      <c r="GO164" s="532"/>
      <c r="GP164" s="532"/>
      <c r="GQ164" s="532"/>
      <c r="GR164" s="532"/>
      <c r="GS164" s="532"/>
      <c r="GT164" s="532"/>
      <c r="GU164" s="532"/>
      <c r="GV164" s="532"/>
      <c r="GW164" s="532"/>
      <c r="GX164" s="532"/>
      <c r="GY164" s="532"/>
      <c r="GZ164" s="532"/>
      <c r="HA164" s="532"/>
      <c r="HB164" s="532"/>
      <c r="HC164" s="532"/>
      <c r="HD164" s="532"/>
      <c r="HE164" s="532"/>
      <c r="HF164" s="532"/>
      <c r="HG164" s="532"/>
      <c r="HH164" s="532"/>
      <c r="HI164" s="532"/>
      <c r="HJ164" s="532"/>
      <c r="HK164" s="532"/>
      <c r="HL164" s="532"/>
      <c r="HM164" s="532"/>
      <c r="HN164" s="532"/>
      <c r="HO164" s="532"/>
      <c r="HP164" s="532"/>
      <c r="HQ164" s="532"/>
      <c r="HR164" s="532"/>
      <c r="HS164" s="532"/>
      <c r="HT164" s="532"/>
      <c r="HU164" s="532"/>
      <c r="HV164" s="532"/>
      <c r="HW164" s="532"/>
      <c r="HX164" s="532"/>
      <c r="HY164" s="532"/>
      <c r="HZ164" s="532"/>
      <c r="IA164" s="532"/>
      <c r="IB164" s="532"/>
      <c r="IC164" s="532"/>
      <c r="ID164" s="532"/>
      <c r="IE164" s="532"/>
      <c r="IF164" s="532"/>
      <c r="IG164" s="532"/>
      <c r="IH164" s="532"/>
      <c r="II164" s="532"/>
      <c r="IJ164" s="532"/>
      <c r="IK164" s="532"/>
      <c r="IL164" s="532"/>
      <c r="IM164" s="532"/>
      <c r="IN164" s="532"/>
      <c r="IO164" s="532"/>
      <c r="IP164" s="532"/>
      <c r="IQ164" s="532"/>
      <c r="IR164" s="532"/>
      <c r="IS164" s="532"/>
      <c r="IT164" s="532"/>
      <c r="IU164" s="532"/>
      <c r="IV164" s="532"/>
      <c r="IW164" s="532"/>
      <c r="IX164" s="532"/>
      <c r="IY164" s="532"/>
      <c r="IZ164" s="532"/>
      <c r="JA164" s="532"/>
      <c r="JB164" s="532"/>
      <c r="JC164" s="532"/>
      <c r="JD164" s="532"/>
      <c r="JE164" s="532"/>
      <c r="JF164" s="532"/>
      <c r="JG164" s="532"/>
      <c r="JH164" s="532"/>
      <c r="JI164" s="532"/>
      <c r="JJ164" s="532"/>
      <c r="JK164" s="532"/>
      <c r="JL164" s="532"/>
    </row>
    <row r="165" spans="1:272" s="1399" customFormat="1" ht="12.75" hidden="1" customHeight="1" outlineLevel="1">
      <c r="A165" s="932" t="s">
        <v>368</v>
      </c>
      <c r="B165" s="1390"/>
      <c r="C165" s="1391"/>
      <c r="D165" s="1391"/>
      <c r="E165" s="1391"/>
      <c r="F165" s="718"/>
      <c r="G165" s="1392"/>
      <c r="H165" s="1391"/>
      <c r="I165" s="1391"/>
      <c r="J165" s="1391"/>
      <c r="K165" s="718"/>
      <c r="L165" s="1392"/>
      <c r="M165" s="1391"/>
      <c r="N165" s="1391"/>
      <c r="O165" s="1391"/>
      <c r="P165" s="718"/>
      <c r="Q165" s="1392"/>
      <c r="R165" s="1391"/>
      <c r="S165" s="1391"/>
      <c r="T165" s="1391"/>
      <c r="U165" s="718"/>
      <c r="V165" s="1392"/>
      <c r="W165" s="1391"/>
      <c r="X165" s="1391"/>
      <c r="Y165" s="1391"/>
      <c r="Z165" s="718"/>
      <c r="AA165" s="1392"/>
      <c r="AB165" s="1391"/>
      <c r="AC165" s="1391"/>
      <c r="AD165" s="1391"/>
      <c r="AE165" s="718"/>
      <c r="AF165" s="719"/>
      <c r="AG165" s="719"/>
      <c r="AH165" s="719"/>
      <c r="AI165" s="719"/>
      <c r="AJ165" s="718"/>
      <c r="AK165" s="719"/>
      <c r="AL165" s="719"/>
      <c r="AM165" s="719"/>
      <c r="AN165" s="719"/>
      <c r="AO165" s="718"/>
      <c r="AP165" s="719"/>
      <c r="AQ165" s="934"/>
      <c r="AR165" s="934"/>
      <c r="AS165" s="719"/>
      <c r="AT165" s="718"/>
      <c r="AU165" s="719"/>
      <c r="AV165" s="934"/>
      <c r="AW165" s="719"/>
      <c r="AX165" s="719"/>
      <c r="AY165" s="718"/>
      <c r="AZ165" s="719"/>
      <c r="BA165" s="934"/>
      <c r="BB165" s="719"/>
      <c r="BC165" s="719"/>
      <c r="BD165" s="718"/>
      <c r="BE165" s="719"/>
      <c r="BF165" s="934"/>
      <c r="BG165" s="719"/>
      <c r="BH165" s="719"/>
      <c r="BI165" s="718"/>
      <c r="BJ165" s="719"/>
      <c r="BK165" s="934"/>
      <c r="BL165" s="719"/>
      <c r="BM165" s="719"/>
      <c r="BN165" s="718"/>
      <c r="BO165" s="719"/>
      <c r="BP165" s="934"/>
      <c r="BQ165" s="719"/>
      <c r="BR165" s="719"/>
      <c r="BS165" s="718"/>
      <c r="BT165" s="719"/>
      <c r="BU165" s="934"/>
      <c r="BV165" s="719"/>
      <c r="BW165" s="719"/>
      <c r="BX165" s="718">
        <v>2606.23</v>
      </c>
      <c r="BY165" s="719">
        <v>691.81700000000001</v>
      </c>
      <c r="BZ165" s="934">
        <v>748.02800000000002</v>
      </c>
      <c r="CA165" s="719">
        <v>792.07500000000005</v>
      </c>
      <c r="CB165" s="719">
        <f>CC165-SUM(BY165:CA165)</f>
        <v>733.3739999999998</v>
      </c>
      <c r="CC165" s="718">
        <v>2965.2939999999999</v>
      </c>
      <c r="CD165" s="719">
        <v>768.73299999999995</v>
      </c>
      <c r="CE165" s="719">
        <v>807.34799999999996</v>
      </c>
      <c r="CF165" s="719">
        <v>871.01900000000001</v>
      </c>
      <c r="CG165" s="719">
        <f>3302.414-SUM(CD165:CF165)</f>
        <v>855.31400000000031</v>
      </c>
      <c r="CH165" s="718">
        <v>1660.97</v>
      </c>
      <c r="CI165" s="719">
        <v>430.762</v>
      </c>
      <c r="CJ165" s="719">
        <v>440.03199999999998</v>
      </c>
      <c r="CK165" s="719">
        <v>432.19600000000003</v>
      </c>
      <c r="CL165" s="719">
        <v>416.21300000000002</v>
      </c>
      <c r="CM165" s="718">
        <v>1719.203</v>
      </c>
      <c r="CN165" s="719">
        <v>446.55500000000001</v>
      </c>
      <c r="CO165" s="719">
        <v>461.202</v>
      </c>
      <c r="CP165" s="719">
        <v>486.13499999999999</v>
      </c>
      <c r="CQ165" s="719">
        <f>CR165-SUM(CN165:CP165)</f>
        <v>506.78899999999999</v>
      </c>
      <c r="CR165" s="718">
        <v>1900.681</v>
      </c>
      <c r="CS165" s="719">
        <v>514.25400000000002</v>
      </c>
      <c r="CT165" s="719">
        <v>532.36</v>
      </c>
      <c r="CU165" s="719">
        <v>533.80999999999995</v>
      </c>
      <c r="CV165" s="719">
        <v>466.69799999999998</v>
      </c>
      <c r="CW165" s="718">
        <v>2047.1220000000001</v>
      </c>
      <c r="CX165" s="719">
        <v>472.36900000000003</v>
      </c>
      <c r="CY165" s="719">
        <v>445.69799999999998</v>
      </c>
      <c r="CZ165" s="719">
        <v>476.45400000000001</v>
      </c>
      <c r="DA165" s="719">
        <f>DB165-SUM(CX165:CZ165)</f>
        <v>459.06400000000008</v>
      </c>
      <c r="DB165" s="718">
        <v>1853.585</v>
      </c>
      <c r="DC165" s="719">
        <v>489.459</v>
      </c>
      <c r="DD165" s="719">
        <v>523.95000000000005</v>
      </c>
      <c r="DE165" s="719">
        <f>517.221-5.5</f>
        <v>511.721</v>
      </c>
      <c r="DF165" s="719">
        <v>493.97599999999989</v>
      </c>
      <c r="DG165" s="718">
        <f>2024.606-3.938</f>
        <v>2020.6679999999999</v>
      </c>
      <c r="DH165" s="719">
        <v>491.64</v>
      </c>
      <c r="DI165" s="719">
        <v>508.87400000000002</v>
      </c>
      <c r="DJ165" s="719">
        <v>516.08299999999997</v>
      </c>
      <c r="DK165" s="719">
        <v>511.27300000000002</v>
      </c>
      <c r="DL165" s="718">
        <f>DH165+DI165+DJ165+DK165</f>
        <v>2027.87</v>
      </c>
      <c r="DM165" s="719">
        <v>522.47</v>
      </c>
      <c r="DN165" s="719">
        <v>544.62400000000002</v>
      </c>
      <c r="DO165" s="719">
        <v>534.01099999999997</v>
      </c>
      <c r="DP165" s="719">
        <v>523.99900000000002</v>
      </c>
      <c r="DQ165" s="718">
        <f>DM165+DN165+DO165+DP165</f>
        <v>2125.1040000000003</v>
      </c>
      <c r="DR165" s="719">
        <v>517.84100000000001</v>
      </c>
      <c r="DS165" s="719">
        <v>539.55600000000004</v>
      </c>
      <c r="DT165" s="719">
        <v>541.37300000000005</v>
      </c>
      <c r="DU165" s="719">
        <v>544.26599999999996</v>
      </c>
      <c r="DV165" s="718">
        <f>DR165+DS165+DT165+DU165</f>
        <v>2143.0360000000001</v>
      </c>
      <c r="DW165" s="719">
        <v>537.25199999999995</v>
      </c>
      <c r="DX165" s="719">
        <v>561.07299999999998</v>
      </c>
      <c r="DY165" s="1393">
        <v>570.21600000000001</v>
      </c>
      <c r="DZ165" s="1393">
        <f>592.763-16</f>
        <v>576.76300000000003</v>
      </c>
      <c r="EA165" s="718">
        <f>DW165+DX165+DY165+DZ165</f>
        <v>2245.3039999999996</v>
      </c>
      <c r="EB165" s="1394">
        <v>564.30700000000002</v>
      </c>
      <c r="EC165" s="1393">
        <v>584.03099999999995</v>
      </c>
      <c r="ED165" s="719">
        <f>ED120*ED167</f>
        <v>567.55457200000001</v>
      </c>
      <c r="EE165" s="719">
        <f>EE120*EE167</f>
        <v>545.45135689072333</v>
      </c>
      <c r="EF165" s="718">
        <f>EB165+EC165+ED165+EE165</f>
        <v>2261.3439288907234</v>
      </c>
      <c r="EG165" s="1395"/>
      <c r="EH165" s="719"/>
      <c r="EI165" s="719"/>
      <c r="EJ165" s="1396"/>
      <c r="EK165" s="718">
        <f>EK120*EK167</f>
        <v>1378.1200000000001</v>
      </c>
      <c r="EL165" s="1395"/>
      <c r="EM165" s="719"/>
      <c r="EN165" s="719"/>
      <c r="EO165" s="1396"/>
      <c r="EP165" s="718">
        <f>EP120*EP167</f>
        <v>1456.4800000000002</v>
      </c>
      <c r="EQ165" s="1395"/>
      <c r="ER165" s="719"/>
      <c r="ES165" s="719"/>
      <c r="ET165" s="1396"/>
      <c r="EU165" s="718">
        <f>EU120*EU167</f>
        <v>1535.187308803401</v>
      </c>
      <c r="EV165" s="1395"/>
      <c r="EW165" s="719"/>
      <c r="EX165" s="719"/>
      <c r="EY165" s="1396"/>
      <c r="EZ165" s="718">
        <f>EZ120*EZ167</f>
        <v>1626.5870280823492</v>
      </c>
      <c r="FA165" s="1395"/>
      <c r="FB165" s="719"/>
      <c r="FC165" s="719"/>
      <c r="FD165" s="1396"/>
      <c r="FE165" s="718">
        <f>FE120*FE167</f>
        <v>1721.1417922305081</v>
      </c>
      <c r="FF165" s="778"/>
      <c r="FG165" s="690"/>
      <c r="FH165" s="1397"/>
      <c r="FI165" s="1397"/>
      <c r="FJ165" s="754"/>
      <c r="FK165" s="754"/>
      <c r="FL165" s="690"/>
      <c r="FM165" s="708" t="s">
        <v>369</v>
      </c>
      <c r="FN165" s="1313"/>
      <c r="FO165" s="719"/>
      <c r="FP165" s="719"/>
      <c r="FQ165" s="719"/>
      <c r="FR165" s="719"/>
      <c r="FS165" s="719"/>
      <c r="FT165" s="719"/>
      <c r="FU165" s="690"/>
      <c r="FV165"/>
      <c r="FW165"/>
      <c r="FX165"/>
      <c r="FY165"/>
      <c r="FZ165"/>
      <c r="GA165"/>
      <c r="GB165" s="942"/>
      <c r="GC165" s="965"/>
      <c r="GD165" s="965"/>
      <c r="GE165" s="965"/>
      <c r="GF165" s="965"/>
      <c r="GG165" s="965"/>
      <c r="GH165" s="965"/>
      <c r="GI165" s="965"/>
      <c r="GJ165" s="965"/>
      <c r="GK165" s="965"/>
      <c r="GL165" s="965"/>
      <c r="GM165" s="965"/>
      <c r="GN165" s="965"/>
      <c r="GO165" s="965"/>
      <c r="GP165" s="965"/>
      <c r="GQ165" s="965"/>
      <c r="GR165" s="965"/>
      <c r="GS165" s="965"/>
      <c r="GT165" s="965"/>
      <c r="GU165" s="965"/>
      <c r="GV165" s="965"/>
      <c r="GW165" s="965"/>
      <c r="GX165" s="965"/>
      <c r="GY165" s="965"/>
      <c r="GZ165" s="965"/>
      <c r="HA165" s="965"/>
      <c r="HB165" s="965"/>
      <c r="HC165" s="965"/>
      <c r="HD165" s="965"/>
      <c r="HE165" s="965"/>
      <c r="HF165" s="965"/>
      <c r="HG165" s="965"/>
      <c r="HH165" s="965"/>
      <c r="HI165" s="965"/>
      <c r="HJ165" s="965"/>
      <c r="HK165" s="965"/>
      <c r="HL165" s="965"/>
      <c r="HM165" s="965"/>
      <c r="HN165" s="965"/>
      <c r="HO165" s="965"/>
      <c r="HP165" s="965"/>
      <c r="HQ165" s="965"/>
      <c r="HR165" s="965"/>
      <c r="HS165" s="965"/>
      <c r="HT165" s="965"/>
      <c r="HU165" s="965"/>
      <c r="HV165" s="965"/>
      <c r="HW165" s="965"/>
      <c r="HX165" s="965"/>
      <c r="HY165" s="965"/>
      <c r="HZ165" s="965"/>
      <c r="IA165" s="965"/>
      <c r="IB165" s="965"/>
      <c r="IC165" s="965"/>
      <c r="ID165" s="965"/>
      <c r="IE165" s="965"/>
      <c r="IF165" s="965"/>
      <c r="IG165" s="965"/>
      <c r="IH165" s="965"/>
      <c r="II165" s="965"/>
      <c r="IJ165" s="965"/>
      <c r="IK165" s="965"/>
      <c r="IL165" s="965"/>
      <c r="IM165" s="965"/>
      <c r="IN165" s="965"/>
      <c r="IO165" s="965"/>
      <c r="IP165" s="965"/>
      <c r="IQ165" s="965"/>
      <c r="IR165" s="965"/>
      <c r="IS165" s="965"/>
      <c r="IT165" s="965"/>
      <c r="IU165" s="965"/>
      <c r="IV165" s="965"/>
      <c r="IW165" s="965"/>
      <c r="IX165" s="965"/>
      <c r="IY165" s="965"/>
      <c r="IZ165" s="965"/>
      <c r="JA165" s="965"/>
      <c r="JB165" s="965"/>
      <c r="JC165" s="965"/>
      <c r="JD165" s="965"/>
      <c r="JE165" s="965"/>
      <c r="JF165" s="965"/>
      <c r="JG165" s="965"/>
      <c r="JH165" s="965"/>
      <c r="JI165" s="965"/>
      <c r="JJ165" s="965"/>
      <c r="JK165" s="965"/>
      <c r="JL165" s="965"/>
    </row>
    <row r="166" spans="1:272" s="749" customFormat="1" ht="12.75" hidden="1" customHeight="1" outlineLevel="1">
      <c r="A166" s="58" t="s">
        <v>85</v>
      </c>
      <c r="B166" s="1235"/>
      <c r="C166" s="961"/>
      <c r="D166" s="961"/>
      <c r="E166" s="961"/>
      <c r="F166" s="741"/>
      <c r="G166" s="961"/>
      <c r="H166" s="961"/>
      <c r="I166" s="961"/>
      <c r="J166" s="961"/>
      <c r="K166" s="741"/>
      <c r="L166" s="961"/>
      <c r="M166" s="961"/>
      <c r="N166" s="961"/>
      <c r="O166" s="961"/>
      <c r="P166" s="741"/>
      <c r="Q166" s="961"/>
      <c r="R166" s="961"/>
      <c r="S166" s="961"/>
      <c r="T166" s="961"/>
      <c r="U166" s="741"/>
      <c r="V166" s="961"/>
      <c r="W166" s="961"/>
      <c r="X166" s="1236"/>
      <c r="Y166" s="1236"/>
      <c r="Z166" s="741"/>
      <c r="AA166" s="1236"/>
      <c r="AB166" s="1236"/>
      <c r="AC166" s="1236"/>
      <c r="AD166" s="1236"/>
      <c r="AE166" s="741"/>
      <c r="AF166" s="721"/>
      <c r="AG166" s="742"/>
      <c r="AH166" s="742"/>
      <c r="AI166" s="721"/>
      <c r="AJ166" s="741"/>
      <c r="AK166" s="721"/>
      <c r="AL166" s="742"/>
      <c r="AM166" s="742"/>
      <c r="AN166" s="721"/>
      <c r="AO166" s="741"/>
      <c r="AP166" s="721"/>
      <c r="AQ166" s="742"/>
      <c r="AR166" s="742"/>
      <c r="AS166" s="721"/>
      <c r="AT166" s="741"/>
      <c r="AU166" s="721"/>
      <c r="AV166" s="742"/>
      <c r="AW166" s="742"/>
      <c r="AX166" s="721"/>
      <c r="AY166" s="741"/>
      <c r="AZ166" s="721"/>
      <c r="BA166" s="742"/>
      <c r="BB166" s="742"/>
      <c r="BC166" s="721"/>
      <c r="BD166" s="741"/>
      <c r="BE166" s="721"/>
      <c r="BF166" s="742"/>
      <c r="BG166" s="742"/>
      <c r="BH166" s="721"/>
      <c r="BI166" s="741"/>
      <c r="BJ166" s="721"/>
      <c r="BK166" s="742"/>
      <c r="BL166" s="742"/>
      <c r="BM166" s="721"/>
      <c r="BN166" s="741"/>
      <c r="BO166" s="721"/>
      <c r="BP166" s="742"/>
      <c r="BQ166" s="742"/>
      <c r="BR166" s="721"/>
      <c r="BS166" s="741"/>
      <c r="BT166" s="721"/>
      <c r="BU166" s="742"/>
      <c r="BV166" s="742"/>
      <c r="BW166" s="721"/>
      <c r="BX166" s="816" t="str">
        <f t="shared" ref="BX166:CC166" si="499">IF(ISERROR(BX165/BS165-1),"",BX165/BS165-1)</f>
        <v/>
      </c>
      <c r="BY166" s="817" t="str">
        <f t="shared" si="499"/>
        <v/>
      </c>
      <c r="BZ166" s="817" t="str">
        <f t="shared" si="499"/>
        <v/>
      </c>
      <c r="CA166" s="817" t="str">
        <f t="shared" si="499"/>
        <v/>
      </c>
      <c r="CB166" s="817" t="str">
        <f t="shared" si="499"/>
        <v/>
      </c>
      <c r="CC166" s="816">
        <f t="shared" si="499"/>
        <v>0.13777141695092143</v>
      </c>
      <c r="CD166" s="721">
        <f t="shared" ref="CD166:EF166" si="500">CD165/BY165-1</f>
        <v>0.1111796905829141</v>
      </c>
      <c r="CE166" s="721">
        <f t="shared" si="500"/>
        <v>7.9301844315988079E-2</v>
      </c>
      <c r="CF166" s="721">
        <f t="shared" si="500"/>
        <v>9.966732948268775E-2</v>
      </c>
      <c r="CG166" s="721">
        <f t="shared" si="500"/>
        <v>0.16627259761049684</v>
      </c>
      <c r="CH166" s="741">
        <f t="shared" si="500"/>
        <v>-0.43986329854645101</v>
      </c>
      <c r="CI166" s="721">
        <f t="shared" si="500"/>
        <v>-0.43964679544133001</v>
      </c>
      <c r="CJ166" s="721">
        <f t="shared" si="500"/>
        <v>-0.45496613604046832</v>
      </c>
      <c r="CK166" s="721">
        <f t="shared" si="500"/>
        <v>-0.50380416500673353</v>
      </c>
      <c r="CL166" s="721">
        <f t="shared" si="500"/>
        <v>-0.51337988154058056</v>
      </c>
      <c r="CM166" s="741">
        <f t="shared" si="500"/>
        <v>3.5059633828425474E-2</v>
      </c>
      <c r="CN166" s="721">
        <f t="shared" si="500"/>
        <v>3.6662936842154048E-2</v>
      </c>
      <c r="CO166" s="721">
        <f t="shared" si="500"/>
        <v>4.8110137444549617E-2</v>
      </c>
      <c r="CP166" s="721">
        <f t="shared" si="500"/>
        <v>0.1248021730881359</v>
      </c>
      <c r="CQ166" s="721">
        <f t="shared" si="500"/>
        <v>0.21761934394168359</v>
      </c>
      <c r="CR166" s="741">
        <f t="shared" si="500"/>
        <v>0.10555937838638019</v>
      </c>
      <c r="CS166" s="721">
        <f t="shared" si="500"/>
        <v>0.15160282607965425</v>
      </c>
      <c r="CT166" s="721">
        <f t="shared" si="500"/>
        <v>0.15428814272271163</v>
      </c>
      <c r="CU166" s="721">
        <f t="shared" si="500"/>
        <v>9.8069466300513053E-2</v>
      </c>
      <c r="CV166" s="721">
        <f t="shared" si="500"/>
        <v>-7.9107873296381692E-2</v>
      </c>
      <c r="CW166" s="741">
        <f t="shared" si="500"/>
        <v>7.7046595404489215E-2</v>
      </c>
      <c r="CX166" s="721">
        <f t="shared" si="500"/>
        <v>-8.1448078187043693E-2</v>
      </c>
      <c r="CY166" s="721">
        <f t="shared" si="500"/>
        <v>-0.16278833871816067</v>
      </c>
      <c r="CZ166" s="721">
        <f t="shared" si="500"/>
        <v>-0.10744646971768967</v>
      </c>
      <c r="DA166" s="721">
        <f t="shared" si="500"/>
        <v>-1.635747314108893E-2</v>
      </c>
      <c r="DB166" s="741">
        <f t="shared" si="500"/>
        <v>-9.4541019050159214E-2</v>
      </c>
      <c r="DC166" s="721">
        <f t="shared" si="500"/>
        <v>3.6179342844259388E-2</v>
      </c>
      <c r="DD166" s="721">
        <f t="shared" si="500"/>
        <v>0.17557179973883685</v>
      </c>
      <c r="DE166" s="721">
        <f t="shared" si="500"/>
        <v>7.4019737477279968E-2</v>
      </c>
      <c r="DF166" s="721">
        <f t="shared" si="500"/>
        <v>7.6050398201557456E-2</v>
      </c>
      <c r="DG166" s="741">
        <f t="shared" si="500"/>
        <v>9.0140457545782926E-2</v>
      </c>
      <c r="DH166" s="721">
        <f t="shared" si="500"/>
        <v>4.45594012981676E-3</v>
      </c>
      <c r="DI166" s="721">
        <f t="shared" si="500"/>
        <v>-2.8773737952094702E-2</v>
      </c>
      <c r="DJ166" s="721">
        <f t="shared" si="500"/>
        <v>8.5241762601104831E-3</v>
      </c>
      <c r="DK166" s="721">
        <f t="shared" si="500"/>
        <v>3.5015871216415695E-2</v>
      </c>
      <c r="DL166" s="741">
        <f t="shared" si="500"/>
        <v>3.5641678890347972E-3</v>
      </c>
      <c r="DM166" s="721">
        <f t="shared" si="500"/>
        <v>6.2708485883980147E-2</v>
      </c>
      <c r="DN166" s="721">
        <f t="shared" si="500"/>
        <v>7.0253147144479833E-2</v>
      </c>
      <c r="DO166" s="721">
        <f t="shared" si="500"/>
        <v>3.4738598248731378E-2</v>
      </c>
      <c r="DP166" s="721">
        <f t="shared" si="500"/>
        <v>2.4890811758101927E-2</v>
      </c>
      <c r="DQ166" s="741">
        <f t="shared" si="500"/>
        <v>4.7948833011978165E-2</v>
      </c>
      <c r="DR166" s="721">
        <f>DR165/DM165-1</f>
        <v>-8.8598388424215857E-3</v>
      </c>
      <c r="DS166" s="721">
        <f t="shared" si="500"/>
        <v>-9.3055025118246038E-3</v>
      </c>
      <c r="DT166" s="721">
        <f t="shared" si="500"/>
        <v>1.3786232867862402E-2</v>
      </c>
      <c r="DU166" s="721">
        <f t="shared" si="500"/>
        <v>3.8677554728157704E-2</v>
      </c>
      <c r="DV166" s="741">
        <f t="shared" si="500"/>
        <v>8.4381752610693805E-3</v>
      </c>
      <c r="DW166" s="721">
        <f t="shared" si="500"/>
        <v>3.7484478826512291E-2</v>
      </c>
      <c r="DX166" s="721">
        <f t="shared" si="500"/>
        <v>3.9879085766815647E-2</v>
      </c>
      <c r="DY166" s="721">
        <f t="shared" si="500"/>
        <v>5.3277499986146282E-2</v>
      </c>
      <c r="DZ166" s="721">
        <f t="shared" si="500"/>
        <v>5.9707936927899441E-2</v>
      </c>
      <c r="EA166" s="741">
        <f t="shared" si="500"/>
        <v>4.7721083546893084E-2</v>
      </c>
      <c r="EB166" s="721">
        <f t="shared" si="500"/>
        <v>5.0358118722685141E-2</v>
      </c>
      <c r="EC166" s="721">
        <f t="shared" si="500"/>
        <v>4.0918026709536814E-2</v>
      </c>
      <c r="ED166" s="721">
        <f t="shared" si="500"/>
        <v>-4.6674032296533108E-3</v>
      </c>
      <c r="EE166" s="721">
        <f t="shared" si="500"/>
        <v>-5.428857799352016E-2</v>
      </c>
      <c r="EF166" s="741">
        <f t="shared" si="500"/>
        <v>7.1437671204985786E-3</v>
      </c>
      <c r="EG166" s="745"/>
      <c r="EH166" s="712"/>
      <c r="EI166" s="712"/>
      <c r="EJ166" s="744"/>
      <c r="EK166" s="741">
        <f>EK165/EF165-1</f>
        <v>-0.39057478944566326</v>
      </c>
      <c r="EL166" s="745"/>
      <c r="EM166" s="712"/>
      <c r="EN166" s="712"/>
      <c r="EO166" s="744"/>
      <c r="EP166" s="741">
        <f>EP165/EK165-1</f>
        <v>5.6860070240617677E-2</v>
      </c>
      <c r="EQ166" s="745"/>
      <c r="ER166" s="712"/>
      <c r="ES166" s="712"/>
      <c r="ET166" s="744"/>
      <c r="EU166" s="741">
        <f>EU165/EP165-1</f>
        <v>5.4039402397149772E-2</v>
      </c>
      <c r="EV166" s="745"/>
      <c r="EW166" s="712"/>
      <c r="EX166" s="712"/>
      <c r="EY166" s="744"/>
      <c r="EZ166" s="741">
        <f>EZ165/EU165-1</f>
        <v>5.9536526099990716E-2</v>
      </c>
      <c r="FA166" s="745"/>
      <c r="FB166" s="712"/>
      <c r="FC166" s="712"/>
      <c r="FD166" s="744"/>
      <c r="FE166" s="741">
        <f>FE165/EZ165-1</f>
        <v>5.8130774754568959E-2</v>
      </c>
      <c r="FF166" s="721"/>
      <c r="FG166" s="690"/>
      <c r="FH166" s="754"/>
      <c r="FI166" s="754"/>
      <c r="FJ166" s="754"/>
      <c r="FK166" s="754"/>
      <c r="FL166" s="690"/>
      <c r="FM166" s="530" t="s">
        <v>370</v>
      </c>
      <c r="FN166" s="708"/>
      <c r="FO166" s="723"/>
      <c r="FP166" s="723"/>
      <c r="FQ166" s="723"/>
      <c r="FR166" s="723"/>
      <c r="FS166" s="723"/>
      <c r="FT166" s="723"/>
      <c r="FU166" s="690"/>
      <c r="FV166"/>
      <c r="FW166"/>
      <c r="FX166"/>
      <c r="FY166"/>
      <c r="FZ166"/>
      <c r="GA166"/>
      <c r="GB166" s="1117"/>
      <c r="GC166" s="532"/>
      <c r="GD166" s="532"/>
      <c r="GE166" s="532"/>
      <c r="GF166" s="532"/>
      <c r="GG166" s="532"/>
      <c r="GH166" s="532"/>
      <c r="GI166" s="532"/>
      <c r="GJ166" s="532"/>
      <c r="GK166" s="532"/>
      <c r="GL166" s="532"/>
      <c r="GM166" s="532"/>
      <c r="GN166" s="532"/>
      <c r="GO166" s="532"/>
      <c r="GP166" s="532"/>
      <c r="GQ166" s="532"/>
      <c r="GR166" s="532"/>
      <c r="GS166" s="532"/>
      <c r="GT166" s="532"/>
      <c r="GU166" s="532"/>
      <c r="GV166" s="532"/>
      <c r="GW166" s="532"/>
      <c r="GX166" s="532"/>
      <c r="GY166" s="532"/>
      <c r="GZ166" s="532"/>
      <c r="HA166" s="532"/>
      <c r="HB166" s="532"/>
      <c r="HC166" s="532"/>
      <c r="HD166" s="532"/>
      <c r="HE166" s="532"/>
      <c r="HF166" s="532"/>
      <c r="HG166" s="532"/>
      <c r="HH166" s="532"/>
      <c r="HI166" s="532"/>
      <c r="HJ166" s="532"/>
      <c r="HK166" s="532"/>
      <c r="HL166" s="532"/>
      <c r="HM166" s="532"/>
      <c r="HN166" s="532"/>
      <c r="HO166" s="532"/>
      <c r="HP166" s="532"/>
      <c r="HQ166" s="532"/>
      <c r="HR166" s="532"/>
      <c r="HS166" s="532"/>
      <c r="HT166" s="532"/>
      <c r="HU166" s="532"/>
      <c r="HV166" s="532"/>
      <c r="HW166" s="532"/>
      <c r="HX166" s="532"/>
      <c r="HY166" s="532"/>
      <c r="HZ166" s="532"/>
      <c r="IA166" s="532"/>
      <c r="IB166" s="532"/>
      <c r="IC166" s="532"/>
      <c r="ID166" s="532"/>
      <c r="IE166" s="532"/>
      <c r="IF166" s="532"/>
      <c r="IG166" s="532"/>
      <c r="IH166" s="532"/>
      <c r="II166" s="532"/>
      <c r="IJ166" s="532"/>
      <c r="IK166" s="532"/>
      <c r="IL166" s="532"/>
      <c r="IM166" s="532"/>
      <c r="IN166" s="532"/>
      <c r="IO166" s="532"/>
      <c r="IP166" s="532"/>
      <c r="IQ166" s="532"/>
      <c r="IR166" s="532"/>
      <c r="IS166" s="532"/>
      <c r="IT166" s="532"/>
      <c r="IU166" s="532"/>
      <c r="IV166" s="532"/>
      <c r="IW166" s="532"/>
      <c r="IX166" s="532"/>
      <c r="IY166" s="532"/>
      <c r="IZ166" s="532"/>
      <c r="JA166" s="532"/>
      <c r="JB166" s="532"/>
      <c r="JC166" s="532"/>
      <c r="JD166" s="532"/>
      <c r="JE166" s="532"/>
      <c r="JF166" s="532"/>
      <c r="JG166" s="532"/>
      <c r="JH166" s="532"/>
      <c r="JI166" s="532"/>
      <c r="JJ166" s="532"/>
      <c r="JK166" s="532"/>
      <c r="JL166" s="532"/>
    </row>
    <row r="167" spans="1:272" s="749" customFormat="1" ht="12.75" hidden="1" customHeight="1" outlineLevel="1">
      <c r="A167" s="58" t="s">
        <v>371</v>
      </c>
      <c r="B167" s="1300"/>
      <c r="C167" s="1301"/>
      <c r="D167" s="1301"/>
      <c r="E167" s="1301"/>
      <c r="F167" s="741"/>
      <c r="G167" s="1257"/>
      <c r="H167" s="1301"/>
      <c r="I167" s="1301"/>
      <c r="J167" s="1301"/>
      <c r="K167" s="741"/>
      <c r="L167" s="1257"/>
      <c r="M167" s="1301"/>
      <c r="N167" s="1301"/>
      <c r="O167" s="1301"/>
      <c r="P167" s="741"/>
      <c r="Q167" s="1257"/>
      <c r="R167" s="1301"/>
      <c r="S167" s="1301"/>
      <c r="T167" s="1301"/>
      <c r="U167" s="741"/>
      <c r="V167" s="1257"/>
      <c r="W167" s="1301"/>
      <c r="X167" s="1302"/>
      <c r="Y167" s="1302"/>
      <c r="Z167" s="741"/>
      <c r="AA167" s="1236"/>
      <c r="AB167" s="1302"/>
      <c r="AC167" s="1302"/>
      <c r="AD167" s="1302"/>
      <c r="AE167" s="741"/>
      <c r="AF167" s="721"/>
      <c r="AG167" s="721"/>
      <c r="AH167" s="721"/>
      <c r="AI167" s="721"/>
      <c r="AJ167" s="741"/>
      <c r="AK167" s="721"/>
      <c r="AL167" s="721"/>
      <c r="AM167" s="721"/>
      <c r="AN167" s="721"/>
      <c r="AO167" s="741"/>
      <c r="AP167" s="721"/>
      <c r="AQ167" s="742"/>
      <c r="AR167" s="742"/>
      <c r="AS167" s="721"/>
      <c r="AT167" s="741"/>
      <c r="AU167" s="721"/>
      <c r="AV167" s="742"/>
      <c r="AW167" s="721"/>
      <c r="AX167" s="721"/>
      <c r="AY167" s="741"/>
      <c r="AZ167" s="721"/>
      <c r="BA167" s="742"/>
      <c r="BB167" s="721"/>
      <c r="BC167" s="721"/>
      <c r="BD167" s="741"/>
      <c r="BE167" s="721"/>
      <c r="BF167" s="742"/>
      <c r="BG167" s="721"/>
      <c r="BH167" s="721"/>
      <c r="BI167" s="741"/>
      <c r="BJ167" s="721"/>
      <c r="BK167" s="742"/>
      <c r="BL167" s="721"/>
      <c r="BM167" s="721"/>
      <c r="BN167" s="741"/>
      <c r="BO167" s="743"/>
      <c r="BP167" s="743"/>
      <c r="BQ167" s="743"/>
      <c r="BR167" s="743"/>
      <c r="BS167" s="754"/>
      <c r="BT167" s="743"/>
      <c r="BU167" s="743"/>
      <c r="BV167" s="743"/>
      <c r="BW167" s="743"/>
      <c r="BX167" s="754"/>
      <c r="BY167" s="743">
        <f t="shared" ref="BY167:EA167" si="501">BY165/BY120</f>
        <v>0.82737394756984306</v>
      </c>
      <c r="BZ167" s="743">
        <f t="shared" si="501"/>
        <v>0.82098481564202896</v>
      </c>
      <c r="CA167" s="743">
        <f t="shared" si="501"/>
        <v>0.82616073980278326</v>
      </c>
      <c r="CB167" s="743">
        <f t="shared" si="501"/>
        <v>0.76992463205767381</v>
      </c>
      <c r="CC167" s="754">
        <f t="shared" si="501"/>
        <v>0.81050761992956788</v>
      </c>
      <c r="CD167" s="743">
        <f t="shared" si="501"/>
        <v>0.82165146243834142</v>
      </c>
      <c r="CE167" s="743">
        <f t="shared" si="501"/>
        <v>0.79030507114084758</v>
      </c>
      <c r="CF167" s="743">
        <f t="shared" si="501"/>
        <v>0.80318445083576395</v>
      </c>
      <c r="CG167" s="743">
        <f t="shared" si="501"/>
        <v>0.79641289510390556</v>
      </c>
      <c r="CH167" s="754">
        <f t="shared" si="501"/>
        <v>0.40358151655600982</v>
      </c>
      <c r="CI167" s="743">
        <f t="shared" si="501"/>
        <v>0.41182150532700063</v>
      </c>
      <c r="CJ167" s="743">
        <f t="shared" si="501"/>
        <v>0.40001018133688221</v>
      </c>
      <c r="CK167" s="743">
        <f t="shared" si="501"/>
        <v>0.4013681188922435</v>
      </c>
      <c r="CL167" s="743">
        <f t="shared" si="501"/>
        <v>0.41678524614295426</v>
      </c>
      <c r="CM167" s="754">
        <f t="shared" si="501"/>
        <v>0.40725144131984103</v>
      </c>
      <c r="CN167" s="743">
        <f t="shared" si="501"/>
        <v>0.44557873698726091</v>
      </c>
      <c r="CO167" s="743">
        <f t="shared" si="501"/>
        <v>0.42953776460650239</v>
      </c>
      <c r="CP167" s="743">
        <f t="shared" si="501"/>
        <v>0.43744988945309649</v>
      </c>
      <c r="CQ167" s="743">
        <f t="shared" si="501"/>
        <v>0.42226716059998565</v>
      </c>
      <c r="CR167" s="754">
        <f t="shared" si="501"/>
        <v>0.43321717396075954</v>
      </c>
      <c r="CS167" s="743">
        <f t="shared" si="501"/>
        <v>0.42798113485482875</v>
      </c>
      <c r="CT167" s="743">
        <f t="shared" si="501"/>
        <v>0.39737699533845644</v>
      </c>
      <c r="CU167" s="743">
        <f t="shared" si="501"/>
        <v>0.38959427632649696</v>
      </c>
      <c r="CV167" s="743">
        <f t="shared" si="501"/>
        <v>0.41470185234880241</v>
      </c>
      <c r="CW167" s="754">
        <f t="shared" si="501"/>
        <v>0.4064316809604161</v>
      </c>
      <c r="CX167" s="743">
        <f t="shared" si="501"/>
        <v>0.4905528116211737</v>
      </c>
      <c r="CY167" s="743">
        <f t="shared" si="501"/>
        <v>0.42192944838417423</v>
      </c>
      <c r="CZ167" s="743">
        <f t="shared" si="501"/>
        <v>0.42036065397316674</v>
      </c>
      <c r="DA167" s="743">
        <f t="shared" si="501"/>
        <v>0.41115130497710334</v>
      </c>
      <c r="DB167" s="754">
        <f t="shared" si="501"/>
        <v>0.43417222601030309</v>
      </c>
      <c r="DC167" s="743">
        <f t="shared" si="501"/>
        <v>0.42125343507377067</v>
      </c>
      <c r="DD167" s="743">
        <f t="shared" si="501"/>
        <v>0.40110605597800753</v>
      </c>
      <c r="DE167" s="743">
        <f t="shared" si="501"/>
        <v>0.40287545376739226</v>
      </c>
      <c r="DF167" s="743">
        <f t="shared" si="501"/>
        <v>0.40701919757292709</v>
      </c>
      <c r="DG167" s="754">
        <f t="shared" si="501"/>
        <v>0.40805181966590515</v>
      </c>
      <c r="DH167" s="743">
        <f t="shared" si="501"/>
        <v>0.39469279326796858</v>
      </c>
      <c r="DI167" s="743">
        <f t="shared" si="501"/>
        <v>0.37734928430483433</v>
      </c>
      <c r="DJ167" s="743">
        <f t="shared" si="501"/>
        <v>0.3747746086014368</v>
      </c>
      <c r="DK167" s="743">
        <f t="shared" si="501"/>
        <v>0.38771045379609287</v>
      </c>
      <c r="DL167" s="741">
        <f t="shared" si="501"/>
        <v>0.38334584454253862</v>
      </c>
      <c r="DM167" s="743">
        <f t="shared" si="501"/>
        <v>0.38243662350191521</v>
      </c>
      <c r="DN167" s="743">
        <f t="shared" si="501"/>
        <v>0.3766167667983315</v>
      </c>
      <c r="DO167" s="743">
        <f t="shared" si="501"/>
        <v>0.38031910537114894</v>
      </c>
      <c r="DP167" s="743">
        <f t="shared" si="501"/>
        <v>0.38419841686487632</v>
      </c>
      <c r="DQ167" s="741">
        <f t="shared" si="501"/>
        <v>0.38082622163969121</v>
      </c>
      <c r="DR167" s="743">
        <f t="shared" si="501"/>
        <v>0.38755796444149071</v>
      </c>
      <c r="DS167" s="743">
        <f t="shared" si="501"/>
        <v>0.39059484424882557</v>
      </c>
      <c r="DT167" s="743">
        <f t="shared" si="501"/>
        <v>0.38724239478520001</v>
      </c>
      <c r="DU167" s="743">
        <f t="shared" si="501"/>
        <v>0.40084371715737438</v>
      </c>
      <c r="DV167" s="741">
        <f t="shared" si="501"/>
        <v>0.39153966962865205</v>
      </c>
      <c r="DW167" s="743">
        <f t="shared" si="501"/>
        <v>0.39248620915619975</v>
      </c>
      <c r="DX167" s="743">
        <f t="shared" si="501"/>
        <v>0.37596634567383369</v>
      </c>
      <c r="DY167" s="743">
        <f t="shared" si="501"/>
        <v>0.37909517002958482</v>
      </c>
      <c r="DZ167" s="743">
        <f t="shared" si="501"/>
        <v>0.40032775119783276</v>
      </c>
      <c r="EA167" s="741">
        <f t="shared" si="501"/>
        <v>0.38671672692832265</v>
      </c>
      <c r="EB167" s="743">
        <f>EB165/EB120</f>
        <v>0.41117331217379965</v>
      </c>
      <c r="EC167" s="743">
        <f>EC165/EC120</f>
        <v>0.40918186187482214</v>
      </c>
      <c r="ED167" s="982">
        <v>0.40300000000000002</v>
      </c>
      <c r="EE167" s="1105">
        <v>0.40500000000000003</v>
      </c>
      <c r="EF167" s="741">
        <f>EF165/EF120</f>
        <v>0.40709269393343578</v>
      </c>
      <c r="EG167" s="1303"/>
      <c r="EH167" s="711"/>
      <c r="EI167" s="711"/>
      <c r="EJ167" s="1304"/>
      <c r="EK167" s="1400">
        <v>0.4</v>
      </c>
      <c r="EL167" s="1303"/>
      <c r="EM167" s="711"/>
      <c r="EN167" s="711"/>
      <c r="EO167" s="1304"/>
      <c r="EP167" s="1400">
        <v>0.4</v>
      </c>
      <c r="EQ167" s="1303"/>
      <c r="ER167" s="711"/>
      <c r="ES167" s="711"/>
      <c r="ET167" s="1304"/>
      <c r="EU167" s="1400">
        <v>0.4</v>
      </c>
      <c r="EV167" s="1303"/>
      <c r="EW167" s="711"/>
      <c r="EX167" s="711"/>
      <c r="EY167" s="1304"/>
      <c r="EZ167" s="1400">
        <v>0.4</v>
      </c>
      <c r="FA167" s="1303"/>
      <c r="FB167" s="711"/>
      <c r="FC167" s="711"/>
      <c r="FD167" s="1304"/>
      <c r="FE167" s="1400">
        <v>0.4</v>
      </c>
      <c r="FF167" s="1009"/>
      <c r="FG167" s="690"/>
      <c r="FH167" s="754"/>
      <c r="FI167" s="754"/>
      <c r="FJ167" s="754"/>
      <c r="FK167" s="754"/>
      <c r="FL167" s="690"/>
      <c r="FM167" s="1091" t="s">
        <v>372</v>
      </c>
      <c r="FN167" s="1091"/>
      <c r="FO167" s="1306"/>
      <c r="FP167" s="1306"/>
      <c r="FQ167" s="1306"/>
      <c r="FR167" s="1306"/>
      <c r="FS167" s="1306"/>
      <c r="FT167" s="1306"/>
      <c r="FU167" s="690"/>
      <c r="FV167"/>
      <c r="FW167"/>
      <c r="FX167"/>
      <c r="FY167"/>
      <c r="FZ167"/>
      <c r="GA167"/>
      <c r="GC167" s="532"/>
      <c r="GD167" s="532"/>
      <c r="GE167" s="532"/>
      <c r="GF167" s="532"/>
      <c r="GG167" s="532"/>
      <c r="GH167" s="532"/>
      <c r="GI167" s="532"/>
      <c r="GJ167" s="532"/>
      <c r="GK167" s="532"/>
      <c r="GL167" s="532"/>
      <c r="GM167" s="532"/>
      <c r="GN167" s="532"/>
      <c r="GO167" s="532"/>
      <c r="GP167" s="532"/>
      <c r="GQ167" s="532"/>
      <c r="GR167" s="532"/>
      <c r="GS167" s="532"/>
      <c r="GT167" s="532"/>
      <c r="GU167" s="532"/>
      <c r="GV167" s="532"/>
      <c r="GW167" s="532"/>
      <c r="GX167" s="532"/>
      <c r="GY167" s="532"/>
      <c r="GZ167" s="532"/>
      <c r="HA167" s="532"/>
      <c r="HB167" s="532"/>
      <c r="HC167" s="532"/>
      <c r="HD167" s="532"/>
      <c r="HE167" s="532"/>
      <c r="HF167" s="532"/>
      <c r="HG167" s="532"/>
      <c r="HH167" s="532"/>
      <c r="HI167" s="532"/>
      <c r="HJ167" s="532"/>
      <c r="HK167" s="532"/>
      <c r="HL167" s="532"/>
      <c r="HM167" s="532"/>
      <c r="HN167" s="532"/>
      <c r="HO167" s="532"/>
      <c r="HP167" s="532"/>
      <c r="HQ167" s="532"/>
      <c r="HR167" s="532"/>
      <c r="HS167" s="532"/>
      <c r="HT167" s="532"/>
      <c r="HU167" s="532"/>
      <c r="HV167" s="532"/>
      <c r="HW167" s="532"/>
      <c r="HX167" s="532"/>
      <c r="HY167" s="532"/>
      <c r="HZ167" s="532"/>
      <c r="IA167" s="532"/>
      <c r="IB167" s="532"/>
      <c r="IC167" s="532"/>
      <c r="ID167" s="532"/>
      <c r="IE167" s="532"/>
      <c r="IF167" s="532"/>
      <c r="IG167" s="532"/>
      <c r="IH167" s="532"/>
      <c r="II167" s="532"/>
      <c r="IJ167" s="532"/>
      <c r="IK167" s="532"/>
      <c r="IL167" s="532"/>
      <c r="IM167" s="532"/>
      <c r="IN167" s="532"/>
      <c r="IO167" s="532"/>
      <c r="IP167" s="532"/>
      <c r="IQ167" s="532"/>
      <c r="IR167" s="532"/>
      <c r="IS167" s="532"/>
      <c r="IT167" s="532"/>
      <c r="IU167" s="532"/>
      <c r="IV167" s="532"/>
      <c r="IW167" s="532"/>
      <c r="IX167" s="532"/>
      <c r="IY167" s="532"/>
      <c r="IZ167" s="532"/>
      <c r="JA167" s="532"/>
      <c r="JB167" s="532"/>
      <c r="JC167" s="532"/>
      <c r="JD167" s="532"/>
      <c r="JE167" s="532"/>
      <c r="JF167" s="532"/>
      <c r="JG167" s="532"/>
      <c r="JH167" s="532"/>
      <c r="JI167" s="532"/>
      <c r="JJ167" s="532"/>
      <c r="JK167" s="532"/>
      <c r="JL167" s="532"/>
    </row>
    <row r="168" spans="1:272" s="799" customFormat="1" ht="12.75" hidden="1" customHeight="1" outlineLevel="1">
      <c r="A168" s="58" t="s">
        <v>291</v>
      </c>
      <c r="B168" s="790"/>
      <c r="C168" s="721"/>
      <c r="D168" s="721"/>
      <c r="E168" s="721"/>
      <c r="F168" s="741"/>
      <c r="G168" s="721"/>
      <c r="H168" s="721"/>
      <c r="I168" s="721"/>
      <c r="J168" s="721"/>
      <c r="K168" s="741"/>
      <c r="L168" s="721"/>
      <c r="M168" s="721"/>
      <c r="N168" s="721"/>
      <c r="O168" s="721"/>
      <c r="P168" s="741"/>
      <c r="Q168" s="721"/>
      <c r="R168" s="721"/>
      <c r="S168" s="721"/>
      <c r="T168" s="721"/>
      <c r="U168" s="741"/>
      <c r="V168" s="721"/>
      <c r="W168" s="721"/>
      <c r="X168" s="721"/>
      <c r="Y168" s="721"/>
      <c r="Z168" s="741"/>
      <c r="AA168" s="721"/>
      <c r="AB168" s="721"/>
      <c r="AC168" s="721"/>
      <c r="AD168" s="721"/>
      <c r="AE168" s="741"/>
      <c r="AF168" s="721"/>
      <c r="AG168" s="721"/>
      <c r="AH168" s="721"/>
      <c r="AI168" s="721"/>
      <c r="AJ168" s="741"/>
      <c r="AK168" s="721"/>
      <c r="AL168" s="721"/>
      <c r="AM168" s="721"/>
      <c r="AN168" s="721"/>
      <c r="AO168" s="741"/>
      <c r="AP168" s="721"/>
      <c r="AQ168" s="721"/>
      <c r="AR168" s="721"/>
      <c r="AS168" s="721"/>
      <c r="AT168" s="741"/>
      <c r="AU168" s="721"/>
      <c r="AV168" s="721"/>
      <c r="AW168" s="721"/>
      <c r="AX168" s="721"/>
      <c r="AY168" s="741"/>
      <c r="AZ168" s="721"/>
      <c r="BA168" s="721"/>
      <c r="BB168" s="721"/>
      <c r="BC168" s="721"/>
      <c r="BD168" s="741"/>
      <c r="BE168" s="721"/>
      <c r="BF168" s="721"/>
      <c r="BG168" s="721"/>
      <c r="BH168" s="721"/>
      <c r="BI168" s="741"/>
      <c r="BJ168" s="721"/>
      <c r="BK168" s="721"/>
      <c r="BL168" s="721"/>
      <c r="BM168" s="721"/>
      <c r="BN168" s="741"/>
      <c r="BO168" s="721"/>
      <c r="BP168" s="721"/>
      <c r="BQ168" s="721"/>
      <c r="BR168" s="721"/>
      <c r="BS168" s="741"/>
      <c r="BT168" s="721"/>
      <c r="BU168" s="721"/>
      <c r="BV168" s="721"/>
      <c r="BW168" s="721"/>
      <c r="BX168" s="741"/>
      <c r="BY168" s="721">
        <f>BY165/CC165</f>
        <v>0.23330469086707761</v>
      </c>
      <c r="BZ168" s="721">
        <f>BZ165/CC165</f>
        <v>0.25226098997266377</v>
      </c>
      <c r="CA168" s="721">
        <f>CA165/CC165</f>
        <v>0.26711516632077631</v>
      </c>
      <c r="CB168" s="721">
        <f>CB165/CC165</f>
        <v>0.2473191528394823</v>
      </c>
      <c r="CC168" s="741"/>
      <c r="CD168" s="721"/>
      <c r="CE168" s="721"/>
      <c r="CF168" s="721"/>
      <c r="CG168" s="721"/>
      <c r="CH168" s="741"/>
      <c r="CI168" s="721">
        <f>CI165/CM165</f>
        <v>0.25055912536215907</v>
      </c>
      <c r="CJ168" s="721">
        <f>CJ165/CM165</f>
        <v>0.25595115876368291</v>
      </c>
      <c r="CK168" s="721">
        <f>CK165/CM165</f>
        <v>0.25139323279449838</v>
      </c>
      <c r="CL168" s="721">
        <f>CL165/CM165</f>
        <v>0.24209648307965961</v>
      </c>
      <c r="CM168" s="741"/>
      <c r="CN168" s="721">
        <f>CN165/CR165</f>
        <v>0.2349447382280351</v>
      </c>
      <c r="CO168" s="721">
        <f>CO165/CR165</f>
        <v>0.2426509235374058</v>
      </c>
      <c r="CP168" s="721">
        <f>CP165/CR165</f>
        <v>0.25576885337413274</v>
      </c>
      <c r="CQ168" s="721">
        <f>CQ165/CR165</f>
        <v>0.26663548486042632</v>
      </c>
      <c r="CR168" s="741"/>
      <c r="CS168" s="721">
        <f>CS165/CW165</f>
        <v>0.25120828167544484</v>
      </c>
      <c r="CT168" s="721">
        <f>CT165/CW165</f>
        <v>0.26005289376988766</v>
      </c>
      <c r="CU168" s="721">
        <f>CU165/CW165</f>
        <v>0.26076120524326346</v>
      </c>
      <c r="CV168" s="721">
        <f>CV165/CW165</f>
        <v>0.22797761931140398</v>
      </c>
      <c r="CW168" s="741"/>
      <c r="CX168" s="721">
        <f>CX165/DB165</f>
        <v>0.25484075453782806</v>
      </c>
      <c r="CY168" s="721">
        <f>CY165/DB165</f>
        <v>0.240451881084493</v>
      </c>
      <c r="CZ168" s="721">
        <f>CZ165/DB165</f>
        <v>0.25704459196637869</v>
      </c>
      <c r="DA168" s="721">
        <f>DA165/DB165</f>
        <v>0.2476627724113003</v>
      </c>
      <c r="DB168" s="741"/>
      <c r="DC168" s="721">
        <f>DC165/DG165</f>
        <v>0.24222633307401317</v>
      </c>
      <c r="DD168" s="721">
        <f>DD165/DG165</f>
        <v>0.25929544091359891</v>
      </c>
      <c r="DE168" s="721">
        <f>DE165/DG165</f>
        <v>0.25324348185847456</v>
      </c>
      <c r="DF168" s="721">
        <f>DF165/DG165</f>
        <v>0.24446173245679148</v>
      </c>
      <c r="DG168" s="741"/>
      <c r="DH168" s="721">
        <f>DH165/DL165</f>
        <v>0.24244157662966562</v>
      </c>
      <c r="DI168" s="721">
        <f>DI165/DL165</f>
        <v>0.25094014902335954</v>
      </c>
      <c r="DJ168" s="721">
        <f>DJ165/DL165</f>
        <v>0.25449511063332464</v>
      </c>
      <c r="DK168" s="721">
        <f>DK165/DL165</f>
        <v>0.25212316371365029</v>
      </c>
      <c r="DL168" s="741"/>
      <c r="DM168" s="721">
        <f>DM165/DQ165</f>
        <v>0.24585620280230988</v>
      </c>
      <c r="DN168" s="721">
        <f>DN165/DQ165</f>
        <v>0.25628110436006896</v>
      </c>
      <c r="DO168" s="721">
        <f>DO165/DQ165</f>
        <v>0.25128699583643904</v>
      </c>
      <c r="DP168" s="721">
        <f>DP165/DQ165</f>
        <v>0.24657569700118204</v>
      </c>
      <c r="DQ168" s="741"/>
      <c r="DR168" s="721">
        <f>DR165/DV165</f>
        <v>0.24163896453442685</v>
      </c>
      <c r="DS168" s="721">
        <f>DS165/DV165</f>
        <v>0.25177178544830792</v>
      </c>
      <c r="DT168" s="721">
        <f>DT165/DV165</f>
        <v>0.25261964801337916</v>
      </c>
      <c r="DU168" s="721">
        <f>DU165/DV165</f>
        <v>0.25396960200388607</v>
      </c>
      <c r="DV168" s="741"/>
      <c r="DW168" s="721">
        <f>DW165/EA165</f>
        <v>0.23927806657806694</v>
      </c>
      <c r="DX168" s="721">
        <f>DX165/EA165</f>
        <v>0.24988732038067007</v>
      </c>
      <c r="DY168" s="721">
        <f>DY165/EA165</f>
        <v>0.25395937476617869</v>
      </c>
      <c r="DZ168" s="721">
        <f>DZ165/EA165</f>
        <v>0.25687523827508441</v>
      </c>
      <c r="EA168" s="741"/>
      <c r="EB168" s="721">
        <f>EB165/EF165</f>
        <v>0.24954496871991269</v>
      </c>
      <c r="EC168" s="721">
        <f>EC165/EF165</f>
        <v>0.25826721558736521</v>
      </c>
      <c r="ED168" s="721">
        <f>ED165/EF165</f>
        <v>0.25098109347674835</v>
      </c>
      <c r="EE168" s="721">
        <f>EE165/EF165</f>
        <v>0.24120672221597372</v>
      </c>
      <c r="EF168" s="741"/>
      <c r="EG168" s="1041"/>
      <c r="EH168" s="721"/>
      <c r="EI168" s="721"/>
      <c r="EJ168" s="1042"/>
      <c r="EK168" s="741"/>
      <c r="EL168" s="1041"/>
      <c r="EM168" s="721"/>
      <c r="EN168" s="721"/>
      <c r="EO168" s="1042"/>
      <c r="EP168" s="741"/>
      <c r="EQ168" s="1041"/>
      <c r="ER168" s="721"/>
      <c r="ES168" s="721"/>
      <c r="ET168" s="1042"/>
      <c r="EU168" s="741"/>
      <c r="EV168" s="1041"/>
      <c r="EW168" s="721"/>
      <c r="EX168" s="721"/>
      <c r="EY168" s="1042"/>
      <c r="EZ168" s="741"/>
      <c r="FA168" s="1041"/>
      <c r="FB168" s="721"/>
      <c r="FC168" s="721"/>
      <c r="FD168" s="1042"/>
      <c r="FE168" s="741"/>
      <c r="FF168" s="721"/>
      <c r="FG168" s="690"/>
      <c r="FH168" s="955">
        <f>AVERAGE(CI168,CN168,DH168,DM168,DC168,CS168,CX168,CD168,BY168,DR168,DW168)</f>
        <v>0.24362987342890277</v>
      </c>
      <c r="FI168" s="955">
        <f>AVERAGE(CJ168,CO168,DI168,DN168,DD168,CT168,CY168,CE168,BZ168,DS168,DX168)</f>
        <v>0.25195436472541383</v>
      </c>
      <c r="FJ168" s="955">
        <f>AVERAGE(CK168,CP168,DJ168,DO168,DE168,CU168,CZ168,CF168,CA168,DT168,DY168)</f>
        <v>0.25576876608068455</v>
      </c>
      <c r="FK168" s="955">
        <f>AVERAGE(CL168,CQ168,DK168,DP168,DF168,CV168,DA168,CG168,CB168,DU168,DZ168)</f>
        <v>0.24856969459528672</v>
      </c>
      <c r="FL168" s="690"/>
      <c r="FM168" s="1091"/>
      <c r="FN168" s="708"/>
      <c r="FO168" s="723"/>
      <c r="FP168" s="723"/>
      <c r="FQ168" s="723"/>
      <c r="FR168" s="723"/>
      <c r="FS168" s="723"/>
      <c r="FT168" s="723"/>
      <c r="FU168" s="690"/>
      <c r="FV168"/>
      <c r="FW168"/>
      <c r="FX168"/>
      <c r="FY168"/>
      <c r="FZ168"/>
      <c r="GA168"/>
      <c r="GB168" s="949"/>
      <c r="GC168" s="950"/>
      <c r="GD168" s="950"/>
      <c r="GE168" s="950"/>
      <c r="GF168" s="950"/>
      <c r="GG168" s="950"/>
      <c r="GH168" s="950"/>
      <c r="GI168" s="950"/>
      <c r="GJ168" s="950"/>
      <c r="GK168" s="950"/>
      <c r="GL168" s="950"/>
      <c r="GM168" s="950"/>
      <c r="GN168" s="950"/>
      <c r="GO168" s="950"/>
      <c r="GP168" s="950"/>
      <c r="GQ168" s="950"/>
      <c r="GR168" s="950"/>
      <c r="GS168" s="950"/>
      <c r="GT168" s="950"/>
      <c r="GU168" s="950"/>
      <c r="GV168" s="950"/>
      <c r="GW168" s="950"/>
      <c r="GX168" s="950"/>
      <c r="GY168" s="950"/>
      <c r="GZ168" s="950"/>
      <c r="HA168" s="950"/>
      <c r="HB168" s="950"/>
      <c r="HC168" s="950"/>
      <c r="HD168" s="950"/>
      <c r="HE168" s="950"/>
      <c r="HF168" s="950"/>
      <c r="HG168" s="950"/>
      <c r="HH168" s="950"/>
      <c r="HI168" s="950"/>
      <c r="HJ168" s="950"/>
      <c r="HK168" s="950"/>
      <c r="HL168" s="950"/>
      <c r="HM168" s="950"/>
      <c r="HN168" s="950"/>
      <c r="HO168" s="950"/>
      <c r="HP168" s="950"/>
      <c r="HQ168" s="950"/>
      <c r="HR168" s="950"/>
      <c r="HS168" s="950"/>
      <c r="HT168" s="950"/>
      <c r="HU168" s="950"/>
      <c r="HV168" s="950"/>
      <c r="HW168" s="950"/>
      <c r="HX168" s="950"/>
      <c r="HY168" s="950"/>
      <c r="HZ168" s="950"/>
      <c r="IA168" s="950"/>
      <c r="IB168" s="950"/>
      <c r="IC168" s="950"/>
      <c r="ID168" s="950"/>
      <c r="IE168" s="950"/>
      <c r="IF168" s="950"/>
      <c r="IG168" s="950"/>
      <c r="IH168" s="950"/>
      <c r="II168" s="950"/>
      <c r="IJ168" s="950"/>
      <c r="IK168" s="950"/>
      <c r="IL168" s="950"/>
      <c r="IM168" s="950"/>
      <c r="IN168" s="950"/>
      <c r="IO168" s="950"/>
      <c r="IP168" s="950"/>
      <c r="IQ168" s="950"/>
      <c r="IR168" s="950"/>
      <c r="IS168" s="950"/>
      <c r="IT168" s="950"/>
      <c r="IU168" s="950"/>
      <c r="IV168" s="950"/>
      <c r="IW168" s="950"/>
      <c r="IX168" s="950"/>
      <c r="IY168" s="950"/>
      <c r="IZ168" s="950"/>
      <c r="JA168" s="950"/>
      <c r="JB168" s="950"/>
      <c r="JC168" s="950"/>
      <c r="JD168" s="950"/>
      <c r="JE168" s="950"/>
      <c r="JF168" s="950"/>
      <c r="JG168" s="950"/>
      <c r="JH168" s="950"/>
      <c r="JI168" s="950"/>
      <c r="JJ168" s="950"/>
      <c r="JK168" s="950"/>
      <c r="JL168" s="950"/>
    </row>
    <row r="169" spans="1:272" s="1399" customFormat="1" ht="12.75" hidden="1" customHeight="1" outlineLevel="1">
      <c r="A169" s="932" t="s">
        <v>373</v>
      </c>
      <c r="B169" s="1390"/>
      <c r="C169" s="1391"/>
      <c r="D169" s="1391"/>
      <c r="E169" s="1391"/>
      <c r="F169" s="718"/>
      <c r="G169" s="1392"/>
      <c r="H169" s="1391"/>
      <c r="I169" s="1391"/>
      <c r="J169" s="1391"/>
      <c r="K169" s="718"/>
      <c r="L169" s="1392"/>
      <c r="M169" s="1391"/>
      <c r="N169" s="1391"/>
      <c r="O169" s="1391"/>
      <c r="P169" s="718"/>
      <c r="Q169" s="1392"/>
      <c r="R169" s="1391"/>
      <c r="S169" s="1391"/>
      <c r="T169" s="1391"/>
      <c r="U169" s="718"/>
      <c r="V169" s="1392"/>
      <c r="W169" s="1391"/>
      <c r="X169" s="1391"/>
      <c r="Y169" s="1391"/>
      <c r="Z169" s="718"/>
      <c r="AA169" s="1392"/>
      <c r="AB169" s="1391"/>
      <c r="AC169" s="1391"/>
      <c r="AD169" s="1391"/>
      <c r="AE169" s="718"/>
      <c r="AF169" s="719"/>
      <c r="AG169" s="719"/>
      <c r="AH169" s="719"/>
      <c r="AI169" s="719"/>
      <c r="AJ169" s="718"/>
      <c r="AK169" s="719"/>
      <c r="AL169" s="719"/>
      <c r="AM169" s="719"/>
      <c r="AN169" s="719"/>
      <c r="AO169" s="718"/>
      <c r="AP169" s="719"/>
      <c r="AQ169" s="934"/>
      <c r="AR169" s="934"/>
      <c r="AS169" s="719"/>
      <c r="AT169" s="718"/>
      <c r="AU169" s="719"/>
      <c r="AV169" s="934"/>
      <c r="AW169" s="719"/>
      <c r="AX169" s="719"/>
      <c r="AY169" s="718"/>
      <c r="AZ169" s="719"/>
      <c r="BA169" s="934"/>
      <c r="BB169" s="719"/>
      <c r="BC169" s="719"/>
      <c r="BD169" s="718"/>
      <c r="BE169" s="719"/>
      <c r="BF169" s="934"/>
      <c r="BG169" s="719"/>
      <c r="BH169" s="719"/>
      <c r="BI169" s="718"/>
      <c r="BJ169" s="719"/>
      <c r="BK169" s="934"/>
      <c r="BL169" s="719"/>
      <c r="BM169" s="719"/>
      <c r="BN169" s="718"/>
      <c r="BO169" s="719"/>
      <c r="BP169" s="934"/>
      <c r="BQ169" s="719"/>
      <c r="BR169" s="719"/>
      <c r="BS169" s="718"/>
      <c r="BT169" s="719"/>
      <c r="BU169" s="934"/>
      <c r="BV169" s="719"/>
      <c r="BW169" s="719"/>
      <c r="BX169" s="718"/>
      <c r="BY169" s="719"/>
      <c r="BZ169" s="934"/>
      <c r="CA169" s="719"/>
      <c r="CB169" s="719"/>
      <c r="CC169" s="718"/>
      <c r="CD169" s="719"/>
      <c r="CE169" s="719"/>
      <c r="CF169" s="719"/>
      <c r="CG169" s="719"/>
      <c r="CH169" s="718">
        <v>1200.884</v>
      </c>
      <c r="CI169" s="719">
        <v>303.11599999999999</v>
      </c>
      <c r="CJ169" s="719">
        <v>301.86700000000002</v>
      </c>
      <c r="CK169" s="719">
        <v>296.29599999999999</v>
      </c>
      <c r="CL169" s="719">
        <v>272.7</v>
      </c>
      <c r="CM169" s="718">
        <v>1173.979</v>
      </c>
      <c r="CN169" s="719">
        <v>256.85899999999998</v>
      </c>
      <c r="CO169" s="719">
        <v>269.53100000000001</v>
      </c>
      <c r="CP169" s="719">
        <v>255.58699999999999</v>
      </c>
      <c r="CQ169" s="719">
        <f>CR169-SUM(CN169:CP169)</f>
        <v>267.92899999999997</v>
      </c>
      <c r="CR169" s="718">
        <v>1049.9059999999999</v>
      </c>
      <c r="CS169" s="719">
        <v>266.07299999999998</v>
      </c>
      <c r="CT169" s="719">
        <v>307.024</v>
      </c>
      <c r="CU169" s="719">
        <v>348.899</v>
      </c>
      <c r="CV169" s="719">
        <v>286.19099999999997</v>
      </c>
      <c r="CW169" s="718">
        <v>1208.1869999999999</v>
      </c>
      <c r="CX169" s="719">
        <v>213.541</v>
      </c>
      <c r="CY169" s="719">
        <v>232.50899999999999</v>
      </c>
      <c r="CZ169" s="719">
        <v>271.84199999999998</v>
      </c>
      <c r="DA169" s="719">
        <f>DB169-SUM(CX169:CZ169)</f>
        <v>265.54000000000008</v>
      </c>
      <c r="DB169" s="718">
        <v>983.43200000000002</v>
      </c>
      <c r="DC169" s="719">
        <v>277.64100000000002</v>
      </c>
      <c r="DD169" s="719">
        <v>344.03899999999999</v>
      </c>
      <c r="DE169" s="719">
        <v>331.137</v>
      </c>
      <c r="DF169" s="719">
        <v>313.03099999999989</v>
      </c>
      <c r="DG169" s="718">
        <f>DC169+DD169+DE169+DF169</f>
        <v>1265.848</v>
      </c>
      <c r="DH169" s="719">
        <v>316.99</v>
      </c>
      <c r="DI169" s="719">
        <v>348.52600000000001</v>
      </c>
      <c r="DJ169" s="719">
        <v>365.30599999999998</v>
      </c>
      <c r="DK169" s="719">
        <v>350.44499999999999</v>
      </c>
      <c r="DL169" s="718">
        <f>DH169+DI169+DJ169+DK169</f>
        <v>1381.2670000000001</v>
      </c>
      <c r="DM169" s="719">
        <v>368.05099999999999</v>
      </c>
      <c r="DN169" s="719">
        <v>400.2</v>
      </c>
      <c r="DO169" s="719">
        <v>384.31200000000001</v>
      </c>
      <c r="DP169" s="719">
        <v>378.75599999999997</v>
      </c>
      <c r="DQ169" s="718">
        <f>DM169+DN169+DO169+DP169</f>
        <v>1531.319</v>
      </c>
      <c r="DR169" s="719">
        <v>348.52300000000002</v>
      </c>
      <c r="DS169" s="719">
        <v>329.02100000000002</v>
      </c>
      <c r="DT169" s="719">
        <v>327.69099999999997</v>
      </c>
      <c r="DU169" s="719">
        <v>317.77</v>
      </c>
      <c r="DV169" s="718">
        <f>DR169+DS169+DT169+DU169</f>
        <v>1323.0050000000001</v>
      </c>
      <c r="DW169" s="719">
        <v>332.98500000000001</v>
      </c>
      <c r="DX169" s="719">
        <v>368.65800000000002</v>
      </c>
      <c r="DY169" s="1393">
        <v>379.14100000000002</v>
      </c>
      <c r="DZ169" s="1393">
        <v>356.63400000000001</v>
      </c>
      <c r="EA169" s="718">
        <f>DW169+DX169+DY169+DZ169</f>
        <v>1437.4180000000001</v>
      </c>
      <c r="EB169" s="1394">
        <v>331.93400000000003</v>
      </c>
      <c r="EC169" s="1393">
        <v>328.298</v>
      </c>
      <c r="ED169" s="719">
        <f>ED120*ED171</f>
        <v>337.99776000000003</v>
      </c>
      <c r="EE169" s="719">
        <f>EE120*EE171</f>
        <v>323.23043371302117</v>
      </c>
      <c r="EF169" s="718">
        <f>EB169+EC169+ED169+EE169</f>
        <v>1321.460193713021</v>
      </c>
      <c r="EG169" s="1395"/>
      <c r="EH169" s="719"/>
      <c r="EI169" s="719"/>
      <c r="EJ169" s="1396"/>
      <c r="EK169" s="718">
        <f>EK120*EK171</f>
        <v>826.87199999999996</v>
      </c>
      <c r="EL169" s="1395"/>
      <c r="EM169" s="719"/>
      <c r="EN169" s="719"/>
      <c r="EO169" s="1396"/>
      <c r="EP169" s="718">
        <f>EP120*EP171</f>
        <v>873.88800000000003</v>
      </c>
      <c r="EQ169" s="1395"/>
      <c r="ER169" s="719"/>
      <c r="ES169" s="719"/>
      <c r="ET169" s="1396"/>
      <c r="EU169" s="718">
        <f>EU120*EU171</f>
        <v>921.11238528204058</v>
      </c>
      <c r="EV169" s="1395"/>
      <c r="EW169" s="719"/>
      <c r="EX169" s="719"/>
      <c r="EY169" s="1396"/>
      <c r="EZ169" s="718">
        <f>EZ120*EZ171</f>
        <v>975.95221684940952</v>
      </c>
      <c r="FA169" s="1395"/>
      <c r="FB169" s="719"/>
      <c r="FC169" s="719"/>
      <c r="FD169" s="1396"/>
      <c r="FE169" s="718">
        <f>FE120*FE171</f>
        <v>1032.6850753383048</v>
      </c>
      <c r="FF169" s="778"/>
      <c r="FG169" s="690"/>
      <c r="FH169" s="754"/>
      <c r="FI169" s="754"/>
      <c r="FJ169" s="754"/>
      <c r="FK169" s="754"/>
      <c r="FL169" s="690"/>
      <c r="FM169" s="708"/>
      <c r="FN169" s="940"/>
      <c r="FO169" s="719"/>
      <c r="FP169" s="719"/>
      <c r="FQ169" s="719"/>
      <c r="FR169" s="719"/>
      <c r="FS169" s="719"/>
      <c r="FT169" s="719"/>
      <c r="FU169" s="690"/>
      <c r="FV169"/>
      <c r="FW169"/>
      <c r="FX169"/>
      <c r="FY169"/>
      <c r="FZ169"/>
      <c r="GA169"/>
      <c r="GB169" s="942"/>
      <c r="GC169" s="965"/>
      <c r="GD169" s="965"/>
      <c r="GE169" s="965"/>
      <c r="GF169" s="965"/>
      <c r="GG169" s="965"/>
      <c r="GH169" s="965"/>
      <c r="GI169" s="965"/>
      <c r="GJ169" s="965"/>
      <c r="GK169" s="965"/>
      <c r="GL169" s="965"/>
      <c r="GM169" s="965"/>
      <c r="GN169" s="965"/>
      <c r="GO169" s="965"/>
      <c r="GP169" s="965"/>
      <c r="GQ169" s="965"/>
      <c r="GR169" s="965"/>
      <c r="GS169" s="965"/>
      <c r="GT169" s="965"/>
      <c r="GU169" s="965"/>
      <c r="GV169" s="965"/>
      <c r="GW169" s="965"/>
      <c r="GX169" s="965"/>
      <c r="GY169" s="965"/>
      <c r="GZ169" s="965"/>
      <c r="HA169" s="965"/>
      <c r="HB169" s="965"/>
      <c r="HC169" s="965"/>
      <c r="HD169" s="965"/>
      <c r="HE169" s="965"/>
      <c r="HF169" s="965"/>
      <c r="HG169" s="965"/>
      <c r="HH169" s="965"/>
      <c r="HI169" s="965"/>
      <c r="HJ169" s="965"/>
      <c r="HK169" s="965"/>
      <c r="HL169" s="965"/>
      <c r="HM169" s="965"/>
      <c r="HN169" s="965"/>
      <c r="HO169" s="965"/>
      <c r="HP169" s="965"/>
      <c r="HQ169" s="965"/>
      <c r="HR169" s="965"/>
      <c r="HS169" s="965"/>
      <c r="HT169" s="965"/>
      <c r="HU169" s="965"/>
      <c r="HV169" s="965"/>
      <c r="HW169" s="965"/>
      <c r="HX169" s="965"/>
      <c r="HY169" s="965"/>
      <c r="HZ169" s="965"/>
      <c r="IA169" s="965"/>
      <c r="IB169" s="965"/>
      <c r="IC169" s="965"/>
      <c r="ID169" s="965"/>
      <c r="IE169" s="965"/>
      <c r="IF169" s="965"/>
      <c r="IG169" s="965"/>
      <c r="IH169" s="965"/>
      <c r="II169" s="965"/>
      <c r="IJ169" s="965"/>
      <c r="IK169" s="965"/>
      <c r="IL169" s="965"/>
      <c r="IM169" s="965"/>
      <c r="IN169" s="965"/>
      <c r="IO169" s="965"/>
      <c r="IP169" s="965"/>
      <c r="IQ169" s="965"/>
      <c r="IR169" s="965"/>
      <c r="IS169" s="965"/>
      <c r="IT169" s="965"/>
      <c r="IU169" s="965"/>
      <c r="IV169" s="965"/>
      <c r="IW169" s="965"/>
      <c r="IX169" s="965"/>
      <c r="IY169" s="965"/>
      <c r="IZ169" s="965"/>
      <c r="JA169" s="965"/>
      <c r="JB169" s="965"/>
      <c r="JC169" s="965"/>
      <c r="JD169" s="965"/>
      <c r="JE169" s="965"/>
      <c r="JF169" s="965"/>
      <c r="JG169" s="965"/>
      <c r="JH169" s="965"/>
      <c r="JI169" s="965"/>
      <c r="JJ169" s="965"/>
      <c r="JK169" s="965"/>
      <c r="JL169" s="965"/>
    </row>
    <row r="170" spans="1:272" s="749" customFormat="1" ht="12.75" hidden="1" customHeight="1" outlineLevel="1">
      <c r="A170" s="58" t="s">
        <v>85</v>
      </c>
      <c r="B170" s="1300"/>
      <c r="C170" s="1301"/>
      <c r="D170" s="1301"/>
      <c r="E170" s="1301"/>
      <c r="F170" s="741"/>
      <c r="G170" s="1257"/>
      <c r="H170" s="1301"/>
      <c r="I170" s="1301"/>
      <c r="J170" s="1301"/>
      <c r="K170" s="741"/>
      <c r="L170" s="1257"/>
      <c r="M170" s="1301"/>
      <c r="N170" s="1301"/>
      <c r="O170" s="1301"/>
      <c r="P170" s="741"/>
      <c r="Q170" s="1257"/>
      <c r="R170" s="1301"/>
      <c r="S170" s="1301"/>
      <c r="T170" s="1301"/>
      <c r="U170" s="741"/>
      <c r="V170" s="1257"/>
      <c r="W170" s="1301"/>
      <c r="X170" s="1302"/>
      <c r="Y170" s="1302"/>
      <c r="Z170" s="741"/>
      <c r="AA170" s="1236"/>
      <c r="AB170" s="1302"/>
      <c r="AC170" s="1302"/>
      <c r="AD170" s="1302"/>
      <c r="AE170" s="741"/>
      <c r="AF170" s="721"/>
      <c r="AG170" s="721"/>
      <c r="AH170" s="721"/>
      <c r="AI170" s="721"/>
      <c r="AJ170" s="741"/>
      <c r="AK170" s="721"/>
      <c r="AL170" s="721"/>
      <c r="AM170" s="721"/>
      <c r="AN170" s="721"/>
      <c r="AO170" s="741"/>
      <c r="AP170" s="721"/>
      <c r="AQ170" s="742"/>
      <c r="AR170" s="742"/>
      <c r="AS170" s="721"/>
      <c r="AT170" s="741"/>
      <c r="AU170" s="721"/>
      <c r="AV170" s="742"/>
      <c r="AW170" s="721"/>
      <c r="AX170" s="721"/>
      <c r="AY170" s="741"/>
      <c r="AZ170" s="721"/>
      <c r="BA170" s="742"/>
      <c r="BB170" s="721"/>
      <c r="BC170" s="721"/>
      <c r="BD170" s="741"/>
      <c r="BE170" s="721"/>
      <c r="BF170" s="742"/>
      <c r="BG170" s="721"/>
      <c r="BH170" s="721"/>
      <c r="BI170" s="741"/>
      <c r="BJ170" s="721"/>
      <c r="BK170" s="742"/>
      <c r="BL170" s="721"/>
      <c r="BM170" s="721"/>
      <c r="BN170" s="741"/>
      <c r="BO170" s="721"/>
      <c r="BP170" s="742"/>
      <c r="BQ170" s="721"/>
      <c r="BR170" s="721"/>
      <c r="BS170" s="741"/>
      <c r="BT170" s="721"/>
      <c r="BU170" s="742"/>
      <c r="BV170" s="721"/>
      <c r="BW170" s="721"/>
      <c r="BX170" s="741"/>
      <c r="BY170" s="817" t="str">
        <f t="shared" ref="BY170:CM170" si="502">IF(ISERROR(BY169/BT169-1),"",BY169/BT169-1)</f>
        <v/>
      </c>
      <c r="BZ170" s="817" t="str">
        <f t="shared" si="502"/>
        <v/>
      </c>
      <c r="CA170" s="817" t="str">
        <f t="shared" si="502"/>
        <v/>
      </c>
      <c r="CB170" s="817" t="str">
        <f t="shared" si="502"/>
        <v/>
      </c>
      <c r="CC170" s="816" t="str">
        <f t="shared" si="502"/>
        <v/>
      </c>
      <c r="CD170" s="817" t="str">
        <f t="shared" si="502"/>
        <v/>
      </c>
      <c r="CE170" s="817" t="str">
        <f t="shared" si="502"/>
        <v/>
      </c>
      <c r="CF170" s="817" t="str">
        <f t="shared" si="502"/>
        <v/>
      </c>
      <c r="CG170" s="817" t="str">
        <f t="shared" si="502"/>
        <v/>
      </c>
      <c r="CH170" s="816" t="str">
        <f t="shared" si="502"/>
        <v/>
      </c>
      <c r="CI170" s="817" t="str">
        <f t="shared" si="502"/>
        <v/>
      </c>
      <c r="CJ170" s="817" t="str">
        <f t="shared" si="502"/>
        <v/>
      </c>
      <c r="CK170" s="817" t="str">
        <f t="shared" si="502"/>
        <v/>
      </c>
      <c r="CL170" s="817" t="str">
        <f t="shared" si="502"/>
        <v/>
      </c>
      <c r="CM170" s="816">
        <f t="shared" si="502"/>
        <v>-2.2404328811109098E-2</v>
      </c>
      <c r="CN170" s="721">
        <f t="shared" ref="CN170:EF170" si="503">CN169/CI169-1</f>
        <v>-0.15260494332202856</v>
      </c>
      <c r="CO170" s="721">
        <f t="shared" si="503"/>
        <v>-0.10712002305651169</v>
      </c>
      <c r="CP170" s="721">
        <f t="shared" si="503"/>
        <v>-0.13739301239301238</v>
      </c>
      <c r="CQ170" s="721">
        <f t="shared" si="503"/>
        <v>-1.749541620828754E-2</v>
      </c>
      <c r="CR170" s="741">
        <f t="shared" si="503"/>
        <v>-0.10568587683425346</v>
      </c>
      <c r="CS170" s="721">
        <f t="shared" si="503"/>
        <v>3.5871820726546488E-2</v>
      </c>
      <c r="CT170" s="721">
        <f t="shared" si="503"/>
        <v>0.13910459279266574</v>
      </c>
      <c r="CU170" s="721">
        <f t="shared" si="503"/>
        <v>0.3650889912241233</v>
      </c>
      <c r="CV170" s="721">
        <f t="shared" si="503"/>
        <v>6.8159848318024574E-2</v>
      </c>
      <c r="CW170" s="741">
        <f t="shared" si="503"/>
        <v>0.15075730589214653</v>
      </c>
      <c r="CX170" s="721">
        <f t="shared" si="503"/>
        <v>-0.19743453864165095</v>
      </c>
      <c r="CY170" s="721">
        <f t="shared" si="503"/>
        <v>-0.24270089634686542</v>
      </c>
      <c r="CZ170" s="721">
        <f t="shared" si="503"/>
        <v>-0.22085761208831212</v>
      </c>
      <c r="DA170" s="721">
        <f t="shared" si="503"/>
        <v>-7.215810420313673E-2</v>
      </c>
      <c r="DB170" s="741">
        <f t="shared" si="503"/>
        <v>-0.18602666640180687</v>
      </c>
      <c r="DC170" s="721">
        <f t="shared" si="503"/>
        <v>0.30017654689263429</v>
      </c>
      <c r="DD170" s="721">
        <f t="shared" si="503"/>
        <v>0.47968035645931995</v>
      </c>
      <c r="DE170" s="721">
        <f t="shared" si="503"/>
        <v>0.21812302734676758</v>
      </c>
      <c r="DF170" s="721">
        <f t="shared" si="503"/>
        <v>0.17884687805980182</v>
      </c>
      <c r="DG170" s="741">
        <f t="shared" si="503"/>
        <v>0.2871738971276101</v>
      </c>
      <c r="DH170" s="721">
        <f t="shared" si="503"/>
        <v>0.14172618597397357</v>
      </c>
      <c r="DI170" s="721">
        <f t="shared" si="503"/>
        <v>1.304212603803645E-2</v>
      </c>
      <c r="DJ170" s="721">
        <f t="shared" si="503"/>
        <v>0.10318689847404539</v>
      </c>
      <c r="DK170" s="721">
        <f t="shared" si="503"/>
        <v>0.11952170871255596</v>
      </c>
      <c r="DL170" s="741">
        <f t="shared" si="503"/>
        <v>9.1179193710461348E-2</v>
      </c>
      <c r="DM170" s="721">
        <f t="shared" si="503"/>
        <v>0.16108079119215102</v>
      </c>
      <c r="DN170" s="721">
        <f t="shared" si="503"/>
        <v>0.14826440495113702</v>
      </c>
      <c r="DO170" s="721">
        <f t="shared" si="503"/>
        <v>5.2027615204787381E-2</v>
      </c>
      <c r="DP170" s="721">
        <f t="shared" si="503"/>
        <v>8.0785857980567588E-2</v>
      </c>
      <c r="DQ170" s="741">
        <f t="shared" si="503"/>
        <v>0.1086335950978341</v>
      </c>
      <c r="DR170" s="721">
        <f>DR169/DM169-1</f>
        <v>-5.3057864263376442E-2</v>
      </c>
      <c r="DS170" s="721">
        <f t="shared" si="503"/>
        <v>-0.17785857071464262</v>
      </c>
      <c r="DT170" s="721">
        <f t="shared" si="503"/>
        <v>-0.14733081454651442</v>
      </c>
      <c r="DU170" s="721">
        <f t="shared" si="503"/>
        <v>-0.16101659115631173</v>
      </c>
      <c r="DV170" s="741">
        <f t="shared" si="503"/>
        <v>-0.13603566598468375</v>
      </c>
      <c r="DW170" s="721">
        <f t="shared" si="503"/>
        <v>-4.4582423541631444E-2</v>
      </c>
      <c r="DX170" s="721">
        <f t="shared" si="503"/>
        <v>0.12046951410396289</v>
      </c>
      <c r="DY170" s="721">
        <f t="shared" si="503"/>
        <v>0.15700766880994621</v>
      </c>
      <c r="DZ170" s="721">
        <f t="shared" si="503"/>
        <v>0.1223022941120937</v>
      </c>
      <c r="EA170" s="741">
        <f t="shared" si="503"/>
        <v>8.6479642934078171E-2</v>
      </c>
      <c r="EB170" s="721">
        <f t="shared" si="503"/>
        <v>-3.1562983317566795E-3</v>
      </c>
      <c r="EC170" s="721">
        <f t="shared" si="503"/>
        <v>-0.10947816133109822</v>
      </c>
      <c r="ED170" s="721">
        <f t="shared" si="503"/>
        <v>-0.10851698972150203</v>
      </c>
      <c r="EE170" s="721">
        <f t="shared" si="503"/>
        <v>-9.3663437268961536E-2</v>
      </c>
      <c r="EF170" s="741">
        <f t="shared" si="503"/>
        <v>-8.067090177455627E-2</v>
      </c>
      <c r="EG170" s="1303"/>
      <c r="EH170" s="711"/>
      <c r="EI170" s="711"/>
      <c r="EJ170" s="1304"/>
      <c r="EK170" s="741">
        <f>EK169/EF169-1</f>
        <v>-0.37427400088634821</v>
      </c>
      <c r="EL170" s="1303"/>
      <c r="EM170" s="711"/>
      <c r="EN170" s="711"/>
      <c r="EO170" s="1304"/>
      <c r="EP170" s="741">
        <f>EP169/EK169-1</f>
        <v>5.6860070240617677E-2</v>
      </c>
      <c r="EQ170" s="1303"/>
      <c r="ER170" s="711"/>
      <c r="ES170" s="711"/>
      <c r="ET170" s="1304"/>
      <c r="EU170" s="741">
        <f>EU169/EP169-1</f>
        <v>5.4039402397149994E-2</v>
      </c>
      <c r="EV170" s="1303"/>
      <c r="EW170" s="711"/>
      <c r="EX170" s="711"/>
      <c r="EY170" s="1304"/>
      <c r="EZ170" s="741">
        <f>EZ169/EU169-1</f>
        <v>5.9536526099990716E-2</v>
      </c>
      <c r="FA170" s="1303"/>
      <c r="FB170" s="711"/>
      <c r="FC170" s="711"/>
      <c r="FD170" s="1304"/>
      <c r="FE170" s="741">
        <f>FE169/EZ169-1</f>
        <v>5.8130774754568959E-2</v>
      </c>
      <c r="FF170" s="1009"/>
      <c r="FG170" s="690"/>
      <c r="FH170" s="754"/>
      <c r="FI170" s="754"/>
      <c r="FJ170" s="754"/>
      <c r="FK170" s="754"/>
      <c r="FL170" s="690"/>
      <c r="FM170" s="1091" t="s">
        <v>374</v>
      </c>
      <c r="FN170" s="1091"/>
      <c r="FO170" s="1306"/>
      <c r="FP170" s="1306"/>
      <c r="FQ170" s="1306"/>
      <c r="FR170" s="1306"/>
      <c r="FS170" s="1306"/>
      <c r="FT170" s="1306"/>
      <c r="FU170" s="690"/>
      <c r="FV170"/>
      <c r="FW170"/>
      <c r="FX170"/>
      <c r="FY170"/>
      <c r="FZ170"/>
      <c r="GA170"/>
      <c r="GC170" s="532"/>
      <c r="GD170" s="532"/>
      <c r="GE170" s="532"/>
      <c r="GF170" s="532"/>
      <c r="GG170" s="532"/>
      <c r="GH170" s="532"/>
      <c r="GI170" s="532"/>
      <c r="GJ170" s="532"/>
      <c r="GK170" s="532"/>
      <c r="GL170" s="532"/>
      <c r="GM170" s="532"/>
      <c r="GN170" s="532"/>
      <c r="GO170" s="532"/>
      <c r="GP170" s="532"/>
      <c r="GQ170" s="532"/>
      <c r="GR170" s="532"/>
      <c r="GS170" s="532"/>
      <c r="GT170" s="532"/>
      <c r="GU170" s="532"/>
      <c r="GV170" s="532"/>
      <c r="GW170" s="532"/>
      <c r="GX170" s="532"/>
      <c r="GY170" s="532"/>
      <c r="GZ170" s="532"/>
      <c r="HA170" s="532"/>
      <c r="HB170" s="532"/>
      <c r="HC170" s="532"/>
      <c r="HD170" s="532"/>
      <c r="HE170" s="532"/>
      <c r="HF170" s="532"/>
      <c r="HG170" s="532"/>
      <c r="HH170" s="532"/>
      <c r="HI170" s="532"/>
      <c r="HJ170" s="532"/>
      <c r="HK170" s="532"/>
      <c r="HL170" s="532"/>
      <c r="HM170" s="532"/>
      <c r="HN170" s="532"/>
      <c r="HO170" s="532"/>
      <c r="HP170" s="532"/>
      <c r="HQ170" s="532"/>
      <c r="HR170" s="532"/>
      <c r="HS170" s="532"/>
      <c r="HT170" s="532"/>
      <c r="HU170" s="532"/>
      <c r="HV170" s="532"/>
      <c r="HW170" s="532"/>
      <c r="HX170" s="532"/>
      <c r="HY170" s="532"/>
      <c r="HZ170" s="532"/>
      <c r="IA170" s="532"/>
      <c r="IB170" s="532"/>
      <c r="IC170" s="532"/>
      <c r="ID170" s="532"/>
      <c r="IE170" s="532"/>
      <c r="IF170" s="532"/>
      <c r="IG170" s="532"/>
      <c r="IH170" s="532"/>
      <c r="II170" s="532"/>
      <c r="IJ170" s="532"/>
      <c r="IK170" s="532"/>
      <c r="IL170" s="532"/>
      <c r="IM170" s="532"/>
      <c r="IN170" s="532"/>
      <c r="IO170" s="532"/>
      <c r="IP170" s="532"/>
      <c r="IQ170" s="532"/>
      <c r="IR170" s="532"/>
      <c r="IS170" s="532"/>
      <c r="IT170" s="532"/>
      <c r="IU170" s="532"/>
      <c r="IV170" s="532"/>
      <c r="IW170" s="532"/>
      <c r="IX170" s="532"/>
      <c r="IY170" s="532"/>
      <c r="IZ170" s="532"/>
      <c r="JA170" s="532"/>
      <c r="JB170" s="532"/>
      <c r="JC170" s="532"/>
      <c r="JD170" s="532"/>
      <c r="JE170" s="532"/>
      <c r="JF170" s="532"/>
      <c r="JG170" s="532"/>
      <c r="JH170" s="532"/>
      <c r="JI170" s="532"/>
      <c r="JJ170" s="532"/>
      <c r="JK170" s="532"/>
      <c r="JL170" s="532"/>
    </row>
    <row r="171" spans="1:272" s="749" customFormat="1" ht="12.75" hidden="1" customHeight="1" outlineLevel="1">
      <c r="A171" s="1401" t="s">
        <v>371</v>
      </c>
      <c r="B171" s="1402"/>
      <c r="C171" s="1403"/>
      <c r="D171" s="1403"/>
      <c r="E171" s="1403"/>
      <c r="F171" s="754"/>
      <c r="G171" s="1404"/>
      <c r="H171" s="1403"/>
      <c r="I171" s="1403"/>
      <c r="J171" s="1403"/>
      <c r="K171" s="754"/>
      <c r="L171" s="1404"/>
      <c r="M171" s="1403"/>
      <c r="N171" s="1403"/>
      <c r="O171" s="1403"/>
      <c r="P171" s="754"/>
      <c r="Q171" s="1404"/>
      <c r="R171" s="1403"/>
      <c r="S171" s="1403"/>
      <c r="T171" s="1403"/>
      <c r="U171" s="754"/>
      <c r="V171" s="1404"/>
      <c r="W171" s="1403"/>
      <c r="X171" s="1405"/>
      <c r="Y171" s="1405"/>
      <c r="Z171" s="754"/>
      <c r="AA171" s="1406"/>
      <c r="AB171" s="1405"/>
      <c r="AC171" s="1405"/>
      <c r="AD171" s="1405"/>
      <c r="AE171" s="754"/>
      <c r="AF171" s="743"/>
      <c r="AG171" s="743"/>
      <c r="AH171" s="743"/>
      <c r="AI171" s="743"/>
      <c r="AJ171" s="754"/>
      <c r="AK171" s="743"/>
      <c r="AL171" s="743"/>
      <c r="AM171" s="743"/>
      <c r="AN171" s="743"/>
      <c r="AO171" s="754"/>
      <c r="AP171" s="743"/>
      <c r="AQ171" s="954"/>
      <c r="AR171" s="954"/>
      <c r="AS171" s="743"/>
      <c r="AT171" s="754"/>
      <c r="AU171" s="743"/>
      <c r="AV171" s="954"/>
      <c r="AW171" s="743"/>
      <c r="AX171" s="743"/>
      <c r="AY171" s="754"/>
      <c r="AZ171" s="743"/>
      <c r="BA171" s="954"/>
      <c r="BB171" s="743"/>
      <c r="BC171" s="743"/>
      <c r="BD171" s="754"/>
      <c r="BE171" s="743"/>
      <c r="BF171" s="954"/>
      <c r="BG171" s="743"/>
      <c r="BH171" s="743"/>
      <c r="BI171" s="754"/>
      <c r="BJ171" s="743"/>
      <c r="BK171" s="954"/>
      <c r="BL171" s="743"/>
      <c r="BM171" s="743"/>
      <c r="BN171" s="754"/>
      <c r="BO171" s="743"/>
      <c r="BP171" s="743"/>
      <c r="BQ171" s="743"/>
      <c r="BR171" s="743"/>
      <c r="BS171" s="754"/>
      <c r="BT171" s="743"/>
      <c r="BU171" s="743"/>
      <c r="BV171" s="743"/>
      <c r="BW171" s="743"/>
      <c r="BX171" s="754"/>
      <c r="BY171" s="743"/>
      <c r="BZ171" s="743"/>
      <c r="CA171" s="743"/>
      <c r="CB171" s="743"/>
      <c r="CC171" s="754"/>
      <c r="CD171" s="743"/>
      <c r="CE171" s="743"/>
      <c r="CF171" s="743"/>
      <c r="CG171" s="743"/>
      <c r="CH171" s="754">
        <f t="shared" ref="CH171:EA171" si="504">CH169/CH120</f>
        <v>0.29179009008461759</v>
      </c>
      <c r="CI171" s="743">
        <f t="shared" si="504"/>
        <v>0.28978806721275113</v>
      </c>
      <c r="CJ171" s="743">
        <f t="shared" si="504"/>
        <v>0.27441157327108173</v>
      </c>
      <c r="CK171" s="743">
        <f t="shared" si="504"/>
        <v>0.27516165849590501</v>
      </c>
      <c r="CL171" s="743">
        <f t="shared" si="504"/>
        <v>0.27307493188147325</v>
      </c>
      <c r="CM171" s="754">
        <f t="shared" si="504"/>
        <v>0.27809667609306504</v>
      </c>
      <c r="CN171" s="743">
        <f t="shared" si="504"/>
        <v>0.25629745228204998</v>
      </c>
      <c r="CO171" s="743">
        <f t="shared" si="504"/>
        <v>0.25102610836933753</v>
      </c>
      <c r="CP171" s="743">
        <f t="shared" si="504"/>
        <v>0.22999065053050813</v>
      </c>
      <c r="CQ171" s="743">
        <f t="shared" si="504"/>
        <v>0.22324402872278906</v>
      </c>
      <c r="CR171" s="754">
        <f t="shared" si="504"/>
        <v>0.23930228704577211</v>
      </c>
      <c r="CS171" s="743">
        <f t="shared" si="504"/>
        <v>0.22143575838832336</v>
      </c>
      <c r="CT171" s="743">
        <f t="shared" si="504"/>
        <v>0.2291762615838798</v>
      </c>
      <c r="CU171" s="743">
        <f t="shared" si="504"/>
        <v>0.25463939119918788</v>
      </c>
      <c r="CV171" s="743">
        <f t="shared" si="504"/>
        <v>0.25430564910403752</v>
      </c>
      <c r="CW171" s="754">
        <f t="shared" si="504"/>
        <v>0.23987113290000409</v>
      </c>
      <c r="CX171" s="743">
        <f t="shared" si="504"/>
        <v>0.22176124586159771</v>
      </c>
      <c r="CY171" s="743">
        <f t="shared" si="504"/>
        <v>0.22010956772154233</v>
      </c>
      <c r="CZ171" s="743">
        <f t="shared" si="504"/>
        <v>0.23983780364394797</v>
      </c>
      <c r="DA171" s="743">
        <f t="shared" si="504"/>
        <v>0.23782548299065062</v>
      </c>
      <c r="DB171" s="754">
        <f t="shared" si="504"/>
        <v>0.23035299733746462</v>
      </c>
      <c r="DC171" s="743">
        <f t="shared" si="504"/>
        <v>0.23895203677390092</v>
      </c>
      <c r="DD171" s="743">
        <f t="shared" si="504"/>
        <v>0.26337651759255221</v>
      </c>
      <c r="DE171" s="743">
        <f t="shared" si="504"/>
        <v>0.26070254911206103</v>
      </c>
      <c r="DF171" s="743">
        <f t="shared" si="504"/>
        <v>0.25792675440800955</v>
      </c>
      <c r="DG171" s="754">
        <f t="shared" si="504"/>
        <v>0.25562416974012886</v>
      </c>
      <c r="DH171" s="743">
        <f t="shared" si="504"/>
        <v>0.25448228081118984</v>
      </c>
      <c r="DI171" s="743">
        <f t="shared" si="504"/>
        <v>0.25844518812442113</v>
      </c>
      <c r="DJ171" s="743">
        <f t="shared" si="504"/>
        <v>0.26528177283451787</v>
      </c>
      <c r="DK171" s="743">
        <f t="shared" si="504"/>
        <v>0.26575076325284486</v>
      </c>
      <c r="DL171" s="741">
        <f t="shared" si="504"/>
        <v>0.26111287442180159</v>
      </c>
      <c r="DM171" s="743">
        <f t="shared" si="504"/>
        <v>0.26940528971329147</v>
      </c>
      <c r="DN171" s="743">
        <f t="shared" si="504"/>
        <v>0.27674511235768579</v>
      </c>
      <c r="DO171" s="743">
        <f t="shared" si="504"/>
        <v>0.27370446680573435</v>
      </c>
      <c r="DP171" s="743">
        <f t="shared" si="504"/>
        <v>0.27770559786960103</v>
      </c>
      <c r="DQ171" s="741">
        <f t="shared" si="504"/>
        <v>0.27441783032504302</v>
      </c>
      <c r="DR171" s="743">
        <f t="shared" si="504"/>
        <v>0.26083848988597208</v>
      </c>
      <c r="DS171" s="743">
        <f t="shared" si="504"/>
        <v>0.23818455591188464</v>
      </c>
      <c r="DT171" s="743">
        <f t="shared" si="504"/>
        <v>0.23439633596347978</v>
      </c>
      <c r="DU171" s="743">
        <f t="shared" si="504"/>
        <v>0.23403282218822938</v>
      </c>
      <c r="DV171" s="741">
        <f t="shared" si="504"/>
        <v>0.24171733028145809</v>
      </c>
      <c r="DW171" s="743">
        <f t="shared" si="504"/>
        <v>0.2432601839655826</v>
      </c>
      <c r="DX171" s="743">
        <f t="shared" si="504"/>
        <v>0.24703202803097668</v>
      </c>
      <c r="DY171" s="743">
        <f t="shared" si="504"/>
        <v>0.25206329156001728</v>
      </c>
      <c r="DZ171" s="743">
        <f t="shared" si="504"/>
        <v>0.24753752792860825</v>
      </c>
      <c r="EA171" s="741">
        <f t="shared" si="504"/>
        <v>0.24757163581762462</v>
      </c>
      <c r="EB171" s="743">
        <f>EB169/EB120</f>
        <v>0.24185842494085313</v>
      </c>
      <c r="EC171" s="743">
        <f>EC169/EC120</f>
        <v>0.23001105573125463</v>
      </c>
      <c r="ED171" s="982">
        <v>0.24</v>
      </c>
      <c r="EE171" s="1105">
        <v>0.24</v>
      </c>
      <c r="EF171" s="741">
        <f>EF169/EF120</f>
        <v>0.23789251308106957</v>
      </c>
      <c r="EG171" s="1303"/>
      <c r="EH171" s="711"/>
      <c r="EI171" s="711"/>
      <c r="EJ171" s="1304"/>
      <c r="EK171" s="1400">
        <v>0.24</v>
      </c>
      <c r="EL171" s="1303"/>
      <c r="EM171" s="711"/>
      <c r="EN171" s="711"/>
      <c r="EO171" s="1304"/>
      <c r="EP171" s="1400">
        <v>0.24</v>
      </c>
      <c r="EQ171" s="1303"/>
      <c r="ER171" s="711"/>
      <c r="ES171" s="711"/>
      <c r="ET171" s="1304"/>
      <c r="EU171" s="1400">
        <v>0.24</v>
      </c>
      <c r="EV171" s="1303"/>
      <c r="EW171" s="711"/>
      <c r="EX171" s="711"/>
      <c r="EY171" s="1304"/>
      <c r="EZ171" s="1400">
        <v>0.24</v>
      </c>
      <c r="FA171" s="1303"/>
      <c r="FB171" s="711"/>
      <c r="FC171" s="711"/>
      <c r="FD171" s="1304"/>
      <c r="FE171" s="1400">
        <v>0.24</v>
      </c>
      <c r="FF171" s="1009"/>
      <c r="FG171" s="690"/>
      <c r="FH171" s="754"/>
      <c r="FI171" s="754"/>
      <c r="FJ171" s="754"/>
      <c r="FK171" s="754"/>
      <c r="FL171" s="690"/>
      <c r="FM171" s="1091"/>
      <c r="FN171" s="1091"/>
      <c r="FO171" s="1306"/>
      <c r="FP171" s="1306"/>
      <c r="FQ171" s="1306"/>
      <c r="FR171" s="1306"/>
      <c r="FS171" s="1306"/>
      <c r="FT171" s="1306"/>
      <c r="FU171" s="690"/>
      <c r="FV171"/>
      <c r="FW171"/>
      <c r="FX171"/>
      <c r="FY171"/>
      <c r="FZ171"/>
      <c r="GA171"/>
      <c r="GC171" s="532"/>
      <c r="GD171" s="532"/>
      <c r="GE171" s="532"/>
      <c r="GF171" s="532"/>
      <c r="GG171" s="532"/>
      <c r="GH171" s="532"/>
      <c r="GI171" s="532"/>
      <c r="GJ171" s="532"/>
      <c r="GK171" s="532"/>
      <c r="GL171" s="532"/>
      <c r="GM171" s="532"/>
      <c r="GN171" s="532"/>
      <c r="GO171" s="532"/>
      <c r="GP171" s="532"/>
      <c r="GQ171" s="532"/>
      <c r="GR171" s="532"/>
      <c r="GS171" s="532"/>
      <c r="GT171" s="532"/>
      <c r="GU171" s="532"/>
      <c r="GV171" s="532"/>
      <c r="GW171" s="532"/>
      <c r="GX171" s="532"/>
      <c r="GY171" s="532"/>
      <c r="GZ171" s="532"/>
      <c r="HA171" s="532"/>
      <c r="HB171" s="532"/>
      <c r="HC171" s="532"/>
      <c r="HD171" s="532"/>
      <c r="HE171" s="532"/>
      <c r="HF171" s="532"/>
      <c r="HG171" s="532"/>
      <c r="HH171" s="532"/>
      <c r="HI171" s="532"/>
      <c r="HJ171" s="532"/>
      <c r="HK171" s="532"/>
      <c r="HL171" s="532"/>
      <c r="HM171" s="532"/>
      <c r="HN171" s="532"/>
      <c r="HO171" s="532"/>
      <c r="HP171" s="532"/>
      <c r="HQ171" s="532"/>
      <c r="HR171" s="532"/>
      <c r="HS171" s="532"/>
      <c r="HT171" s="532"/>
      <c r="HU171" s="532"/>
      <c r="HV171" s="532"/>
      <c r="HW171" s="532"/>
      <c r="HX171" s="532"/>
      <c r="HY171" s="532"/>
      <c r="HZ171" s="532"/>
      <c r="IA171" s="532"/>
      <c r="IB171" s="532"/>
      <c r="IC171" s="532"/>
      <c r="ID171" s="532"/>
      <c r="IE171" s="532"/>
      <c r="IF171" s="532"/>
      <c r="IG171" s="532"/>
      <c r="IH171" s="532"/>
      <c r="II171" s="532"/>
      <c r="IJ171" s="532"/>
      <c r="IK171" s="532"/>
      <c r="IL171" s="532"/>
      <c r="IM171" s="532"/>
      <c r="IN171" s="532"/>
      <c r="IO171" s="532"/>
      <c r="IP171" s="532"/>
      <c r="IQ171" s="532"/>
      <c r="IR171" s="532"/>
      <c r="IS171" s="532"/>
      <c r="IT171" s="532"/>
      <c r="IU171" s="532"/>
      <c r="IV171" s="532"/>
      <c r="IW171" s="532"/>
      <c r="IX171" s="532"/>
      <c r="IY171" s="532"/>
      <c r="IZ171" s="532"/>
      <c r="JA171" s="532"/>
      <c r="JB171" s="532"/>
      <c r="JC171" s="532"/>
      <c r="JD171" s="532"/>
      <c r="JE171" s="532"/>
      <c r="JF171" s="532"/>
      <c r="JG171" s="532"/>
      <c r="JH171" s="532"/>
      <c r="JI171" s="532"/>
      <c r="JJ171" s="532"/>
      <c r="JK171" s="532"/>
      <c r="JL171" s="532"/>
    </row>
    <row r="172" spans="1:272" s="799" customFormat="1" ht="12.75" hidden="1" customHeight="1" outlineLevel="1">
      <c r="A172" s="58" t="s">
        <v>291</v>
      </c>
      <c r="B172" s="790"/>
      <c r="C172" s="721"/>
      <c r="D172" s="721"/>
      <c r="E172" s="721"/>
      <c r="F172" s="741"/>
      <c r="G172" s="721"/>
      <c r="H172" s="721"/>
      <c r="I172" s="721"/>
      <c r="J172" s="721"/>
      <c r="K172" s="741"/>
      <c r="L172" s="721"/>
      <c r="M172" s="721"/>
      <c r="N172" s="721"/>
      <c r="O172" s="721"/>
      <c r="P172" s="741"/>
      <c r="Q172" s="721"/>
      <c r="R172" s="721"/>
      <c r="S172" s="721"/>
      <c r="T172" s="721"/>
      <c r="U172" s="741"/>
      <c r="V172" s="721"/>
      <c r="W172" s="721"/>
      <c r="X172" s="721"/>
      <c r="Y172" s="721"/>
      <c r="Z172" s="741"/>
      <c r="AA172" s="721"/>
      <c r="AB172" s="721"/>
      <c r="AC172" s="721"/>
      <c r="AD172" s="721"/>
      <c r="AE172" s="741"/>
      <c r="AF172" s="721"/>
      <c r="AG172" s="721"/>
      <c r="AH172" s="721"/>
      <c r="AI172" s="721"/>
      <c r="AJ172" s="741"/>
      <c r="AK172" s="721"/>
      <c r="AL172" s="721"/>
      <c r="AM172" s="721"/>
      <c r="AN172" s="721"/>
      <c r="AO172" s="741"/>
      <c r="AP172" s="721"/>
      <c r="AQ172" s="721"/>
      <c r="AR172" s="721"/>
      <c r="AS172" s="721"/>
      <c r="AT172" s="741"/>
      <c r="AU172" s="721"/>
      <c r="AV172" s="721"/>
      <c r="AW172" s="721"/>
      <c r="AX172" s="721"/>
      <c r="AY172" s="741"/>
      <c r="AZ172" s="721"/>
      <c r="BA172" s="721"/>
      <c r="BB172" s="721"/>
      <c r="BC172" s="721"/>
      <c r="BD172" s="741"/>
      <c r="BE172" s="721"/>
      <c r="BF172" s="721"/>
      <c r="BG172" s="721"/>
      <c r="BH172" s="721"/>
      <c r="BI172" s="741"/>
      <c r="BJ172" s="721"/>
      <c r="BK172" s="721"/>
      <c r="BL172" s="721"/>
      <c r="BM172" s="721"/>
      <c r="BN172" s="741"/>
      <c r="BO172" s="721"/>
      <c r="BP172" s="721"/>
      <c r="BQ172" s="721"/>
      <c r="BR172" s="721"/>
      <c r="BS172" s="741"/>
      <c r="BT172" s="721"/>
      <c r="BU172" s="721"/>
      <c r="BV172" s="721"/>
      <c r="BW172" s="721"/>
      <c r="BX172" s="741"/>
      <c r="BY172" s="721"/>
      <c r="BZ172" s="721"/>
      <c r="CA172" s="721"/>
      <c r="CB172" s="721"/>
      <c r="CC172" s="741"/>
      <c r="CD172" s="721"/>
      <c r="CE172" s="721"/>
      <c r="CF172" s="721"/>
      <c r="CG172" s="721"/>
      <c r="CH172" s="741"/>
      <c r="CI172" s="721">
        <f>CI169/CM169</f>
        <v>0.25819541916848593</v>
      </c>
      <c r="CJ172" s="721">
        <f>CJ169/CM169</f>
        <v>0.25713151598112061</v>
      </c>
      <c r="CK172" s="721">
        <f>CK169/CM169</f>
        <v>0.25238611593563426</v>
      </c>
      <c r="CL172" s="721">
        <f>CL169/CM169</f>
        <v>0.23228694891475909</v>
      </c>
      <c r="CM172" s="741"/>
      <c r="CN172" s="721">
        <f>CN169/CR169</f>
        <v>0.24464952100473755</v>
      </c>
      <c r="CO172" s="721">
        <f>CO169/CR169</f>
        <v>0.25671917295453117</v>
      </c>
      <c r="CP172" s="721">
        <f>CP169/CR169</f>
        <v>0.24343798397189845</v>
      </c>
      <c r="CQ172" s="721">
        <f>CQ169/CR169</f>
        <v>0.25519332206883283</v>
      </c>
      <c r="CR172" s="741"/>
      <c r="CS172" s="721">
        <f>CS169/CW169</f>
        <v>0.22022501483627949</v>
      </c>
      <c r="CT172" s="721">
        <f>CT169/CW169</f>
        <v>0.25411960234632552</v>
      </c>
      <c r="CU172" s="721">
        <f>CU169/CW169</f>
        <v>0.28877897212931447</v>
      </c>
      <c r="CV172" s="721">
        <f>CV169/CW169</f>
        <v>0.23687641068808057</v>
      </c>
      <c r="CW172" s="741"/>
      <c r="CX172" s="721">
        <f>CX169/DB169</f>
        <v>0.21713855152161002</v>
      </c>
      <c r="CY172" s="721">
        <f>CY169/DB169</f>
        <v>0.23642610775325593</v>
      </c>
      <c r="CZ172" s="721">
        <f>CZ169/DB169</f>
        <v>0.27642175564756888</v>
      </c>
      <c r="DA172" s="721">
        <f>DA169/DB169</f>
        <v>0.27001358507756518</v>
      </c>
      <c r="DB172" s="741"/>
      <c r="DC172" s="721">
        <f>DC169/DG169</f>
        <v>0.21933202090614357</v>
      </c>
      <c r="DD172" s="721">
        <f>DD169/DG169</f>
        <v>0.27178539603491098</v>
      </c>
      <c r="DE172" s="721">
        <f>DE169/DG169</f>
        <v>0.26159301906706017</v>
      </c>
      <c r="DF172" s="721">
        <f>DF169/DG169</f>
        <v>0.2472895639918852</v>
      </c>
      <c r="DG172" s="741"/>
      <c r="DH172" s="721">
        <f>DH169/DL169</f>
        <v>0.2294921981050731</v>
      </c>
      <c r="DI172" s="721">
        <f>DI169/DL169</f>
        <v>0.25232341031820782</v>
      </c>
      <c r="DJ172" s="721">
        <f>DJ169/DL169</f>
        <v>0.2644716770906711</v>
      </c>
      <c r="DK172" s="721">
        <f>DK169/DL169</f>
        <v>0.25371271448604793</v>
      </c>
      <c r="DL172" s="741"/>
      <c r="DM172" s="721">
        <f>DM169/DQ169</f>
        <v>0.24034900631416445</v>
      </c>
      <c r="DN172" s="721">
        <f>DN169/DQ169</f>
        <v>0.26134332559055296</v>
      </c>
      <c r="DO172" s="721">
        <f>DO169/DQ169</f>
        <v>0.25096795638270014</v>
      </c>
      <c r="DP172" s="721">
        <f>DP169/DQ169</f>
        <v>0.2473397117125824</v>
      </c>
      <c r="DQ172" s="741"/>
      <c r="DR172" s="721">
        <f>DR169/DV169</f>
        <v>0.2634328668447965</v>
      </c>
      <c r="DS172" s="721">
        <f>DS169/DV169</f>
        <v>0.24869218181337183</v>
      </c>
      <c r="DT172" s="721">
        <f>DT169/DV169</f>
        <v>0.24768689460735216</v>
      </c>
      <c r="DU172" s="721">
        <f>DU169/DV169</f>
        <v>0.24018805673447943</v>
      </c>
      <c r="DV172" s="741"/>
      <c r="DW172" s="721">
        <f>DW169/EA169</f>
        <v>0.23165495353474075</v>
      </c>
      <c r="DX172" s="721">
        <f>DX169/EA169</f>
        <v>0.25647236920645211</v>
      </c>
      <c r="DY172" s="721">
        <f>DY169/EA169</f>
        <v>0.26376530696011874</v>
      </c>
      <c r="DZ172" s="721">
        <f>DZ169/EA169</f>
        <v>0.24810737029868835</v>
      </c>
      <c r="EA172" s="741"/>
      <c r="EB172" s="721">
        <f>EB169/EF169</f>
        <v>0.25118728629073295</v>
      </c>
      <c r="EC172" s="721">
        <f>EC169/EF169</f>
        <v>0.24843578456764007</v>
      </c>
      <c r="ED172" s="721">
        <f>ED169/EF169</f>
        <v>0.25577596783320311</v>
      </c>
      <c r="EE172" s="721">
        <f>EE169/EF169</f>
        <v>0.24460096130842404</v>
      </c>
      <c r="EF172" s="741"/>
      <c r="EG172" s="1041"/>
      <c r="EH172" s="721"/>
      <c r="EI172" s="721"/>
      <c r="EJ172" s="1042"/>
      <c r="EK172" s="741"/>
      <c r="EL172" s="1041"/>
      <c r="EM172" s="721"/>
      <c r="EN172" s="721"/>
      <c r="EO172" s="1042"/>
      <c r="EP172" s="741"/>
      <c r="EQ172" s="1041"/>
      <c r="ER172" s="721"/>
      <c r="ES172" s="721"/>
      <c r="ET172" s="1042"/>
      <c r="EU172" s="741"/>
      <c r="EV172" s="1041"/>
      <c r="EW172" s="721"/>
      <c r="EX172" s="721"/>
      <c r="EY172" s="1042"/>
      <c r="EZ172" s="741"/>
      <c r="FA172" s="1041"/>
      <c r="FB172" s="721"/>
      <c r="FC172" s="721"/>
      <c r="FD172" s="1042"/>
      <c r="FE172" s="741"/>
      <c r="FF172" s="721"/>
      <c r="FG172" s="690"/>
      <c r="FH172" s="955">
        <f>AVERAGE(CI172,CN172,DH172,DM172,DC172,CS172,CX172,CD172,BY172,DR172,DW172)</f>
        <v>0.23605217247067017</v>
      </c>
      <c r="FI172" s="955">
        <f>AVERAGE(CJ172,CO172,DI172,DN172,DD172,CT172,CY172,CE172,BZ172,DS172,DX172)</f>
        <v>0.25500145355541437</v>
      </c>
      <c r="FJ172" s="955">
        <f>AVERAGE(CK172,CP172,DJ172,DO172,DE172,CU172,CZ172,CF172,CA172,DT172,DY172)</f>
        <v>0.26105663131025758</v>
      </c>
      <c r="FK172" s="955">
        <f>AVERAGE(CL172,CQ172,DK172,DP172,DF172,CV172,DA172,CG172,CB172,DU172,DZ172)</f>
        <v>0.24788974266365787</v>
      </c>
      <c r="FL172" s="690"/>
      <c r="FM172" s="708"/>
      <c r="FN172" s="708"/>
      <c r="FO172" s="723"/>
      <c r="FP172" s="723"/>
      <c r="FQ172" s="723"/>
      <c r="FR172" s="723"/>
      <c r="FS172" s="723"/>
      <c r="FT172" s="723"/>
      <c r="FU172" s="690"/>
      <c r="FV172"/>
      <c r="FW172"/>
      <c r="FX172"/>
      <c r="FY172"/>
      <c r="FZ172"/>
      <c r="GA172"/>
      <c r="GB172" s="949"/>
      <c r="GC172" s="950"/>
      <c r="GD172" s="950"/>
      <c r="GE172" s="950"/>
      <c r="GF172" s="950"/>
      <c r="GG172" s="950"/>
      <c r="GH172" s="950"/>
      <c r="GI172" s="950"/>
      <c r="GJ172" s="950"/>
      <c r="GK172" s="950"/>
      <c r="GL172" s="950"/>
      <c r="GM172" s="950"/>
      <c r="GN172" s="950"/>
      <c r="GO172" s="950"/>
      <c r="GP172" s="950"/>
      <c r="GQ172" s="950"/>
      <c r="GR172" s="950"/>
      <c r="GS172" s="950"/>
      <c r="GT172" s="950"/>
      <c r="GU172" s="950"/>
      <c r="GV172" s="950"/>
      <c r="GW172" s="950"/>
      <c r="GX172" s="950"/>
      <c r="GY172" s="950"/>
      <c r="GZ172" s="950"/>
      <c r="HA172" s="950"/>
      <c r="HB172" s="950"/>
      <c r="HC172" s="950"/>
      <c r="HD172" s="950"/>
      <c r="HE172" s="950"/>
      <c r="HF172" s="950"/>
      <c r="HG172" s="950"/>
      <c r="HH172" s="950"/>
      <c r="HI172" s="950"/>
      <c r="HJ172" s="950"/>
      <c r="HK172" s="950"/>
      <c r="HL172" s="950"/>
      <c r="HM172" s="950"/>
      <c r="HN172" s="950"/>
      <c r="HO172" s="950"/>
      <c r="HP172" s="950"/>
      <c r="HQ172" s="950"/>
      <c r="HR172" s="950"/>
      <c r="HS172" s="950"/>
      <c r="HT172" s="950"/>
      <c r="HU172" s="950"/>
      <c r="HV172" s="950"/>
      <c r="HW172" s="950"/>
      <c r="HX172" s="950"/>
      <c r="HY172" s="950"/>
      <c r="HZ172" s="950"/>
      <c r="IA172" s="950"/>
      <c r="IB172" s="950"/>
      <c r="IC172" s="950"/>
      <c r="ID172" s="950"/>
      <c r="IE172" s="950"/>
      <c r="IF172" s="950"/>
      <c r="IG172" s="950"/>
      <c r="IH172" s="950"/>
      <c r="II172" s="950"/>
      <c r="IJ172" s="950"/>
      <c r="IK172" s="950"/>
      <c r="IL172" s="950"/>
      <c r="IM172" s="950"/>
      <c r="IN172" s="950"/>
      <c r="IO172" s="950"/>
      <c r="IP172" s="950"/>
      <c r="IQ172" s="950"/>
      <c r="IR172" s="950"/>
      <c r="IS172" s="950"/>
      <c r="IT172" s="950"/>
      <c r="IU172" s="950"/>
      <c r="IV172" s="950"/>
      <c r="IW172" s="950"/>
      <c r="IX172" s="950"/>
      <c r="IY172" s="950"/>
      <c r="IZ172" s="950"/>
      <c r="JA172" s="950"/>
      <c r="JB172" s="950"/>
      <c r="JC172" s="950"/>
      <c r="JD172" s="950"/>
      <c r="JE172" s="950"/>
      <c r="JF172" s="950"/>
      <c r="JG172" s="950"/>
      <c r="JH172" s="950"/>
      <c r="JI172" s="950"/>
      <c r="JJ172" s="950"/>
      <c r="JK172" s="950"/>
      <c r="JL172" s="950"/>
    </row>
    <row r="173" spans="1:272" s="1399" customFormat="1" ht="12.75" hidden="1" customHeight="1" outlineLevel="1">
      <c r="A173" s="932" t="s">
        <v>375</v>
      </c>
      <c r="B173" s="1390"/>
      <c r="C173" s="1391"/>
      <c r="D173" s="1391"/>
      <c r="E173" s="1391"/>
      <c r="F173" s="718"/>
      <c r="G173" s="1392"/>
      <c r="H173" s="1391"/>
      <c r="I173" s="1391"/>
      <c r="J173" s="1391"/>
      <c r="K173" s="718"/>
      <c r="L173" s="1392"/>
      <c r="M173" s="1391"/>
      <c r="N173" s="1391"/>
      <c r="O173" s="1391"/>
      <c r="P173" s="718"/>
      <c r="Q173" s="1392"/>
      <c r="R173" s="1391"/>
      <c r="S173" s="1391"/>
      <c r="T173" s="1391"/>
      <c r="U173" s="718"/>
      <c r="V173" s="1392"/>
      <c r="W173" s="1391"/>
      <c r="X173" s="1391"/>
      <c r="Y173" s="1391"/>
      <c r="Z173" s="718"/>
      <c r="AA173" s="1392"/>
      <c r="AB173" s="1391"/>
      <c r="AC173" s="1391"/>
      <c r="AD173" s="1391"/>
      <c r="AE173" s="718"/>
      <c r="AF173" s="719"/>
      <c r="AG173" s="719"/>
      <c r="AH173" s="719"/>
      <c r="AI173" s="719"/>
      <c r="AJ173" s="718"/>
      <c r="AK173" s="719"/>
      <c r="AL173" s="719"/>
      <c r="AM173" s="719"/>
      <c r="AN173" s="719"/>
      <c r="AO173" s="718"/>
      <c r="AP173" s="719"/>
      <c r="AQ173" s="934"/>
      <c r="AR173" s="934"/>
      <c r="AS173" s="719"/>
      <c r="AT173" s="718"/>
      <c r="AU173" s="719"/>
      <c r="AV173" s="934"/>
      <c r="AW173" s="719"/>
      <c r="AX173" s="719"/>
      <c r="AY173" s="718"/>
      <c r="AZ173" s="719"/>
      <c r="BA173" s="934"/>
      <c r="BB173" s="719"/>
      <c r="BC173" s="719"/>
      <c r="BD173" s="718"/>
      <c r="BE173" s="719"/>
      <c r="BF173" s="934"/>
      <c r="BG173" s="719"/>
      <c r="BH173" s="719"/>
      <c r="BI173" s="718"/>
      <c r="BJ173" s="719"/>
      <c r="BK173" s="934"/>
      <c r="BL173" s="719"/>
      <c r="BM173" s="719"/>
      <c r="BN173" s="718"/>
      <c r="BO173" s="719"/>
      <c r="BP173" s="934"/>
      <c r="BQ173" s="719"/>
      <c r="BR173" s="719"/>
      <c r="BS173" s="718"/>
      <c r="BT173" s="719"/>
      <c r="BU173" s="934"/>
      <c r="BV173" s="719"/>
      <c r="BW173" s="719"/>
      <c r="BX173" s="718"/>
      <c r="BY173" s="719"/>
      <c r="BZ173" s="934"/>
      <c r="CA173" s="719"/>
      <c r="CB173" s="719"/>
      <c r="CC173" s="718"/>
      <c r="CD173" s="719"/>
      <c r="CE173" s="719"/>
      <c r="CF173" s="719"/>
      <c r="CG173" s="719"/>
      <c r="CH173" s="718">
        <v>241.19499999999999</v>
      </c>
      <c r="CI173" s="719"/>
      <c r="CJ173" s="719"/>
      <c r="CK173" s="719">
        <v>74.646000000000001</v>
      </c>
      <c r="CL173" s="719">
        <v>208.53100000000001</v>
      </c>
      <c r="CM173" s="718">
        <v>283.17700000000002</v>
      </c>
      <c r="CN173" s="719">
        <v>67.793000000000006</v>
      </c>
      <c r="CO173" s="719">
        <v>77.796999999999997</v>
      </c>
      <c r="CP173" s="719">
        <v>91.225999999999999</v>
      </c>
      <c r="CQ173" s="719">
        <f>CR173-SUM(CN173:CP173)</f>
        <v>122.66999999999999</v>
      </c>
      <c r="CR173" s="718">
        <v>359.48599999999999</v>
      </c>
      <c r="CS173" s="719">
        <v>134.05799999999999</v>
      </c>
      <c r="CT173" s="719">
        <v>170.32</v>
      </c>
      <c r="CU173" s="719">
        <v>163.35</v>
      </c>
      <c r="CV173" s="719">
        <f>CW173-SUM(CS173:CU173)</f>
        <v>107.24400000000003</v>
      </c>
      <c r="CW173" s="718">
        <v>574.97199999999998</v>
      </c>
      <c r="CX173" s="719">
        <v>73.811999999999998</v>
      </c>
      <c r="CY173" s="719">
        <v>83.222999999999999</v>
      </c>
      <c r="CZ173" s="719">
        <v>95.786000000000001</v>
      </c>
      <c r="DA173" s="719">
        <f>DB173-SUM(CX173:CZ173)</f>
        <v>106.21599999999998</v>
      </c>
      <c r="DB173" s="718">
        <v>359.03699999999998</v>
      </c>
      <c r="DC173" s="719">
        <v>114.349</v>
      </c>
      <c r="DD173" s="719">
        <v>122.33499999999999</v>
      </c>
      <c r="DE173" s="719">
        <v>112.863</v>
      </c>
      <c r="DF173" s="719">
        <v>115.45</v>
      </c>
      <c r="DG173" s="718">
        <f>DC173+DD173+DE173+DF173</f>
        <v>464.99700000000001</v>
      </c>
      <c r="DH173" s="719">
        <v>136.02699999999999</v>
      </c>
      <c r="DI173" s="719">
        <v>150.11000000000001</v>
      </c>
      <c r="DJ173" s="719">
        <v>142.185</v>
      </c>
      <c r="DK173" s="719">
        <v>137.70400000000001</v>
      </c>
      <c r="DL173" s="718">
        <f>DH173+DI173+DJ173+DK173</f>
        <v>566.02600000000007</v>
      </c>
      <c r="DM173" s="719">
        <v>143.83099999999999</v>
      </c>
      <c r="DN173" s="719">
        <v>140.35400000000001</v>
      </c>
      <c r="DO173" s="719">
        <v>136.011</v>
      </c>
      <c r="DP173" s="719">
        <v>133.10499999999999</v>
      </c>
      <c r="DQ173" s="718">
        <f>DM173+DN173+DO173+DP173</f>
        <v>553.30100000000004</v>
      </c>
      <c r="DR173" s="719">
        <v>137.41200000000001</v>
      </c>
      <c r="DS173" s="719">
        <v>135.547</v>
      </c>
      <c r="DT173" s="719">
        <v>133.09299999999999</v>
      </c>
      <c r="DU173" s="719">
        <v>126.90600000000001</v>
      </c>
      <c r="DV173" s="718">
        <f>DR173+DS173+DT173+DU173</f>
        <v>532.95800000000008</v>
      </c>
      <c r="DW173" s="719">
        <v>136.702</v>
      </c>
      <c r="DX173" s="719">
        <v>130.80199999999999</v>
      </c>
      <c r="DY173" s="1393">
        <v>122.479</v>
      </c>
      <c r="DZ173" s="1393">
        <v>108.621</v>
      </c>
      <c r="EA173" s="718">
        <f>DW173+DX173+DY173+DZ173</f>
        <v>498.60399999999998</v>
      </c>
      <c r="EB173" s="1394">
        <v>86.903000000000006</v>
      </c>
      <c r="EC173" s="1393">
        <v>88.522000000000006</v>
      </c>
      <c r="ED173" s="719">
        <f>ED175*ED120</f>
        <v>87.344240389991285</v>
      </c>
      <c r="EE173" s="719">
        <f>EE175*EE120</f>
        <v>83.528117770932155</v>
      </c>
      <c r="EF173" s="718">
        <f>EB173+EC173+ED173+EE173</f>
        <v>346.29735816092347</v>
      </c>
      <c r="EG173" s="1395"/>
      <c r="EH173" s="719"/>
      <c r="EI173" s="719"/>
      <c r="EJ173" s="1396"/>
      <c r="EK173" s="718">
        <f>EK175*EK120</f>
        <v>241.17100000000005</v>
      </c>
      <c r="EL173" s="1395"/>
      <c r="EM173" s="719"/>
      <c r="EN173" s="719"/>
      <c r="EO173" s="1396"/>
      <c r="EP173" s="718">
        <f>EP175*EP120</f>
        <v>254.88400000000004</v>
      </c>
      <c r="EQ173" s="1395"/>
      <c r="ER173" s="719"/>
      <c r="ES173" s="719"/>
      <c r="ET173" s="1396"/>
      <c r="EU173" s="718">
        <f>EU175*EU120</f>
        <v>268.65777904059519</v>
      </c>
      <c r="EV173" s="1395"/>
      <c r="EW173" s="719"/>
      <c r="EX173" s="719"/>
      <c r="EY173" s="1396"/>
      <c r="EZ173" s="718">
        <f>EZ175*EZ120</f>
        <v>284.65272991441111</v>
      </c>
      <c r="FA173" s="1395"/>
      <c r="FB173" s="719"/>
      <c r="FC173" s="719"/>
      <c r="FD173" s="1396"/>
      <c r="FE173" s="718">
        <f>FE175*FE120</f>
        <v>301.19981364033896</v>
      </c>
      <c r="FF173" s="778"/>
      <c r="FG173" s="690"/>
      <c r="FH173" s="754"/>
      <c r="FI173" s="754"/>
      <c r="FJ173" s="754"/>
      <c r="FK173" s="754"/>
      <c r="FL173" s="690"/>
      <c r="FM173" s="940"/>
      <c r="FN173" s="940"/>
      <c r="FO173" s="719"/>
      <c r="FP173" s="719"/>
      <c r="FQ173" s="719"/>
      <c r="FR173" s="719"/>
      <c r="FS173" s="719"/>
      <c r="FT173" s="719"/>
      <c r="FU173" s="690"/>
      <c r="FV173"/>
      <c r="FW173"/>
      <c r="FX173"/>
      <c r="FY173"/>
      <c r="FZ173"/>
      <c r="GA173"/>
      <c r="GB173" s="942"/>
      <c r="GC173" s="965"/>
      <c r="GD173" s="965"/>
      <c r="GE173" s="965"/>
      <c r="GF173" s="965"/>
      <c r="GG173" s="965"/>
      <c r="GH173" s="965"/>
      <c r="GI173" s="965"/>
      <c r="GJ173" s="965"/>
      <c r="GK173" s="965"/>
      <c r="GL173" s="965"/>
      <c r="GM173" s="965"/>
      <c r="GN173" s="965"/>
      <c r="GO173" s="965"/>
      <c r="GP173" s="965"/>
      <c r="GQ173" s="965"/>
      <c r="GR173" s="965"/>
      <c r="GS173" s="965"/>
      <c r="GT173" s="965"/>
      <c r="GU173" s="965"/>
      <c r="GV173" s="965"/>
      <c r="GW173" s="965"/>
      <c r="GX173" s="965"/>
      <c r="GY173" s="965"/>
      <c r="GZ173" s="965"/>
      <c r="HA173" s="965"/>
      <c r="HB173" s="965"/>
      <c r="HC173" s="965"/>
      <c r="HD173" s="965"/>
      <c r="HE173" s="965"/>
      <c r="HF173" s="965"/>
      <c r="HG173" s="965"/>
      <c r="HH173" s="965"/>
      <c r="HI173" s="965"/>
      <c r="HJ173" s="965"/>
      <c r="HK173" s="965"/>
      <c r="HL173" s="965"/>
      <c r="HM173" s="965"/>
      <c r="HN173" s="965"/>
      <c r="HO173" s="965"/>
      <c r="HP173" s="965"/>
      <c r="HQ173" s="965"/>
      <c r="HR173" s="965"/>
      <c r="HS173" s="965"/>
      <c r="HT173" s="965"/>
      <c r="HU173" s="965"/>
      <c r="HV173" s="965"/>
      <c r="HW173" s="965"/>
      <c r="HX173" s="965"/>
      <c r="HY173" s="965"/>
      <c r="HZ173" s="965"/>
      <c r="IA173" s="965"/>
      <c r="IB173" s="965"/>
      <c r="IC173" s="965"/>
      <c r="ID173" s="965"/>
      <c r="IE173" s="965"/>
      <c r="IF173" s="965"/>
      <c r="IG173" s="965"/>
      <c r="IH173" s="965"/>
      <c r="II173" s="965"/>
      <c r="IJ173" s="965"/>
      <c r="IK173" s="965"/>
      <c r="IL173" s="965"/>
      <c r="IM173" s="965"/>
      <c r="IN173" s="965"/>
      <c r="IO173" s="965"/>
      <c r="IP173" s="965"/>
      <c r="IQ173" s="965"/>
      <c r="IR173" s="965"/>
      <c r="IS173" s="965"/>
      <c r="IT173" s="965"/>
      <c r="IU173" s="965"/>
      <c r="IV173" s="965"/>
      <c r="IW173" s="965"/>
      <c r="IX173" s="965"/>
      <c r="IY173" s="965"/>
      <c r="IZ173" s="965"/>
      <c r="JA173" s="965"/>
      <c r="JB173" s="965"/>
      <c r="JC173" s="965"/>
      <c r="JD173" s="965"/>
      <c r="JE173" s="965"/>
      <c r="JF173" s="965"/>
      <c r="JG173" s="965"/>
      <c r="JH173" s="965"/>
      <c r="JI173" s="965"/>
      <c r="JJ173" s="965"/>
      <c r="JK173" s="965"/>
      <c r="JL173" s="965"/>
    </row>
    <row r="174" spans="1:272" s="749" customFormat="1" ht="12.75" hidden="1" customHeight="1" outlineLevel="1">
      <c r="A174" s="58" t="s">
        <v>85</v>
      </c>
      <c r="B174" s="1300"/>
      <c r="C174" s="1301"/>
      <c r="D174" s="1301"/>
      <c r="E174" s="1301"/>
      <c r="F174" s="741"/>
      <c r="G174" s="1257"/>
      <c r="H174" s="1301"/>
      <c r="I174" s="1301"/>
      <c r="J174" s="1301"/>
      <c r="K174" s="741"/>
      <c r="L174" s="1257"/>
      <c r="M174" s="1301"/>
      <c r="N174" s="1301"/>
      <c r="O174" s="1301"/>
      <c r="P174" s="741"/>
      <c r="Q174" s="1257"/>
      <c r="R174" s="1301"/>
      <c r="S174" s="1301"/>
      <c r="T174" s="1301"/>
      <c r="U174" s="741"/>
      <c r="V174" s="1257"/>
      <c r="W174" s="1301"/>
      <c r="X174" s="1302"/>
      <c r="Y174" s="1302"/>
      <c r="Z174" s="741"/>
      <c r="AA174" s="1236"/>
      <c r="AB174" s="1302"/>
      <c r="AC174" s="1302"/>
      <c r="AD174" s="1302"/>
      <c r="AE174" s="741"/>
      <c r="AF174" s="721"/>
      <c r="AG174" s="721"/>
      <c r="AH174" s="721"/>
      <c r="AI174" s="721"/>
      <c r="AJ174" s="741"/>
      <c r="AK174" s="721"/>
      <c r="AL174" s="721"/>
      <c r="AM174" s="721"/>
      <c r="AN174" s="721"/>
      <c r="AO174" s="741"/>
      <c r="AP174" s="721"/>
      <c r="AQ174" s="742"/>
      <c r="AR174" s="742"/>
      <c r="AS174" s="721"/>
      <c r="AT174" s="741"/>
      <c r="AU174" s="721"/>
      <c r="AV174" s="742"/>
      <c r="AW174" s="721"/>
      <c r="AX174" s="721"/>
      <c r="AY174" s="741"/>
      <c r="AZ174" s="721"/>
      <c r="BA174" s="742"/>
      <c r="BB174" s="721"/>
      <c r="BC174" s="721"/>
      <c r="BD174" s="741"/>
      <c r="BE174" s="721"/>
      <c r="BF174" s="742"/>
      <c r="BG174" s="721"/>
      <c r="BH174" s="721"/>
      <c r="BI174" s="741"/>
      <c r="BJ174" s="721"/>
      <c r="BK174" s="742"/>
      <c r="BL174" s="721"/>
      <c r="BM174" s="721"/>
      <c r="BN174" s="741"/>
      <c r="BO174" s="721"/>
      <c r="BP174" s="742"/>
      <c r="BQ174" s="721"/>
      <c r="BR174" s="721"/>
      <c r="BS174" s="741"/>
      <c r="BT174" s="721"/>
      <c r="BU174" s="742"/>
      <c r="BV174" s="721"/>
      <c r="BW174" s="721"/>
      <c r="BX174" s="741"/>
      <c r="BY174" s="817" t="str">
        <f t="shared" ref="BY174:CR174" si="505">IF(ISERROR(BY173/BT173-1),"",BY173/BT173-1)</f>
        <v/>
      </c>
      <c r="BZ174" s="817" t="str">
        <f t="shared" si="505"/>
        <v/>
      </c>
      <c r="CA174" s="817" t="str">
        <f t="shared" si="505"/>
        <v/>
      </c>
      <c r="CB174" s="817" t="str">
        <f t="shared" si="505"/>
        <v/>
      </c>
      <c r="CC174" s="816" t="str">
        <f t="shared" si="505"/>
        <v/>
      </c>
      <c r="CD174" s="817" t="str">
        <f t="shared" si="505"/>
        <v/>
      </c>
      <c r="CE174" s="817" t="str">
        <f t="shared" si="505"/>
        <v/>
      </c>
      <c r="CF174" s="817" t="str">
        <f t="shared" si="505"/>
        <v/>
      </c>
      <c r="CG174" s="817" t="str">
        <f t="shared" si="505"/>
        <v/>
      </c>
      <c r="CH174" s="816" t="str">
        <f t="shared" si="505"/>
        <v/>
      </c>
      <c r="CI174" s="817" t="str">
        <f t="shared" si="505"/>
        <v/>
      </c>
      <c r="CJ174" s="817" t="str">
        <f t="shared" si="505"/>
        <v/>
      </c>
      <c r="CK174" s="817" t="str">
        <f t="shared" si="505"/>
        <v/>
      </c>
      <c r="CL174" s="817" t="str">
        <f t="shared" si="505"/>
        <v/>
      </c>
      <c r="CM174" s="816">
        <f t="shared" si="505"/>
        <v>0.17405833454259012</v>
      </c>
      <c r="CN174" s="817" t="str">
        <f t="shared" si="505"/>
        <v/>
      </c>
      <c r="CO174" s="817" t="str">
        <f t="shared" si="505"/>
        <v/>
      </c>
      <c r="CP174" s="817">
        <f t="shared" si="505"/>
        <v>0.22211504970125651</v>
      </c>
      <c r="CQ174" s="817">
        <f t="shared" si="505"/>
        <v>-0.41174213905846135</v>
      </c>
      <c r="CR174" s="816">
        <f t="shared" si="505"/>
        <v>0.26947456890919796</v>
      </c>
      <c r="CS174" s="721">
        <f t="shared" ref="CS174:EF174" si="506">CS173/CN173-1</f>
        <v>0.97746079978758837</v>
      </c>
      <c r="CT174" s="721">
        <f t="shared" si="506"/>
        <v>1.1892875046595628</v>
      </c>
      <c r="CU174" s="721">
        <f t="shared" si="506"/>
        <v>0.79060794071865481</v>
      </c>
      <c r="CV174" s="721">
        <f t="shared" si="506"/>
        <v>-0.12575201760821686</v>
      </c>
      <c r="CW174" s="741">
        <f t="shared" si="506"/>
        <v>0.59942807230323303</v>
      </c>
      <c r="CX174" s="721">
        <f t="shared" si="506"/>
        <v>-0.44940249742648708</v>
      </c>
      <c r="CY174" s="721">
        <f t="shared" si="506"/>
        <v>-0.51137271019257868</v>
      </c>
      <c r="CZ174" s="721">
        <f t="shared" si="506"/>
        <v>-0.41361493725130083</v>
      </c>
      <c r="DA174" s="721">
        <f t="shared" si="506"/>
        <v>-9.5856178434229333E-3</v>
      </c>
      <c r="DB174" s="741">
        <f t="shared" si="506"/>
        <v>-0.37555741844820267</v>
      </c>
      <c r="DC174" s="721">
        <f t="shared" si="506"/>
        <v>0.549192543217905</v>
      </c>
      <c r="DD174" s="721">
        <f t="shared" si="506"/>
        <v>0.46996623529553117</v>
      </c>
      <c r="DE174" s="721">
        <f t="shared" si="506"/>
        <v>0.17828283882822116</v>
      </c>
      <c r="DF174" s="721">
        <f t="shared" si="506"/>
        <v>8.6936054831664E-2</v>
      </c>
      <c r="DG174" s="741">
        <f t="shared" si="506"/>
        <v>0.29512278678799131</v>
      </c>
      <c r="DH174" s="721">
        <f t="shared" si="506"/>
        <v>0.1895775214474984</v>
      </c>
      <c r="DI174" s="721">
        <f t="shared" si="506"/>
        <v>0.22704050353537442</v>
      </c>
      <c r="DJ174" s="721">
        <f t="shared" si="506"/>
        <v>0.2598017064937137</v>
      </c>
      <c r="DK174" s="721">
        <f t="shared" si="506"/>
        <v>0.19275877003031616</v>
      </c>
      <c r="DL174" s="741">
        <f t="shared" si="506"/>
        <v>0.21726806839614032</v>
      </c>
      <c r="DM174" s="721">
        <f t="shared" si="506"/>
        <v>5.7370963117616469E-2</v>
      </c>
      <c r="DN174" s="721">
        <f t="shared" si="506"/>
        <v>-6.4992338951435635E-2</v>
      </c>
      <c r="DO174" s="721">
        <f t="shared" si="506"/>
        <v>-4.3422301930583496E-2</v>
      </c>
      <c r="DP174" s="721">
        <f t="shared" si="506"/>
        <v>-3.3397722651484441E-2</v>
      </c>
      <c r="DQ174" s="741">
        <f t="shared" si="506"/>
        <v>-2.2481299445608505E-2</v>
      </c>
      <c r="DR174" s="721">
        <f>DR173/DM173-1</f>
        <v>-4.4628765704194384E-2</v>
      </c>
      <c r="DS174" s="721">
        <f t="shared" si="506"/>
        <v>-3.424911295723676E-2</v>
      </c>
      <c r="DT174" s="721">
        <f t="shared" si="506"/>
        <v>-2.1454147091044207E-2</v>
      </c>
      <c r="DU174" s="721">
        <f t="shared" si="506"/>
        <v>-4.6572254986664507E-2</v>
      </c>
      <c r="DV174" s="741">
        <f t="shared" si="506"/>
        <v>-3.6766606241449007E-2</v>
      </c>
      <c r="DW174" s="721">
        <f t="shared" si="506"/>
        <v>-5.1669432072890542E-3</v>
      </c>
      <c r="DX174" s="721">
        <f t="shared" si="506"/>
        <v>-3.5006307775162893E-2</v>
      </c>
      <c r="DY174" s="721">
        <f t="shared" si="506"/>
        <v>-7.9748747116677787E-2</v>
      </c>
      <c r="DZ174" s="721">
        <f t="shared" si="506"/>
        <v>-0.14408302207933443</v>
      </c>
      <c r="EA174" s="741">
        <f t="shared" si="506"/>
        <v>-6.4459113100844845E-2</v>
      </c>
      <c r="EB174" s="721">
        <f t="shared" si="506"/>
        <v>-0.36428874486108465</v>
      </c>
      <c r="EC174" s="721">
        <f t="shared" si="506"/>
        <v>-0.32323664775767946</v>
      </c>
      <c r="ED174" s="721">
        <f t="shared" si="506"/>
        <v>-0.28686354077032561</v>
      </c>
      <c r="EE174" s="721">
        <f t="shared" si="506"/>
        <v>-0.23101317635694607</v>
      </c>
      <c r="EF174" s="741">
        <f t="shared" si="506"/>
        <v>-0.30546614515542703</v>
      </c>
      <c r="EG174" s="1303"/>
      <c r="EH174" s="711"/>
      <c r="EI174" s="711"/>
      <c r="EJ174" s="1304"/>
      <c r="EK174" s="741">
        <f>EK173/EF173-1</f>
        <v>-0.30357250981993189</v>
      </c>
      <c r="EL174" s="1303"/>
      <c r="EM174" s="711"/>
      <c r="EN174" s="711"/>
      <c r="EO174" s="1304"/>
      <c r="EP174" s="741">
        <f>EP173/EK173-1</f>
        <v>5.6860070240617677E-2</v>
      </c>
      <c r="EQ174" s="1303"/>
      <c r="ER174" s="711"/>
      <c r="ES174" s="711"/>
      <c r="ET174" s="1304"/>
      <c r="EU174" s="741">
        <f>EU173/EP173-1</f>
        <v>5.4039402397149772E-2</v>
      </c>
      <c r="EV174" s="1303"/>
      <c r="EW174" s="711"/>
      <c r="EX174" s="711"/>
      <c r="EY174" s="1304"/>
      <c r="EZ174" s="741">
        <f>EZ173/EU173-1</f>
        <v>5.9536526099990716E-2</v>
      </c>
      <c r="FA174" s="1303"/>
      <c r="FB174" s="711"/>
      <c r="FC174" s="711"/>
      <c r="FD174" s="1304"/>
      <c r="FE174" s="741">
        <f>FE173/EZ173-1</f>
        <v>5.8130774754569181E-2</v>
      </c>
      <c r="FF174" s="1009"/>
      <c r="FG174" s="690"/>
      <c r="FH174" s="754"/>
      <c r="FI174" s="754"/>
      <c r="FJ174" s="754"/>
      <c r="FK174" s="754"/>
      <c r="FL174" s="690"/>
      <c r="FM174" s="1091"/>
      <c r="FN174" s="1091"/>
      <c r="FO174" s="1306"/>
      <c r="FP174" s="1306"/>
      <c r="FQ174" s="1306"/>
      <c r="FR174" s="1306"/>
      <c r="FS174" s="1306"/>
      <c r="FT174" s="1306"/>
      <c r="FU174" s="690"/>
      <c r="FV174"/>
      <c r="FW174"/>
      <c r="FX174"/>
      <c r="FY174"/>
      <c r="FZ174"/>
      <c r="GA174"/>
      <c r="GC174" s="532"/>
      <c r="GD174" s="532"/>
      <c r="GE174" s="532"/>
      <c r="GF174" s="532"/>
      <c r="GG174" s="532"/>
      <c r="GH174" s="532"/>
      <c r="GI174" s="532"/>
      <c r="GJ174" s="532"/>
      <c r="GK174" s="532"/>
      <c r="GL174" s="532"/>
      <c r="GM174" s="532"/>
      <c r="GN174" s="532"/>
      <c r="GO174" s="532"/>
      <c r="GP174" s="532"/>
      <c r="GQ174" s="532"/>
      <c r="GR174" s="532"/>
      <c r="GS174" s="532"/>
      <c r="GT174" s="532"/>
      <c r="GU174" s="532"/>
      <c r="GV174" s="532"/>
      <c r="GW174" s="532"/>
      <c r="GX174" s="532"/>
      <c r="GY174" s="532"/>
      <c r="GZ174" s="532"/>
      <c r="HA174" s="532"/>
      <c r="HB174" s="532"/>
      <c r="HC174" s="532"/>
      <c r="HD174" s="532"/>
      <c r="HE174" s="532"/>
      <c r="HF174" s="532"/>
      <c r="HG174" s="532"/>
      <c r="HH174" s="532"/>
      <c r="HI174" s="532"/>
      <c r="HJ174" s="532"/>
      <c r="HK174" s="532"/>
      <c r="HL174" s="532"/>
      <c r="HM174" s="532"/>
      <c r="HN174" s="532"/>
      <c r="HO174" s="532"/>
      <c r="HP174" s="532"/>
      <c r="HQ174" s="532"/>
      <c r="HR174" s="532"/>
      <c r="HS174" s="532"/>
      <c r="HT174" s="532"/>
      <c r="HU174" s="532"/>
      <c r="HV174" s="532"/>
      <c r="HW174" s="532"/>
      <c r="HX174" s="532"/>
      <c r="HY174" s="532"/>
      <c r="HZ174" s="532"/>
      <c r="IA174" s="532"/>
      <c r="IB174" s="532"/>
      <c r="IC174" s="532"/>
      <c r="ID174" s="532"/>
      <c r="IE174" s="532"/>
      <c r="IF174" s="532"/>
      <c r="IG174" s="532"/>
      <c r="IH174" s="532"/>
      <c r="II174" s="532"/>
      <c r="IJ174" s="532"/>
      <c r="IK174" s="532"/>
      <c r="IL174" s="532"/>
      <c r="IM174" s="532"/>
      <c r="IN174" s="532"/>
      <c r="IO174" s="532"/>
      <c r="IP174" s="532"/>
      <c r="IQ174" s="532"/>
      <c r="IR174" s="532"/>
      <c r="IS174" s="532"/>
      <c r="IT174" s="532"/>
      <c r="IU174" s="532"/>
      <c r="IV174" s="532"/>
      <c r="IW174" s="532"/>
      <c r="IX174" s="532"/>
      <c r="IY174" s="532"/>
      <c r="IZ174" s="532"/>
      <c r="JA174" s="532"/>
      <c r="JB174" s="532"/>
      <c r="JC174" s="532"/>
      <c r="JD174" s="532"/>
      <c r="JE174" s="532"/>
      <c r="JF174" s="532"/>
      <c r="JG174" s="532"/>
      <c r="JH174" s="532"/>
      <c r="JI174" s="532"/>
      <c r="JJ174" s="532"/>
      <c r="JK174" s="532"/>
      <c r="JL174" s="532"/>
    </row>
    <row r="175" spans="1:272" s="749" customFormat="1" ht="12.75" hidden="1" customHeight="1" outlineLevel="1">
      <c r="A175" s="1401" t="s">
        <v>371</v>
      </c>
      <c r="B175" s="1402"/>
      <c r="C175" s="1403"/>
      <c r="D175" s="1403"/>
      <c r="E175" s="1403"/>
      <c r="F175" s="754"/>
      <c r="G175" s="1404"/>
      <c r="H175" s="1403"/>
      <c r="I175" s="1403"/>
      <c r="J175" s="1403"/>
      <c r="K175" s="754"/>
      <c r="L175" s="1404"/>
      <c r="M175" s="1403"/>
      <c r="N175" s="1403"/>
      <c r="O175" s="1403"/>
      <c r="P175" s="754"/>
      <c r="Q175" s="1404"/>
      <c r="R175" s="1403"/>
      <c r="S175" s="1403"/>
      <c r="T175" s="1403"/>
      <c r="U175" s="754"/>
      <c r="V175" s="1404"/>
      <c r="W175" s="1403"/>
      <c r="X175" s="1405"/>
      <c r="Y175" s="1405"/>
      <c r="Z175" s="754"/>
      <c r="AA175" s="1406"/>
      <c r="AB175" s="1405"/>
      <c r="AC175" s="1405"/>
      <c r="AD175" s="1405"/>
      <c r="AE175" s="754"/>
      <c r="AF175" s="743"/>
      <c r="AG175" s="743"/>
      <c r="AH175" s="743"/>
      <c r="AI175" s="743"/>
      <c r="AJ175" s="754"/>
      <c r="AK175" s="743"/>
      <c r="AL175" s="743"/>
      <c r="AM175" s="743"/>
      <c r="AN175" s="743"/>
      <c r="AO175" s="754"/>
      <c r="AP175" s="743"/>
      <c r="AQ175" s="954"/>
      <c r="AR175" s="954"/>
      <c r="AS175" s="743"/>
      <c r="AT175" s="754"/>
      <c r="AU175" s="743"/>
      <c r="AV175" s="954"/>
      <c r="AW175" s="743"/>
      <c r="AX175" s="743"/>
      <c r="AY175" s="754"/>
      <c r="AZ175" s="743"/>
      <c r="BA175" s="954"/>
      <c r="BB175" s="743"/>
      <c r="BC175" s="743"/>
      <c r="BD175" s="754"/>
      <c r="BE175" s="743"/>
      <c r="BF175" s="954"/>
      <c r="BG175" s="743"/>
      <c r="BH175" s="743"/>
      <c r="BI175" s="754"/>
      <c r="BJ175" s="743"/>
      <c r="BK175" s="954"/>
      <c r="BL175" s="743"/>
      <c r="BM175" s="743"/>
      <c r="BN175" s="754"/>
      <c r="BO175" s="743"/>
      <c r="BP175" s="743"/>
      <c r="BQ175" s="743"/>
      <c r="BR175" s="743"/>
      <c r="BS175" s="754"/>
      <c r="BT175" s="743"/>
      <c r="BU175" s="743"/>
      <c r="BV175" s="743"/>
      <c r="BW175" s="743"/>
      <c r="BX175" s="754"/>
      <c r="BY175" s="743"/>
      <c r="BZ175" s="743"/>
      <c r="CA175" s="743"/>
      <c r="CB175" s="743"/>
      <c r="CC175" s="754"/>
      <c r="CD175" s="743"/>
      <c r="CE175" s="743"/>
      <c r="CF175" s="743"/>
      <c r="CG175" s="743"/>
      <c r="CH175" s="754"/>
      <c r="CI175" s="743"/>
      <c r="CJ175" s="743"/>
      <c r="CK175" s="743">
        <f t="shared" ref="CK175:EA175" si="507">CK173/CK120</f>
        <v>6.9321614736902709E-2</v>
      </c>
      <c r="CL175" s="743">
        <f t="shared" si="507"/>
        <v>0.20881770671131464</v>
      </c>
      <c r="CM175" s="754">
        <f t="shared" si="507"/>
        <v>6.7080060585415824E-2</v>
      </c>
      <c r="CN175" s="743">
        <f t="shared" si="507"/>
        <v>6.7644790264530422E-2</v>
      </c>
      <c r="CO175" s="743">
        <f t="shared" si="507"/>
        <v>7.2455777453463058E-2</v>
      </c>
      <c r="CP175" s="743">
        <f t="shared" si="507"/>
        <v>8.2089961873241343E-2</v>
      </c>
      <c r="CQ175" s="743">
        <f t="shared" si="507"/>
        <v>0.10221120148779914</v>
      </c>
      <c r="CR175" s="754">
        <f t="shared" si="507"/>
        <v>8.193668953309767E-2</v>
      </c>
      <c r="CS175" s="743">
        <f t="shared" si="507"/>
        <v>0.11156800914794757</v>
      </c>
      <c r="CT175" s="743">
        <f t="shared" si="507"/>
        <v>0.12713436367504302</v>
      </c>
      <c r="CU175" s="743">
        <f t="shared" si="507"/>
        <v>0.11921887008099001</v>
      </c>
      <c r="CV175" s="743">
        <f t="shared" si="507"/>
        <v>9.5295641835394573E-2</v>
      </c>
      <c r="CW175" s="754">
        <f t="shared" si="507"/>
        <v>0.11415383961736152</v>
      </c>
      <c r="CX175" s="743">
        <f t="shared" si="507"/>
        <v>7.6653387778160859E-2</v>
      </c>
      <c r="CY175" s="743">
        <f t="shared" si="507"/>
        <v>7.8784815015719462E-2</v>
      </c>
      <c r="CZ175" s="743">
        <f t="shared" si="507"/>
        <v>8.4509030465635196E-2</v>
      </c>
      <c r="DA175" s="743">
        <f t="shared" si="507"/>
        <v>9.5130193196260204E-2</v>
      </c>
      <c r="DB175" s="754">
        <f t="shared" si="507"/>
        <v>8.4098594620727496E-2</v>
      </c>
      <c r="DC175" s="743">
        <f t="shared" si="507"/>
        <v>9.8414594577381567E-2</v>
      </c>
      <c r="DD175" s="743">
        <f t="shared" si="507"/>
        <v>9.3652656471170048E-2</v>
      </c>
      <c r="DE175" s="743">
        <f t="shared" si="507"/>
        <v>8.8856490819312073E-2</v>
      </c>
      <c r="DF175" s="743">
        <f t="shared" si="507"/>
        <v>9.5126820654838379E-2</v>
      </c>
      <c r="DG175" s="754">
        <f t="shared" si="507"/>
        <v>9.3901062415590736E-2</v>
      </c>
      <c r="DH175" s="743">
        <f t="shared" si="507"/>
        <v>0.10920363800720438</v>
      </c>
      <c r="DI175" s="743">
        <f t="shared" si="507"/>
        <v>0.11131223262929268</v>
      </c>
      <c r="DJ175" s="743">
        <f t="shared" si="507"/>
        <v>0.10325340637842227</v>
      </c>
      <c r="DK175" s="743">
        <f t="shared" si="507"/>
        <v>0.10442421236704691</v>
      </c>
      <c r="DL175" s="741">
        <f t="shared" si="507"/>
        <v>0.10700080133491546</v>
      </c>
      <c r="DM175" s="743">
        <f t="shared" si="507"/>
        <v>0.10528114914713564</v>
      </c>
      <c r="DN175" s="743">
        <f t="shared" si="507"/>
        <v>9.7057180159546813E-2</v>
      </c>
      <c r="DO175" s="743">
        <f t="shared" si="507"/>
        <v>9.686613541787592E-2</v>
      </c>
      <c r="DP175" s="743">
        <f t="shared" si="507"/>
        <v>9.7593182957981514E-2</v>
      </c>
      <c r="DQ175" s="741">
        <f t="shared" si="507"/>
        <v>9.9153514020708058E-2</v>
      </c>
      <c r="DR175" s="743">
        <f t="shared" si="507"/>
        <v>0.1028406692591628</v>
      </c>
      <c r="DS175" s="743">
        <f t="shared" si="507"/>
        <v>9.8125049769431816E-2</v>
      </c>
      <c r="DT175" s="743">
        <f t="shared" si="507"/>
        <v>9.5201001987809911E-2</v>
      </c>
      <c r="DU175" s="743">
        <f t="shared" si="507"/>
        <v>9.3464358915629042E-2</v>
      </c>
      <c r="DV175" s="741">
        <f t="shared" si="507"/>
        <v>9.7373165567889275E-2</v>
      </c>
      <c r="DW175" s="743">
        <f t="shared" si="507"/>
        <v>9.9866821834205963E-2</v>
      </c>
      <c r="DX175" s="743">
        <f t="shared" si="507"/>
        <v>8.7648398598451166E-2</v>
      </c>
      <c r="DY175" s="743">
        <f t="shared" si="507"/>
        <v>8.1427384236944442E-2</v>
      </c>
      <c r="DZ175" s="743">
        <f t="shared" si="507"/>
        <v>7.5393186911885443E-2</v>
      </c>
      <c r="EA175" s="741">
        <f t="shared" si="507"/>
        <v>8.5876347663109059E-2</v>
      </c>
      <c r="EB175" s="743">
        <f>EB173/EB120</f>
        <v>6.3320487514490709E-2</v>
      </c>
      <c r="EC175" s="743">
        <f>EC173/EC120</f>
        <v>6.2019989995193772E-2</v>
      </c>
      <c r="ED175" s="1105">
        <f>+EC175</f>
        <v>6.2019989995193772E-2</v>
      </c>
      <c r="EE175" s="1105">
        <f>+ED175</f>
        <v>6.2019989995193772E-2</v>
      </c>
      <c r="EF175" s="741">
        <f>EF173/EF120</f>
        <v>6.2341301840324645E-2</v>
      </c>
      <c r="EG175" s="1303"/>
      <c r="EH175" s="711"/>
      <c r="EI175" s="711"/>
      <c r="EJ175" s="1304"/>
      <c r="EK175" s="753">
        <v>7.0000000000000007E-2</v>
      </c>
      <c r="EL175" s="1303"/>
      <c r="EM175" s="711"/>
      <c r="EN175" s="711"/>
      <c r="EO175" s="1304"/>
      <c r="EP175" s="753">
        <v>7.0000000000000007E-2</v>
      </c>
      <c r="EQ175" s="1303"/>
      <c r="ER175" s="711"/>
      <c r="ES175" s="711"/>
      <c r="ET175" s="1304"/>
      <c r="EU175" s="753">
        <v>7.0000000000000007E-2</v>
      </c>
      <c r="EV175" s="1303"/>
      <c r="EW175" s="711"/>
      <c r="EX175" s="711"/>
      <c r="EY175" s="1304"/>
      <c r="EZ175" s="753">
        <v>7.0000000000000007E-2</v>
      </c>
      <c r="FA175" s="1303"/>
      <c r="FB175" s="711"/>
      <c r="FC175" s="711"/>
      <c r="FD175" s="1304"/>
      <c r="FE175" s="753">
        <v>7.0000000000000007E-2</v>
      </c>
      <c r="FF175" s="1009"/>
      <c r="FG175" s="690"/>
      <c r="FH175" s="754"/>
      <c r="FI175" s="754"/>
      <c r="FJ175" s="754"/>
      <c r="FK175" s="754"/>
      <c r="FL175" s="690"/>
      <c r="FM175" s="1091"/>
      <c r="FN175" s="1091"/>
      <c r="FO175" s="1306"/>
      <c r="FP175" s="1306"/>
      <c r="FQ175" s="1306"/>
      <c r="FR175" s="1306"/>
      <c r="FS175" s="1306"/>
      <c r="FT175" s="1306"/>
      <c r="FU175" s="690"/>
      <c r="FV175"/>
      <c r="FW175"/>
      <c r="FX175"/>
      <c r="FY175"/>
      <c r="FZ175"/>
      <c r="GA175"/>
      <c r="GC175" s="532"/>
      <c r="GD175" s="532"/>
      <c r="GE175" s="532"/>
      <c r="GF175" s="532"/>
      <c r="GG175" s="532"/>
      <c r="GH175" s="532"/>
      <c r="GI175" s="532"/>
      <c r="GJ175" s="532"/>
      <c r="GK175" s="532"/>
      <c r="GL175" s="532"/>
      <c r="GM175" s="532"/>
      <c r="GN175" s="532"/>
      <c r="GO175" s="532"/>
      <c r="GP175" s="532"/>
      <c r="GQ175" s="532"/>
      <c r="GR175" s="532"/>
      <c r="GS175" s="532"/>
      <c r="GT175" s="532"/>
      <c r="GU175" s="532"/>
      <c r="GV175" s="532"/>
      <c r="GW175" s="532"/>
      <c r="GX175" s="532"/>
      <c r="GY175" s="532"/>
      <c r="GZ175" s="532"/>
      <c r="HA175" s="532"/>
      <c r="HB175" s="532"/>
      <c r="HC175" s="532"/>
      <c r="HD175" s="532"/>
      <c r="HE175" s="532"/>
      <c r="HF175" s="532"/>
      <c r="HG175" s="532"/>
      <c r="HH175" s="532"/>
      <c r="HI175" s="532"/>
      <c r="HJ175" s="532"/>
      <c r="HK175" s="532"/>
      <c r="HL175" s="532"/>
      <c r="HM175" s="532"/>
      <c r="HN175" s="532"/>
      <c r="HO175" s="532"/>
      <c r="HP175" s="532"/>
      <c r="HQ175" s="532"/>
      <c r="HR175" s="532"/>
      <c r="HS175" s="532"/>
      <c r="HT175" s="532"/>
      <c r="HU175" s="532"/>
      <c r="HV175" s="532"/>
      <c r="HW175" s="532"/>
      <c r="HX175" s="532"/>
      <c r="HY175" s="532"/>
      <c r="HZ175" s="532"/>
      <c r="IA175" s="532"/>
      <c r="IB175" s="532"/>
      <c r="IC175" s="532"/>
      <c r="ID175" s="532"/>
      <c r="IE175" s="532"/>
      <c r="IF175" s="532"/>
      <c r="IG175" s="532"/>
      <c r="IH175" s="532"/>
      <c r="II175" s="532"/>
      <c r="IJ175" s="532"/>
      <c r="IK175" s="532"/>
      <c r="IL175" s="532"/>
      <c r="IM175" s="532"/>
      <c r="IN175" s="532"/>
      <c r="IO175" s="532"/>
      <c r="IP175" s="532"/>
      <c r="IQ175" s="532"/>
      <c r="IR175" s="532"/>
      <c r="IS175" s="532"/>
      <c r="IT175" s="532"/>
      <c r="IU175" s="532"/>
      <c r="IV175" s="532"/>
      <c r="IW175" s="532"/>
      <c r="IX175" s="532"/>
      <c r="IY175" s="532"/>
      <c r="IZ175" s="532"/>
      <c r="JA175" s="532"/>
      <c r="JB175" s="532"/>
      <c r="JC175" s="532"/>
      <c r="JD175" s="532"/>
      <c r="JE175" s="532"/>
      <c r="JF175" s="532"/>
      <c r="JG175" s="532"/>
      <c r="JH175" s="532"/>
      <c r="JI175" s="532"/>
      <c r="JJ175" s="532"/>
      <c r="JK175" s="532"/>
      <c r="JL175" s="532"/>
    </row>
    <row r="176" spans="1:272" s="799" customFormat="1" ht="12.75" hidden="1" customHeight="1" outlineLevel="1">
      <c r="A176" s="58" t="s">
        <v>291</v>
      </c>
      <c r="B176" s="790"/>
      <c r="C176" s="721"/>
      <c r="D176" s="721"/>
      <c r="E176" s="721"/>
      <c r="F176" s="741"/>
      <c r="G176" s="721"/>
      <c r="H176" s="721"/>
      <c r="I176" s="721"/>
      <c r="J176" s="721"/>
      <c r="K176" s="741"/>
      <c r="L176" s="721"/>
      <c r="M176" s="721"/>
      <c r="N176" s="721"/>
      <c r="O176" s="721"/>
      <c r="P176" s="741"/>
      <c r="Q176" s="721"/>
      <c r="R176" s="721"/>
      <c r="S176" s="721"/>
      <c r="T176" s="721"/>
      <c r="U176" s="741"/>
      <c r="V176" s="721"/>
      <c r="W176" s="721"/>
      <c r="X176" s="721"/>
      <c r="Y176" s="721"/>
      <c r="Z176" s="741"/>
      <c r="AA176" s="721"/>
      <c r="AB176" s="721"/>
      <c r="AC176" s="721"/>
      <c r="AD176" s="721"/>
      <c r="AE176" s="741"/>
      <c r="AF176" s="721"/>
      <c r="AG176" s="721"/>
      <c r="AH176" s="721"/>
      <c r="AI176" s="721"/>
      <c r="AJ176" s="741"/>
      <c r="AK176" s="721"/>
      <c r="AL176" s="721"/>
      <c r="AM176" s="721"/>
      <c r="AN176" s="721"/>
      <c r="AO176" s="741"/>
      <c r="AP176" s="721"/>
      <c r="AQ176" s="721"/>
      <c r="AR176" s="721"/>
      <c r="AS176" s="721"/>
      <c r="AT176" s="741"/>
      <c r="AU176" s="721"/>
      <c r="AV176" s="721"/>
      <c r="AW176" s="721"/>
      <c r="AX176" s="721"/>
      <c r="AY176" s="741"/>
      <c r="AZ176" s="721"/>
      <c r="BA176" s="721"/>
      <c r="BB176" s="721"/>
      <c r="BC176" s="721"/>
      <c r="BD176" s="741"/>
      <c r="BE176" s="721"/>
      <c r="BF176" s="721"/>
      <c r="BG176" s="721"/>
      <c r="BH176" s="721"/>
      <c r="BI176" s="741"/>
      <c r="BJ176" s="721"/>
      <c r="BK176" s="721"/>
      <c r="BL176" s="721"/>
      <c r="BM176" s="721"/>
      <c r="BN176" s="741"/>
      <c r="BO176" s="721"/>
      <c r="BP176" s="721"/>
      <c r="BQ176" s="721"/>
      <c r="BR176" s="721"/>
      <c r="BS176" s="741"/>
      <c r="BT176" s="721"/>
      <c r="BU176" s="721"/>
      <c r="BV176" s="721"/>
      <c r="BW176" s="721"/>
      <c r="BX176" s="741"/>
      <c r="BY176" s="721"/>
      <c r="BZ176" s="721"/>
      <c r="CA176" s="721"/>
      <c r="CB176" s="721"/>
      <c r="CC176" s="741"/>
      <c r="CD176" s="721"/>
      <c r="CE176" s="721"/>
      <c r="CF176" s="721"/>
      <c r="CG176" s="721"/>
      <c r="CH176" s="741"/>
      <c r="CI176" s="721"/>
      <c r="CJ176" s="721"/>
      <c r="CK176" s="721"/>
      <c r="CL176" s="721"/>
      <c r="CM176" s="741"/>
      <c r="CN176" s="721">
        <f>CN173/CR173</f>
        <v>0.18858314371074258</v>
      </c>
      <c r="CO176" s="721">
        <f>CO173/CR173</f>
        <v>0.21641176568767628</v>
      </c>
      <c r="CP176" s="721">
        <f>CP173/CR173</f>
        <v>0.25376787969489772</v>
      </c>
      <c r="CQ176" s="721">
        <f>CQ173/CR173</f>
        <v>0.34123721090668341</v>
      </c>
      <c r="CR176" s="741"/>
      <c r="CS176" s="721">
        <f>CS173/CW173</f>
        <v>0.23315570149502932</v>
      </c>
      <c r="CT176" s="721">
        <f>CT173/CW173</f>
        <v>0.29622312043021226</v>
      </c>
      <c r="CU176" s="721">
        <f>CU173/CW173</f>
        <v>0.28410079099503976</v>
      </c>
      <c r="CV176" s="721">
        <f>CV173/CW173</f>
        <v>0.18652038707971871</v>
      </c>
      <c r="CW176" s="741"/>
      <c r="CX176" s="721">
        <f>CX173/DB173</f>
        <v>0.20558326857677622</v>
      </c>
      <c r="CY176" s="721">
        <f>CY173/DB173</f>
        <v>0.23179505176346729</v>
      </c>
      <c r="CZ176" s="721">
        <f>CZ173/DB173</f>
        <v>0.26678587443633944</v>
      </c>
      <c r="DA176" s="721">
        <f>DA173/DB173</f>
        <v>0.29583580522341707</v>
      </c>
      <c r="DB176" s="741"/>
      <c r="DC176" s="721">
        <f>DC173/DG173</f>
        <v>0.24591341449514728</v>
      </c>
      <c r="DD176" s="721">
        <f>DD173/DG173</f>
        <v>0.26308771884549792</v>
      </c>
      <c r="DE176" s="721">
        <f>DE173/DG173</f>
        <v>0.24271769495287066</v>
      </c>
      <c r="DF176" s="721">
        <f>DF173/DG173</f>
        <v>0.24828117170648412</v>
      </c>
      <c r="DG176" s="741"/>
      <c r="DH176" s="721">
        <f>DH173/DL173</f>
        <v>0.24031934928784185</v>
      </c>
      <c r="DI176" s="721">
        <f>DI173/DL173</f>
        <v>0.26519983180984619</v>
      </c>
      <c r="DJ176" s="721">
        <f>DJ173/DL173</f>
        <v>0.25119870818654971</v>
      </c>
      <c r="DK176" s="721">
        <f>DK173/DL173</f>
        <v>0.24328211071576217</v>
      </c>
      <c r="DL176" s="741"/>
      <c r="DM176" s="721">
        <f>DM173/DQ173</f>
        <v>0.25995073206084929</v>
      </c>
      <c r="DN176" s="721">
        <f>DN173/DQ173</f>
        <v>0.25366662991753131</v>
      </c>
      <c r="DO176" s="721">
        <f>DO173/DQ173</f>
        <v>0.24581737607558993</v>
      </c>
      <c r="DP176" s="721">
        <f>DP173/DQ173</f>
        <v>0.24056526194602934</v>
      </c>
      <c r="DQ176" s="741"/>
      <c r="DR176" s="721">
        <f>DR173/DV173</f>
        <v>0.25782894712153676</v>
      </c>
      <c r="DS176" s="721">
        <f>DS173/DV173</f>
        <v>0.25432960946265931</v>
      </c>
      <c r="DT176" s="721">
        <f>DT173/DV173</f>
        <v>0.24972511905253317</v>
      </c>
      <c r="DU176" s="721">
        <f>DU173/DV173</f>
        <v>0.23811632436327063</v>
      </c>
      <c r="DV176" s="741"/>
      <c r="DW176" s="721">
        <f>DW173/EA173</f>
        <v>0.27416948119148665</v>
      </c>
      <c r="DX176" s="721">
        <f>DX173/EA173</f>
        <v>0.26233644334983275</v>
      </c>
      <c r="DY176" s="721">
        <f>DY173/EA173</f>
        <v>0.24564383759456404</v>
      </c>
      <c r="DZ176" s="721">
        <f>DZ173/EA173</f>
        <v>0.21785023786411661</v>
      </c>
      <c r="EA176" s="741"/>
      <c r="EB176" s="721">
        <f>EB173/EF173</f>
        <v>0.25094907007525136</v>
      </c>
      <c r="EC176" s="721">
        <f>EC173/EF173</f>
        <v>0.25562424290532437</v>
      </c>
      <c r="ED176" s="721">
        <f>ED173/EF173</f>
        <v>0.25222323627835086</v>
      </c>
      <c r="EE176" s="721">
        <f>EE173/EF173</f>
        <v>0.24120345074107341</v>
      </c>
      <c r="EF176" s="741"/>
      <c r="EG176" s="1041"/>
      <c r="EH176" s="721"/>
      <c r="EI176" s="721"/>
      <c r="EJ176" s="1042"/>
      <c r="EK176" s="741"/>
      <c r="EL176" s="1041"/>
      <c r="EM176" s="721"/>
      <c r="EN176" s="721"/>
      <c r="EO176" s="1042"/>
      <c r="EP176" s="741"/>
      <c r="EQ176" s="1041"/>
      <c r="ER176" s="721"/>
      <c r="ES176" s="721"/>
      <c r="ET176" s="1042"/>
      <c r="EU176" s="741"/>
      <c r="EV176" s="1041"/>
      <c r="EW176" s="721"/>
      <c r="EX176" s="721"/>
      <c r="EY176" s="1042"/>
      <c r="EZ176" s="741"/>
      <c r="FA176" s="1041"/>
      <c r="FB176" s="721"/>
      <c r="FC176" s="721"/>
      <c r="FD176" s="1042"/>
      <c r="FE176" s="741"/>
      <c r="FF176" s="721"/>
      <c r="FG176" s="690"/>
      <c r="FH176" s="955">
        <f>AVERAGE(CI176,CN176,DH176,DM176,DC176,CS176,CX176,CD176,BY176,DR176,DW176)</f>
        <v>0.23818800474242624</v>
      </c>
      <c r="FI176" s="955">
        <f>AVERAGE(CJ176,CO176,DI176,DN176,DD176,CT176,CY176,CE176,BZ176,DS176,DX176)</f>
        <v>0.25538127140834038</v>
      </c>
      <c r="FJ176" s="955">
        <f>AVERAGE(CK176,CP176,DJ176,DO176,DE176,CU176,CZ176,CF176,CA176,DT176,DY176)</f>
        <v>0.25496966012354805</v>
      </c>
      <c r="FK176" s="955">
        <f>AVERAGE(CL176,CQ176,DK176,DP176,DF176,CV176,DA176,CG176,CB176,DU176,DZ176)</f>
        <v>0.25146106372568527</v>
      </c>
      <c r="FL176" s="690"/>
      <c r="FM176" s="708"/>
      <c r="FN176" s="708"/>
      <c r="FO176" s="723"/>
      <c r="FP176" s="723"/>
      <c r="FQ176" s="723"/>
      <c r="FR176" s="723"/>
      <c r="FS176" s="723"/>
      <c r="FT176" s="723"/>
      <c r="FU176" s="690"/>
      <c r="FV176"/>
      <c r="FW176"/>
      <c r="FX176"/>
      <c r="FY176"/>
      <c r="FZ176"/>
      <c r="GA176"/>
      <c r="GB176" s="949"/>
      <c r="GC176" s="950"/>
      <c r="GD176" s="950"/>
      <c r="GE176" s="950"/>
      <c r="GF176" s="950"/>
      <c r="GG176" s="950"/>
      <c r="GH176" s="950"/>
      <c r="GI176" s="950"/>
      <c r="GJ176" s="950"/>
      <c r="GK176" s="950"/>
      <c r="GL176" s="950"/>
      <c r="GM176" s="950"/>
      <c r="GN176" s="950"/>
      <c r="GO176" s="950"/>
      <c r="GP176" s="950"/>
      <c r="GQ176" s="950"/>
      <c r="GR176" s="950"/>
      <c r="GS176" s="950"/>
      <c r="GT176" s="950"/>
      <c r="GU176" s="950"/>
      <c r="GV176" s="950"/>
      <c r="GW176" s="950"/>
      <c r="GX176" s="950"/>
      <c r="GY176" s="950"/>
      <c r="GZ176" s="950"/>
      <c r="HA176" s="950"/>
      <c r="HB176" s="950"/>
      <c r="HC176" s="950"/>
      <c r="HD176" s="950"/>
      <c r="HE176" s="950"/>
      <c r="HF176" s="950"/>
      <c r="HG176" s="950"/>
      <c r="HH176" s="950"/>
      <c r="HI176" s="950"/>
      <c r="HJ176" s="950"/>
      <c r="HK176" s="950"/>
      <c r="HL176" s="950"/>
      <c r="HM176" s="950"/>
      <c r="HN176" s="950"/>
      <c r="HO176" s="950"/>
      <c r="HP176" s="950"/>
      <c r="HQ176" s="950"/>
      <c r="HR176" s="950"/>
      <c r="HS176" s="950"/>
      <c r="HT176" s="950"/>
      <c r="HU176" s="950"/>
      <c r="HV176" s="950"/>
      <c r="HW176" s="950"/>
      <c r="HX176" s="950"/>
      <c r="HY176" s="950"/>
      <c r="HZ176" s="950"/>
      <c r="IA176" s="950"/>
      <c r="IB176" s="950"/>
      <c r="IC176" s="950"/>
      <c r="ID176" s="950"/>
      <c r="IE176" s="950"/>
      <c r="IF176" s="950"/>
      <c r="IG176" s="950"/>
      <c r="IH176" s="950"/>
      <c r="II176" s="950"/>
      <c r="IJ176" s="950"/>
      <c r="IK176" s="950"/>
      <c r="IL176" s="950"/>
      <c r="IM176" s="950"/>
      <c r="IN176" s="950"/>
      <c r="IO176" s="950"/>
      <c r="IP176" s="950"/>
      <c r="IQ176" s="950"/>
      <c r="IR176" s="950"/>
      <c r="IS176" s="950"/>
      <c r="IT176" s="950"/>
      <c r="IU176" s="950"/>
      <c r="IV176" s="950"/>
      <c r="IW176" s="950"/>
      <c r="IX176" s="950"/>
      <c r="IY176" s="950"/>
      <c r="IZ176" s="950"/>
      <c r="JA176" s="950"/>
      <c r="JB176" s="950"/>
      <c r="JC176" s="950"/>
      <c r="JD176" s="950"/>
      <c r="JE176" s="950"/>
      <c r="JF176" s="950"/>
      <c r="JG176" s="950"/>
      <c r="JH176" s="950"/>
      <c r="JI176" s="950"/>
      <c r="JJ176" s="950"/>
      <c r="JK176" s="950"/>
      <c r="JL176" s="950"/>
    </row>
    <row r="177" spans="1:272" s="1067" customFormat="1" ht="12.75" hidden="1" customHeight="1" outlineLevel="1">
      <c r="A177" s="1055" t="s">
        <v>376</v>
      </c>
      <c r="B177" s="1056"/>
      <c r="C177" s="1057"/>
      <c r="D177" s="1057"/>
      <c r="E177" s="1057"/>
      <c r="F177" s="1058"/>
      <c r="G177" s="1057"/>
      <c r="H177" s="1057"/>
      <c r="I177" s="1057"/>
      <c r="J177" s="1057"/>
      <c r="K177" s="1058"/>
      <c r="L177" s="1059"/>
      <c r="M177" s="1059"/>
      <c r="N177" s="1059"/>
      <c r="O177" s="1059"/>
      <c r="P177" s="1058"/>
      <c r="Q177" s="1059"/>
      <c r="R177" s="1059"/>
      <c r="S177" s="1059"/>
      <c r="T177" s="1059"/>
      <c r="U177" s="1058"/>
      <c r="V177" s="1059"/>
      <c r="W177" s="1059"/>
      <c r="X177" s="1059"/>
      <c r="Y177" s="1059"/>
      <c r="Z177" s="1058"/>
      <c r="AA177" s="1059"/>
      <c r="AB177" s="1059"/>
      <c r="AC177" s="1059"/>
      <c r="AD177" s="1059"/>
      <c r="AE177" s="1058">
        <v>1.1127666666666667</v>
      </c>
      <c r="AF177" s="1059">
        <v>1.0911500000000001</v>
      </c>
      <c r="AG177" s="1059">
        <v>1.1165433333333332</v>
      </c>
      <c r="AH177" s="1059">
        <v>1.1080166666666666</v>
      </c>
      <c r="AI177" s="1059">
        <v>1.1214166666666667</v>
      </c>
      <c r="AJ177" s="1058">
        <v>1.1092816666666667</v>
      </c>
      <c r="AK177" s="1059">
        <v>1.1574833333333334</v>
      </c>
      <c r="AL177" s="1059">
        <v>1.2498933333333333</v>
      </c>
      <c r="AM177" s="1059">
        <v>1.2136399999999998</v>
      </c>
      <c r="AN177" s="1059">
        <v>1.3181666666666667</v>
      </c>
      <c r="AO177" s="1058">
        <v>1.2347958333333333</v>
      </c>
      <c r="AP177" s="1059">
        <v>1.2667166666666667</v>
      </c>
      <c r="AQ177" s="1059">
        <v>1.1936000000000002</v>
      </c>
      <c r="AR177" s="1059">
        <v>1.1583666666666668</v>
      </c>
      <c r="AS177" s="1059">
        <v>1.18</v>
      </c>
      <c r="AT177" s="1058">
        <v>1.1996708333333335</v>
      </c>
      <c r="AU177" s="1059">
        <v>1.0888499999999999</v>
      </c>
      <c r="AV177" s="1059">
        <v>1.0589166666666665</v>
      </c>
      <c r="AW177" s="1059">
        <v>1.0200499999999999</v>
      </c>
      <c r="AX177" s="1059">
        <v>1.0112333333333332</v>
      </c>
      <c r="AY177" s="1058">
        <v>1.0447625</v>
      </c>
      <c r="AZ177" s="1059">
        <v>0.97409999999999997</v>
      </c>
      <c r="BA177" s="1059">
        <v>1.07555</v>
      </c>
      <c r="BB177" s="1059">
        <v>1.1694166666666665</v>
      </c>
      <c r="BC177" s="1059">
        <v>1.26105</v>
      </c>
      <c r="BD177" s="1058"/>
      <c r="BE177" s="1059"/>
      <c r="BF177" s="1059"/>
      <c r="BG177" s="1059"/>
      <c r="BH177" s="1059"/>
      <c r="BI177" s="1058"/>
      <c r="BJ177" s="1059"/>
      <c r="BK177" s="1059"/>
      <c r="BL177" s="1059"/>
      <c r="BM177" s="1059"/>
      <c r="BN177" s="1058"/>
      <c r="BO177" s="1059"/>
      <c r="BP177" s="1059"/>
      <c r="BQ177" s="1059"/>
      <c r="BR177" s="1059"/>
      <c r="BS177" s="1058"/>
      <c r="BT177" s="1059"/>
      <c r="BU177" s="1059"/>
      <c r="BV177" s="1059"/>
      <c r="BW177" s="1059"/>
      <c r="BX177" s="1058"/>
      <c r="BY177" s="1059">
        <v>1.579923076923077</v>
      </c>
      <c r="BZ177" s="1059">
        <v>1.7144615384615385</v>
      </c>
      <c r="CA177" s="1059">
        <v>1.8056153846153842</v>
      </c>
      <c r="CB177" s="1059">
        <v>2.1024615384615379</v>
      </c>
      <c r="CC177" s="1058">
        <v>1.8006153846153845</v>
      </c>
      <c r="CD177" s="1059">
        <v>2.0379999999999998</v>
      </c>
      <c r="CE177" s="1059">
        <v>2.2486923076923073</v>
      </c>
      <c r="CF177" s="1059">
        <v>2.5233076923076925</v>
      </c>
      <c r="CG177" s="1059">
        <v>2.7606153846153849</v>
      </c>
      <c r="CH177" s="1058">
        <v>2.3926538461538462</v>
      </c>
      <c r="CI177" s="1059">
        <v>2.4888461538461537</v>
      </c>
      <c r="CJ177" s="1059">
        <v>2.8217692307692306</v>
      </c>
      <c r="CK177" s="1059">
        <v>2.9424615384615387</v>
      </c>
      <c r="CL177" s="1059">
        <v>2.5549230769230769</v>
      </c>
      <c r="CM177" s="1058">
        <v>2.702</v>
      </c>
      <c r="CN177" s="1059">
        <v>2.5356923076923077</v>
      </c>
      <c r="CO177" s="1059">
        <v>2.802</v>
      </c>
      <c r="CP177" s="1059">
        <v>2.8795384615384614</v>
      </c>
      <c r="CQ177" s="1059">
        <v>3.2389285714285712</v>
      </c>
      <c r="CR177" s="1058">
        <v>2.8640398351648351</v>
      </c>
      <c r="CS177" s="1059">
        <v>3.5018461538461545</v>
      </c>
      <c r="CT177" s="1059">
        <v>4.3643846153846164</v>
      </c>
      <c r="CU177" s="1059">
        <v>4.3711538461538462</v>
      </c>
      <c r="CV177" s="1059">
        <v>3.0527692307692309</v>
      </c>
      <c r="CW177" s="1058">
        <v>3.8225384615384619</v>
      </c>
      <c r="CX177" s="1059">
        <v>2.1935384615384614</v>
      </c>
      <c r="CY177" s="1059">
        <v>2.3110769230769233</v>
      </c>
      <c r="CZ177" s="1059">
        <v>2.6030769230769235</v>
      </c>
      <c r="DA177" s="1059">
        <v>2.7304615384615381</v>
      </c>
      <c r="DB177" s="1058">
        <v>2.4595384615384615</v>
      </c>
      <c r="DC177" s="1059">
        <v>2.8372307692307692</v>
      </c>
      <c r="DD177" s="1059">
        <v>3.0272307692307687</v>
      </c>
      <c r="DE177" s="1059">
        <v>2.9406153846153842</v>
      </c>
      <c r="DF177" s="1059">
        <v>3.117923076923077</v>
      </c>
      <c r="DG177" s="1058">
        <v>2.9807499999999996</v>
      </c>
      <c r="DH177" s="1059">
        <v>3.558076923076924</v>
      </c>
      <c r="DI177" s="1059">
        <v>4.020538461538461</v>
      </c>
      <c r="DJ177" s="1059">
        <v>3.8746923076923077</v>
      </c>
      <c r="DK177" s="1059">
        <v>3.8673076923076923</v>
      </c>
      <c r="DL177" s="1058">
        <v>3.8301538461538462</v>
      </c>
      <c r="DM177" s="1059">
        <v>3.9325384615384618</v>
      </c>
      <c r="DN177" s="1059">
        <v>3.9993846153846153</v>
      </c>
      <c r="DO177" s="1059">
        <v>3.8928461538461536</v>
      </c>
      <c r="DP177" s="1059">
        <v>4.0314999999999994</v>
      </c>
      <c r="DQ177" s="1058">
        <v>3.9640673076923076</v>
      </c>
      <c r="DR177" s="1059">
        <v>4.0215833333333331</v>
      </c>
      <c r="DS177" s="1059">
        <v>3.899692307692308</v>
      </c>
      <c r="DT177" s="1059">
        <v>3.9050714285714281</v>
      </c>
      <c r="DU177" s="1059">
        <v>3.8706923076923081</v>
      </c>
      <c r="DV177" s="1058">
        <v>3.9242598443223446</v>
      </c>
      <c r="DW177" s="1059">
        <v>3.9567692307692308</v>
      </c>
      <c r="DX177" s="1059">
        <v>3.9395384615384614</v>
      </c>
      <c r="DY177" s="1059">
        <v>3.8471538461538466</v>
      </c>
      <c r="DZ177" s="1059">
        <v>3.6081538461538463</v>
      </c>
      <c r="EA177" s="1058">
        <v>3.8379038461538464</v>
      </c>
      <c r="EB177" s="1059">
        <v>2.9456923076923074</v>
      </c>
      <c r="EC177" s="1059">
        <v>2.8480769230769232</v>
      </c>
      <c r="ED177" s="1059">
        <v>2.6548461538461536</v>
      </c>
      <c r="EE177" s="1059">
        <v>2.4907692307692311</v>
      </c>
      <c r="EF177" s="1058">
        <v>2.7348461538461537</v>
      </c>
      <c r="EG177" s="1060"/>
      <c r="EH177" s="1061"/>
      <c r="EI177" s="1061"/>
      <c r="EJ177" s="1062"/>
      <c r="EK177" s="1058">
        <f>+EF177</f>
        <v>2.7348461538461537</v>
      </c>
      <c r="EL177" s="1060"/>
      <c r="EM177" s="1061"/>
      <c r="EN177" s="1061"/>
      <c r="EO177" s="1062"/>
      <c r="EP177" s="1058">
        <f>+EK177</f>
        <v>2.7348461538461537</v>
      </c>
      <c r="EQ177" s="1060"/>
      <c r="ER177" s="1061"/>
      <c r="ES177" s="1061"/>
      <c r="ET177" s="1062"/>
      <c r="EU177" s="1058">
        <f>+EP177</f>
        <v>2.7348461538461537</v>
      </c>
      <c r="EV177" s="1060"/>
      <c r="EW177" s="1061"/>
      <c r="EX177" s="1061"/>
      <c r="EY177" s="1062"/>
      <c r="EZ177" s="1058">
        <f>+EU177</f>
        <v>2.7348461538461537</v>
      </c>
      <c r="FA177" s="1060"/>
      <c r="FB177" s="1061"/>
      <c r="FC177" s="1061"/>
      <c r="FD177" s="1062"/>
      <c r="FE177" s="1058">
        <f>+EZ177</f>
        <v>2.7348461538461537</v>
      </c>
      <c r="FF177" s="1063"/>
      <c r="FG177" s="690"/>
      <c r="FH177" s="754"/>
      <c r="FI177" s="754"/>
      <c r="FJ177" s="754"/>
      <c r="FK177" s="754"/>
      <c r="FL177" s="690"/>
      <c r="FM177" s="1064"/>
      <c r="FN177" s="1064"/>
      <c r="FO177" s="1065"/>
      <c r="FP177" s="1065"/>
      <c r="FQ177" s="1065"/>
      <c r="FR177" s="1065"/>
      <c r="FS177" s="1065"/>
      <c r="FT177" s="1065"/>
      <c r="FU177" s="690"/>
      <c r="FV177"/>
      <c r="FW177"/>
      <c r="FX177"/>
      <c r="FY177"/>
      <c r="FZ177"/>
      <c r="GA177"/>
      <c r="GB177" s="1066"/>
    </row>
    <row r="178" spans="1:272" s="799" customFormat="1" ht="12.75" hidden="1" customHeight="1" outlineLevel="1">
      <c r="A178" s="58" t="s">
        <v>85</v>
      </c>
      <c r="B178" s="790"/>
      <c r="C178" s="721"/>
      <c r="D178" s="721"/>
      <c r="E178" s="721"/>
      <c r="F178" s="741"/>
      <c r="G178" s="721"/>
      <c r="H178" s="721"/>
      <c r="I178" s="721"/>
      <c r="J178" s="721"/>
      <c r="K178" s="741"/>
      <c r="L178" s="721"/>
      <c r="M178" s="721"/>
      <c r="N178" s="721"/>
      <c r="O178" s="721"/>
      <c r="P178" s="741"/>
      <c r="Q178" s="721"/>
      <c r="R178" s="721"/>
      <c r="S178" s="721"/>
      <c r="T178" s="721"/>
      <c r="U178" s="741"/>
      <c r="V178" s="721"/>
      <c r="W178" s="721"/>
      <c r="X178" s="721"/>
      <c r="Y178" s="721"/>
      <c r="Z178" s="741"/>
      <c r="AA178" s="721"/>
      <c r="AB178" s="721"/>
      <c r="AC178" s="721"/>
      <c r="AD178" s="721"/>
      <c r="AE178" s="741"/>
      <c r="AF178" s="721"/>
      <c r="AG178" s="721"/>
      <c r="AH178" s="721"/>
      <c r="AI178" s="721"/>
      <c r="AJ178" s="741"/>
      <c r="AK178" s="721"/>
      <c r="AL178" s="721"/>
      <c r="AM178" s="721"/>
      <c r="AN178" s="721"/>
      <c r="AO178" s="741"/>
      <c r="AP178" s="721"/>
      <c r="AQ178" s="721"/>
      <c r="AR178" s="721"/>
      <c r="AS178" s="721"/>
      <c r="AT178" s="741"/>
      <c r="AU178" s="721"/>
      <c r="AV178" s="721"/>
      <c r="AW178" s="721"/>
      <c r="AX178" s="721"/>
      <c r="AY178" s="741"/>
      <c r="AZ178" s="721"/>
      <c r="BA178" s="721"/>
      <c r="BB178" s="721"/>
      <c r="BC178" s="721"/>
      <c r="BD178" s="741"/>
      <c r="BE178" s="721"/>
      <c r="BF178" s="721"/>
      <c r="BG178" s="721"/>
      <c r="BH178" s="721"/>
      <c r="BI178" s="741"/>
      <c r="BJ178" s="721"/>
      <c r="BK178" s="721"/>
      <c r="BL178" s="721"/>
      <c r="BM178" s="721"/>
      <c r="BN178" s="741"/>
      <c r="BO178" s="721"/>
      <c r="BP178" s="721"/>
      <c r="BQ178" s="721"/>
      <c r="BR178" s="721"/>
      <c r="BS178" s="741"/>
      <c r="BT178" s="721"/>
      <c r="BU178" s="721"/>
      <c r="BV178" s="721"/>
      <c r="BW178" s="721"/>
      <c r="BX178" s="741"/>
      <c r="BY178" s="721"/>
      <c r="BZ178" s="721"/>
      <c r="CA178" s="721"/>
      <c r="CB178" s="721"/>
      <c r="CC178" s="741"/>
      <c r="CD178" s="721">
        <f t="shared" ref="CD178:EF178" si="508">CD177/BY177-1</f>
        <v>0.28993621890062782</v>
      </c>
      <c r="CE178" s="721">
        <f t="shared" si="508"/>
        <v>0.31160265613783178</v>
      </c>
      <c r="CF178" s="721">
        <f t="shared" si="508"/>
        <v>0.39747795339326086</v>
      </c>
      <c r="CG178" s="721">
        <f t="shared" si="508"/>
        <v>0.31303966047124288</v>
      </c>
      <c r="CH178" s="741">
        <f t="shared" si="508"/>
        <v>0.32879784688995217</v>
      </c>
      <c r="CI178" s="721">
        <f t="shared" si="508"/>
        <v>0.22121989884502158</v>
      </c>
      <c r="CJ178" s="721">
        <f t="shared" si="508"/>
        <v>0.25484897205213297</v>
      </c>
      <c r="CK178" s="721">
        <f t="shared" si="508"/>
        <v>0.16611285553150634</v>
      </c>
      <c r="CL178" s="721">
        <f t="shared" si="508"/>
        <v>-7.4509585376727694E-2</v>
      </c>
      <c r="CM178" s="741">
        <f t="shared" si="508"/>
        <v>0.12928997411950038</v>
      </c>
      <c r="CN178" s="721">
        <f t="shared" si="508"/>
        <v>1.8822438572090983E-2</v>
      </c>
      <c r="CO178" s="721">
        <f t="shared" si="508"/>
        <v>-7.0059700678787307E-3</v>
      </c>
      <c r="CP178" s="721">
        <f t="shared" si="508"/>
        <v>-2.1384502771097047E-2</v>
      </c>
      <c r="CQ178" s="721">
        <f t="shared" si="508"/>
        <v>0.26772058254264541</v>
      </c>
      <c r="CR178" s="741">
        <f t="shared" si="508"/>
        <v>5.9970331297126256E-2</v>
      </c>
      <c r="CS178" s="721">
        <f t="shared" si="508"/>
        <v>0.3810217206649682</v>
      </c>
      <c r="CT178" s="721">
        <f t="shared" si="508"/>
        <v>0.55759622247844987</v>
      </c>
      <c r="CU178" s="721">
        <f t="shared" si="508"/>
        <v>0.51800502217235667</v>
      </c>
      <c r="CV178" s="721">
        <f t="shared" si="508"/>
        <v>-5.7475593102453759E-2</v>
      </c>
      <c r="CW178" s="741">
        <f t="shared" si="508"/>
        <v>0.33466665323754552</v>
      </c>
      <c r="CX178" s="721">
        <f t="shared" si="508"/>
        <v>-0.37360513135928319</v>
      </c>
      <c r="CY178" s="721">
        <f t="shared" si="508"/>
        <v>-0.47046900611593856</v>
      </c>
      <c r="CZ178" s="721">
        <f t="shared" si="508"/>
        <v>-0.40448746150461934</v>
      </c>
      <c r="DA178" s="721">
        <f t="shared" si="508"/>
        <v>-0.10557879352920441</v>
      </c>
      <c r="DB178" s="741">
        <f t="shared" si="508"/>
        <v>-0.35656933572132909</v>
      </c>
      <c r="DC178" s="721">
        <f t="shared" si="508"/>
        <v>0.29344929162575406</v>
      </c>
      <c r="DD178" s="721">
        <f t="shared" si="508"/>
        <v>0.30987884436160273</v>
      </c>
      <c r="DE178" s="721">
        <f t="shared" si="508"/>
        <v>0.12966903073286007</v>
      </c>
      <c r="DF178" s="721">
        <f t="shared" si="508"/>
        <v>0.14190331304935788</v>
      </c>
      <c r="DG178" s="741">
        <f t="shared" si="508"/>
        <v>0.21191436792393814</v>
      </c>
      <c r="DH178" s="721">
        <f t="shared" si="508"/>
        <v>0.25406680403426996</v>
      </c>
      <c r="DI178" s="721">
        <f t="shared" si="508"/>
        <v>0.32812420592570013</v>
      </c>
      <c r="DJ178" s="721">
        <f t="shared" si="508"/>
        <v>0.3176467510725125</v>
      </c>
      <c r="DK178" s="721">
        <f t="shared" si="508"/>
        <v>0.24034737127772421</v>
      </c>
      <c r="DL178" s="741">
        <f t="shared" si="508"/>
        <v>0.28496312879437946</v>
      </c>
      <c r="DM178" s="721">
        <f t="shared" si="508"/>
        <v>0.10524267646740859</v>
      </c>
      <c r="DN178" s="721">
        <f t="shared" si="508"/>
        <v>-5.2614460366960936E-3</v>
      </c>
      <c r="DO178" s="721">
        <f t="shared" si="508"/>
        <v>4.6852355522026823E-3</v>
      </c>
      <c r="DP178" s="721">
        <f t="shared" si="508"/>
        <v>4.2456489308801526E-2</v>
      </c>
      <c r="DQ178" s="741">
        <f t="shared" si="508"/>
        <v>3.4962945854755789E-2</v>
      </c>
      <c r="DR178" s="721">
        <f>DR177/DM177-1</f>
        <v>2.2643102582659891E-2</v>
      </c>
      <c r="DS178" s="721">
        <f t="shared" si="508"/>
        <v>-2.4926911832589549E-2</v>
      </c>
      <c r="DT178" s="721">
        <f t="shared" si="508"/>
        <v>3.1404464091639994E-3</v>
      </c>
      <c r="DU178" s="721">
        <f t="shared" si="508"/>
        <v>-3.9887806599948283E-2</v>
      </c>
      <c r="DV178" s="741">
        <f t="shared" si="508"/>
        <v>-1.0042075545164453E-2</v>
      </c>
      <c r="DW178" s="721">
        <f t="shared" si="508"/>
        <v>-1.6116563351275981E-2</v>
      </c>
      <c r="DX178" s="721">
        <f t="shared" si="508"/>
        <v>1.0217768660249149E-2</v>
      </c>
      <c r="DY178" s="721">
        <f t="shared" si="508"/>
        <v>-1.4831375936897873E-2</v>
      </c>
      <c r="DZ178" s="721">
        <f t="shared" si="508"/>
        <v>-6.7827262068006156E-2</v>
      </c>
      <c r="EA178" s="741">
        <f t="shared" si="508"/>
        <v>-2.2005677909794574E-2</v>
      </c>
      <c r="EB178" s="721">
        <f t="shared" si="508"/>
        <v>-0.25553093044053043</v>
      </c>
      <c r="EC178" s="721">
        <f t="shared" si="508"/>
        <v>-0.2770531495294255</v>
      </c>
      <c r="ED178" s="721">
        <f t="shared" si="508"/>
        <v>-0.30991942095055303</v>
      </c>
      <c r="EE178" s="721">
        <f t="shared" si="508"/>
        <v>-0.30968319617959317</v>
      </c>
      <c r="EF178" s="741">
        <f t="shared" si="508"/>
        <v>-0.28741149766248608</v>
      </c>
      <c r="EG178" s="1041"/>
      <c r="EH178" s="721"/>
      <c r="EI178" s="721"/>
      <c r="EJ178" s="1042"/>
      <c r="EK178" s="741">
        <f>EK177/EF177-1</f>
        <v>0</v>
      </c>
      <c r="EL178" s="1041"/>
      <c r="EM178" s="721"/>
      <c r="EN178" s="721"/>
      <c r="EO178" s="1042"/>
      <c r="EP178" s="741">
        <f>EP177/EK177-1</f>
        <v>0</v>
      </c>
      <c r="EQ178" s="1041"/>
      <c r="ER178" s="721"/>
      <c r="ES178" s="721"/>
      <c r="ET178" s="1042"/>
      <c r="EU178" s="741">
        <f>EU177/EP177-1</f>
        <v>0</v>
      </c>
      <c r="EV178" s="1041"/>
      <c r="EW178" s="721"/>
      <c r="EX178" s="721"/>
      <c r="EY178" s="1042"/>
      <c r="EZ178" s="741">
        <f>EZ177/EU177-1</f>
        <v>0</v>
      </c>
      <c r="FA178" s="1041"/>
      <c r="FB178" s="721"/>
      <c r="FC178" s="721"/>
      <c r="FD178" s="1042"/>
      <c r="FE178" s="741">
        <f>FE177/EZ177-1</f>
        <v>0</v>
      </c>
      <c r="FF178" s="721"/>
      <c r="FG178" s="690"/>
      <c r="FH178" s="754"/>
      <c r="FI178" s="754"/>
      <c r="FJ178" s="754"/>
      <c r="FK178" s="754"/>
      <c r="FL178" s="690"/>
      <c r="FM178" s="708"/>
      <c r="FN178" s="708"/>
      <c r="FO178" s="723"/>
      <c r="FP178" s="723"/>
      <c r="FQ178" s="723"/>
      <c r="FR178" s="723"/>
      <c r="FS178" s="723"/>
      <c r="FT178" s="723"/>
      <c r="FU178" s="690"/>
      <c r="FV178"/>
      <c r="FW178"/>
      <c r="FX178"/>
      <c r="FY178"/>
      <c r="FZ178"/>
      <c r="GA178"/>
      <c r="GB178" s="949"/>
      <c r="GC178" s="950"/>
      <c r="GD178" s="950"/>
      <c r="GE178" s="950"/>
      <c r="GF178" s="950"/>
      <c r="GG178" s="950"/>
      <c r="GH178" s="950"/>
      <c r="GI178" s="950"/>
      <c r="GJ178" s="950"/>
      <c r="GK178" s="950"/>
      <c r="GL178" s="950"/>
      <c r="GM178" s="950"/>
      <c r="GN178" s="950"/>
      <c r="GO178" s="950"/>
      <c r="GP178" s="950"/>
      <c r="GQ178" s="950"/>
      <c r="GR178" s="950"/>
      <c r="GS178" s="950"/>
      <c r="GT178" s="950"/>
      <c r="GU178" s="950"/>
      <c r="GV178" s="950"/>
      <c r="GW178" s="950"/>
      <c r="GX178" s="950"/>
      <c r="GY178" s="950"/>
      <c r="GZ178" s="950"/>
      <c r="HA178" s="950"/>
      <c r="HB178" s="950"/>
      <c r="HC178" s="950"/>
      <c r="HD178" s="950"/>
      <c r="HE178" s="950"/>
      <c r="HF178" s="950"/>
      <c r="HG178" s="950"/>
      <c r="HH178" s="950"/>
      <c r="HI178" s="950"/>
      <c r="HJ178" s="950"/>
      <c r="HK178" s="950"/>
      <c r="HL178" s="950"/>
      <c r="HM178" s="950"/>
      <c r="HN178" s="950"/>
      <c r="HO178" s="950"/>
      <c r="HP178" s="950"/>
      <c r="HQ178" s="950"/>
      <c r="HR178" s="950"/>
      <c r="HS178" s="950"/>
      <c r="HT178" s="950"/>
      <c r="HU178" s="950"/>
      <c r="HV178" s="950"/>
      <c r="HW178" s="950"/>
      <c r="HX178" s="950"/>
      <c r="HY178" s="950"/>
      <c r="HZ178" s="950"/>
      <c r="IA178" s="950"/>
      <c r="IB178" s="950"/>
      <c r="IC178" s="950"/>
      <c r="ID178" s="950"/>
      <c r="IE178" s="950"/>
      <c r="IF178" s="950"/>
      <c r="IG178" s="950"/>
      <c r="IH178" s="950"/>
      <c r="II178" s="950"/>
      <c r="IJ178" s="950"/>
      <c r="IK178" s="950"/>
      <c r="IL178" s="950"/>
      <c r="IM178" s="950"/>
      <c r="IN178" s="950"/>
      <c r="IO178" s="950"/>
      <c r="IP178" s="950"/>
      <c r="IQ178" s="950"/>
      <c r="IR178" s="950"/>
      <c r="IS178" s="950"/>
      <c r="IT178" s="950"/>
      <c r="IU178" s="950"/>
      <c r="IV178" s="950"/>
      <c r="IW178" s="950"/>
      <c r="IX178" s="950"/>
      <c r="IY178" s="950"/>
      <c r="IZ178" s="950"/>
      <c r="JA178" s="950"/>
      <c r="JB178" s="950"/>
      <c r="JC178" s="950"/>
      <c r="JD178" s="950"/>
      <c r="JE178" s="950"/>
      <c r="JF178" s="950"/>
      <c r="JG178" s="950"/>
      <c r="JH178" s="950"/>
      <c r="JI178" s="950"/>
      <c r="JJ178" s="950"/>
      <c r="JK178" s="950"/>
      <c r="JL178" s="950"/>
    </row>
    <row r="179" spans="1:272" s="1399" customFormat="1" ht="12.75" hidden="1" customHeight="1" outlineLevel="1" collapsed="1">
      <c r="A179" s="932" t="s">
        <v>377</v>
      </c>
      <c r="B179" s="1390"/>
      <c r="C179" s="1391"/>
      <c r="D179" s="1391"/>
      <c r="E179" s="1391"/>
      <c r="F179" s="718"/>
      <c r="G179" s="1392"/>
      <c r="H179" s="1391"/>
      <c r="I179" s="1391"/>
      <c r="J179" s="1391"/>
      <c r="K179" s="718"/>
      <c r="L179" s="1392"/>
      <c r="M179" s="1391"/>
      <c r="N179" s="1391"/>
      <c r="O179" s="1391"/>
      <c r="P179" s="718"/>
      <c r="Q179" s="1392"/>
      <c r="R179" s="1391"/>
      <c r="S179" s="1391"/>
      <c r="T179" s="1391"/>
      <c r="U179" s="718"/>
      <c r="V179" s="1392"/>
      <c r="W179" s="1391"/>
      <c r="X179" s="1391"/>
      <c r="Y179" s="1391"/>
      <c r="Z179" s="718"/>
      <c r="AA179" s="1392"/>
      <c r="AB179" s="1391"/>
      <c r="AC179" s="1391"/>
      <c r="AD179" s="1391"/>
      <c r="AE179" s="718"/>
      <c r="AF179" s="719"/>
      <c r="AG179" s="719"/>
      <c r="AH179" s="719"/>
      <c r="AI179" s="719"/>
      <c r="AJ179" s="718"/>
      <c r="AK179" s="719"/>
      <c r="AL179" s="719"/>
      <c r="AM179" s="719"/>
      <c r="AN179" s="719"/>
      <c r="AO179" s="718"/>
      <c r="AP179" s="719"/>
      <c r="AQ179" s="934"/>
      <c r="AR179" s="934"/>
      <c r="AS179" s="719"/>
      <c r="AT179" s="718"/>
      <c r="AU179" s="719"/>
      <c r="AV179" s="934"/>
      <c r="AW179" s="719"/>
      <c r="AX179" s="719"/>
      <c r="AY179" s="718"/>
      <c r="AZ179" s="719"/>
      <c r="BA179" s="934"/>
      <c r="BB179" s="719"/>
      <c r="BC179" s="719"/>
      <c r="BD179" s="718"/>
      <c r="BE179" s="719"/>
      <c r="BF179" s="934"/>
      <c r="BG179" s="719"/>
      <c r="BH179" s="719"/>
      <c r="BI179" s="718"/>
      <c r="BJ179" s="719"/>
      <c r="BK179" s="934"/>
      <c r="BL179" s="719"/>
      <c r="BM179" s="719"/>
      <c r="BN179" s="718"/>
      <c r="BO179" s="719"/>
      <c r="BP179" s="934"/>
      <c r="BQ179" s="719"/>
      <c r="BR179" s="719"/>
      <c r="BS179" s="718"/>
      <c r="BT179" s="719"/>
      <c r="BU179" s="934"/>
      <c r="BV179" s="719"/>
      <c r="BW179" s="719"/>
      <c r="BX179" s="718">
        <v>294.774</v>
      </c>
      <c r="BY179" s="719"/>
      <c r="BZ179" s="934"/>
      <c r="CA179" s="719"/>
      <c r="CB179" s="719"/>
      <c r="CC179" s="718">
        <f>CC184+CC185+CC186+CC187+CC188</f>
        <v>305.91500000000002</v>
      </c>
      <c r="CD179" s="719">
        <v>79.225999999999999</v>
      </c>
      <c r="CE179" s="719">
        <v>82.926000000000002</v>
      </c>
      <c r="CF179" s="719">
        <v>80.363</v>
      </c>
      <c r="CG179" s="719">
        <f>328.288-SUM(CD179:CF179)</f>
        <v>85.773000000000025</v>
      </c>
      <c r="CH179" s="718">
        <f>CH184+CH185+CH186+CH187+CH188</f>
        <v>513.45899999999995</v>
      </c>
      <c r="CI179" s="719">
        <f>CI184+CI185+CI186+CI187+CI188</f>
        <v>198.81400000000002</v>
      </c>
      <c r="CJ179" s="719">
        <f>CJ184+CJ185+CJ186+CJ187+CJ188</f>
        <v>211.08500000000001</v>
      </c>
      <c r="CK179" s="719">
        <f>CK184+CK185+CK186+CK187+CK188</f>
        <v>135.00800000000001</v>
      </c>
      <c r="CL179" s="719">
        <f>CM179-SUM(CI179:CK179)</f>
        <v>-39.111000000000047</v>
      </c>
      <c r="CM179" s="718">
        <f>CM184+CM185+CM186+CM187+CM188</f>
        <v>505.79599999999999</v>
      </c>
      <c r="CN179" s="719">
        <f>CN184+CN185+CN186+CN187+CN188</f>
        <v>144.80100000000002</v>
      </c>
      <c r="CO179" s="719">
        <f>CO184+CO185+CO186+CO187+CO188</f>
        <v>150.499</v>
      </c>
      <c r="CP179" s="719">
        <f>CP184+CP185+CP186+CP187+CP188</f>
        <v>167.71600000000001</v>
      </c>
      <c r="CQ179" s="719">
        <f>CQ184+CQ185+CQ186+CQ187+CQ188</f>
        <v>182.67499999999995</v>
      </c>
      <c r="CR179" s="718">
        <f t="shared" ref="CR179:DO179" si="509">CR184+CR185+CR186+CR187+CR188</f>
        <v>645.69100000000003</v>
      </c>
      <c r="CS179" s="719">
        <f t="shared" si="509"/>
        <v>181.96100000000001</v>
      </c>
      <c r="CT179" s="719">
        <f t="shared" si="509"/>
        <v>183.14</v>
      </c>
      <c r="CU179" s="719">
        <f t="shared" si="509"/>
        <v>192.38499999999999</v>
      </c>
      <c r="CV179" s="719">
        <f t="shared" si="509"/>
        <v>248.17700000000002</v>
      </c>
      <c r="CW179" s="718">
        <f t="shared" si="509"/>
        <v>805.66300000000001</v>
      </c>
      <c r="CX179" s="719">
        <f>CX184+CX185+CX186+CX187</f>
        <v>168.60499999999999</v>
      </c>
      <c r="CY179" s="719">
        <f t="shared" si="509"/>
        <v>180.07900000000001</v>
      </c>
      <c r="CZ179" s="719">
        <f t="shared" si="509"/>
        <v>195.476</v>
      </c>
      <c r="DA179" s="719">
        <f t="shared" si="509"/>
        <v>218.77</v>
      </c>
      <c r="DB179" s="718">
        <f>SUM(CX179:DA179)</f>
        <v>762.93</v>
      </c>
      <c r="DC179" s="719">
        <f>DC184+DC185+DC186+DC187</f>
        <v>218.26900000000001</v>
      </c>
      <c r="DD179" s="719">
        <f t="shared" si="509"/>
        <v>232.56899999999999</v>
      </c>
      <c r="DE179" s="719">
        <f>DE184+DE185+DE186+DE187</f>
        <v>229.47899999999998</v>
      </c>
      <c r="DF179" s="719">
        <f t="shared" si="509"/>
        <v>230.29300000000001</v>
      </c>
      <c r="DG179" s="718">
        <f t="shared" si="509"/>
        <v>901.70600000000002</v>
      </c>
      <c r="DH179" s="719">
        <f t="shared" si="509"/>
        <v>213.95999999999998</v>
      </c>
      <c r="DI179" s="719">
        <f t="shared" si="509"/>
        <v>230.334</v>
      </c>
      <c r="DJ179" s="719">
        <f t="shared" si="509"/>
        <v>241.566</v>
      </c>
      <c r="DK179" s="719">
        <f t="shared" si="509"/>
        <v>228.35499999999999</v>
      </c>
      <c r="DL179" s="718">
        <f>DH179+DI179+DJ179+DK179</f>
        <v>914.21500000000003</v>
      </c>
      <c r="DM179" s="719">
        <f t="shared" si="509"/>
        <v>224.27699999999999</v>
      </c>
      <c r="DN179" s="719">
        <f t="shared" si="509"/>
        <v>231.233</v>
      </c>
      <c r="DO179" s="719">
        <f t="shared" si="509"/>
        <v>239.16300000000001</v>
      </c>
      <c r="DP179" s="719">
        <f>DP184+DP185+DP186+DP187+DP188</f>
        <v>234.69400000000002</v>
      </c>
      <c r="DQ179" s="718">
        <f>DM179+DN179+DO179+DP179</f>
        <v>929.36699999999996</v>
      </c>
      <c r="DR179" s="719">
        <f>DR184+DR185+DR186+DR187+DR188</f>
        <v>244.86099999999999</v>
      </c>
      <c r="DS179" s="719">
        <f>DS184+DS185+DS186+DS187+DS188</f>
        <v>245.61199999999999</v>
      </c>
      <c r="DT179" s="719">
        <f>DT184+DT185+DT186+DT187+DT188</f>
        <v>269.22300000000001</v>
      </c>
      <c r="DU179" s="719">
        <f>DU184+DU185+DU186+DU187+DU188</f>
        <v>276.80200000000002</v>
      </c>
      <c r="DV179" s="718">
        <f>DR179+DS179+DT179+DU179</f>
        <v>1036.498</v>
      </c>
      <c r="DW179" s="719">
        <f>DW184+DW185+DW186+DW187+DW188</f>
        <v>269.23099999999999</v>
      </c>
      <c r="DX179" s="719">
        <f>DX184+DX185+DX186+DX187+DX188</f>
        <v>271.66800000000001</v>
      </c>
      <c r="DY179" s="719">
        <f>DY184+DY185+DY186+DY187+DY188</f>
        <v>280.09100000000001</v>
      </c>
      <c r="DZ179" s="719">
        <f>DZ184+DZ185+DZ186+DZ187+DZ188</f>
        <v>280.04500000000002</v>
      </c>
      <c r="EA179" s="718">
        <f>DW179+DX179+DY179+DZ179</f>
        <v>1101.0350000000001</v>
      </c>
      <c r="EB179" s="719">
        <f>EB184+EB185+EB186+EB187+EB188</f>
        <v>276.27499999999998</v>
      </c>
      <c r="EC179" s="719">
        <f>EC184+EC185+EC186+EC187+EC188</f>
        <v>282.73199999999997</v>
      </c>
      <c r="ED179" s="719">
        <f>ED194-ED189-ED173-ED169-ED165</f>
        <v>291.1374276100089</v>
      </c>
      <c r="EE179" s="719">
        <f>EE194-EE189-EE173-EE169-EE165</f>
        <v>267.50736170657842</v>
      </c>
      <c r="EF179" s="718">
        <f>EB179+EC179+ED179+EE179</f>
        <v>1117.6517893165874</v>
      </c>
      <c r="EG179" s="1395"/>
      <c r="EH179" s="719"/>
      <c r="EI179" s="719"/>
      <c r="EJ179" s="1396"/>
      <c r="EK179" s="718">
        <f>EK194-EK189-EK173-EK169-EK165</f>
        <v>352.01834499475194</v>
      </c>
      <c r="EL179" s="1395"/>
      <c r="EM179" s="719"/>
      <c r="EN179" s="719"/>
      <c r="EO179" s="1396"/>
      <c r="EP179" s="718">
        <f>EP194-EP189-EP173-EP169-EP165</f>
        <v>308.93437251494174</v>
      </c>
      <c r="EQ179" s="1395"/>
      <c r="ER179" s="719"/>
      <c r="ES179" s="719"/>
      <c r="ET179" s="1396"/>
      <c r="EU179" s="718">
        <f>EU194-EU189-EU173-EU169-EU165</f>
        <v>275.50392221919196</v>
      </c>
      <c r="EV179" s="1395"/>
      <c r="EW179" s="719"/>
      <c r="EX179" s="719"/>
      <c r="EY179" s="1396"/>
      <c r="EZ179" s="718">
        <f>EZ194-EZ189-EZ173-EZ169-EZ165</f>
        <v>282.68792975825272</v>
      </c>
      <c r="FA179" s="1395"/>
      <c r="FB179" s="719"/>
      <c r="FC179" s="719"/>
      <c r="FD179" s="1396"/>
      <c r="FE179" s="718">
        <f>FE194-FE189-FE173-FE169-FE165</f>
        <v>289.847074451867</v>
      </c>
      <c r="FF179" s="778"/>
      <c r="FG179" s="690"/>
      <c r="FH179" s="754"/>
      <c r="FI179" s="754"/>
      <c r="FJ179" s="754"/>
      <c r="FK179" s="754"/>
      <c r="FL179" s="690"/>
      <c r="FM179" s="940"/>
      <c r="FN179" s="940"/>
      <c r="FO179" s="719"/>
      <c r="FP179" s="719"/>
      <c r="FQ179" s="719"/>
      <c r="FR179" s="719"/>
      <c r="FS179" s="719"/>
      <c r="FT179" s="719"/>
      <c r="FU179" s="690"/>
      <c r="FV179"/>
      <c r="FW179"/>
      <c r="FX179"/>
      <c r="FY179"/>
      <c r="FZ179"/>
      <c r="GA179"/>
      <c r="GB179" s="942"/>
      <c r="GC179" s="965"/>
      <c r="GD179" s="965"/>
      <c r="GE179" s="965"/>
      <c r="GF179" s="965"/>
      <c r="GG179" s="965"/>
      <c r="GH179" s="965"/>
      <c r="GI179" s="965"/>
      <c r="GJ179" s="965"/>
      <c r="GK179" s="965"/>
      <c r="GL179" s="965"/>
      <c r="GM179" s="965"/>
      <c r="GN179" s="965"/>
      <c r="GO179" s="965"/>
      <c r="GP179" s="965"/>
      <c r="GQ179" s="965"/>
      <c r="GR179" s="965"/>
      <c r="GS179" s="965"/>
      <c r="GT179" s="965"/>
      <c r="GU179" s="965"/>
      <c r="GV179" s="965"/>
      <c r="GW179" s="965"/>
      <c r="GX179" s="965"/>
      <c r="GY179" s="965"/>
      <c r="GZ179" s="965"/>
      <c r="HA179" s="965"/>
      <c r="HB179" s="965"/>
      <c r="HC179" s="965"/>
      <c r="HD179" s="965"/>
      <c r="HE179" s="965"/>
      <c r="HF179" s="965"/>
      <c r="HG179" s="965"/>
      <c r="HH179" s="965"/>
      <c r="HI179" s="965"/>
      <c r="HJ179" s="965"/>
      <c r="HK179" s="965"/>
      <c r="HL179" s="965"/>
      <c r="HM179" s="965"/>
      <c r="HN179" s="965"/>
      <c r="HO179" s="965"/>
      <c r="HP179" s="965"/>
      <c r="HQ179" s="965"/>
      <c r="HR179" s="965"/>
      <c r="HS179" s="965"/>
      <c r="HT179" s="965"/>
      <c r="HU179" s="965"/>
      <c r="HV179" s="965"/>
      <c r="HW179" s="965"/>
      <c r="HX179" s="965"/>
      <c r="HY179" s="965"/>
      <c r="HZ179" s="965"/>
      <c r="IA179" s="965"/>
      <c r="IB179" s="965"/>
      <c r="IC179" s="965"/>
      <c r="ID179" s="965"/>
      <c r="IE179" s="965"/>
      <c r="IF179" s="965"/>
      <c r="IG179" s="965"/>
      <c r="IH179" s="965"/>
      <c r="II179" s="965"/>
      <c r="IJ179" s="965"/>
      <c r="IK179" s="965"/>
      <c r="IL179" s="965"/>
      <c r="IM179" s="965"/>
      <c r="IN179" s="965"/>
      <c r="IO179" s="965"/>
      <c r="IP179" s="965"/>
      <c r="IQ179" s="965"/>
      <c r="IR179" s="965"/>
      <c r="IS179" s="965"/>
      <c r="IT179" s="965"/>
      <c r="IU179" s="965"/>
      <c r="IV179" s="965"/>
      <c r="IW179" s="965"/>
      <c r="IX179" s="965"/>
      <c r="IY179" s="965"/>
      <c r="IZ179" s="965"/>
      <c r="JA179" s="965"/>
      <c r="JB179" s="965"/>
      <c r="JC179" s="965"/>
      <c r="JD179" s="965"/>
      <c r="JE179" s="965"/>
      <c r="JF179" s="965"/>
      <c r="JG179" s="965"/>
      <c r="JH179" s="965"/>
      <c r="JI179" s="965"/>
      <c r="JJ179" s="965"/>
      <c r="JK179" s="965"/>
      <c r="JL179" s="965"/>
    </row>
    <row r="180" spans="1:272" s="749" customFormat="1" ht="12.75" hidden="1" customHeight="1" outlineLevel="1">
      <c r="A180" s="58" t="s">
        <v>85</v>
      </c>
      <c r="B180" s="815"/>
      <c r="C180" s="815"/>
      <c r="D180" s="815"/>
      <c r="E180" s="815"/>
      <c r="F180" s="816"/>
      <c r="G180" s="817"/>
      <c r="H180" s="817"/>
      <c r="I180" s="817"/>
      <c r="J180" s="817"/>
      <c r="K180" s="816"/>
      <c r="L180" s="817"/>
      <c r="M180" s="817"/>
      <c r="N180" s="817"/>
      <c r="O180" s="817"/>
      <c r="P180" s="816"/>
      <c r="Q180" s="817"/>
      <c r="R180" s="817"/>
      <c r="S180" s="817"/>
      <c r="T180" s="817"/>
      <c r="U180" s="816"/>
      <c r="V180" s="817"/>
      <c r="W180" s="817"/>
      <c r="X180" s="817"/>
      <c r="Y180" s="817"/>
      <c r="Z180" s="816"/>
      <c r="AA180" s="817"/>
      <c r="AB180" s="817"/>
      <c r="AC180" s="817"/>
      <c r="AD180" s="817"/>
      <c r="AE180" s="816"/>
      <c r="AF180" s="817"/>
      <c r="AG180" s="817"/>
      <c r="AH180" s="817"/>
      <c r="AI180" s="817"/>
      <c r="AJ180" s="816"/>
      <c r="AK180" s="817"/>
      <c r="AL180" s="817"/>
      <c r="AM180" s="817"/>
      <c r="AN180" s="817"/>
      <c r="AO180" s="816"/>
      <c r="AP180" s="817"/>
      <c r="AQ180" s="817"/>
      <c r="AR180" s="817"/>
      <c r="AS180" s="817"/>
      <c r="AT180" s="816"/>
      <c r="AU180" s="817"/>
      <c r="AV180" s="817"/>
      <c r="AW180" s="817"/>
      <c r="AX180" s="817"/>
      <c r="AY180" s="816"/>
      <c r="AZ180" s="817"/>
      <c r="BA180" s="817"/>
      <c r="BB180" s="817"/>
      <c r="BC180" s="817"/>
      <c r="BD180" s="816"/>
      <c r="BE180" s="817" t="str">
        <f t="shared" ref="BE180:CC180" si="510">IF(ISERROR(BE179/AZ179-1),"",BE179/AZ179-1)</f>
        <v/>
      </c>
      <c r="BF180" s="817" t="str">
        <f t="shared" si="510"/>
        <v/>
      </c>
      <c r="BG180" s="817" t="str">
        <f t="shared" si="510"/>
        <v/>
      </c>
      <c r="BH180" s="817" t="str">
        <f t="shared" si="510"/>
        <v/>
      </c>
      <c r="BI180" s="816" t="str">
        <f t="shared" si="510"/>
        <v/>
      </c>
      <c r="BJ180" s="817" t="str">
        <f t="shared" si="510"/>
        <v/>
      </c>
      <c r="BK180" s="817" t="str">
        <f t="shared" si="510"/>
        <v/>
      </c>
      <c r="BL180" s="817" t="str">
        <f t="shared" si="510"/>
        <v/>
      </c>
      <c r="BM180" s="817" t="str">
        <f t="shared" si="510"/>
        <v/>
      </c>
      <c r="BN180" s="816"/>
      <c r="BO180" s="817"/>
      <c r="BP180" s="817"/>
      <c r="BQ180" s="817"/>
      <c r="BR180" s="817"/>
      <c r="BS180" s="816"/>
      <c r="BT180" s="817"/>
      <c r="BU180" s="817"/>
      <c r="BV180" s="817"/>
      <c r="BW180" s="817"/>
      <c r="BX180" s="816"/>
      <c r="BY180" s="817" t="str">
        <f t="shared" si="510"/>
        <v/>
      </c>
      <c r="BZ180" s="817" t="str">
        <f t="shared" si="510"/>
        <v/>
      </c>
      <c r="CA180" s="817" t="str">
        <f t="shared" si="510"/>
        <v/>
      </c>
      <c r="CB180" s="817" t="str">
        <f t="shared" si="510"/>
        <v/>
      </c>
      <c r="CC180" s="816">
        <f t="shared" si="510"/>
        <v>3.7795056551799044E-2</v>
      </c>
      <c r="CD180" s="817"/>
      <c r="CE180" s="817"/>
      <c r="CF180" s="817"/>
      <c r="CG180" s="817"/>
      <c r="CH180" s="816">
        <f t="shared" ref="CH180:EF180" si="511">CH179/CC179-1</f>
        <v>0.67843682068548428</v>
      </c>
      <c r="CI180" s="817"/>
      <c r="CJ180" s="817"/>
      <c r="CK180" s="817"/>
      <c r="CL180" s="817"/>
      <c r="CM180" s="816">
        <f t="shared" si="511"/>
        <v>-1.4924268539454832E-2</v>
      </c>
      <c r="CN180" s="817"/>
      <c r="CO180" s="817"/>
      <c r="CP180" s="817"/>
      <c r="CQ180" s="817"/>
      <c r="CR180" s="816">
        <f t="shared" si="511"/>
        <v>0.27658384012526804</v>
      </c>
      <c r="CS180" s="817">
        <f t="shared" si="511"/>
        <v>0.25662806196089805</v>
      </c>
      <c r="CT180" s="817">
        <f t="shared" si="511"/>
        <v>0.21688516202765462</v>
      </c>
      <c r="CU180" s="817">
        <f t="shared" si="511"/>
        <v>0.14708793436523626</v>
      </c>
      <c r="CV180" s="817">
        <f t="shared" si="511"/>
        <v>0.35857123306418548</v>
      </c>
      <c r="CW180" s="816">
        <f t="shared" si="511"/>
        <v>0.24775318224971388</v>
      </c>
      <c r="CX180" s="817">
        <f t="shared" si="511"/>
        <v>-7.3400344029764697E-2</v>
      </c>
      <c r="CY180" s="817">
        <f t="shared" si="511"/>
        <v>-1.6713989297804877E-2</v>
      </c>
      <c r="CZ180" s="817">
        <f t="shared" si="511"/>
        <v>1.6066741170049692E-2</v>
      </c>
      <c r="DA180" s="817">
        <f t="shared" si="511"/>
        <v>-0.11849204398473678</v>
      </c>
      <c r="DB180" s="816">
        <f t="shared" si="511"/>
        <v>-5.3040787525305277E-2</v>
      </c>
      <c r="DC180" s="817">
        <f t="shared" si="511"/>
        <v>0.29455828712078547</v>
      </c>
      <c r="DD180" s="817">
        <f t="shared" si="511"/>
        <v>0.29148318238106596</v>
      </c>
      <c r="DE180" s="817">
        <f t="shared" si="511"/>
        <v>0.17394974319098</v>
      </c>
      <c r="DF180" s="817">
        <f t="shared" si="511"/>
        <v>5.2671755725190783E-2</v>
      </c>
      <c r="DG180" s="816">
        <f t="shared" si="511"/>
        <v>0.18189873251805544</v>
      </c>
      <c r="DH180" s="817">
        <f t="shared" si="511"/>
        <v>-1.9741694881087235E-2</v>
      </c>
      <c r="DI180" s="817">
        <f t="shared" si="511"/>
        <v>-9.6100512106084279E-3</v>
      </c>
      <c r="DJ180" s="817">
        <f t="shared" si="511"/>
        <v>5.2671486279790347E-2</v>
      </c>
      <c r="DK180" s="817">
        <f t="shared" si="511"/>
        <v>-8.4153665113573251E-3</v>
      </c>
      <c r="DL180" s="818">
        <f t="shared" si="511"/>
        <v>1.3872592618880297E-2</v>
      </c>
      <c r="DM180" s="817">
        <f t="shared" si="511"/>
        <v>4.8219293325855395E-2</v>
      </c>
      <c r="DN180" s="817">
        <f t="shared" si="511"/>
        <v>3.9030277770542021E-3</v>
      </c>
      <c r="DO180" s="817">
        <f t="shared" si="511"/>
        <v>-9.9475919624449904E-3</v>
      </c>
      <c r="DP180" s="817">
        <f t="shared" si="511"/>
        <v>2.7759409691051395E-2</v>
      </c>
      <c r="DQ180" s="818">
        <f t="shared" si="511"/>
        <v>1.6573781878442162E-2</v>
      </c>
      <c r="DR180" s="817">
        <f>DR179/DM179-1</f>
        <v>9.1779362128082687E-2</v>
      </c>
      <c r="DS180" s="817">
        <f t="shared" si="511"/>
        <v>6.2184030826049952E-2</v>
      </c>
      <c r="DT180" s="817">
        <f t="shared" si="511"/>
        <v>0.12568833807905078</v>
      </c>
      <c r="DU180" s="817">
        <f t="shared" si="511"/>
        <v>0.17941660204351195</v>
      </c>
      <c r="DV180" s="818">
        <f t="shared" si="511"/>
        <v>0.11527308372257683</v>
      </c>
      <c r="DW180" s="817">
        <f t="shared" si="511"/>
        <v>9.9525853443382273E-2</v>
      </c>
      <c r="DX180" s="817">
        <f t="shared" si="511"/>
        <v>0.10608602185560967</v>
      </c>
      <c r="DY180" s="817">
        <f t="shared" si="511"/>
        <v>4.036802204863621E-2</v>
      </c>
      <c r="DZ180" s="817">
        <f t="shared" si="511"/>
        <v>1.1715955809567857E-2</v>
      </c>
      <c r="EA180" s="818">
        <f t="shared" si="511"/>
        <v>6.2264471325559789E-2</v>
      </c>
      <c r="EB180" s="817">
        <f t="shared" si="511"/>
        <v>2.6163406145651713E-2</v>
      </c>
      <c r="EC180" s="817">
        <f t="shared" si="511"/>
        <v>4.0726180485003649E-2</v>
      </c>
      <c r="ED180" s="817">
        <f t="shared" si="511"/>
        <v>3.943870959798379E-2</v>
      </c>
      <c r="EE180" s="817">
        <f t="shared" si="511"/>
        <v>-4.4770084427222745E-2</v>
      </c>
      <c r="EF180" s="818">
        <f t="shared" si="511"/>
        <v>1.5091971932397419E-2</v>
      </c>
      <c r="EG180" s="764"/>
      <c r="EH180" s="761"/>
      <c r="EI180" s="761"/>
      <c r="EJ180" s="763"/>
      <c r="EK180" s="818">
        <f>EK179/EF179-1</f>
        <v>-0.68503755072946171</v>
      </c>
      <c r="EL180" s="764"/>
      <c r="EM180" s="761"/>
      <c r="EN180" s="761"/>
      <c r="EO180" s="763"/>
      <c r="EP180" s="818">
        <f>EP179/EK179-1</f>
        <v>-0.12239127049032772</v>
      </c>
      <c r="EQ180" s="764"/>
      <c r="ER180" s="761"/>
      <c r="ES180" s="761"/>
      <c r="ET180" s="763"/>
      <c r="EU180" s="818">
        <f>EU179/EP179-1</f>
        <v>-0.10821214235114907</v>
      </c>
      <c r="EV180" s="764"/>
      <c r="EW180" s="761"/>
      <c r="EX180" s="761"/>
      <c r="EY180" s="763"/>
      <c r="EZ180" s="818">
        <f>EZ179/EU179-1</f>
        <v>2.6075881175096738E-2</v>
      </c>
      <c r="FA180" s="764"/>
      <c r="FB180" s="761"/>
      <c r="FC180" s="761"/>
      <c r="FD180" s="763"/>
      <c r="FE180" s="818">
        <f>FE179/EZ179-1</f>
        <v>2.5325257784216682E-2</v>
      </c>
      <c r="FF180" s="721"/>
      <c r="FG180" s="690" t="s">
        <v>286</v>
      </c>
      <c r="FH180" s="754"/>
      <c r="FI180" s="754"/>
      <c r="FJ180" s="754"/>
      <c r="FK180" s="754"/>
      <c r="FL180" s="690"/>
      <c r="FM180" s="708"/>
      <c r="FN180" s="708"/>
      <c r="FO180" s="723"/>
      <c r="FP180" s="723"/>
      <c r="FQ180" s="723"/>
      <c r="FR180" s="723"/>
      <c r="FS180" s="723"/>
      <c r="FT180" s="723"/>
      <c r="FU180" s="690"/>
      <c r="FV180"/>
      <c r="FW180"/>
      <c r="FX180"/>
      <c r="FY180"/>
      <c r="FZ180"/>
      <c r="GA180"/>
      <c r="GB180" s="725"/>
      <c r="GC180" s="532"/>
      <c r="GD180" s="532"/>
      <c r="GE180" s="532"/>
      <c r="GF180" s="532"/>
      <c r="GG180" s="532"/>
      <c r="GH180" s="532"/>
      <c r="GI180" s="532"/>
      <c r="GJ180" s="532"/>
      <c r="GK180" s="532"/>
      <c r="GL180" s="532"/>
      <c r="GM180" s="532"/>
      <c r="GN180" s="532"/>
      <c r="GO180" s="532"/>
      <c r="GP180" s="532"/>
      <c r="GQ180" s="532"/>
      <c r="GR180" s="532"/>
      <c r="GS180" s="532"/>
      <c r="GT180" s="532"/>
      <c r="GU180" s="532"/>
      <c r="GV180" s="532"/>
      <c r="GW180" s="532"/>
      <c r="GX180" s="532"/>
      <c r="GY180" s="532"/>
      <c r="GZ180" s="532"/>
      <c r="HA180" s="532"/>
      <c r="HB180" s="532"/>
      <c r="HC180" s="532"/>
      <c r="HD180" s="532"/>
      <c r="HE180" s="532"/>
      <c r="HF180" s="532"/>
      <c r="HG180" s="532"/>
      <c r="HH180" s="532"/>
      <c r="HI180" s="532"/>
      <c r="HJ180" s="532"/>
      <c r="HK180" s="532"/>
      <c r="HL180" s="532"/>
      <c r="HM180" s="532"/>
      <c r="HN180" s="532"/>
      <c r="HO180" s="532"/>
      <c r="HP180" s="532"/>
      <c r="HQ180" s="532"/>
      <c r="HR180" s="532"/>
      <c r="HS180" s="532"/>
      <c r="HT180" s="532"/>
      <c r="HU180" s="532"/>
      <c r="HV180" s="532"/>
      <c r="HW180" s="532"/>
      <c r="HX180" s="532"/>
      <c r="HY180" s="532"/>
      <c r="HZ180" s="532"/>
      <c r="IA180" s="532"/>
      <c r="IB180" s="532"/>
      <c r="IC180" s="532"/>
      <c r="ID180" s="532"/>
      <c r="IE180" s="532"/>
      <c r="IF180" s="532"/>
      <c r="IG180" s="532"/>
      <c r="IH180" s="532"/>
      <c r="II180" s="532"/>
      <c r="IJ180" s="532"/>
      <c r="IK180" s="532"/>
      <c r="IL180" s="532"/>
      <c r="IM180" s="532"/>
      <c r="IN180" s="532"/>
      <c r="IO180" s="532"/>
      <c r="IP180" s="532"/>
      <c r="IQ180" s="532"/>
      <c r="IR180" s="532"/>
      <c r="IS180" s="532"/>
      <c r="IT180" s="532"/>
      <c r="IU180" s="532"/>
      <c r="IV180" s="532"/>
      <c r="IW180" s="532"/>
      <c r="IX180" s="532"/>
      <c r="IY180" s="532"/>
      <c r="IZ180" s="532"/>
      <c r="JA180" s="532"/>
      <c r="JB180" s="532"/>
      <c r="JC180" s="532"/>
      <c r="JD180" s="532"/>
      <c r="JE180" s="532"/>
      <c r="JF180" s="532"/>
      <c r="JG180" s="532"/>
      <c r="JH180" s="532"/>
      <c r="JI180" s="532"/>
      <c r="JJ180" s="532"/>
      <c r="JK180" s="532"/>
      <c r="JL180" s="532"/>
    </row>
    <row r="181" spans="1:272" s="799" customFormat="1" ht="12.75" hidden="1" customHeight="1" outlineLevel="1">
      <c r="A181" s="1401" t="s">
        <v>371</v>
      </c>
      <c r="B181" s="1053"/>
      <c r="C181" s="743"/>
      <c r="D181" s="743"/>
      <c r="E181" s="743"/>
      <c r="F181" s="754"/>
      <c r="G181" s="743"/>
      <c r="H181" s="743"/>
      <c r="I181" s="743"/>
      <c r="J181" s="743"/>
      <c r="K181" s="754"/>
      <c r="L181" s="743"/>
      <c r="M181" s="743"/>
      <c r="N181" s="743"/>
      <c r="O181" s="743"/>
      <c r="P181" s="754"/>
      <c r="Q181" s="743"/>
      <c r="R181" s="743"/>
      <c r="S181" s="743"/>
      <c r="T181" s="743"/>
      <c r="U181" s="754"/>
      <c r="V181" s="743"/>
      <c r="W181" s="743"/>
      <c r="X181" s="743"/>
      <c r="Y181" s="743"/>
      <c r="Z181" s="754"/>
      <c r="AA181" s="743"/>
      <c r="AB181" s="743"/>
      <c r="AC181" s="743"/>
      <c r="AD181" s="743"/>
      <c r="AE181" s="754"/>
      <c r="AF181" s="743"/>
      <c r="AG181" s="743"/>
      <c r="AH181" s="743"/>
      <c r="AI181" s="743"/>
      <c r="AJ181" s="754"/>
      <c r="AK181" s="743"/>
      <c r="AL181" s="743"/>
      <c r="AM181" s="743"/>
      <c r="AN181" s="743"/>
      <c r="AO181" s="754"/>
      <c r="AP181" s="743"/>
      <c r="AQ181" s="743"/>
      <c r="AR181" s="743"/>
      <c r="AS181" s="743"/>
      <c r="AT181" s="754"/>
      <c r="AU181" s="743"/>
      <c r="AV181" s="743"/>
      <c r="AW181" s="743"/>
      <c r="AX181" s="743"/>
      <c r="AY181" s="754"/>
      <c r="AZ181" s="743"/>
      <c r="BA181" s="743"/>
      <c r="BB181" s="743"/>
      <c r="BC181" s="743"/>
      <c r="BD181" s="754"/>
      <c r="BE181" s="743"/>
      <c r="BF181" s="743"/>
      <c r="BG181" s="743"/>
      <c r="BH181" s="743"/>
      <c r="BI181" s="754"/>
      <c r="BJ181" s="743"/>
      <c r="BK181" s="743"/>
      <c r="BL181" s="743"/>
      <c r="BM181" s="743"/>
      <c r="BN181" s="754"/>
      <c r="BO181" s="743"/>
      <c r="BP181" s="743"/>
      <c r="BQ181" s="743"/>
      <c r="BR181" s="743"/>
      <c r="BS181" s="754"/>
      <c r="BT181" s="743"/>
      <c r="BU181" s="743"/>
      <c r="BV181" s="743"/>
      <c r="BW181" s="743"/>
      <c r="BX181" s="754"/>
      <c r="BY181" s="743"/>
      <c r="BZ181" s="743"/>
      <c r="CA181" s="743"/>
      <c r="CB181" s="743"/>
      <c r="CC181" s="754">
        <f>CC179/CC120</f>
        <v>8.3616140103056832E-2</v>
      </c>
      <c r="CD181" s="743"/>
      <c r="CE181" s="743"/>
      <c r="CF181" s="743"/>
      <c r="CG181" s="743"/>
      <c r="CH181" s="754">
        <f>CH179/CH120</f>
        <v>0.12475996671182034</v>
      </c>
      <c r="CI181" s="743"/>
      <c r="CJ181" s="743"/>
      <c r="CK181" s="743"/>
      <c r="CL181" s="743"/>
      <c r="CM181" s="754">
        <f t="shared" ref="CM181:EF181" si="512">CM179/CM120</f>
        <v>0.11981490842780657</v>
      </c>
      <c r="CN181" s="743">
        <f t="shared" si="512"/>
        <v>0.14448443460378313</v>
      </c>
      <c r="CO181" s="743">
        <f t="shared" si="512"/>
        <v>0.14016635668430319</v>
      </c>
      <c r="CP181" s="743">
        <f t="shared" si="512"/>
        <v>0.15091969444601919</v>
      </c>
      <c r="CQ181" s="743">
        <f t="shared" si="512"/>
        <v>0.15220861850316869</v>
      </c>
      <c r="CR181" s="754">
        <f t="shared" si="512"/>
        <v>0.14717063529960936</v>
      </c>
      <c r="CS181" s="743">
        <f t="shared" si="512"/>
        <v>0.15143465151329788</v>
      </c>
      <c r="CT181" s="743">
        <f t="shared" si="512"/>
        <v>0.13670377738050363</v>
      </c>
      <c r="CU181" s="743">
        <f t="shared" si="512"/>
        <v>0.14040968668828444</v>
      </c>
      <c r="CV181" s="743">
        <f t="shared" si="512"/>
        <v>0.2205268966448726</v>
      </c>
      <c r="CW181" s="754">
        <f t="shared" si="512"/>
        <v>0.15995478890735956</v>
      </c>
      <c r="CX181" s="743">
        <f t="shared" si="512"/>
        <v>0.17509543768407321</v>
      </c>
      <c r="CY181" s="743">
        <f t="shared" si="512"/>
        <v>0.17047559813051377</v>
      </c>
      <c r="CZ181" s="743">
        <f t="shared" si="512"/>
        <v>0.17246243959765001</v>
      </c>
      <c r="DA181" s="743">
        <f t="shared" si="512"/>
        <v>0.19593688677361085</v>
      </c>
      <c r="DB181" s="754">
        <f t="shared" si="512"/>
        <v>0.17870397979593086</v>
      </c>
      <c r="DC181" s="743">
        <f t="shared" si="512"/>
        <v>0.18785345865561132</v>
      </c>
      <c r="DD181" s="743">
        <f t="shared" si="512"/>
        <v>0.178041481692431</v>
      </c>
      <c r="DE181" s="743">
        <f t="shared" si="512"/>
        <v>0.18066770028020621</v>
      </c>
      <c r="DF181" s="743">
        <f t="shared" si="512"/>
        <v>0.18975349423182933</v>
      </c>
      <c r="DG181" s="754">
        <f t="shared" si="512"/>
        <v>0.18208967237748341</v>
      </c>
      <c r="DH181" s="743">
        <f t="shared" si="512"/>
        <v>0.17176891637705344</v>
      </c>
      <c r="DI181" s="743">
        <f t="shared" si="512"/>
        <v>0.17080135760732462</v>
      </c>
      <c r="DJ181" s="721">
        <f t="shared" si="512"/>
        <v>0.17542295154348175</v>
      </c>
      <c r="DK181" s="721">
        <f t="shared" si="512"/>
        <v>0.17316701777055854</v>
      </c>
      <c r="DL181" s="741">
        <f t="shared" si="512"/>
        <v>0.17282198625575457</v>
      </c>
      <c r="DM181" s="721">
        <f t="shared" si="512"/>
        <v>0.16416586332064814</v>
      </c>
      <c r="DN181" s="721">
        <f t="shared" si="512"/>
        <v>0.15990155563669356</v>
      </c>
      <c r="DO181" s="721">
        <f t="shared" si="512"/>
        <v>0.1703303081732026</v>
      </c>
      <c r="DP181" s="721">
        <f>DP179/DP120</f>
        <v>0.17207869337095164</v>
      </c>
      <c r="DQ181" s="741">
        <f t="shared" si="512"/>
        <v>0.1665458834610517</v>
      </c>
      <c r="DR181" s="721">
        <f t="shared" si="512"/>
        <v>0.18325669603431913</v>
      </c>
      <c r="DS181" s="721">
        <f t="shared" si="512"/>
        <v>0.17780319537850109</v>
      </c>
      <c r="DT181" s="721">
        <f t="shared" si="512"/>
        <v>0.19257436047098006</v>
      </c>
      <c r="DU181" s="721">
        <f t="shared" si="512"/>
        <v>0.20386050680475273</v>
      </c>
      <c r="DV181" s="741">
        <f t="shared" si="512"/>
        <v>0.18937156654893272</v>
      </c>
      <c r="DW181" s="721">
        <f t="shared" si="512"/>
        <v>0.19668508368015908</v>
      </c>
      <c r="DX181" s="721">
        <f t="shared" si="512"/>
        <v>0.18204052805342452</v>
      </c>
      <c r="DY181" s="721">
        <f t="shared" si="512"/>
        <v>0.18621214639497391</v>
      </c>
      <c r="DZ181" s="721">
        <f t="shared" si="512"/>
        <v>0.19437756077313745</v>
      </c>
      <c r="EA181" s="741">
        <f t="shared" si="512"/>
        <v>0.18963519034995968</v>
      </c>
      <c r="EB181" s="721">
        <f t="shared" si="512"/>
        <v>0.20130338064354417</v>
      </c>
      <c r="EC181" s="721">
        <f>EC179/EC120</f>
        <v>0.19808675596259825</v>
      </c>
      <c r="ED181" s="721">
        <f t="shared" si="512"/>
        <v>0.20672617068942153</v>
      </c>
      <c r="EE181" s="721">
        <f t="shared" si="512"/>
        <v>0.19862537717156947</v>
      </c>
      <c r="EF181" s="741">
        <f t="shared" si="512"/>
        <v>0.201202423027975</v>
      </c>
      <c r="EG181" s="1041"/>
      <c r="EH181" s="721"/>
      <c r="EI181" s="721"/>
      <c r="EJ181" s="1042"/>
      <c r="EK181" s="741">
        <f>EK179/EK120</f>
        <v>0.10217349577533216</v>
      </c>
      <c r="EL181" s="1041"/>
      <c r="EM181" s="721"/>
      <c r="EN181" s="721"/>
      <c r="EO181" s="1042"/>
      <c r="EP181" s="741">
        <f>EP179/EP120</f>
        <v>8.4844109775607413E-2</v>
      </c>
      <c r="EQ181" s="1041"/>
      <c r="ER181" s="721"/>
      <c r="ES181" s="721"/>
      <c r="ET181" s="1042"/>
      <c r="EU181" s="741">
        <f>EU179/EU120</f>
        <v>7.1783793583841696E-2</v>
      </c>
      <c r="EV181" s="1041"/>
      <c r="EW181" s="721"/>
      <c r="EX181" s="721"/>
      <c r="EY181" s="1042"/>
      <c r="EZ181" s="741">
        <f>EZ179/EZ120</f>
        <v>6.9516828765448901E-2</v>
      </c>
      <c r="FA181" s="1041"/>
      <c r="FB181" s="721"/>
      <c r="FC181" s="721"/>
      <c r="FD181" s="1042"/>
      <c r="FE181" s="741">
        <f>FE179/FE120</f>
        <v>6.7361579565444307E-2</v>
      </c>
      <c r="FF181" s="721"/>
      <c r="FG181" s="690"/>
      <c r="FH181" s="754"/>
      <c r="FI181" s="754"/>
      <c r="FJ181" s="754"/>
      <c r="FK181" s="754"/>
      <c r="FL181" s="690"/>
      <c r="FM181" s="708"/>
      <c r="FN181" s="708"/>
      <c r="FO181" s="723"/>
      <c r="FP181" s="723"/>
      <c r="FQ181" s="723"/>
      <c r="FR181" s="723"/>
      <c r="FS181" s="723"/>
      <c r="FT181" s="723"/>
      <c r="FU181" s="690"/>
      <c r="FV181"/>
      <c r="FW181"/>
      <c r="FX181"/>
      <c r="FY181"/>
      <c r="FZ181"/>
      <c r="GA181"/>
      <c r="GB181" s="949"/>
      <c r="GC181" s="950"/>
      <c r="GD181" s="950"/>
      <c r="GE181" s="950"/>
      <c r="GF181" s="950"/>
      <c r="GG181" s="950"/>
      <c r="GH181" s="950"/>
      <c r="GI181" s="950"/>
      <c r="GJ181" s="950"/>
      <c r="GK181" s="950"/>
      <c r="GL181" s="950"/>
      <c r="GM181" s="950"/>
      <c r="GN181" s="950"/>
      <c r="GO181" s="950"/>
      <c r="GP181" s="950"/>
      <c r="GQ181" s="950"/>
      <c r="GR181" s="950"/>
      <c r="GS181" s="950"/>
      <c r="GT181" s="950"/>
      <c r="GU181" s="950"/>
      <c r="GV181" s="950"/>
      <c r="GW181" s="950"/>
      <c r="GX181" s="950"/>
      <c r="GY181" s="950"/>
      <c r="GZ181" s="950"/>
      <c r="HA181" s="950"/>
      <c r="HB181" s="950"/>
      <c r="HC181" s="950"/>
      <c r="HD181" s="950"/>
      <c r="HE181" s="950"/>
      <c r="HF181" s="950"/>
      <c r="HG181" s="950"/>
      <c r="HH181" s="950"/>
      <c r="HI181" s="950"/>
      <c r="HJ181" s="950"/>
      <c r="HK181" s="950"/>
      <c r="HL181" s="950"/>
      <c r="HM181" s="950"/>
      <c r="HN181" s="950"/>
      <c r="HO181" s="950"/>
      <c r="HP181" s="950"/>
      <c r="HQ181" s="950"/>
      <c r="HR181" s="950"/>
      <c r="HS181" s="950"/>
      <c r="HT181" s="950"/>
      <c r="HU181" s="950"/>
      <c r="HV181" s="950"/>
      <c r="HW181" s="950"/>
      <c r="HX181" s="950"/>
      <c r="HY181" s="950"/>
      <c r="HZ181" s="950"/>
      <c r="IA181" s="950"/>
      <c r="IB181" s="950"/>
      <c r="IC181" s="950"/>
      <c r="ID181" s="950"/>
      <c r="IE181" s="950"/>
      <c r="IF181" s="950"/>
      <c r="IG181" s="950"/>
      <c r="IH181" s="950"/>
      <c r="II181" s="950"/>
      <c r="IJ181" s="950"/>
      <c r="IK181" s="950"/>
      <c r="IL181" s="950"/>
      <c r="IM181" s="950"/>
      <c r="IN181" s="950"/>
      <c r="IO181" s="950"/>
      <c r="IP181" s="950"/>
      <c r="IQ181" s="950"/>
      <c r="IR181" s="950"/>
      <c r="IS181" s="950"/>
      <c r="IT181" s="950"/>
      <c r="IU181" s="950"/>
      <c r="IV181" s="950"/>
      <c r="IW181" s="950"/>
      <c r="IX181" s="950"/>
      <c r="IY181" s="950"/>
      <c r="IZ181" s="950"/>
      <c r="JA181" s="950"/>
      <c r="JB181" s="950"/>
      <c r="JC181" s="950"/>
      <c r="JD181" s="950"/>
      <c r="JE181" s="950"/>
      <c r="JF181" s="950"/>
      <c r="JG181" s="950"/>
      <c r="JH181" s="950"/>
      <c r="JI181" s="950"/>
      <c r="JJ181" s="950"/>
      <c r="JK181" s="950"/>
      <c r="JL181" s="950"/>
    </row>
    <row r="182" spans="1:272" s="799" customFormat="1" ht="12.75" hidden="1" customHeight="1" outlineLevel="1">
      <c r="A182" s="58" t="s">
        <v>291</v>
      </c>
      <c r="B182" s="790"/>
      <c r="C182" s="721"/>
      <c r="D182" s="721"/>
      <c r="E182" s="721"/>
      <c r="F182" s="741"/>
      <c r="G182" s="721"/>
      <c r="H182" s="721"/>
      <c r="I182" s="721"/>
      <c r="J182" s="721"/>
      <c r="K182" s="741"/>
      <c r="L182" s="721"/>
      <c r="M182" s="721"/>
      <c r="N182" s="721"/>
      <c r="O182" s="721"/>
      <c r="P182" s="741"/>
      <c r="Q182" s="721"/>
      <c r="R182" s="721"/>
      <c r="S182" s="721"/>
      <c r="T182" s="721"/>
      <c r="U182" s="741"/>
      <c r="V182" s="721"/>
      <c r="W182" s="721"/>
      <c r="X182" s="721"/>
      <c r="Y182" s="721"/>
      <c r="Z182" s="741"/>
      <c r="AA182" s="721"/>
      <c r="AB182" s="721"/>
      <c r="AC182" s="721"/>
      <c r="AD182" s="721"/>
      <c r="AE182" s="741"/>
      <c r="AF182" s="721"/>
      <c r="AG182" s="721"/>
      <c r="AH182" s="721"/>
      <c r="AI182" s="721"/>
      <c r="AJ182" s="741"/>
      <c r="AK182" s="721"/>
      <c r="AL182" s="721"/>
      <c r="AM182" s="721"/>
      <c r="AN182" s="721"/>
      <c r="AO182" s="741"/>
      <c r="AP182" s="721"/>
      <c r="AQ182" s="721"/>
      <c r="AR182" s="721"/>
      <c r="AS182" s="721"/>
      <c r="AT182" s="741"/>
      <c r="AU182" s="721"/>
      <c r="AV182" s="721"/>
      <c r="AW182" s="721"/>
      <c r="AX182" s="721"/>
      <c r="AY182" s="741"/>
      <c r="AZ182" s="721"/>
      <c r="BA182" s="721"/>
      <c r="BB182" s="721"/>
      <c r="BC182" s="721"/>
      <c r="BD182" s="741"/>
      <c r="BE182" s="721"/>
      <c r="BF182" s="721"/>
      <c r="BG182" s="721"/>
      <c r="BH182" s="721"/>
      <c r="BI182" s="741"/>
      <c r="BJ182" s="721"/>
      <c r="BK182" s="721"/>
      <c r="BL182" s="721"/>
      <c r="BM182" s="721"/>
      <c r="BN182" s="741"/>
      <c r="BO182" s="721"/>
      <c r="BP182" s="721"/>
      <c r="BQ182" s="721"/>
      <c r="BR182" s="721"/>
      <c r="BS182" s="741"/>
      <c r="BT182" s="721"/>
      <c r="BU182" s="721"/>
      <c r="BV182" s="721"/>
      <c r="BW182" s="721"/>
      <c r="BX182" s="741"/>
      <c r="BY182" s="721"/>
      <c r="BZ182" s="721"/>
      <c r="CA182" s="721"/>
      <c r="CB182" s="721"/>
      <c r="CC182" s="741"/>
      <c r="CD182" s="721"/>
      <c r="CE182" s="721"/>
      <c r="CF182" s="721"/>
      <c r="CG182" s="721"/>
      <c r="CH182" s="741"/>
      <c r="CI182" s="721"/>
      <c r="CJ182" s="721"/>
      <c r="CK182" s="721"/>
      <c r="CL182" s="721"/>
      <c r="CM182" s="741"/>
      <c r="CN182" s="721">
        <f>CN179/CR179</f>
        <v>0.22425742344248256</v>
      </c>
      <c r="CO182" s="721">
        <f>CO179/CR179</f>
        <v>0.23308207795989103</v>
      </c>
      <c r="CP182" s="721">
        <f>CP179/CR179</f>
        <v>0.25974653510735013</v>
      </c>
      <c r="CQ182" s="721">
        <f>CQ179/CR179</f>
        <v>0.2829139634902762</v>
      </c>
      <c r="CR182" s="741"/>
      <c r="CS182" s="721">
        <f>CS179/CW179</f>
        <v>0.22585249663941376</v>
      </c>
      <c r="CT182" s="721">
        <f>CT179/CW179</f>
        <v>0.22731588766022517</v>
      </c>
      <c r="CU182" s="721">
        <f>CU179/CW179</f>
        <v>0.23879090885395007</v>
      </c>
      <c r="CV182" s="721">
        <f>CV179/CW179</f>
        <v>0.30804070684641099</v>
      </c>
      <c r="CW182" s="741"/>
      <c r="CX182" s="721">
        <f>CX179/DB179</f>
        <v>0.22099668383731141</v>
      </c>
      <c r="CY182" s="721">
        <f>CY179/DB179</f>
        <v>0.23603607146133987</v>
      </c>
      <c r="CZ182" s="721">
        <f>CZ179/DB179</f>
        <v>0.25621747735703149</v>
      </c>
      <c r="DA182" s="721">
        <f>DA179/DB179</f>
        <v>0.28674976734431734</v>
      </c>
      <c r="DB182" s="741"/>
      <c r="DC182" s="721">
        <f>DC179/DG179</f>
        <v>0.24206226863301342</v>
      </c>
      <c r="DD182" s="721">
        <f>DD179/DG179</f>
        <v>0.2579210962331403</v>
      </c>
      <c r="DE182" s="721">
        <f>DE179/DG179</f>
        <v>0.25449425866080516</v>
      </c>
      <c r="DF182" s="721">
        <f>DF179/DG179</f>
        <v>0.25539699192419701</v>
      </c>
      <c r="DG182" s="741"/>
      <c r="DH182" s="721">
        <f>DH179/DL179</f>
        <v>0.23403685128771676</v>
      </c>
      <c r="DI182" s="721">
        <f>DI179/DL179</f>
        <v>0.25194729904891083</v>
      </c>
      <c r="DJ182" s="721">
        <f>DJ179/DL179</f>
        <v>0.26423324929037478</v>
      </c>
      <c r="DK182" s="721">
        <f>DK179/DL179</f>
        <v>0.24978260037299757</v>
      </c>
      <c r="DL182" s="741"/>
      <c r="DM182" s="721">
        <f>DM179/DQ179</f>
        <v>0.24132231938512988</v>
      </c>
      <c r="DN182" s="721">
        <f>DN179/DQ179</f>
        <v>0.24880698367813792</v>
      </c>
      <c r="DO182" s="721">
        <f>DO179/DQ179</f>
        <v>0.25733967313235784</v>
      </c>
      <c r="DP182" s="721">
        <f>DP179/DQ179</f>
        <v>0.25253102380437442</v>
      </c>
      <c r="DQ182" s="741"/>
      <c r="DR182" s="721">
        <f>DR179/DV179</f>
        <v>0.23623875781718826</v>
      </c>
      <c r="DS182" s="721">
        <f>DS179/DV179</f>
        <v>0.23696331300205112</v>
      </c>
      <c r="DT182" s="721">
        <f>DT179/DV179</f>
        <v>0.25974290350777329</v>
      </c>
      <c r="DU182" s="721">
        <f>DU179/DV179</f>
        <v>0.26705502567298733</v>
      </c>
      <c r="DV182" s="741"/>
      <c r="DW182" s="721">
        <f>DW179/EA179</f>
        <v>0.24452537839396565</v>
      </c>
      <c r="DX182" s="721">
        <f>DX179/EA179</f>
        <v>0.24673875035761805</v>
      </c>
      <c r="DY182" s="721">
        <f>DY179/EA179</f>
        <v>0.25438882506005711</v>
      </c>
      <c r="DZ182" s="721">
        <f>DZ179/EA179</f>
        <v>0.25434704618835913</v>
      </c>
      <c r="EA182" s="741"/>
      <c r="EB182" s="721">
        <f>EB179/EF179</f>
        <v>0.24719237479943049</v>
      </c>
      <c r="EC182" s="721">
        <f>EC179/EF179</f>
        <v>0.25296966613625038</v>
      </c>
      <c r="ED182" s="721">
        <f>ED179/EF179</f>
        <v>0.2604902800612266</v>
      </c>
      <c r="EE182" s="721">
        <f>EE179/EF179</f>
        <v>0.2393476790030924</v>
      </c>
      <c r="EF182" s="741"/>
      <c r="EG182" s="1041"/>
      <c r="EH182" s="721"/>
      <c r="EI182" s="721"/>
      <c r="EJ182" s="1042"/>
      <c r="EK182" s="741"/>
      <c r="EL182" s="1041"/>
      <c r="EM182" s="721"/>
      <c r="EN182" s="721"/>
      <c r="EO182" s="1042"/>
      <c r="EP182" s="741"/>
      <c r="EQ182" s="1041"/>
      <c r="ER182" s="721"/>
      <c r="ES182" s="721"/>
      <c r="ET182" s="1042"/>
      <c r="EU182" s="741"/>
      <c r="EV182" s="1041"/>
      <c r="EW182" s="721"/>
      <c r="EX182" s="721"/>
      <c r="EY182" s="1042"/>
      <c r="EZ182" s="741"/>
      <c r="FA182" s="1041"/>
      <c r="FB182" s="721"/>
      <c r="FC182" s="721"/>
      <c r="FD182" s="1042"/>
      <c r="FE182" s="741"/>
      <c r="FF182" s="721"/>
      <c r="FG182" s="690"/>
      <c r="FH182" s="955">
        <f>AVERAGE(CI182,CN182,DH182,DM182,DC182,CS182,CX182,CD182,BY182,DR182,DW182)</f>
        <v>0.2336615224295277</v>
      </c>
      <c r="FI182" s="955">
        <f>AVERAGE(CJ182,CO182,DI182,DN182,DD182,CT182,CY182,CE182,BZ182,DS182,DX182)</f>
        <v>0.24235143492516431</v>
      </c>
      <c r="FJ182" s="955">
        <f>AVERAGE(CK182,CP182,DJ182,DO182,DE182,CU182,CZ182,CF182,CA182,DT182,DY182)</f>
        <v>0.25561922887121252</v>
      </c>
      <c r="FK182" s="955">
        <f>AVERAGE(CL182,CQ182,DK182,DP182,DF182,CV182,DA182,CG182,CB182,DU182,DZ182)</f>
        <v>0.26960214070548999</v>
      </c>
      <c r="FL182" s="690"/>
      <c r="FM182" s="708"/>
      <c r="FN182" s="708"/>
      <c r="FO182" s="723"/>
      <c r="FP182" s="723"/>
      <c r="FQ182" s="723"/>
      <c r="FR182" s="723"/>
      <c r="FS182" s="723"/>
      <c r="FT182" s="723"/>
      <c r="FU182" s="690"/>
      <c r="FV182"/>
      <c r="FW182"/>
      <c r="FX182"/>
      <c r="FY182"/>
      <c r="FZ182"/>
      <c r="GA182"/>
      <c r="GB182" s="949"/>
      <c r="GC182" s="950"/>
      <c r="GD182" s="950"/>
      <c r="GE182" s="950"/>
      <c r="GF182" s="950"/>
      <c r="GG182" s="950"/>
      <c r="GH182" s="950"/>
      <c r="GI182" s="950"/>
      <c r="GJ182" s="950"/>
      <c r="GK182" s="950"/>
      <c r="GL182" s="950"/>
      <c r="GM182" s="950"/>
      <c r="GN182" s="950"/>
      <c r="GO182" s="950"/>
      <c r="GP182" s="950"/>
      <c r="GQ182" s="950"/>
      <c r="GR182" s="950"/>
      <c r="GS182" s="950"/>
      <c r="GT182" s="950"/>
      <c r="GU182" s="950"/>
      <c r="GV182" s="950"/>
      <c r="GW182" s="950"/>
      <c r="GX182" s="950"/>
      <c r="GY182" s="950"/>
      <c r="GZ182" s="950"/>
      <c r="HA182" s="950"/>
      <c r="HB182" s="950"/>
      <c r="HC182" s="950"/>
      <c r="HD182" s="950"/>
      <c r="HE182" s="950"/>
      <c r="HF182" s="950"/>
      <c r="HG182" s="950"/>
      <c r="HH182" s="950"/>
      <c r="HI182" s="950"/>
      <c r="HJ182" s="950"/>
      <c r="HK182" s="950"/>
      <c r="HL182" s="950"/>
      <c r="HM182" s="950"/>
      <c r="HN182" s="950"/>
      <c r="HO182" s="950"/>
      <c r="HP182" s="950"/>
      <c r="HQ182" s="950"/>
      <c r="HR182" s="950"/>
      <c r="HS182" s="950"/>
      <c r="HT182" s="950"/>
      <c r="HU182" s="950"/>
      <c r="HV182" s="950"/>
      <c r="HW182" s="950"/>
      <c r="HX182" s="950"/>
      <c r="HY182" s="950"/>
      <c r="HZ182" s="950"/>
      <c r="IA182" s="950"/>
      <c r="IB182" s="950"/>
      <c r="IC182" s="950"/>
      <c r="ID182" s="950"/>
      <c r="IE182" s="950"/>
      <c r="IF182" s="950"/>
      <c r="IG182" s="950"/>
      <c r="IH182" s="950"/>
      <c r="II182" s="950"/>
      <c r="IJ182" s="950"/>
      <c r="IK182" s="950"/>
      <c r="IL182" s="950"/>
      <c r="IM182" s="950"/>
      <c r="IN182" s="950"/>
      <c r="IO182" s="950"/>
      <c r="IP182" s="950"/>
      <c r="IQ182" s="950"/>
      <c r="IR182" s="950"/>
      <c r="IS182" s="950"/>
      <c r="IT182" s="950"/>
      <c r="IU182" s="950"/>
      <c r="IV182" s="950"/>
      <c r="IW182" s="950"/>
      <c r="IX182" s="950"/>
      <c r="IY182" s="950"/>
      <c r="IZ182" s="950"/>
      <c r="JA182" s="950"/>
      <c r="JB182" s="950"/>
      <c r="JC182" s="950"/>
      <c r="JD182" s="950"/>
      <c r="JE182" s="950"/>
      <c r="JF182" s="950"/>
      <c r="JG182" s="950"/>
      <c r="JH182" s="950"/>
      <c r="JI182" s="950"/>
      <c r="JJ182" s="950"/>
      <c r="JK182" s="950"/>
      <c r="JL182" s="950"/>
    </row>
    <row r="183" spans="1:272" s="1418" customFormat="1" ht="12.75" hidden="1" customHeight="1" outlineLevel="1">
      <c r="A183" s="1407" t="s">
        <v>378</v>
      </c>
      <c r="B183" s="1408"/>
      <c r="C183" s="1409"/>
      <c r="D183" s="1409"/>
      <c r="E183" s="1409"/>
      <c r="F183" s="1410"/>
      <c r="G183" s="1411"/>
      <c r="H183" s="1411"/>
      <c r="I183" s="1411"/>
      <c r="J183" s="1411"/>
      <c r="K183" s="1410"/>
      <c r="L183" s="1411"/>
      <c r="M183" s="1411"/>
      <c r="N183" s="1411"/>
      <c r="O183" s="1411"/>
      <c r="P183" s="1410"/>
      <c r="Q183" s="1411"/>
      <c r="R183" s="1411"/>
      <c r="S183" s="1411"/>
      <c r="T183" s="1411"/>
      <c r="U183" s="1410"/>
      <c r="V183" s="1411"/>
      <c r="W183" s="1411"/>
      <c r="X183" s="1411"/>
      <c r="Y183" s="1411"/>
      <c r="Z183" s="1410"/>
      <c r="AA183" s="1411"/>
      <c r="AB183" s="1411"/>
      <c r="AC183" s="1411"/>
      <c r="AD183" s="1411"/>
      <c r="AE183" s="1410"/>
      <c r="AF183" s="1411"/>
      <c r="AG183" s="1411"/>
      <c r="AH183" s="1411"/>
      <c r="AI183" s="1411"/>
      <c r="AJ183" s="1410"/>
      <c r="AK183" s="1411"/>
      <c r="AL183" s="1411"/>
      <c r="AM183" s="1411"/>
      <c r="AN183" s="1411"/>
      <c r="AO183" s="1410"/>
      <c r="AP183" s="1411"/>
      <c r="AQ183" s="1411"/>
      <c r="AR183" s="1411"/>
      <c r="AS183" s="1411"/>
      <c r="AT183" s="1410"/>
      <c r="AU183" s="1411"/>
      <c r="AV183" s="1411"/>
      <c r="AW183" s="1411"/>
      <c r="AX183" s="1411"/>
      <c r="AY183" s="1410"/>
      <c r="AZ183" s="1411"/>
      <c r="BA183" s="1411"/>
      <c r="BB183" s="1411"/>
      <c r="BC183" s="1411"/>
      <c r="BD183" s="1410"/>
      <c r="BE183" s="1411"/>
      <c r="BF183" s="1411"/>
      <c r="BG183" s="1411"/>
      <c r="BH183" s="1411"/>
      <c r="BI183" s="1410"/>
      <c r="BJ183" s="1411"/>
      <c r="BK183" s="1411"/>
      <c r="BL183" s="1411"/>
      <c r="BM183" s="1411"/>
      <c r="BN183" s="1410"/>
      <c r="BO183" s="1411"/>
      <c r="BP183" s="1411"/>
      <c r="BQ183" s="1411"/>
      <c r="BR183" s="1411"/>
      <c r="BS183" s="1410"/>
      <c r="BT183" s="1411"/>
      <c r="BU183" s="1411"/>
      <c r="BV183" s="1411"/>
      <c r="BW183" s="1411"/>
      <c r="BX183" s="1410"/>
      <c r="BY183" s="1411"/>
      <c r="BZ183" s="1411"/>
      <c r="CA183" s="1411"/>
      <c r="CB183" s="1411"/>
      <c r="CC183" s="1410"/>
      <c r="CD183" s="1411"/>
      <c r="CE183" s="1411"/>
      <c r="CF183" s="1411"/>
      <c r="CG183" s="1411"/>
      <c r="CH183" s="1410"/>
      <c r="CI183" s="1411"/>
      <c r="CJ183" s="1411"/>
      <c r="CK183" s="1411"/>
      <c r="CL183" s="1411"/>
      <c r="CM183" s="1410"/>
      <c r="CN183" s="1411"/>
      <c r="CO183" s="1411"/>
      <c r="CP183" s="1411"/>
      <c r="CQ183" s="1411"/>
      <c r="CR183" s="1410"/>
      <c r="CS183" s="1411"/>
      <c r="CT183" s="1411"/>
      <c r="CU183" s="1411"/>
      <c r="CV183" s="1411"/>
      <c r="CW183" s="1410"/>
      <c r="CX183" s="1411"/>
      <c r="CY183" s="1411"/>
      <c r="CZ183" s="1411"/>
      <c r="DA183" s="1411"/>
      <c r="DB183" s="1410"/>
      <c r="DC183" s="1411"/>
      <c r="DD183" s="1411"/>
      <c r="DE183" s="1411"/>
      <c r="DF183" s="1411"/>
      <c r="DG183" s="1410"/>
      <c r="DH183" s="1411"/>
      <c r="DI183" s="1411"/>
      <c r="DJ183" s="1411"/>
      <c r="DK183" s="1411"/>
      <c r="DL183" s="1410"/>
      <c r="DM183" s="1411"/>
      <c r="DN183" s="1411"/>
      <c r="DO183" s="1411"/>
      <c r="DP183" s="1411"/>
      <c r="DQ183" s="1410"/>
      <c r="DR183" s="1411"/>
      <c r="DS183" s="1411"/>
      <c r="DT183" s="1411"/>
      <c r="DU183" s="1411"/>
      <c r="DV183" s="1410"/>
      <c r="DW183" s="1411"/>
      <c r="DX183" s="1411"/>
      <c r="DY183" s="1411"/>
      <c r="DZ183" s="1411"/>
      <c r="EA183" s="1410"/>
      <c r="EB183" s="1411"/>
      <c r="EC183" s="1411"/>
      <c r="ED183" s="1411"/>
      <c r="EE183" s="1411"/>
      <c r="EF183" s="1410"/>
      <c r="EG183" s="1412"/>
      <c r="EH183" s="1411"/>
      <c r="EI183" s="1411"/>
      <c r="EJ183" s="1413"/>
      <c r="EK183" s="1410"/>
      <c r="EL183" s="1412"/>
      <c r="EM183" s="1411"/>
      <c r="EN183" s="1411"/>
      <c r="EO183" s="1413"/>
      <c r="EP183" s="1410"/>
      <c r="EQ183" s="1412"/>
      <c r="ER183" s="1411"/>
      <c r="ES183" s="1411"/>
      <c r="ET183" s="1413"/>
      <c r="EU183" s="1410"/>
      <c r="EV183" s="1412"/>
      <c r="EW183" s="1411"/>
      <c r="EX183" s="1411"/>
      <c r="EY183" s="1413"/>
      <c r="EZ183" s="1410"/>
      <c r="FA183" s="1412"/>
      <c r="FB183" s="1411"/>
      <c r="FC183" s="1411"/>
      <c r="FD183" s="1413"/>
      <c r="FE183" s="1410"/>
      <c r="FF183" s="1414"/>
      <c r="FG183" s="690"/>
      <c r="FH183" s="1310"/>
      <c r="FI183" s="1310"/>
      <c r="FJ183" s="1310"/>
      <c r="FK183" s="1310"/>
      <c r="FL183" s="690"/>
      <c r="FM183" s="1415"/>
      <c r="FN183" s="1415"/>
      <c r="FO183" s="1416"/>
      <c r="FP183" s="1416"/>
      <c r="FQ183" s="1416"/>
      <c r="FR183" s="1416"/>
      <c r="FS183" s="1416"/>
      <c r="FT183" s="1416"/>
      <c r="FU183" s="690"/>
      <c r="FV183"/>
      <c r="FW183"/>
      <c r="FX183"/>
      <c r="FY183"/>
      <c r="FZ183"/>
      <c r="GA183"/>
      <c r="GB183" s="1417"/>
    </row>
    <row r="184" spans="1:272" s="942" customFormat="1" ht="12.75" hidden="1" customHeight="1" outlineLevel="1">
      <c r="A184" s="1419" t="s">
        <v>379</v>
      </c>
      <c r="B184" s="1420"/>
      <c r="C184" s="1421"/>
      <c r="D184" s="1421"/>
      <c r="E184" s="1421"/>
      <c r="F184" s="1196"/>
      <c r="G184" s="943"/>
      <c r="H184" s="1421"/>
      <c r="I184" s="1421"/>
      <c r="J184" s="1421"/>
      <c r="K184" s="1196"/>
      <c r="L184" s="943"/>
      <c r="M184" s="1421"/>
      <c r="N184" s="1421"/>
      <c r="O184" s="1421"/>
      <c r="P184" s="1196"/>
      <c r="Q184" s="943"/>
      <c r="R184" s="1421"/>
      <c r="S184" s="1421"/>
      <c r="T184" s="1421"/>
      <c r="U184" s="1196"/>
      <c r="V184" s="943"/>
      <c r="W184" s="1421"/>
      <c r="X184" s="1421"/>
      <c r="Y184" s="1421"/>
      <c r="Z184" s="1196"/>
      <c r="AA184" s="943"/>
      <c r="AB184" s="1421"/>
      <c r="AC184" s="1421"/>
      <c r="AD184" s="1421"/>
      <c r="AE184" s="1196"/>
      <c r="AF184" s="938"/>
      <c r="AG184" s="938"/>
      <c r="AH184" s="938"/>
      <c r="AI184" s="938"/>
      <c r="AJ184" s="1196"/>
      <c r="AK184" s="938"/>
      <c r="AL184" s="938"/>
      <c r="AM184" s="938"/>
      <c r="AN184" s="938"/>
      <c r="AO184" s="1196"/>
      <c r="AP184" s="938"/>
      <c r="AQ184" s="1422"/>
      <c r="AR184" s="1422"/>
      <c r="AS184" s="938"/>
      <c r="AT184" s="1196"/>
      <c r="AU184" s="938"/>
      <c r="AV184" s="1422"/>
      <c r="AW184" s="938"/>
      <c r="AX184" s="938"/>
      <c r="AY184" s="1196"/>
      <c r="AZ184" s="938"/>
      <c r="BA184" s="1422"/>
      <c r="BB184" s="938"/>
      <c r="BC184" s="938"/>
      <c r="BD184" s="1196"/>
      <c r="BE184" s="938"/>
      <c r="BF184" s="1422"/>
      <c r="BG184" s="938"/>
      <c r="BH184" s="938"/>
      <c r="BI184" s="1196"/>
      <c r="BJ184" s="938"/>
      <c r="BK184" s="1422"/>
      <c r="BL184" s="938"/>
      <c r="BM184" s="938"/>
      <c r="BN184" s="1196"/>
      <c r="BO184" s="938"/>
      <c r="BP184" s="1422"/>
      <c r="BQ184" s="938"/>
      <c r="BR184" s="938"/>
      <c r="BS184" s="1196"/>
      <c r="BT184" s="938"/>
      <c r="BU184" s="1422"/>
      <c r="BV184" s="938"/>
      <c r="BW184" s="938"/>
      <c r="BX184" s="1196"/>
      <c r="BY184" s="938"/>
      <c r="BZ184" s="1422"/>
      <c r="CA184" s="938"/>
      <c r="CB184" s="938"/>
      <c r="CC184" s="1196"/>
      <c r="CD184" s="938"/>
      <c r="CE184" s="938"/>
      <c r="CF184" s="938"/>
      <c r="CG184" s="938"/>
      <c r="CH184" s="1196">
        <v>95.429000000000002</v>
      </c>
      <c r="CI184" s="938">
        <v>25.902999999999999</v>
      </c>
      <c r="CJ184" s="938">
        <v>27.225999999999999</v>
      </c>
      <c r="CK184" s="938">
        <v>26.698</v>
      </c>
      <c r="CL184" s="938">
        <f>CM184-SUM(CI184:CK184)</f>
        <v>25.864000000000004</v>
      </c>
      <c r="CM184" s="1196">
        <v>105.691</v>
      </c>
      <c r="CN184" s="938">
        <v>25.26</v>
      </c>
      <c r="CO184" s="938">
        <v>28.545000000000002</v>
      </c>
      <c r="CP184" s="938">
        <v>31.762</v>
      </c>
      <c r="CQ184" s="938">
        <f t="shared" ref="CQ184:CQ189" si="513">CR184-SUM(CN184:CP184)</f>
        <v>27.338999999999999</v>
      </c>
      <c r="CR184" s="1196">
        <v>112.90600000000001</v>
      </c>
      <c r="CS184" s="938">
        <v>35.253999999999998</v>
      </c>
      <c r="CT184" s="938">
        <v>32.713000000000001</v>
      </c>
      <c r="CU184" s="938">
        <v>33.712000000000003</v>
      </c>
      <c r="CV184" s="938">
        <v>31.495999999999999</v>
      </c>
      <c r="CW184" s="1196">
        <v>133.17500000000001</v>
      </c>
      <c r="CX184" s="938">
        <v>31.148</v>
      </c>
      <c r="CY184" s="938">
        <v>24.712</v>
      </c>
      <c r="CZ184" s="938">
        <v>28.69</v>
      </c>
      <c r="DA184" s="938">
        <f>DB184-SUM(CX184:CZ184)</f>
        <v>22.225999999999999</v>
      </c>
      <c r="DB184" s="1196">
        <v>106.776</v>
      </c>
      <c r="DC184" s="938">
        <v>31.484999999999999</v>
      </c>
      <c r="DD184" s="938">
        <v>32.015999999999998</v>
      </c>
      <c r="DE184" s="938">
        <v>30.64</v>
      </c>
      <c r="DF184" s="938">
        <v>29.723000000000006</v>
      </c>
      <c r="DG184" s="1196">
        <f t="shared" ref="DG184:DG189" si="514">DC184+DD184+DE184+DF184</f>
        <v>123.864</v>
      </c>
      <c r="DH184" s="938">
        <v>29.472000000000001</v>
      </c>
      <c r="DI184" s="938">
        <v>32.509</v>
      </c>
      <c r="DJ184" s="938">
        <v>35.710999999999999</v>
      </c>
      <c r="DK184" s="938">
        <v>32.487000000000002</v>
      </c>
      <c r="DL184" s="1196">
        <f t="shared" ref="DL184:DL189" si="515">DH184+DI184+DJ184+DK184</f>
        <v>130.179</v>
      </c>
      <c r="DM184" s="938">
        <v>31.91</v>
      </c>
      <c r="DN184" s="938">
        <v>32.670999999999999</v>
      </c>
      <c r="DO184" s="938">
        <v>33.893000000000001</v>
      </c>
      <c r="DP184" s="938">
        <v>29.61</v>
      </c>
      <c r="DQ184" s="1196">
        <f t="shared" ref="DQ184:DQ189" si="516">DM184+DN184+DO184+DP184</f>
        <v>128.084</v>
      </c>
      <c r="DR184" s="938">
        <v>29.332000000000001</v>
      </c>
      <c r="DS184" s="938">
        <v>31.414000000000001</v>
      </c>
      <c r="DT184" s="1423">
        <v>34.014000000000003</v>
      </c>
      <c r="DU184" s="1423">
        <v>28.295999999999999</v>
      </c>
      <c r="DV184" s="1196">
        <f t="shared" ref="DV184:DV189" si="517">DR184+DS184+DT184+DU184</f>
        <v>123.05600000000001</v>
      </c>
      <c r="DW184" s="1423">
        <v>30.815999999999999</v>
      </c>
      <c r="DX184" s="1423">
        <v>34.024999999999999</v>
      </c>
      <c r="DY184" s="1423">
        <v>35.853000000000002</v>
      </c>
      <c r="DZ184" s="1423">
        <v>34.298000000000002</v>
      </c>
      <c r="EA184" s="1196">
        <f t="shared" ref="EA184:EA189" si="518">DW184+DX184+DY184+DZ184</f>
        <v>134.99199999999999</v>
      </c>
      <c r="EB184" s="1423">
        <v>33.854999999999997</v>
      </c>
      <c r="EC184" s="1423">
        <v>33.780999999999999</v>
      </c>
      <c r="ED184" s="938">
        <f t="shared" ref="ED184:EE188" si="519">(DY184/DY$179)*ED$179</f>
        <v>37.266996055216509</v>
      </c>
      <c r="EE184" s="938">
        <f t="shared" si="519"/>
        <v>32.762475644315117</v>
      </c>
      <c r="EF184" s="1196">
        <f t="shared" ref="EF184:EF189" si="520">EB184+EC184+ED184+EE184</f>
        <v>137.66547169953162</v>
      </c>
      <c r="EG184" s="1424"/>
      <c r="EH184" s="938"/>
      <c r="EI184" s="938"/>
      <c r="EJ184" s="1425"/>
      <c r="EK184" s="1196">
        <f>($DQ184/$DQ$179)*EK$179</f>
        <v>48.514653199766947</v>
      </c>
      <c r="EL184" s="1424"/>
      <c r="EM184" s="938"/>
      <c r="EN184" s="938"/>
      <c r="EO184" s="1425"/>
      <c r="EP184" s="1196">
        <f>($DQ184/$DQ$179)*EP$179</f>
        <v>42.576883157249824</v>
      </c>
      <c r="EQ184" s="1424"/>
      <c r="ER184" s="938"/>
      <c r="ES184" s="938"/>
      <c r="ET184" s="1425"/>
      <c r="EU184" s="1196">
        <f>($DQ184/$DQ$179)*EU$179</f>
        <v>37.96954741616927</v>
      </c>
      <c r="EV184" s="1424"/>
      <c r="EW184" s="938"/>
      <c r="EX184" s="938"/>
      <c r="EY184" s="1425"/>
      <c r="EZ184" s="1196">
        <f>($DQ184/$DQ$179)*EZ$179</f>
        <v>38.959636822865498</v>
      </c>
      <c r="FA184" s="1424"/>
      <c r="FB184" s="938"/>
      <c r="FC184" s="938"/>
      <c r="FD184" s="1425"/>
      <c r="FE184" s="1196">
        <f>($DQ184/$DQ$179)*FE$179</f>
        <v>39.946299668584032</v>
      </c>
      <c r="FF184" s="938"/>
      <c r="FG184" s="690"/>
      <c r="FH184" s="754"/>
      <c r="FI184" s="754"/>
      <c r="FJ184" s="754"/>
      <c r="FK184" s="754"/>
      <c r="FL184" s="690"/>
      <c r="FM184" s="752"/>
      <c r="FN184" s="940"/>
      <c r="FO184" s="941"/>
      <c r="FP184" s="941"/>
      <c r="FQ184" s="941"/>
      <c r="FR184" s="941"/>
      <c r="FS184" s="941"/>
      <c r="FT184" s="941"/>
      <c r="FU184" s="690"/>
      <c r="FV184"/>
      <c r="FW184"/>
      <c r="FX184"/>
      <c r="FY184"/>
      <c r="FZ184"/>
      <c r="GA184"/>
      <c r="GC184" s="1426"/>
      <c r="GD184" s="1426"/>
      <c r="GE184" s="1426"/>
      <c r="GF184" s="1426"/>
      <c r="GG184" s="1426"/>
      <c r="GH184" s="1426"/>
      <c r="GI184" s="1426"/>
      <c r="GJ184" s="1426"/>
      <c r="GK184" s="1426"/>
      <c r="GL184" s="1426"/>
      <c r="GM184" s="1426"/>
      <c r="GN184" s="1426"/>
      <c r="GO184" s="1426"/>
      <c r="GP184" s="1426"/>
      <c r="GQ184" s="1426"/>
      <c r="GR184" s="1426"/>
      <c r="GS184" s="1426"/>
      <c r="GT184" s="1426"/>
      <c r="GU184" s="1426"/>
      <c r="GV184" s="1426"/>
      <c r="GW184" s="1426"/>
      <c r="GX184" s="1426"/>
      <c r="GY184" s="1426"/>
      <c r="GZ184" s="1426"/>
      <c r="HA184" s="1426"/>
      <c r="HB184" s="1426"/>
      <c r="HC184" s="1426"/>
      <c r="HD184" s="1426"/>
      <c r="HE184" s="1426"/>
      <c r="HF184" s="1426"/>
      <c r="HG184" s="1426"/>
      <c r="HH184" s="1426"/>
      <c r="HI184" s="1426"/>
      <c r="HJ184" s="1426"/>
      <c r="HK184" s="1426"/>
      <c r="HL184" s="1426"/>
      <c r="HM184" s="1426"/>
      <c r="HN184" s="1426"/>
      <c r="HO184" s="1426"/>
      <c r="HP184" s="1426"/>
      <c r="HQ184" s="1426"/>
      <c r="HR184" s="1426"/>
      <c r="HS184" s="1426"/>
      <c r="HT184" s="1426"/>
      <c r="HU184" s="1426"/>
      <c r="HV184" s="1426"/>
      <c r="HW184" s="1426"/>
      <c r="HX184" s="1426"/>
      <c r="HY184" s="1426"/>
      <c r="HZ184" s="1426"/>
      <c r="IA184" s="1426"/>
      <c r="IB184" s="1426"/>
      <c r="IC184" s="1426"/>
      <c r="ID184" s="1426"/>
      <c r="IE184" s="1426"/>
      <c r="IF184" s="1426"/>
      <c r="IG184" s="1426"/>
      <c r="IH184" s="1426"/>
      <c r="II184" s="1426"/>
      <c r="IJ184" s="1426"/>
      <c r="IK184" s="1426"/>
      <c r="IL184" s="1426"/>
      <c r="IM184" s="1426"/>
      <c r="IN184" s="1426"/>
      <c r="IO184" s="1426"/>
      <c r="IP184" s="1426"/>
      <c r="IQ184" s="1426"/>
      <c r="IR184" s="1426"/>
      <c r="IS184" s="1426"/>
      <c r="IT184" s="1426"/>
      <c r="IU184" s="1426"/>
      <c r="IV184" s="1426"/>
      <c r="IW184" s="1426"/>
      <c r="IX184" s="1426"/>
      <c r="IY184" s="1426"/>
      <c r="IZ184" s="1426"/>
      <c r="JA184" s="1426"/>
      <c r="JB184" s="1426"/>
      <c r="JC184" s="1426"/>
      <c r="JD184" s="1426"/>
      <c r="JE184" s="1426"/>
      <c r="JF184" s="1426"/>
      <c r="JG184" s="1426"/>
      <c r="JH184" s="1426"/>
      <c r="JI184" s="1426"/>
      <c r="JJ184" s="1426"/>
      <c r="JK184" s="1426"/>
      <c r="JL184" s="1426"/>
    </row>
    <row r="185" spans="1:272" s="942" customFormat="1" ht="12.75" hidden="1" customHeight="1" outlineLevel="1">
      <c r="A185" s="1419" t="s">
        <v>380</v>
      </c>
      <c r="B185" s="1420"/>
      <c r="C185" s="1421"/>
      <c r="D185" s="1421"/>
      <c r="E185" s="1421"/>
      <c r="F185" s="1196"/>
      <c r="G185" s="943"/>
      <c r="H185" s="1421"/>
      <c r="I185" s="1421"/>
      <c r="J185" s="1421"/>
      <c r="K185" s="1196"/>
      <c r="L185" s="943"/>
      <c r="M185" s="1421"/>
      <c r="N185" s="1421"/>
      <c r="O185" s="1421"/>
      <c r="P185" s="1196"/>
      <c r="Q185" s="943"/>
      <c r="R185" s="1421"/>
      <c r="S185" s="1421"/>
      <c r="T185" s="1421"/>
      <c r="U185" s="1196"/>
      <c r="V185" s="943"/>
      <c r="W185" s="1421"/>
      <c r="X185" s="1421"/>
      <c r="Y185" s="1421"/>
      <c r="Z185" s="1196"/>
      <c r="AA185" s="943"/>
      <c r="AB185" s="1421"/>
      <c r="AC185" s="1421"/>
      <c r="AD185" s="1421"/>
      <c r="AE185" s="1196"/>
      <c r="AF185" s="938"/>
      <c r="AG185" s="938"/>
      <c r="AH185" s="938"/>
      <c r="AI185" s="938"/>
      <c r="AJ185" s="1196"/>
      <c r="AK185" s="938"/>
      <c r="AL185" s="938"/>
      <c r="AM185" s="938"/>
      <c r="AN185" s="938"/>
      <c r="AO185" s="1196"/>
      <c r="AP185" s="938"/>
      <c r="AQ185" s="1422"/>
      <c r="AR185" s="1422"/>
      <c r="AS185" s="938"/>
      <c r="AT185" s="1196"/>
      <c r="AU185" s="938"/>
      <c r="AV185" s="1422"/>
      <c r="AW185" s="938"/>
      <c r="AX185" s="938"/>
      <c r="AY185" s="1196"/>
      <c r="AZ185" s="938"/>
      <c r="BA185" s="1422"/>
      <c r="BB185" s="938"/>
      <c r="BC185" s="938"/>
      <c r="BD185" s="1196"/>
      <c r="BE185" s="938"/>
      <c r="BF185" s="1422"/>
      <c r="BG185" s="938"/>
      <c r="BH185" s="938"/>
      <c r="BI185" s="1196"/>
      <c r="BJ185" s="938"/>
      <c r="BK185" s="1422"/>
      <c r="BL185" s="938"/>
      <c r="BM185" s="938"/>
      <c r="BN185" s="1196"/>
      <c r="BO185" s="938"/>
      <c r="BP185" s="1422"/>
      <c r="BQ185" s="938"/>
      <c r="BR185" s="938"/>
      <c r="BS185" s="1196"/>
      <c r="BT185" s="938"/>
      <c r="BU185" s="1422"/>
      <c r="BV185" s="938"/>
      <c r="BW185" s="938"/>
      <c r="BX185" s="1196"/>
      <c r="BY185" s="938"/>
      <c r="BZ185" s="1422"/>
      <c r="CA185" s="938"/>
      <c r="CB185" s="938"/>
      <c r="CC185" s="1196"/>
      <c r="CD185" s="938"/>
      <c r="CE185" s="938"/>
      <c r="CF185" s="938"/>
      <c r="CG185" s="938"/>
      <c r="CH185" s="1196">
        <v>82.683999999999997</v>
      </c>
      <c r="CI185" s="938">
        <v>19.704000000000001</v>
      </c>
      <c r="CJ185" s="938">
        <v>19.538</v>
      </c>
      <c r="CK185" s="938">
        <v>18.356999999999999</v>
      </c>
      <c r="CL185" s="938">
        <f>CM185-SUM(CI185:CK185)</f>
        <v>17.486999999999995</v>
      </c>
      <c r="CM185" s="1196">
        <v>75.085999999999999</v>
      </c>
      <c r="CN185" s="938">
        <v>18.234000000000002</v>
      </c>
      <c r="CO185" s="938">
        <v>18.699000000000002</v>
      </c>
      <c r="CP185" s="938">
        <v>20.614000000000001</v>
      </c>
      <c r="CQ185" s="938">
        <f t="shared" si="513"/>
        <v>21.603999999999985</v>
      </c>
      <c r="CR185" s="1196">
        <v>79.150999999999996</v>
      </c>
      <c r="CS185" s="938">
        <v>23.401</v>
      </c>
      <c r="CT185" s="938">
        <v>23.129000000000001</v>
      </c>
      <c r="CU185" s="938">
        <v>24.477</v>
      </c>
      <c r="CV185" s="938">
        <v>22.587</v>
      </c>
      <c r="CW185" s="1196">
        <v>93.593999999999994</v>
      </c>
      <c r="CX185" s="938">
        <v>23.495999999999999</v>
      </c>
      <c r="CY185" s="938">
        <v>22.457999999999998</v>
      </c>
      <c r="CZ185" s="938">
        <v>24.497</v>
      </c>
      <c r="DA185" s="938">
        <f>DB185-SUM(CX185:CZ185)</f>
        <v>28.793000000000006</v>
      </c>
      <c r="DB185" s="1196">
        <v>99.244</v>
      </c>
      <c r="DC185" s="938">
        <v>28.731999999999999</v>
      </c>
      <c r="DD185" s="938">
        <v>30.318999999999999</v>
      </c>
      <c r="DE185" s="938">
        <v>29.622</v>
      </c>
      <c r="DF185" s="938">
        <v>28.638999999999996</v>
      </c>
      <c r="DG185" s="1196">
        <f t="shared" si="514"/>
        <v>117.312</v>
      </c>
      <c r="DH185" s="938">
        <v>27.791</v>
      </c>
      <c r="DI185" s="938">
        <v>28.73</v>
      </c>
      <c r="DJ185" s="938">
        <v>30.422999999999998</v>
      </c>
      <c r="DK185" s="938">
        <v>29.471</v>
      </c>
      <c r="DL185" s="1196">
        <f t="shared" si="515"/>
        <v>116.41500000000001</v>
      </c>
      <c r="DM185" s="938">
        <v>28.7</v>
      </c>
      <c r="DN185" s="938">
        <v>28.242000000000001</v>
      </c>
      <c r="DO185" s="938">
        <v>29.654</v>
      </c>
      <c r="DP185" s="938">
        <v>29.358000000000001</v>
      </c>
      <c r="DQ185" s="1196">
        <f t="shared" si="516"/>
        <v>115.95400000000001</v>
      </c>
      <c r="DR185" s="938">
        <v>29.85</v>
      </c>
      <c r="DS185" s="938">
        <v>31.135999999999999</v>
      </c>
      <c r="DT185" s="1423">
        <v>33.777999999999999</v>
      </c>
      <c r="DU185" s="1423">
        <v>34.561</v>
      </c>
      <c r="DV185" s="1196">
        <f t="shared" si="517"/>
        <v>129.32500000000002</v>
      </c>
      <c r="DW185" s="1423">
        <v>33.959000000000003</v>
      </c>
      <c r="DX185" s="1423">
        <v>34.399000000000001</v>
      </c>
      <c r="DY185" s="1423">
        <v>34.003999999999998</v>
      </c>
      <c r="DZ185" s="1423">
        <v>37.066000000000003</v>
      </c>
      <c r="EA185" s="1196">
        <f t="shared" si="518"/>
        <v>139.428</v>
      </c>
      <c r="EB185" s="1423">
        <v>35.927</v>
      </c>
      <c r="EC185" s="1423">
        <v>36.939</v>
      </c>
      <c r="ED185" s="938">
        <f t="shared" si="519"/>
        <v>35.345073881169839</v>
      </c>
      <c r="EE185" s="938">
        <f t="shared" si="519"/>
        <v>35.406552050620562</v>
      </c>
      <c r="EF185" s="1196">
        <f t="shared" si="520"/>
        <v>143.6176259317904</v>
      </c>
      <c r="EG185" s="1424"/>
      <c r="EH185" s="938"/>
      <c r="EI185" s="938"/>
      <c r="EJ185" s="1425"/>
      <c r="EK185" s="1196">
        <f>($DQ185/$DQ$179)*EK$179</f>
        <v>43.920146912383885</v>
      </c>
      <c r="EL185" s="1424"/>
      <c r="EM185" s="938"/>
      <c r="EN185" s="938"/>
      <c r="EO185" s="1425"/>
      <c r="EP185" s="1196">
        <f>($DQ185/$DQ$179)*EP$179</f>
        <v>38.544704331655375</v>
      </c>
      <c r="EQ185" s="1424"/>
      <c r="ER185" s="938"/>
      <c r="ES185" s="938"/>
      <c r="ET185" s="1425"/>
      <c r="EU185" s="1196">
        <f>($DQ185/$DQ$179)*EU$179</f>
        <v>34.373699299635334</v>
      </c>
      <c r="EV185" s="1424"/>
      <c r="EW185" s="938"/>
      <c r="EX185" s="938"/>
      <c r="EY185" s="1425"/>
      <c r="EZ185" s="1196">
        <f>($DQ185/$DQ$179)*EZ$179</f>
        <v>35.27002379812113</v>
      </c>
      <c r="FA185" s="1424"/>
      <c r="FB185" s="938"/>
      <c r="FC185" s="938"/>
      <c r="FD185" s="1425"/>
      <c r="FE185" s="1196">
        <f>($DQ185/$DQ$179)*FE$179</f>
        <v>36.163246242864005</v>
      </c>
      <c r="FF185" s="938"/>
      <c r="FG185" s="690"/>
      <c r="FH185" s="754"/>
      <c r="FI185" s="754"/>
      <c r="FJ185" s="754"/>
      <c r="FK185" s="754"/>
      <c r="FL185" s="690"/>
      <c r="FM185" s="940"/>
      <c r="FN185" s="940"/>
      <c r="FO185" s="941"/>
      <c r="FP185" s="941"/>
      <c r="FQ185" s="941"/>
      <c r="FR185" s="941"/>
      <c r="FS185" s="941"/>
      <c r="FT185" s="941"/>
      <c r="FU185" s="690"/>
      <c r="FV185"/>
      <c r="FW185"/>
      <c r="FX185"/>
      <c r="FY185"/>
      <c r="FZ185"/>
      <c r="GA185"/>
      <c r="GC185" s="1426"/>
      <c r="GD185" s="1426"/>
      <c r="GE185" s="1426"/>
      <c r="GF185" s="1426"/>
      <c r="GG185" s="1426"/>
      <c r="GH185" s="1426"/>
      <c r="GI185" s="1426"/>
      <c r="GJ185" s="1426"/>
      <c r="GK185" s="1426"/>
      <c r="GL185" s="1426"/>
      <c r="GM185" s="1426"/>
      <c r="GN185" s="1426"/>
      <c r="GO185" s="1426"/>
      <c r="GP185" s="1426"/>
      <c r="GQ185" s="1426"/>
      <c r="GR185" s="1426"/>
      <c r="GS185" s="1426"/>
      <c r="GT185" s="1426"/>
      <c r="GU185" s="1426"/>
      <c r="GV185" s="1426"/>
      <c r="GW185" s="1426"/>
      <c r="GX185" s="1426"/>
      <c r="GY185" s="1426"/>
      <c r="GZ185" s="1426"/>
      <c r="HA185" s="1426"/>
      <c r="HB185" s="1426"/>
      <c r="HC185" s="1426"/>
      <c r="HD185" s="1426"/>
      <c r="HE185" s="1426"/>
      <c r="HF185" s="1426"/>
      <c r="HG185" s="1426"/>
      <c r="HH185" s="1426"/>
      <c r="HI185" s="1426"/>
      <c r="HJ185" s="1426"/>
      <c r="HK185" s="1426"/>
      <c r="HL185" s="1426"/>
      <c r="HM185" s="1426"/>
      <c r="HN185" s="1426"/>
      <c r="HO185" s="1426"/>
      <c r="HP185" s="1426"/>
      <c r="HQ185" s="1426"/>
      <c r="HR185" s="1426"/>
      <c r="HS185" s="1426"/>
      <c r="HT185" s="1426"/>
      <c r="HU185" s="1426"/>
      <c r="HV185" s="1426"/>
      <c r="HW185" s="1426"/>
      <c r="HX185" s="1426"/>
      <c r="HY185" s="1426"/>
      <c r="HZ185" s="1426"/>
      <c r="IA185" s="1426"/>
      <c r="IB185" s="1426"/>
      <c r="IC185" s="1426"/>
      <c r="ID185" s="1426"/>
      <c r="IE185" s="1426"/>
      <c r="IF185" s="1426"/>
      <c r="IG185" s="1426"/>
      <c r="IH185" s="1426"/>
      <c r="II185" s="1426"/>
      <c r="IJ185" s="1426"/>
      <c r="IK185" s="1426"/>
      <c r="IL185" s="1426"/>
      <c r="IM185" s="1426"/>
      <c r="IN185" s="1426"/>
      <c r="IO185" s="1426"/>
      <c r="IP185" s="1426"/>
      <c r="IQ185" s="1426"/>
      <c r="IR185" s="1426"/>
      <c r="IS185" s="1426"/>
      <c r="IT185" s="1426"/>
      <c r="IU185" s="1426"/>
      <c r="IV185" s="1426"/>
      <c r="IW185" s="1426"/>
      <c r="IX185" s="1426"/>
      <c r="IY185" s="1426"/>
      <c r="IZ185" s="1426"/>
      <c r="JA185" s="1426"/>
      <c r="JB185" s="1426"/>
      <c r="JC185" s="1426"/>
      <c r="JD185" s="1426"/>
      <c r="JE185" s="1426"/>
      <c r="JF185" s="1426"/>
      <c r="JG185" s="1426"/>
      <c r="JH185" s="1426"/>
      <c r="JI185" s="1426"/>
      <c r="JJ185" s="1426"/>
      <c r="JK185" s="1426"/>
      <c r="JL185" s="1426"/>
    </row>
    <row r="186" spans="1:272" s="942" customFormat="1" ht="12.75" hidden="1" customHeight="1" outlineLevel="1">
      <c r="A186" s="1419" t="s">
        <v>381</v>
      </c>
      <c r="B186" s="1420"/>
      <c r="C186" s="1421"/>
      <c r="D186" s="1421"/>
      <c r="E186" s="1421"/>
      <c r="F186" s="1196"/>
      <c r="G186" s="943"/>
      <c r="H186" s="1421"/>
      <c r="I186" s="1421"/>
      <c r="J186" s="1421"/>
      <c r="K186" s="1196"/>
      <c r="L186" s="943"/>
      <c r="M186" s="1421"/>
      <c r="N186" s="1421"/>
      <c r="O186" s="1421"/>
      <c r="P186" s="1196"/>
      <c r="Q186" s="943"/>
      <c r="R186" s="1421"/>
      <c r="S186" s="1421"/>
      <c r="T186" s="1421"/>
      <c r="U186" s="1196"/>
      <c r="V186" s="943"/>
      <c r="W186" s="1421"/>
      <c r="X186" s="1421"/>
      <c r="Y186" s="1421"/>
      <c r="Z186" s="1196"/>
      <c r="AA186" s="943"/>
      <c r="AB186" s="1421"/>
      <c r="AC186" s="1421"/>
      <c r="AD186" s="1421"/>
      <c r="AE186" s="1196"/>
      <c r="AF186" s="938"/>
      <c r="AG186" s="938"/>
      <c r="AH186" s="938"/>
      <c r="AI186" s="938"/>
      <c r="AJ186" s="1196"/>
      <c r="AK186" s="938"/>
      <c r="AL186" s="938"/>
      <c r="AM186" s="938"/>
      <c r="AN186" s="938"/>
      <c r="AO186" s="1196"/>
      <c r="AP186" s="938"/>
      <c r="AQ186" s="1422"/>
      <c r="AR186" s="1422"/>
      <c r="AS186" s="938"/>
      <c r="AT186" s="1196"/>
      <c r="AU186" s="938"/>
      <c r="AV186" s="1422"/>
      <c r="AW186" s="938"/>
      <c r="AX186" s="938"/>
      <c r="AY186" s="1196"/>
      <c r="AZ186" s="938"/>
      <c r="BA186" s="1422"/>
      <c r="BB186" s="938"/>
      <c r="BC186" s="938"/>
      <c r="BD186" s="1196"/>
      <c r="BE186" s="938"/>
      <c r="BF186" s="1422"/>
      <c r="BG186" s="938"/>
      <c r="BH186" s="938"/>
      <c r="BI186" s="1196"/>
      <c r="BJ186" s="938"/>
      <c r="BK186" s="1422"/>
      <c r="BL186" s="938"/>
      <c r="BM186" s="938"/>
      <c r="BN186" s="1196"/>
      <c r="BO186" s="938"/>
      <c r="BP186" s="1422"/>
      <c r="BQ186" s="938"/>
      <c r="BR186" s="938"/>
      <c r="BS186" s="1196"/>
      <c r="BT186" s="938"/>
      <c r="BU186" s="1422"/>
      <c r="BV186" s="938"/>
      <c r="BW186" s="938"/>
      <c r="BX186" s="1196"/>
      <c r="BY186" s="938"/>
      <c r="BZ186" s="1422"/>
      <c r="CA186" s="938"/>
      <c r="CB186" s="938"/>
      <c r="CC186" s="1196"/>
      <c r="CD186" s="938"/>
      <c r="CE186" s="938"/>
      <c r="CF186" s="938"/>
      <c r="CG186" s="938"/>
      <c r="CH186" s="1196">
        <v>55.04</v>
      </c>
      <c r="CI186" s="938">
        <v>14.845000000000001</v>
      </c>
      <c r="CJ186" s="938">
        <v>16.724</v>
      </c>
      <c r="CK186" s="938">
        <v>17.431000000000001</v>
      </c>
      <c r="CL186" s="938">
        <f>CM186-SUM(CI186:CK186)</f>
        <v>16.531000000000006</v>
      </c>
      <c r="CM186" s="1196">
        <v>65.531000000000006</v>
      </c>
      <c r="CN186" s="938">
        <v>15.159000000000001</v>
      </c>
      <c r="CO186" s="938">
        <v>14.651999999999999</v>
      </c>
      <c r="CP186" s="938">
        <v>16.094999999999999</v>
      </c>
      <c r="CQ186" s="938">
        <f t="shared" si="513"/>
        <v>19.256999999999998</v>
      </c>
      <c r="CR186" s="1196">
        <v>65.162999999999997</v>
      </c>
      <c r="CS186" s="938">
        <v>18.02</v>
      </c>
      <c r="CT186" s="938">
        <v>17.588000000000001</v>
      </c>
      <c r="CU186" s="938">
        <v>18.62</v>
      </c>
      <c r="CV186" s="938">
        <v>17.817</v>
      </c>
      <c r="CW186" s="1196">
        <v>72.045000000000002</v>
      </c>
      <c r="CX186" s="938">
        <v>15.372</v>
      </c>
      <c r="CY186" s="938">
        <v>14.018000000000001</v>
      </c>
      <c r="CZ186" s="938">
        <v>16.239999999999998</v>
      </c>
      <c r="DA186" s="938">
        <f>DB186-SUM(CX186:CZ186)</f>
        <v>22.189999999999998</v>
      </c>
      <c r="DB186" s="1196">
        <v>67.819999999999993</v>
      </c>
      <c r="DC186" s="938">
        <v>24.300999999999998</v>
      </c>
      <c r="DD186" s="938">
        <v>30.042999999999999</v>
      </c>
      <c r="DE186" s="938">
        <v>31.654</v>
      </c>
      <c r="DF186" s="938">
        <v>27.437000000000008</v>
      </c>
      <c r="DG186" s="1196">
        <f t="shared" si="514"/>
        <v>113.435</v>
      </c>
      <c r="DH186" s="938">
        <v>26.015000000000001</v>
      </c>
      <c r="DI186" s="938">
        <v>27.077000000000002</v>
      </c>
      <c r="DJ186" s="938">
        <v>30.134</v>
      </c>
      <c r="DK186" s="938">
        <v>30.702999999999999</v>
      </c>
      <c r="DL186" s="1196">
        <f t="shared" si="515"/>
        <v>113.929</v>
      </c>
      <c r="DM186" s="938">
        <v>27.152000000000001</v>
      </c>
      <c r="DN186" s="938">
        <v>27.890999999999998</v>
      </c>
      <c r="DO186" s="938">
        <v>29.956</v>
      </c>
      <c r="DP186" s="938">
        <v>28.62</v>
      </c>
      <c r="DQ186" s="1196">
        <f t="shared" si="516"/>
        <v>113.619</v>
      </c>
      <c r="DR186" s="938">
        <v>27.981999999999999</v>
      </c>
      <c r="DS186" s="938">
        <v>34.045000000000002</v>
      </c>
      <c r="DT186" s="1423">
        <v>38.704999999999998</v>
      </c>
      <c r="DU186" s="1423">
        <v>47.387999999999998</v>
      </c>
      <c r="DV186" s="1196">
        <f t="shared" si="517"/>
        <v>148.12</v>
      </c>
      <c r="DW186" s="1423">
        <v>42.22</v>
      </c>
      <c r="DX186" s="1423">
        <v>42.334000000000003</v>
      </c>
      <c r="DY186" s="1423">
        <v>46.219000000000001</v>
      </c>
      <c r="DZ186" s="1423">
        <v>43.287999999999997</v>
      </c>
      <c r="EA186" s="1196">
        <f t="shared" si="518"/>
        <v>174.06099999999998</v>
      </c>
      <c r="EB186" s="1423">
        <v>40.51</v>
      </c>
      <c r="EC186" s="1423">
        <v>35.127000000000002</v>
      </c>
      <c r="ED186" s="938">
        <f t="shared" si="519"/>
        <v>48.041817718909222</v>
      </c>
      <c r="EE186" s="938">
        <f t="shared" si="519"/>
        <v>41.349992585314382</v>
      </c>
      <c r="EF186" s="1196">
        <f t="shared" si="520"/>
        <v>165.02881030422361</v>
      </c>
      <c r="EG186" s="1424"/>
      <c r="EH186" s="938"/>
      <c r="EI186" s="938"/>
      <c r="EJ186" s="1425"/>
      <c r="EK186" s="1196">
        <f>($DQ186/$DQ$179)*EK$179</f>
        <v>43.035713921366607</v>
      </c>
      <c r="EL186" s="1424"/>
      <c r="EM186" s="938"/>
      <c r="EN186" s="938"/>
      <c r="EO186" s="1425"/>
      <c r="EP186" s="1196">
        <f>($DQ186/$DQ$179)*EP$179</f>
        <v>37.768518218072266</v>
      </c>
      <c r="EQ186" s="1424"/>
      <c r="ER186" s="938"/>
      <c r="ES186" s="938"/>
      <c r="ET186" s="1425"/>
      <c r="EU186" s="1196">
        <f>($DQ186/$DQ$179)*EU$179</f>
        <v>33.681505948266263</v>
      </c>
      <c r="EV186" s="1424"/>
      <c r="EW186" s="938"/>
      <c r="EX186" s="938"/>
      <c r="EY186" s="1425"/>
      <c r="EZ186" s="1196">
        <f>($DQ186/$DQ$179)*EZ$179</f>
        <v>34.559780895171571</v>
      </c>
      <c r="FA186" s="1424"/>
      <c r="FB186" s="938"/>
      <c r="FC186" s="938"/>
      <c r="FD186" s="1425"/>
      <c r="FE186" s="1196">
        <f>($DQ186/$DQ$179)*FE$179</f>
        <v>35.435016255307836</v>
      </c>
      <c r="FF186" s="938"/>
      <c r="FG186" s="690"/>
      <c r="FH186" s="754"/>
      <c r="FI186" s="754"/>
      <c r="FJ186" s="754"/>
      <c r="FK186" s="754"/>
      <c r="FL186" s="690"/>
      <c r="FM186" s="940"/>
      <c r="FN186" s="940"/>
      <c r="FO186" s="941"/>
      <c r="FP186" s="941"/>
      <c r="FQ186" s="941"/>
      <c r="FR186" s="941"/>
      <c r="FS186" s="941"/>
      <c r="FT186" s="941"/>
      <c r="FU186" s="690"/>
      <c r="FV186"/>
      <c r="FW186"/>
      <c r="FX186"/>
      <c r="FY186"/>
      <c r="FZ186"/>
      <c r="GA186"/>
      <c r="GC186" s="1426"/>
      <c r="GD186" s="1426"/>
      <c r="GE186" s="1426"/>
      <c r="GF186" s="1426"/>
      <c r="GG186" s="1426"/>
      <c r="GH186" s="1426"/>
      <c r="GI186" s="1426"/>
      <c r="GJ186" s="1426"/>
      <c r="GK186" s="1426"/>
      <c r="GL186" s="1426"/>
      <c r="GM186" s="1426"/>
      <c r="GN186" s="1426"/>
      <c r="GO186" s="1426"/>
      <c r="GP186" s="1426"/>
      <c r="GQ186" s="1426"/>
      <c r="GR186" s="1426"/>
      <c r="GS186" s="1426"/>
      <c r="GT186" s="1426"/>
      <c r="GU186" s="1426"/>
      <c r="GV186" s="1426"/>
      <c r="GW186" s="1426"/>
      <c r="GX186" s="1426"/>
      <c r="GY186" s="1426"/>
      <c r="GZ186" s="1426"/>
      <c r="HA186" s="1426"/>
      <c r="HB186" s="1426"/>
      <c r="HC186" s="1426"/>
      <c r="HD186" s="1426"/>
      <c r="HE186" s="1426"/>
      <c r="HF186" s="1426"/>
      <c r="HG186" s="1426"/>
      <c r="HH186" s="1426"/>
      <c r="HI186" s="1426"/>
      <c r="HJ186" s="1426"/>
      <c r="HK186" s="1426"/>
      <c r="HL186" s="1426"/>
      <c r="HM186" s="1426"/>
      <c r="HN186" s="1426"/>
      <c r="HO186" s="1426"/>
      <c r="HP186" s="1426"/>
      <c r="HQ186" s="1426"/>
      <c r="HR186" s="1426"/>
      <c r="HS186" s="1426"/>
      <c r="HT186" s="1426"/>
      <c r="HU186" s="1426"/>
      <c r="HV186" s="1426"/>
      <c r="HW186" s="1426"/>
      <c r="HX186" s="1426"/>
      <c r="HY186" s="1426"/>
      <c r="HZ186" s="1426"/>
      <c r="IA186" s="1426"/>
      <c r="IB186" s="1426"/>
      <c r="IC186" s="1426"/>
      <c r="ID186" s="1426"/>
      <c r="IE186" s="1426"/>
      <c r="IF186" s="1426"/>
      <c r="IG186" s="1426"/>
      <c r="IH186" s="1426"/>
      <c r="II186" s="1426"/>
      <c r="IJ186" s="1426"/>
      <c r="IK186" s="1426"/>
      <c r="IL186" s="1426"/>
      <c r="IM186" s="1426"/>
      <c r="IN186" s="1426"/>
      <c r="IO186" s="1426"/>
      <c r="IP186" s="1426"/>
      <c r="IQ186" s="1426"/>
      <c r="IR186" s="1426"/>
      <c r="IS186" s="1426"/>
      <c r="IT186" s="1426"/>
      <c r="IU186" s="1426"/>
      <c r="IV186" s="1426"/>
      <c r="IW186" s="1426"/>
      <c r="IX186" s="1426"/>
      <c r="IY186" s="1426"/>
      <c r="IZ186" s="1426"/>
      <c r="JA186" s="1426"/>
      <c r="JB186" s="1426"/>
      <c r="JC186" s="1426"/>
      <c r="JD186" s="1426"/>
      <c r="JE186" s="1426"/>
      <c r="JF186" s="1426"/>
      <c r="JG186" s="1426"/>
      <c r="JH186" s="1426"/>
      <c r="JI186" s="1426"/>
      <c r="JJ186" s="1426"/>
      <c r="JK186" s="1426"/>
      <c r="JL186" s="1426"/>
    </row>
    <row r="187" spans="1:272" s="942" customFormat="1" ht="12.75" hidden="1" customHeight="1" outlineLevel="1">
      <c r="A187" s="1419" t="s">
        <v>382</v>
      </c>
      <c r="B187" s="1420"/>
      <c r="C187" s="1421"/>
      <c r="D187" s="1421"/>
      <c r="E187" s="1421"/>
      <c r="F187" s="1196"/>
      <c r="G187" s="943"/>
      <c r="H187" s="1421"/>
      <c r="I187" s="1421"/>
      <c r="J187" s="1421"/>
      <c r="K187" s="1196"/>
      <c r="L187" s="943"/>
      <c r="M187" s="1421"/>
      <c r="N187" s="1421"/>
      <c r="O187" s="1421"/>
      <c r="P187" s="1196"/>
      <c r="Q187" s="943"/>
      <c r="R187" s="1421"/>
      <c r="S187" s="1421"/>
      <c r="T187" s="1421"/>
      <c r="U187" s="1196"/>
      <c r="V187" s="943"/>
      <c r="W187" s="1421"/>
      <c r="X187" s="1421"/>
      <c r="Y187" s="1421"/>
      <c r="Z187" s="1196"/>
      <c r="AA187" s="943"/>
      <c r="AB187" s="1421"/>
      <c r="AC187" s="1421"/>
      <c r="AD187" s="1421"/>
      <c r="AE187" s="1196"/>
      <c r="AF187" s="938"/>
      <c r="AG187" s="938"/>
      <c r="AH187" s="938"/>
      <c r="AI187" s="938"/>
      <c r="AJ187" s="1196"/>
      <c r="AK187" s="938"/>
      <c r="AL187" s="938"/>
      <c r="AM187" s="938"/>
      <c r="AN187" s="938"/>
      <c r="AO187" s="1196"/>
      <c r="AP187" s="938"/>
      <c r="AQ187" s="1422"/>
      <c r="AR187" s="1422"/>
      <c r="AS187" s="938"/>
      <c r="AT187" s="1196"/>
      <c r="AU187" s="938"/>
      <c r="AV187" s="1422"/>
      <c r="AW187" s="938"/>
      <c r="AX187" s="938"/>
      <c r="AY187" s="1196"/>
      <c r="AZ187" s="938"/>
      <c r="BA187" s="1422"/>
      <c r="BB187" s="938"/>
      <c r="BC187" s="938"/>
      <c r="BD187" s="1196"/>
      <c r="BE187" s="938"/>
      <c r="BF187" s="1422"/>
      <c r="BG187" s="938"/>
      <c r="BH187" s="938"/>
      <c r="BI187" s="1196"/>
      <c r="BJ187" s="938"/>
      <c r="BK187" s="1422"/>
      <c r="BL187" s="938"/>
      <c r="BM187" s="938"/>
      <c r="BN187" s="1196"/>
      <c r="BO187" s="938"/>
      <c r="BP187" s="1422"/>
      <c r="BQ187" s="938"/>
      <c r="BR187" s="938"/>
      <c r="BS187" s="1196"/>
      <c r="BT187" s="938"/>
      <c r="BU187" s="1422"/>
      <c r="BV187" s="938"/>
      <c r="BW187" s="938"/>
      <c r="BX187" s="1196"/>
      <c r="BY187" s="938"/>
      <c r="BZ187" s="1422"/>
      <c r="CA187" s="938"/>
      <c r="CB187" s="938"/>
      <c r="CC187" s="1196">
        <v>305.91500000000002</v>
      </c>
      <c r="CD187" s="938"/>
      <c r="CE187" s="938"/>
      <c r="CF187" s="938"/>
      <c r="CG187" s="938"/>
      <c r="CH187" s="1196">
        <v>296.36700000000002</v>
      </c>
      <c r="CI187" s="938">
        <v>142.55600000000001</v>
      </c>
      <c r="CJ187" s="938">
        <v>152.262</v>
      </c>
      <c r="CK187" s="938">
        <v>80.751999999999995</v>
      </c>
      <c r="CL187" s="938">
        <f>CM187-SUM(CI187:CK187)</f>
        <v>-63.483000000000004</v>
      </c>
      <c r="CM187" s="1196">
        <v>312.08699999999999</v>
      </c>
      <c r="CN187" s="938">
        <v>83.448999999999998</v>
      </c>
      <c r="CO187" s="938">
        <v>88.602999999999994</v>
      </c>
      <c r="CP187" s="938">
        <v>99.245000000000005</v>
      </c>
      <c r="CQ187" s="938">
        <f t="shared" si="513"/>
        <v>99.758999999999958</v>
      </c>
      <c r="CR187" s="1196">
        <v>371.05599999999998</v>
      </c>
      <c r="CS187" s="938">
        <v>105.286</v>
      </c>
      <c r="CT187" s="938">
        <v>109.71</v>
      </c>
      <c r="CU187" s="938">
        <v>115.57599999999999</v>
      </c>
      <c r="CV187" s="938">
        <v>114.608</v>
      </c>
      <c r="CW187" s="1196">
        <v>445.18</v>
      </c>
      <c r="CX187" s="938">
        <v>98.588999999999999</v>
      </c>
      <c r="CY187" s="938">
        <v>118.89100000000001</v>
      </c>
      <c r="CZ187" s="938">
        <f>131.408-5.359</f>
        <v>126.04899999999999</v>
      </c>
      <c r="DA187" s="938">
        <f>146.308-3.6</f>
        <v>142.708</v>
      </c>
      <c r="DB187" s="1196">
        <v>495.19600000000003</v>
      </c>
      <c r="DC187" s="938">
        <v>133.751</v>
      </c>
      <c r="DD187" s="938">
        <v>140.191</v>
      </c>
      <c r="DE187" s="938">
        <v>137.56299999999999</v>
      </c>
      <c r="DF187" s="938">
        <f>135.59</f>
        <v>135.59</v>
      </c>
      <c r="DG187" s="1196">
        <f t="shared" si="514"/>
        <v>547.09500000000003</v>
      </c>
      <c r="DH187" s="938">
        <v>130.68199999999999</v>
      </c>
      <c r="DI187" s="938">
        <v>142.018</v>
      </c>
      <c r="DJ187" s="938">
        <v>145.298</v>
      </c>
      <c r="DK187" s="938">
        <v>135.69399999999999</v>
      </c>
      <c r="DL187" s="1196">
        <f t="shared" si="515"/>
        <v>553.69200000000001</v>
      </c>
      <c r="DM187" s="938">
        <v>136.51499999999999</v>
      </c>
      <c r="DN187" s="938">
        <f>138.529+3.9</f>
        <v>142.429</v>
      </c>
      <c r="DO187" s="938">
        <v>145.66</v>
      </c>
      <c r="DP187" s="938">
        <v>147.10599999999999</v>
      </c>
      <c r="DQ187" s="1196">
        <f t="shared" si="516"/>
        <v>571.70999999999992</v>
      </c>
      <c r="DR187" s="938">
        <v>157.697</v>
      </c>
      <c r="DS187" s="938">
        <f>147.117+5.6-3.7</f>
        <v>149.017</v>
      </c>
      <c r="DT187" s="1423">
        <v>162.726</v>
      </c>
      <c r="DU187" s="1423">
        <v>166.55699999999999</v>
      </c>
      <c r="DV187" s="1427">
        <f t="shared" si="517"/>
        <v>635.99699999999996</v>
      </c>
      <c r="DW187" s="1423">
        <v>162.23599999999999</v>
      </c>
      <c r="DX187" s="1423">
        <f>157.51+3.4</f>
        <v>160.91</v>
      </c>
      <c r="DY187" s="1423">
        <v>164.01499999999999</v>
      </c>
      <c r="DZ187" s="1423">
        <v>165.393</v>
      </c>
      <c r="EA187" s="1427">
        <f t="shared" si="518"/>
        <v>652.55399999999997</v>
      </c>
      <c r="EB187" s="1423">
        <f>167.105-1.122</f>
        <v>165.98299999999998</v>
      </c>
      <c r="EC187" s="1423">
        <v>176.88499999999999</v>
      </c>
      <c r="ED187" s="938">
        <f t="shared" si="519"/>
        <v>170.48353995471331</v>
      </c>
      <c r="EE187" s="938">
        <f t="shared" si="519"/>
        <v>157.98834142632836</v>
      </c>
      <c r="EF187" s="1196">
        <f t="shared" si="520"/>
        <v>671.33988138104155</v>
      </c>
      <c r="EG187" s="1424"/>
      <c r="EH187" s="938"/>
      <c r="EI187" s="938"/>
      <c r="EJ187" s="1425"/>
      <c r="EK187" s="1196">
        <f>($DQ187/$DQ$179)*EK$179</f>
        <v>216.5478309612345</v>
      </c>
      <c r="EL187" s="1424"/>
      <c r="EM187" s="938"/>
      <c r="EN187" s="938"/>
      <c r="EO187" s="1425"/>
      <c r="EP187" s="1196">
        <f>($DQ187/$DQ$179)*EP$179</f>
        <v>190.04426680796428</v>
      </c>
      <c r="EQ187" s="1424"/>
      <c r="ER187" s="938"/>
      <c r="ES187" s="938"/>
      <c r="ET187" s="1425"/>
      <c r="EU187" s="1196">
        <f>($DQ187/$DQ$179)*EU$179</f>
        <v>169.4791695551211</v>
      </c>
      <c r="EV187" s="1424"/>
      <c r="EW187" s="938"/>
      <c r="EX187" s="938"/>
      <c r="EY187" s="1425"/>
      <c r="EZ187" s="1196">
        <f>($DQ187/$DQ$179)*EZ$179</f>
        <v>173.89848824209452</v>
      </c>
      <c r="FA187" s="1424"/>
      <c r="FB187" s="938"/>
      <c r="FC187" s="938"/>
      <c r="FD187" s="1425"/>
      <c r="FE187" s="1196">
        <f>($DQ187/$DQ$179)*FE$179</f>
        <v>178.30251228511113</v>
      </c>
      <c r="FF187" s="938"/>
      <c r="FG187" s="690"/>
      <c r="FH187" s="754"/>
      <c r="FI187" s="754"/>
      <c r="FJ187" s="754"/>
      <c r="FK187" s="754"/>
      <c r="FL187" s="690"/>
      <c r="FM187" s="940"/>
      <c r="FN187" s="940"/>
      <c r="FO187" s="941"/>
      <c r="FP187" s="941"/>
      <c r="FQ187" s="941"/>
      <c r="FR187" s="941"/>
      <c r="FS187" s="941"/>
      <c r="FT187" s="941"/>
      <c r="FU187" s="690"/>
      <c r="FV187"/>
      <c r="FW187"/>
      <c r="FX187"/>
      <c r="FY187"/>
      <c r="FZ187"/>
      <c r="GA187"/>
      <c r="GC187" s="1426"/>
      <c r="GD187" s="1426"/>
      <c r="GE187" s="1426"/>
      <c r="GF187" s="1426"/>
      <c r="GG187" s="1426"/>
      <c r="GH187" s="1426"/>
      <c r="GI187" s="1426"/>
      <c r="GJ187" s="1426"/>
      <c r="GK187" s="1426"/>
      <c r="GL187" s="1426"/>
      <c r="GM187" s="1426"/>
      <c r="GN187" s="1426"/>
      <c r="GO187" s="1426"/>
      <c r="GP187" s="1426"/>
      <c r="GQ187" s="1426"/>
      <c r="GR187" s="1426"/>
      <c r="GS187" s="1426"/>
      <c r="GT187" s="1426"/>
      <c r="GU187" s="1426"/>
      <c r="GV187" s="1426"/>
      <c r="GW187" s="1426"/>
      <c r="GX187" s="1426"/>
      <c r="GY187" s="1426"/>
      <c r="GZ187" s="1426"/>
      <c r="HA187" s="1426"/>
      <c r="HB187" s="1426"/>
      <c r="HC187" s="1426"/>
      <c r="HD187" s="1426"/>
      <c r="HE187" s="1426"/>
      <c r="HF187" s="1426"/>
      <c r="HG187" s="1426"/>
      <c r="HH187" s="1426"/>
      <c r="HI187" s="1426"/>
      <c r="HJ187" s="1426"/>
      <c r="HK187" s="1426"/>
      <c r="HL187" s="1426"/>
      <c r="HM187" s="1426"/>
      <c r="HN187" s="1426"/>
      <c r="HO187" s="1426"/>
      <c r="HP187" s="1426"/>
      <c r="HQ187" s="1426"/>
      <c r="HR187" s="1426"/>
      <c r="HS187" s="1426"/>
      <c r="HT187" s="1426"/>
      <c r="HU187" s="1426"/>
      <c r="HV187" s="1426"/>
      <c r="HW187" s="1426"/>
      <c r="HX187" s="1426"/>
      <c r="HY187" s="1426"/>
      <c r="HZ187" s="1426"/>
      <c r="IA187" s="1426"/>
      <c r="IB187" s="1426"/>
      <c r="IC187" s="1426"/>
      <c r="ID187" s="1426"/>
      <c r="IE187" s="1426"/>
      <c r="IF187" s="1426"/>
      <c r="IG187" s="1426"/>
      <c r="IH187" s="1426"/>
      <c r="II187" s="1426"/>
      <c r="IJ187" s="1426"/>
      <c r="IK187" s="1426"/>
      <c r="IL187" s="1426"/>
      <c r="IM187" s="1426"/>
      <c r="IN187" s="1426"/>
      <c r="IO187" s="1426"/>
      <c r="IP187" s="1426"/>
      <c r="IQ187" s="1426"/>
      <c r="IR187" s="1426"/>
      <c r="IS187" s="1426"/>
      <c r="IT187" s="1426"/>
      <c r="IU187" s="1426"/>
      <c r="IV187" s="1426"/>
      <c r="IW187" s="1426"/>
      <c r="IX187" s="1426"/>
      <c r="IY187" s="1426"/>
      <c r="IZ187" s="1426"/>
      <c r="JA187" s="1426"/>
      <c r="JB187" s="1426"/>
      <c r="JC187" s="1426"/>
      <c r="JD187" s="1426"/>
      <c r="JE187" s="1426"/>
      <c r="JF187" s="1426"/>
      <c r="JG187" s="1426"/>
      <c r="JH187" s="1426"/>
      <c r="JI187" s="1426"/>
      <c r="JJ187" s="1426"/>
      <c r="JK187" s="1426"/>
      <c r="JL187" s="1426"/>
    </row>
    <row r="188" spans="1:272" s="942" customFormat="1" ht="12.75" hidden="1" customHeight="1" outlineLevel="1">
      <c r="A188" s="1419" t="s">
        <v>383</v>
      </c>
      <c r="B188" s="1420"/>
      <c r="C188" s="1421"/>
      <c r="D188" s="1421"/>
      <c r="E188" s="1421"/>
      <c r="F188" s="1196"/>
      <c r="G188" s="943"/>
      <c r="H188" s="1421"/>
      <c r="I188" s="1421"/>
      <c r="J188" s="1421"/>
      <c r="K188" s="1196"/>
      <c r="L188" s="943"/>
      <c r="M188" s="1421"/>
      <c r="N188" s="1421"/>
      <c r="O188" s="1421"/>
      <c r="P188" s="1196"/>
      <c r="Q188" s="943"/>
      <c r="R188" s="1421"/>
      <c r="S188" s="1421"/>
      <c r="T188" s="1421"/>
      <c r="U188" s="1196"/>
      <c r="V188" s="943"/>
      <c r="W188" s="1421"/>
      <c r="X188" s="1421"/>
      <c r="Y188" s="1421"/>
      <c r="Z188" s="1196"/>
      <c r="AA188" s="943"/>
      <c r="AB188" s="1421"/>
      <c r="AC188" s="1421"/>
      <c r="AD188" s="1421"/>
      <c r="AE188" s="1196"/>
      <c r="AF188" s="938"/>
      <c r="AG188" s="938"/>
      <c r="AH188" s="938"/>
      <c r="AI188" s="938"/>
      <c r="AJ188" s="1196"/>
      <c r="AK188" s="938"/>
      <c r="AL188" s="938"/>
      <c r="AM188" s="938"/>
      <c r="AN188" s="938"/>
      <c r="AO188" s="1196"/>
      <c r="AP188" s="938"/>
      <c r="AQ188" s="1422"/>
      <c r="AR188" s="1422"/>
      <c r="AS188" s="938"/>
      <c r="AT188" s="1196"/>
      <c r="AU188" s="938"/>
      <c r="AV188" s="1422"/>
      <c r="AW188" s="938"/>
      <c r="AX188" s="938"/>
      <c r="AY188" s="1196"/>
      <c r="AZ188" s="938"/>
      <c r="BA188" s="1422"/>
      <c r="BB188" s="938"/>
      <c r="BC188" s="938"/>
      <c r="BD188" s="1196"/>
      <c r="BE188" s="938"/>
      <c r="BF188" s="1422"/>
      <c r="BG188" s="938"/>
      <c r="BH188" s="938"/>
      <c r="BI188" s="1196"/>
      <c r="BJ188" s="938"/>
      <c r="BK188" s="1422"/>
      <c r="BL188" s="938"/>
      <c r="BM188" s="938"/>
      <c r="BN188" s="1196"/>
      <c r="BO188" s="938"/>
      <c r="BP188" s="1422"/>
      <c r="BQ188" s="938"/>
      <c r="BR188" s="938"/>
      <c r="BS188" s="1196"/>
      <c r="BT188" s="938"/>
      <c r="BU188" s="1422"/>
      <c r="BV188" s="938"/>
      <c r="BW188" s="938"/>
      <c r="BX188" s="1196"/>
      <c r="BY188" s="938"/>
      <c r="BZ188" s="1422"/>
      <c r="CA188" s="938"/>
      <c r="CB188" s="938"/>
      <c r="CC188" s="1196"/>
      <c r="CD188" s="938"/>
      <c r="CE188" s="938"/>
      <c r="CF188" s="938"/>
      <c r="CG188" s="938"/>
      <c r="CH188" s="1196">
        <v>-16.061</v>
      </c>
      <c r="CI188" s="938">
        <v>-4.194</v>
      </c>
      <c r="CJ188" s="938">
        <v>-4.665</v>
      </c>
      <c r="CK188" s="938">
        <f>-1.999-6.231</f>
        <v>-8.23</v>
      </c>
      <c r="CL188" s="938">
        <f>CM188-SUM(CI188:CK188)</f>
        <v>-35.51</v>
      </c>
      <c r="CM188" s="1196">
        <v>-52.598999999999997</v>
      </c>
      <c r="CN188" s="938">
        <v>2.6989999999999998</v>
      </c>
      <c r="CO188" s="938">
        <v>0</v>
      </c>
      <c r="CP188" s="938">
        <v>0</v>
      </c>
      <c r="CQ188" s="938">
        <f t="shared" si="513"/>
        <v>14.715999999999999</v>
      </c>
      <c r="CR188" s="1196">
        <f>14.716+2.699</f>
        <v>17.414999999999999</v>
      </c>
      <c r="CS188" s="938">
        <v>0</v>
      </c>
      <c r="CT188" s="938">
        <v>0</v>
      </c>
      <c r="CU188" s="938">
        <v>0</v>
      </c>
      <c r="CV188" s="938">
        <f>CW188</f>
        <v>61.668999999999997</v>
      </c>
      <c r="CW188" s="1196">
        <f>37.796+23.873</f>
        <v>61.668999999999997</v>
      </c>
      <c r="CX188" s="938">
        <v>134.81299999999999</v>
      </c>
      <c r="CY188" s="938">
        <v>0</v>
      </c>
      <c r="CZ188" s="938">
        <v>0</v>
      </c>
      <c r="DA188" s="938">
        <v>2.8530000000000002</v>
      </c>
      <c r="DB188" s="1196">
        <f>SUM(CX188:DA188)</f>
        <v>137.666</v>
      </c>
      <c r="DC188" s="938">
        <v>2.7669999999999999</v>
      </c>
      <c r="DD188" s="938">
        <v>0</v>
      </c>
      <c r="DE188" s="938">
        <v>16.414000000000001</v>
      </c>
      <c r="DF188" s="938">
        <f>7.757+1.147</f>
        <v>8.9039999999999999</v>
      </c>
      <c r="DG188" s="1196">
        <f>19.181-19.181</f>
        <v>0</v>
      </c>
      <c r="DH188" s="938">
        <v>0</v>
      </c>
      <c r="DI188" s="938">
        <v>0</v>
      </c>
      <c r="DJ188" s="938">
        <v>0</v>
      </c>
      <c r="DK188" s="938">
        <v>0</v>
      </c>
      <c r="DL188" s="1196">
        <f t="shared" si="515"/>
        <v>0</v>
      </c>
      <c r="DM188" s="938">
        <v>0</v>
      </c>
      <c r="DN188" s="938">
        <v>0</v>
      </c>
      <c r="DO188" s="938">
        <v>0</v>
      </c>
      <c r="DP188" s="938">
        <v>0</v>
      </c>
      <c r="DQ188" s="1196">
        <f t="shared" si="516"/>
        <v>0</v>
      </c>
      <c r="DR188" s="938">
        <v>0</v>
      </c>
      <c r="DS188" s="938">
        <v>0</v>
      </c>
      <c r="DT188" s="1423">
        <v>0</v>
      </c>
      <c r="DU188" s="1423">
        <v>0</v>
      </c>
      <c r="DV188" s="1196">
        <f t="shared" si="517"/>
        <v>0</v>
      </c>
      <c r="DW188" s="1423">
        <v>0</v>
      </c>
      <c r="DX188" s="1423">
        <v>0</v>
      </c>
      <c r="DY188" s="1423">
        <v>0</v>
      </c>
      <c r="DZ188" s="1423">
        <v>0</v>
      </c>
      <c r="EA188" s="1196">
        <f t="shared" si="518"/>
        <v>0</v>
      </c>
      <c r="EB188" s="1423">
        <v>0</v>
      </c>
      <c r="EC188" s="1423">
        <v>0</v>
      </c>
      <c r="ED188" s="938">
        <f t="shared" si="519"/>
        <v>0</v>
      </c>
      <c r="EE188" s="938">
        <f t="shared" si="519"/>
        <v>0</v>
      </c>
      <c r="EF188" s="1196">
        <f t="shared" si="520"/>
        <v>0</v>
      </c>
      <c r="EG188" s="1424"/>
      <c r="EH188" s="938"/>
      <c r="EI188" s="938"/>
      <c r="EJ188" s="1425"/>
      <c r="EK188" s="1196">
        <f>($DQ188/$DQ$179)*EK$179</f>
        <v>0</v>
      </c>
      <c r="EL188" s="1424"/>
      <c r="EM188" s="938"/>
      <c r="EN188" s="938"/>
      <c r="EO188" s="1425"/>
      <c r="EP188" s="1196">
        <f>($DQ188/$DQ$179)*EP$179</f>
        <v>0</v>
      </c>
      <c r="EQ188" s="1424"/>
      <c r="ER188" s="938"/>
      <c r="ES188" s="938"/>
      <c r="ET188" s="1425"/>
      <c r="EU188" s="1196">
        <f>($DQ188/$DQ$179)*EU$179</f>
        <v>0</v>
      </c>
      <c r="EV188" s="1424"/>
      <c r="EW188" s="938"/>
      <c r="EX188" s="938"/>
      <c r="EY188" s="1425"/>
      <c r="EZ188" s="1196">
        <f>($DQ188/$DQ$179)*EZ$179</f>
        <v>0</v>
      </c>
      <c r="FA188" s="1424"/>
      <c r="FB188" s="938"/>
      <c r="FC188" s="938"/>
      <c r="FD188" s="1425"/>
      <c r="FE188" s="1196">
        <f>($DQ188/$DQ$179)*FE$179</f>
        <v>0</v>
      </c>
      <c r="FF188" s="938"/>
      <c r="FG188" s="690"/>
      <c r="FH188" s="754"/>
      <c r="FI188" s="754"/>
      <c r="FJ188" s="754"/>
      <c r="FK188" s="754"/>
      <c r="FL188" s="690"/>
      <c r="FM188" s="940"/>
      <c r="FN188" s="940"/>
      <c r="FO188" s="941"/>
      <c r="FP188" s="941"/>
      <c r="FQ188" s="941"/>
      <c r="FR188" s="941"/>
      <c r="FS188" s="941"/>
      <c r="FT188" s="941"/>
      <c r="FU188" s="690"/>
      <c r="FV188"/>
      <c r="FW188"/>
      <c r="FX188"/>
      <c r="FY188"/>
      <c r="FZ188"/>
      <c r="GA188"/>
      <c r="GC188" s="1426"/>
      <c r="GD188" s="1426"/>
      <c r="GE188" s="1426"/>
      <c r="GF188" s="1426"/>
      <c r="GG188" s="1426"/>
      <c r="GH188" s="1426"/>
      <c r="GI188" s="1426"/>
      <c r="GJ188" s="1426"/>
      <c r="GK188" s="1426"/>
      <c r="GL188" s="1426"/>
      <c r="GM188" s="1426"/>
      <c r="GN188" s="1426"/>
      <c r="GO188" s="1426"/>
      <c r="GP188" s="1426"/>
      <c r="GQ188" s="1426"/>
      <c r="GR188" s="1426"/>
      <c r="GS188" s="1426"/>
      <c r="GT188" s="1426"/>
      <c r="GU188" s="1426"/>
      <c r="GV188" s="1426"/>
      <c r="GW188" s="1426"/>
      <c r="GX188" s="1426"/>
      <c r="GY188" s="1426"/>
      <c r="GZ188" s="1426"/>
      <c r="HA188" s="1426"/>
      <c r="HB188" s="1426"/>
      <c r="HC188" s="1426"/>
      <c r="HD188" s="1426"/>
      <c r="HE188" s="1426"/>
      <c r="HF188" s="1426"/>
      <c r="HG188" s="1426"/>
      <c r="HH188" s="1426"/>
      <c r="HI188" s="1426"/>
      <c r="HJ188" s="1426"/>
      <c r="HK188" s="1426"/>
      <c r="HL188" s="1426"/>
      <c r="HM188" s="1426"/>
      <c r="HN188" s="1426"/>
      <c r="HO188" s="1426"/>
      <c r="HP188" s="1426"/>
      <c r="HQ188" s="1426"/>
      <c r="HR188" s="1426"/>
      <c r="HS188" s="1426"/>
      <c r="HT188" s="1426"/>
      <c r="HU188" s="1426"/>
      <c r="HV188" s="1426"/>
      <c r="HW188" s="1426"/>
      <c r="HX188" s="1426"/>
      <c r="HY188" s="1426"/>
      <c r="HZ188" s="1426"/>
      <c r="IA188" s="1426"/>
      <c r="IB188" s="1426"/>
      <c r="IC188" s="1426"/>
      <c r="ID188" s="1426"/>
      <c r="IE188" s="1426"/>
      <c r="IF188" s="1426"/>
      <c r="IG188" s="1426"/>
      <c r="IH188" s="1426"/>
      <c r="II188" s="1426"/>
      <c r="IJ188" s="1426"/>
      <c r="IK188" s="1426"/>
      <c r="IL188" s="1426"/>
      <c r="IM188" s="1426"/>
      <c r="IN188" s="1426"/>
      <c r="IO188" s="1426"/>
      <c r="IP188" s="1426"/>
      <c r="IQ188" s="1426"/>
      <c r="IR188" s="1426"/>
      <c r="IS188" s="1426"/>
      <c r="IT188" s="1426"/>
      <c r="IU188" s="1426"/>
      <c r="IV188" s="1426"/>
      <c r="IW188" s="1426"/>
      <c r="IX188" s="1426"/>
      <c r="IY188" s="1426"/>
      <c r="IZ188" s="1426"/>
      <c r="JA188" s="1426"/>
      <c r="JB188" s="1426"/>
      <c r="JC188" s="1426"/>
      <c r="JD188" s="1426"/>
      <c r="JE188" s="1426"/>
      <c r="JF188" s="1426"/>
      <c r="JG188" s="1426"/>
      <c r="JH188" s="1426"/>
      <c r="JI188" s="1426"/>
      <c r="JJ188" s="1426"/>
      <c r="JK188" s="1426"/>
      <c r="JL188" s="1426"/>
    </row>
    <row r="189" spans="1:272" s="1399" customFormat="1" ht="12.75" customHeight="1" collapsed="1">
      <c r="A189" s="932" t="s">
        <v>384</v>
      </c>
      <c r="B189" s="1390"/>
      <c r="C189" s="1391"/>
      <c r="D189" s="1391"/>
      <c r="E189" s="1391"/>
      <c r="F189" s="718"/>
      <c r="G189" s="1392"/>
      <c r="H189" s="1391"/>
      <c r="I189" s="1391"/>
      <c r="J189" s="1391"/>
      <c r="K189" s="718"/>
      <c r="L189" s="1392"/>
      <c r="M189" s="1391"/>
      <c r="N189" s="1391"/>
      <c r="O189" s="1391"/>
      <c r="P189" s="718"/>
      <c r="Q189" s="1392"/>
      <c r="R189" s="1391"/>
      <c r="S189" s="1391"/>
      <c r="T189" s="1391"/>
      <c r="U189" s="718"/>
      <c r="V189" s="1392"/>
      <c r="W189" s="1391"/>
      <c r="X189" s="1391"/>
      <c r="Y189" s="1391"/>
      <c r="Z189" s="718"/>
      <c r="AA189" s="1392"/>
      <c r="AB189" s="1391"/>
      <c r="AC189" s="1391"/>
      <c r="AD189" s="1391"/>
      <c r="AE189" s="718"/>
      <c r="AF189" s="719"/>
      <c r="AG189" s="719"/>
      <c r="AH189" s="719"/>
      <c r="AI189" s="719"/>
      <c r="AJ189" s="718"/>
      <c r="AK189" s="719"/>
      <c r="AL189" s="719"/>
      <c r="AM189" s="719"/>
      <c r="AN189" s="719"/>
      <c r="AO189" s="718"/>
      <c r="AP189" s="719"/>
      <c r="AQ189" s="934"/>
      <c r="AR189" s="934"/>
      <c r="AS189" s="719"/>
      <c r="AT189" s="718"/>
      <c r="AU189" s="719"/>
      <c r="AV189" s="934"/>
      <c r="AW189" s="719"/>
      <c r="AX189" s="719"/>
      <c r="AY189" s="718"/>
      <c r="AZ189" s="719"/>
      <c r="BA189" s="934"/>
      <c r="BB189" s="719"/>
      <c r="BC189" s="719"/>
      <c r="BD189" s="718"/>
      <c r="BE189" s="719"/>
      <c r="BF189" s="934"/>
      <c r="BG189" s="719"/>
      <c r="BH189" s="719"/>
      <c r="BI189" s="718"/>
      <c r="BJ189" s="719"/>
      <c r="BK189" s="934"/>
      <c r="BL189" s="719"/>
      <c r="BM189" s="719"/>
      <c r="BN189" s="718"/>
      <c r="BO189" s="719"/>
      <c r="BP189" s="934"/>
      <c r="BQ189" s="719"/>
      <c r="BR189" s="719"/>
      <c r="BS189" s="718"/>
      <c r="BT189" s="719"/>
      <c r="BU189" s="934"/>
      <c r="BV189" s="719"/>
      <c r="BW189" s="719"/>
      <c r="BX189" s="718">
        <v>101.044</v>
      </c>
      <c r="BY189" s="719">
        <v>25.21</v>
      </c>
      <c r="BZ189" s="934">
        <v>25.292000000000002</v>
      </c>
      <c r="CA189" s="719">
        <v>26.449000000000002</v>
      </c>
      <c r="CB189" s="719">
        <f>CC189-SUM(BY189:CA189)</f>
        <v>26.071999999999989</v>
      </c>
      <c r="CC189" s="718">
        <v>103.023</v>
      </c>
      <c r="CD189" s="719">
        <v>26.468</v>
      </c>
      <c r="CE189" s="719">
        <v>27.178999999999998</v>
      </c>
      <c r="CF189" s="719">
        <v>29.318999999999999</v>
      </c>
      <c r="CG189" s="719">
        <f>113.927-SUM(CD189:CF189)</f>
        <v>30.961000000000013</v>
      </c>
      <c r="CH189" s="718">
        <v>128.14099999999999</v>
      </c>
      <c r="CI189" s="719">
        <v>35.392000000000003</v>
      </c>
      <c r="CJ189" s="719">
        <v>35.234999999999999</v>
      </c>
      <c r="CK189" s="719">
        <v>36.345999999999997</v>
      </c>
      <c r="CL189" s="719">
        <v>36.753</v>
      </c>
      <c r="CM189" s="718">
        <v>143.726</v>
      </c>
      <c r="CN189" s="719">
        <v>37.063000000000002</v>
      </c>
      <c r="CO189" s="719">
        <v>37.067</v>
      </c>
      <c r="CP189" s="719">
        <v>42.947000000000003</v>
      </c>
      <c r="CQ189" s="719">
        <f t="shared" si="513"/>
        <v>50.068999999999988</v>
      </c>
      <c r="CR189" s="718">
        <v>167.14599999999999</v>
      </c>
      <c r="CS189" s="719">
        <v>51.226999999999997</v>
      </c>
      <c r="CT189" s="719">
        <v>51.981000000000002</v>
      </c>
      <c r="CU189" s="719">
        <v>52.808</v>
      </c>
      <c r="CV189" s="719">
        <v>52.234999999999999</v>
      </c>
      <c r="CW189" s="718">
        <v>208.251</v>
      </c>
      <c r="CX189" s="719">
        <v>50.103999999999999</v>
      </c>
      <c r="CY189" s="719">
        <v>48.857999999999997</v>
      </c>
      <c r="CZ189" s="719">
        <v>47.39</v>
      </c>
      <c r="DA189" s="719">
        <f>DB189-SUM(CX189:CZ189)</f>
        <v>46.059000000000026</v>
      </c>
      <c r="DB189" s="718">
        <v>192.411</v>
      </c>
      <c r="DC189" s="719">
        <v>45.026000000000003</v>
      </c>
      <c r="DD189" s="719">
        <v>47.938000000000002</v>
      </c>
      <c r="DE189" s="719">
        <v>50.567999999999998</v>
      </c>
      <c r="DF189" s="719">
        <v>48.97</v>
      </c>
      <c r="DG189" s="718">
        <f t="shared" si="514"/>
        <v>192.50199999999998</v>
      </c>
      <c r="DH189" s="719">
        <v>50.314</v>
      </c>
      <c r="DI189" s="719">
        <v>50.54</v>
      </c>
      <c r="DJ189" s="719">
        <v>50.814</v>
      </c>
      <c r="DK189" s="719">
        <v>50.978999999999999</v>
      </c>
      <c r="DL189" s="718">
        <f t="shared" si="515"/>
        <v>202.64699999999999</v>
      </c>
      <c r="DM189" s="719">
        <v>51.841999999999999</v>
      </c>
      <c r="DN189" s="719">
        <v>53.442</v>
      </c>
      <c r="DO189" s="719">
        <v>55.402999999999999</v>
      </c>
      <c r="DP189" s="719">
        <v>55.527999999999999</v>
      </c>
      <c r="DQ189" s="718">
        <f t="shared" si="516"/>
        <v>216.21499999999997</v>
      </c>
      <c r="DR189" s="719">
        <v>55.927999999999997</v>
      </c>
      <c r="DS189" s="719">
        <v>57.234999999999999</v>
      </c>
      <c r="DT189" s="719">
        <v>58.911000000000001</v>
      </c>
      <c r="DU189" s="719">
        <v>58.677</v>
      </c>
      <c r="DV189" s="718">
        <f t="shared" si="517"/>
        <v>230.751</v>
      </c>
      <c r="DW189" s="719">
        <v>59.610999999999997</v>
      </c>
      <c r="DX189" s="719">
        <v>60.847999999999999</v>
      </c>
      <c r="DY189" s="1393">
        <v>60.847999999999999</v>
      </c>
      <c r="DZ189" s="1393">
        <v>61.350999999999999</v>
      </c>
      <c r="EA189" s="718">
        <f t="shared" si="518"/>
        <v>242.65800000000002</v>
      </c>
      <c r="EB189" s="1394">
        <v>59.963000000000001</v>
      </c>
      <c r="EC189" s="1393">
        <v>59.725000000000001</v>
      </c>
      <c r="ED189" s="2306">
        <v>37.1</v>
      </c>
      <c r="EE189" s="2306">
        <v>53.1</v>
      </c>
      <c r="EF189" s="2307">
        <f t="shared" si="520"/>
        <v>209.88800000000001</v>
      </c>
      <c r="EG189" s="1395"/>
      <c r="EH189" s="719">
        <f>49.3</f>
        <v>49.3</v>
      </c>
      <c r="EI189" s="719">
        <f>49.5</f>
        <v>49.5</v>
      </c>
      <c r="EJ189" s="1396">
        <f>54.9</f>
        <v>54.9</v>
      </c>
      <c r="EK189" s="718">
        <v>202.8</v>
      </c>
      <c r="EL189" s="1395">
        <f>56.8</f>
        <v>56.8</v>
      </c>
      <c r="EM189" s="719">
        <v>60.5</v>
      </c>
      <c r="EN189" s="1394">
        <v>59.6</v>
      </c>
      <c r="EO189" s="1394">
        <v>56</v>
      </c>
      <c r="EP189" s="2429">
        <f t="shared" ref="EP189" si="521">EL189+EM189+EN189+EO189</f>
        <v>232.9</v>
      </c>
      <c r="EQ189" s="2430">
        <f>+EO189+1.5</f>
        <v>57.5</v>
      </c>
      <c r="ER189" s="2430">
        <f>+EQ189+1.5</f>
        <v>59</v>
      </c>
      <c r="ES189" s="2430">
        <f>+ER189+1.5</f>
        <v>60.5</v>
      </c>
      <c r="ET189" s="2430">
        <f>+ES189+1.5</f>
        <v>62</v>
      </c>
      <c r="EU189" s="718">
        <f t="shared" ref="EU189" si="522">EQ189+ER189+ES189+ET189</f>
        <v>239</v>
      </c>
      <c r="EV189" s="2281">
        <f>+ET189+0.5</f>
        <v>62.5</v>
      </c>
      <c r="EW189" s="2281">
        <f>+EV189</f>
        <v>62.5</v>
      </c>
      <c r="EX189" s="2281">
        <f>+EW189+0.5</f>
        <v>63</v>
      </c>
      <c r="EY189" s="2281">
        <f t="shared" ref="EY189" si="523">+EX189</f>
        <v>63</v>
      </c>
      <c r="EZ189" s="718">
        <f t="shared" ref="EZ189" si="524">EU189*(1+EZ190)</f>
        <v>248.56</v>
      </c>
      <c r="FA189" s="2281">
        <f t="shared" ref="FA189" si="525">EV189*(1+FA190)</f>
        <v>62.5</v>
      </c>
      <c r="FB189" s="2281">
        <f t="shared" ref="FB189" si="526">EW189*(1+FB190)</f>
        <v>62.5</v>
      </c>
      <c r="FC189" s="2281">
        <f t="shared" ref="FC189" si="527">EX189*(1+FC190)</f>
        <v>63</v>
      </c>
      <c r="FD189" s="2281">
        <f t="shared" ref="FD189" si="528">EY189*(1+FD190)</f>
        <v>63</v>
      </c>
      <c r="FE189" s="718">
        <f t="shared" ref="FE189" si="529">EZ189*(1+FE190)</f>
        <v>258.50240000000002</v>
      </c>
      <c r="FF189" s="778"/>
      <c r="FG189" s="690"/>
      <c r="FH189" s="754"/>
      <c r="FI189" s="754"/>
      <c r="FJ189" s="754"/>
      <c r="FK189" s="754"/>
      <c r="FL189" s="690"/>
      <c r="FM189" s="1428" t="s">
        <v>385</v>
      </c>
      <c r="FN189" s="940"/>
      <c r="FO189" s="719"/>
      <c r="FP189" s="719"/>
      <c r="FQ189" s="719"/>
      <c r="FR189" s="719"/>
      <c r="FS189" s="719"/>
      <c r="FT189" s="719"/>
      <c r="FU189" s="690"/>
      <c r="FV189"/>
      <c r="FW189"/>
      <c r="FX189"/>
      <c r="FY189"/>
      <c r="FZ189"/>
      <c r="GA189"/>
      <c r="GB189" s="942"/>
      <c r="GC189" s="965"/>
      <c r="GD189" s="965"/>
      <c r="GE189" s="965"/>
      <c r="GF189" s="965"/>
      <c r="GG189" s="965"/>
      <c r="GH189" s="965"/>
      <c r="GI189" s="965"/>
      <c r="GJ189" s="965"/>
      <c r="GK189" s="965"/>
      <c r="GL189" s="965"/>
      <c r="GM189" s="965"/>
      <c r="GN189" s="965"/>
      <c r="GO189" s="965"/>
      <c r="GP189" s="965"/>
      <c r="GQ189" s="965"/>
      <c r="GR189" s="965"/>
      <c r="GS189" s="965"/>
      <c r="GT189" s="965"/>
      <c r="GU189" s="965"/>
      <c r="GV189" s="965"/>
      <c r="GW189" s="965"/>
      <c r="GX189" s="965"/>
      <c r="GY189" s="965"/>
      <c r="GZ189" s="965"/>
      <c r="HA189" s="965"/>
      <c r="HB189" s="965"/>
      <c r="HC189" s="965"/>
      <c r="HD189" s="965"/>
      <c r="HE189" s="965"/>
      <c r="HF189" s="965"/>
      <c r="HG189" s="965"/>
      <c r="HH189" s="965"/>
      <c r="HI189" s="965"/>
      <c r="HJ189" s="965"/>
      <c r="HK189" s="965"/>
      <c r="HL189" s="965"/>
      <c r="HM189" s="965"/>
      <c r="HN189" s="965"/>
      <c r="HO189" s="965"/>
      <c r="HP189" s="965"/>
      <c r="HQ189" s="965"/>
      <c r="HR189" s="965"/>
      <c r="HS189" s="965"/>
      <c r="HT189" s="965"/>
      <c r="HU189" s="965"/>
      <c r="HV189" s="965"/>
      <c r="HW189" s="965"/>
      <c r="HX189" s="965"/>
      <c r="HY189" s="965"/>
      <c r="HZ189" s="965"/>
      <c r="IA189" s="965"/>
      <c r="IB189" s="965"/>
      <c r="IC189" s="965"/>
      <c r="ID189" s="965"/>
      <c r="IE189" s="965"/>
      <c r="IF189" s="965"/>
      <c r="IG189" s="965"/>
      <c r="IH189" s="965"/>
      <c r="II189" s="965"/>
      <c r="IJ189" s="965"/>
      <c r="IK189" s="965"/>
      <c r="IL189" s="965"/>
      <c r="IM189" s="965"/>
      <c r="IN189" s="965"/>
      <c r="IO189" s="965"/>
      <c r="IP189" s="965"/>
      <c r="IQ189" s="965"/>
      <c r="IR189" s="965"/>
      <c r="IS189" s="965"/>
      <c r="IT189" s="965"/>
      <c r="IU189" s="965"/>
      <c r="IV189" s="965"/>
      <c r="IW189" s="965"/>
      <c r="IX189" s="965"/>
      <c r="IY189" s="965"/>
      <c r="IZ189" s="965"/>
      <c r="JA189" s="965"/>
      <c r="JB189" s="965"/>
      <c r="JC189" s="965"/>
      <c r="JD189" s="965"/>
      <c r="JE189" s="965"/>
      <c r="JF189" s="965"/>
      <c r="JG189" s="965"/>
      <c r="JH189" s="965"/>
      <c r="JI189" s="965"/>
      <c r="JJ189" s="965"/>
      <c r="JK189" s="965"/>
      <c r="JL189" s="965"/>
    </row>
    <row r="190" spans="1:272" s="749" customFormat="1" ht="12.75" customHeight="1">
      <c r="A190" s="58" t="s">
        <v>85</v>
      </c>
      <c r="B190" s="1300"/>
      <c r="C190" s="1301"/>
      <c r="D190" s="1301"/>
      <c r="E190" s="1301"/>
      <c r="F190" s="741"/>
      <c r="G190" s="1257"/>
      <c r="H190" s="1301"/>
      <c r="I190" s="1301"/>
      <c r="J190" s="1301"/>
      <c r="K190" s="741"/>
      <c r="L190" s="1257"/>
      <c r="M190" s="1301"/>
      <c r="N190" s="1301"/>
      <c r="O190" s="1301"/>
      <c r="P190" s="741"/>
      <c r="Q190" s="1257"/>
      <c r="R190" s="1301"/>
      <c r="S190" s="1301"/>
      <c r="T190" s="1301"/>
      <c r="U190" s="741"/>
      <c r="V190" s="1257"/>
      <c r="W190" s="1301"/>
      <c r="X190" s="1302"/>
      <c r="Y190" s="1302"/>
      <c r="Z190" s="741"/>
      <c r="AA190" s="1236"/>
      <c r="AB190" s="1302"/>
      <c r="AC190" s="1302"/>
      <c r="AD190" s="1302"/>
      <c r="AE190" s="741"/>
      <c r="AF190" s="721"/>
      <c r="AG190" s="721"/>
      <c r="AH190" s="721"/>
      <c r="AI190" s="721"/>
      <c r="AJ190" s="741"/>
      <c r="AK190" s="721"/>
      <c r="AL190" s="721"/>
      <c r="AM190" s="721"/>
      <c r="AN190" s="721"/>
      <c r="AO190" s="741"/>
      <c r="AP190" s="721"/>
      <c r="AQ190" s="742"/>
      <c r="AR190" s="742"/>
      <c r="AS190" s="721"/>
      <c r="AT190" s="741"/>
      <c r="AU190" s="721"/>
      <c r="AV190" s="742"/>
      <c r="AW190" s="721"/>
      <c r="AX190" s="721"/>
      <c r="AY190" s="741"/>
      <c r="AZ190" s="721"/>
      <c r="BA190" s="742"/>
      <c r="BB190" s="721"/>
      <c r="BC190" s="721"/>
      <c r="BD190" s="741"/>
      <c r="BE190" s="721"/>
      <c r="BF190" s="742"/>
      <c r="BG190" s="721"/>
      <c r="BH190" s="721"/>
      <c r="BI190" s="741"/>
      <c r="BJ190" s="721"/>
      <c r="BK190" s="742"/>
      <c r="BL190" s="721"/>
      <c r="BM190" s="721"/>
      <c r="BN190" s="741"/>
      <c r="BO190" s="721"/>
      <c r="BP190" s="742"/>
      <c r="BQ190" s="721"/>
      <c r="BR190" s="721"/>
      <c r="BS190" s="741"/>
      <c r="BT190" s="721"/>
      <c r="BU190" s="742"/>
      <c r="BV190" s="721"/>
      <c r="BW190" s="721"/>
      <c r="BX190" s="741"/>
      <c r="BY190" s="721" t="str">
        <f>IF(ISERROR(BY189/BT189-1),"",BY189/BT189-1)</f>
        <v/>
      </c>
      <c r="BZ190" s="721" t="str">
        <f>IF(ISERROR(BZ189/BU189-1),"",BZ189/BU189-1)</f>
        <v/>
      </c>
      <c r="CA190" s="721" t="str">
        <f>IF(ISERROR(CA189/BV189-1),"",CA189/BV189-1)</f>
        <v/>
      </c>
      <c r="CB190" s="721" t="str">
        <f>IF(ISERROR(CB189/BW189-1),"",CB189/BW189-1)</f>
        <v/>
      </c>
      <c r="CC190" s="741">
        <f>IF(ISERROR(CC189/BX189-1),"",CC189/BX189-1)</f>
        <v>1.9585527097106148E-2</v>
      </c>
      <c r="CD190" s="721">
        <f t="shared" ref="CD190:EF190" si="530">CD189/BY189-1</f>
        <v>4.990083300277659E-2</v>
      </c>
      <c r="CE190" s="721">
        <f t="shared" si="530"/>
        <v>7.4608571880436347E-2</v>
      </c>
      <c r="CF190" s="721">
        <f t="shared" si="530"/>
        <v>0.10851071874172935</v>
      </c>
      <c r="CG190" s="721">
        <f t="shared" si="530"/>
        <v>0.18751917766186055</v>
      </c>
      <c r="CH190" s="741">
        <f t="shared" si="530"/>
        <v>0.24380963474175665</v>
      </c>
      <c r="CI190" s="721">
        <f t="shared" si="530"/>
        <v>0.33716185582590308</v>
      </c>
      <c r="CJ190" s="721">
        <f t="shared" si="530"/>
        <v>0.29640531292542049</v>
      </c>
      <c r="CK190" s="721">
        <f t="shared" si="530"/>
        <v>0.23967393158020389</v>
      </c>
      <c r="CL190" s="721">
        <f t="shared" si="530"/>
        <v>0.18707406091534473</v>
      </c>
      <c r="CM190" s="741">
        <f t="shared" si="530"/>
        <v>0.12162383624288875</v>
      </c>
      <c r="CN190" s="721">
        <f t="shared" si="530"/>
        <v>4.7214059674502762E-2</v>
      </c>
      <c r="CO190" s="721">
        <f t="shared" si="530"/>
        <v>5.19937562083157E-2</v>
      </c>
      <c r="CP190" s="721">
        <f t="shared" si="530"/>
        <v>0.18161558355802576</v>
      </c>
      <c r="CQ190" s="721">
        <f t="shared" si="530"/>
        <v>0.36231055968220249</v>
      </c>
      <c r="CR190" s="741">
        <f t="shared" si="530"/>
        <v>0.16294894451943276</v>
      </c>
      <c r="CS190" s="721">
        <f t="shared" si="530"/>
        <v>0.3821601057658579</v>
      </c>
      <c r="CT190" s="721">
        <f t="shared" si="530"/>
        <v>0.40235249683006447</v>
      </c>
      <c r="CU190" s="721">
        <f t="shared" si="530"/>
        <v>0.22960858732856759</v>
      </c>
      <c r="CV190" s="721">
        <f t="shared" si="530"/>
        <v>4.326030078491705E-2</v>
      </c>
      <c r="CW190" s="741">
        <f t="shared" si="530"/>
        <v>0.24592272623933575</v>
      </c>
      <c r="CX190" s="721">
        <f t="shared" si="530"/>
        <v>-2.1922033302750443E-2</v>
      </c>
      <c r="CY190" s="721">
        <f t="shared" si="530"/>
        <v>-6.0079644485485195E-2</v>
      </c>
      <c r="CZ190" s="721">
        <f t="shared" si="530"/>
        <v>-0.10259809119830332</v>
      </c>
      <c r="DA190" s="721">
        <f t="shared" si="530"/>
        <v>-0.11823489997128311</v>
      </c>
      <c r="DB190" s="741">
        <f t="shared" si="530"/>
        <v>-7.6062059726003772E-2</v>
      </c>
      <c r="DC190" s="721">
        <f t="shared" si="530"/>
        <v>-0.10134919367715145</v>
      </c>
      <c r="DD190" s="721">
        <f t="shared" si="530"/>
        <v>-1.8830079004461764E-2</v>
      </c>
      <c r="DE190" s="721">
        <f t="shared" si="530"/>
        <v>6.7060561299852273E-2</v>
      </c>
      <c r="DF190" s="721">
        <f t="shared" si="530"/>
        <v>6.3201545843374118E-2</v>
      </c>
      <c r="DG190" s="741">
        <f t="shared" si="530"/>
        <v>4.7294593344449076E-4</v>
      </c>
      <c r="DH190" s="721">
        <f t="shared" si="530"/>
        <v>0.1174432550082174</v>
      </c>
      <c r="DI190" s="721">
        <f t="shared" si="530"/>
        <v>5.4278442988860531E-2</v>
      </c>
      <c r="DJ190" s="721">
        <f t="shared" si="530"/>
        <v>4.8647365923113473E-3</v>
      </c>
      <c r="DK190" s="721">
        <f t="shared" si="530"/>
        <v>4.1025117418827861E-2</v>
      </c>
      <c r="DL190" s="741">
        <f t="shared" si="530"/>
        <v>5.2700751161026904E-2</v>
      </c>
      <c r="DM190" s="721">
        <f t="shared" si="530"/>
        <v>3.0369280915848451E-2</v>
      </c>
      <c r="DN190" s="721">
        <f t="shared" si="530"/>
        <v>5.74198654531064E-2</v>
      </c>
      <c r="DO190" s="721">
        <f t="shared" si="530"/>
        <v>9.0309757153540282E-2</v>
      </c>
      <c r="DP190" s="721">
        <f t="shared" si="530"/>
        <v>8.9232821357813963E-2</v>
      </c>
      <c r="DQ190" s="741">
        <f t="shared" si="530"/>
        <v>6.695386558893035E-2</v>
      </c>
      <c r="DR190" s="721">
        <f>DR189/DM189-1</f>
        <v>7.8816403688129366E-2</v>
      </c>
      <c r="DS190" s="721">
        <f t="shared" si="530"/>
        <v>7.097414018936421E-2</v>
      </c>
      <c r="DT190" s="721">
        <f t="shared" si="530"/>
        <v>6.3317870873418558E-2</v>
      </c>
      <c r="DU190" s="721">
        <f t="shared" si="530"/>
        <v>5.6710128223598888E-2</v>
      </c>
      <c r="DV190" s="741">
        <f t="shared" si="530"/>
        <v>6.7229378165252429E-2</v>
      </c>
      <c r="DW190" s="721">
        <f t="shared" si="530"/>
        <v>6.5852524674581581E-2</v>
      </c>
      <c r="DX190" s="721">
        <f t="shared" si="530"/>
        <v>6.3125709792958951E-2</v>
      </c>
      <c r="DY190" s="721">
        <f t="shared" si="530"/>
        <v>3.2880107280473858E-2</v>
      </c>
      <c r="DZ190" s="721">
        <f t="shared" si="530"/>
        <v>4.5571518652964604E-2</v>
      </c>
      <c r="EA190" s="741">
        <f t="shared" si="530"/>
        <v>5.1601076485042308E-2</v>
      </c>
      <c r="EB190" s="721">
        <f t="shared" si="530"/>
        <v>5.9049504286121657E-3</v>
      </c>
      <c r="EC190" s="721">
        <f t="shared" si="530"/>
        <v>-1.8455824349198013E-2</v>
      </c>
      <c r="ED190" s="721">
        <f t="shared" si="530"/>
        <v>-0.39028398632658423</v>
      </c>
      <c r="EE190" s="721">
        <f t="shared" si="530"/>
        <v>-0.13448843539632604</v>
      </c>
      <c r="EF190" s="741">
        <f t="shared" si="530"/>
        <v>-0.1350460318637754</v>
      </c>
      <c r="EG190" s="1303"/>
      <c r="EH190" s="711"/>
      <c r="EI190" s="711"/>
      <c r="EJ190" s="1304"/>
      <c r="EK190" s="741">
        <f>EK189/EF189-1</f>
        <v>-3.377039182802255E-2</v>
      </c>
      <c r="EL190" s="1303"/>
      <c r="EM190" s="711"/>
      <c r="EN190" s="711"/>
      <c r="EO190" s="1304"/>
      <c r="EP190" s="741">
        <f>EP189/EK189-1</f>
        <v>0.14842209072978307</v>
      </c>
      <c r="EQ190" s="1303"/>
      <c r="ER190" s="711"/>
      <c r="ES190" s="711"/>
      <c r="ET190" s="1304"/>
      <c r="EU190" s="741">
        <f>EU189/EP189-1</f>
        <v>2.6191498497209142E-2</v>
      </c>
      <c r="EV190" s="1303"/>
      <c r="EW190" s="711"/>
      <c r="EX190" s="711"/>
      <c r="EY190" s="1304"/>
      <c r="EZ190" s="2392">
        <v>0.04</v>
      </c>
      <c r="FA190" s="2394"/>
      <c r="FB190" s="2395"/>
      <c r="FC190" s="2395"/>
      <c r="FD190" s="2396"/>
      <c r="FE190" s="2392">
        <v>0.04</v>
      </c>
      <c r="FF190" s="1009"/>
      <c r="FG190" s="690"/>
      <c r="FH190" s="754"/>
      <c r="FI190" s="754"/>
      <c r="FJ190" s="754"/>
      <c r="FK190" s="754"/>
      <c r="FL190" s="690"/>
      <c r="FM190" s="1091"/>
      <c r="FN190" s="1091"/>
      <c r="FO190" s="1306"/>
      <c r="FP190" s="1306"/>
      <c r="FQ190" s="1306"/>
      <c r="FR190" s="1306"/>
      <c r="FS190" s="1306"/>
      <c r="FT190" s="1306"/>
      <c r="FU190" s="690"/>
      <c r="FV190"/>
      <c r="FW190"/>
      <c r="FX190"/>
      <c r="FY190"/>
      <c r="FZ190"/>
      <c r="GA190"/>
      <c r="GC190" s="532"/>
      <c r="GD190" s="532"/>
      <c r="GE190" s="532"/>
      <c r="GF190" s="532"/>
      <c r="GG190" s="532"/>
      <c r="GH190" s="532"/>
      <c r="GI190" s="532"/>
      <c r="GJ190" s="532"/>
      <c r="GK190" s="532"/>
      <c r="GL190" s="532"/>
      <c r="GM190" s="532"/>
      <c r="GN190" s="532"/>
      <c r="GO190" s="532"/>
      <c r="GP190" s="532"/>
      <c r="GQ190" s="532"/>
      <c r="GR190" s="532"/>
      <c r="GS190" s="532"/>
      <c r="GT190" s="532"/>
      <c r="GU190" s="532"/>
      <c r="GV190" s="532"/>
      <c r="GW190" s="532"/>
      <c r="GX190" s="532"/>
      <c r="GY190" s="532"/>
      <c r="GZ190" s="532"/>
      <c r="HA190" s="532"/>
      <c r="HB190" s="532"/>
      <c r="HC190" s="532"/>
      <c r="HD190" s="532"/>
      <c r="HE190" s="532"/>
      <c r="HF190" s="532"/>
      <c r="HG190" s="532"/>
      <c r="HH190" s="532"/>
      <c r="HI190" s="532"/>
      <c r="HJ190" s="532"/>
      <c r="HK190" s="532"/>
      <c r="HL190" s="532"/>
      <c r="HM190" s="532"/>
      <c r="HN190" s="532"/>
      <c r="HO190" s="532"/>
      <c r="HP190" s="532"/>
      <c r="HQ190" s="532"/>
      <c r="HR190" s="532"/>
      <c r="HS190" s="532"/>
      <c r="HT190" s="532"/>
      <c r="HU190" s="532"/>
      <c r="HV190" s="532"/>
      <c r="HW190" s="532"/>
      <c r="HX190" s="532"/>
      <c r="HY190" s="532"/>
      <c r="HZ190" s="532"/>
      <c r="IA190" s="532"/>
      <c r="IB190" s="532"/>
      <c r="IC190" s="532"/>
      <c r="ID190" s="532"/>
      <c r="IE190" s="532"/>
      <c r="IF190" s="532"/>
      <c r="IG190" s="532"/>
      <c r="IH190" s="532"/>
      <c r="II190" s="532"/>
      <c r="IJ190" s="532"/>
      <c r="IK190" s="532"/>
      <c r="IL190" s="532"/>
      <c r="IM190" s="532"/>
      <c r="IN190" s="532"/>
      <c r="IO190" s="532"/>
      <c r="IP190" s="532"/>
      <c r="IQ190" s="532"/>
      <c r="IR190" s="532"/>
      <c r="IS190" s="532"/>
      <c r="IT190" s="532"/>
      <c r="IU190" s="532"/>
      <c r="IV190" s="532"/>
      <c r="IW190" s="532"/>
      <c r="IX190" s="532"/>
      <c r="IY190" s="532"/>
      <c r="IZ190" s="532"/>
      <c r="JA190" s="532"/>
      <c r="JB190" s="532"/>
      <c r="JC190" s="532"/>
      <c r="JD190" s="532"/>
      <c r="JE190" s="532"/>
      <c r="JF190" s="532"/>
      <c r="JG190" s="532"/>
      <c r="JH190" s="532"/>
      <c r="JI190" s="532"/>
      <c r="JJ190" s="532"/>
      <c r="JK190" s="532"/>
      <c r="JL190" s="532"/>
    </row>
    <row r="191" spans="1:272" s="749" customFormat="1" ht="12.75" customHeight="1">
      <c r="A191" s="58" t="s">
        <v>371</v>
      </c>
      <c r="B191" s="1300"/>
      <c r="C191" s="1301"/>
      <c r="D191" s="1301"/>
      <c r="E191" s="1301"/>
      <c r="F191" s="741"/>
      <c r="G191" s="1257"/>
      <c r="H191" s="1301"/>
      <c r="I191" s="1301"/>
      <c r="J191" s="1301"/>
      <c r="K191" s="741"/>
      <c r="L191" s="1257"/>
      <c r="M191" s="1301"/>
      <c r="N191" s="1301"/>
      <c r="O191" s="1301"/>
      <c r="P191" s="741"/>
      <c r="Q191" s="1257"/>
      <c r="R191" s="1301"/>
      <c r="S191" s="1301"/>
      <c r="T191" s="1301"/>
      <c r="U191" s="741"/>
      <c r="V191" s="1257"/>
      <c r="W191" s="1301"/>
      <c r="X191" s="1302"/>
      <c r="Y191" s="1302"/>
      <c r="Z191" s="741"/>
      <c r="AA191" s="1236"/>
      <c r="AB191" s="1302"/>
      <c r="AC191" s="1302"/>
      <c r="AD191" s="1302"/>
      <c r="AE191" s="741"/>
      <c r="AF191" s="721"/>
      <c r="AG191" s="721"/>
      <c r="AH191" s="721"/>
      <c r="AI191" s="721"/>
      <c r="AJ191" s="741"/>
      <c r="AK191" s="721"/>
      <c r="AL191" s="721"/>
      <c r="AM191" s="721"/>
      <c r="AN191" s="721"/>
      <c r="AO191" s="741"/>
      <c r="AP191" s="721"/>
      <c r="AQ191" s="742"/>
      <c r="AR191" s="742"/>
      <c r="AS191" s="721"/>
      <c r="AT191" s="741"/>
      <c r="AU191" s="721"/>
      <c r="AV191" s="742"/>
      <c r="AW191" s="721"/>
      <c r="AX191" s="721"/>
      <c r="AY191" s="741"/>
      <c r="AZ191" s="721"/>
      <c r="BA191" s="742"/>
      <c r="BB191" s="721"/>
      <c r="BC191" s="721"/>
      <c r="BD191" s="741"/>
      <c r="BE191" s="721"/>
      <c r="BF191" s="742"/>
      <c r="BG191" s="721"/>
      <c r="BH191" s="721"/>
      <c r="BI191" s="741"/>
      <c r="BJ191" s="721"/>
      <c r="BK191" s="742"/>
      <c r="BL191" s="721"/>
      <c r="BM191" s="721"/>
      <c r="BN191" s="741"/>
      <c r="BO191" s="721"/>
      <c r="BP191" s="721"/>
      <c r="BQ191" s="721"/>
      <c r="BR191" s="721"/>
      <c r="BS191" s="741"/>
      <c r="BT191" s="721"/>
      <c r="BU191" s="721"/>
      <c r="BV191" s="721"/>
      <c r="BW191" s="721"/>
      <c r="BX191" s="741"/>
      <c r="BY191" s="721">
        <f t="shared" ref="BY191:EF191" si="531">BY189/BY120</f>
        <v>3.0149732108687332E-2</v>
      </c>
      <c r="BZ191" s="721">
        <f t="shared" si="531"/>
        <v>2.7758784373336554E-2</v>
      </c>
      <c r="CA191" s="721">
        <f t="shared" si="531"/>
        <v>2.758719238335235E-2</v>
      </c>
      <c r="CB191" s="721">
        <f t="shared" si="531"/>
        <v>2.7371402595411983E-2</v>
      </c>
      <c r="CC191" s="741">
        <f t="shared" si="531"/>
        <v>2.815940899216195E-2</v>
      </c>
      <c r="CD191" s="721">
        <f t="shared" si="531"/>
        <v>2.8290018651232641E-2</v>
      </c>
      <c r="CE191" s="721">
        <f t="shared" si="531"/>
        <v>2.6605257619436842E-2</v>
      </c>
      <c r="CF191" s="721">
        <f t="shared" si="531"/>
        <v>2.7035650099542907E-2</v>
      </c>
      <c r="CG191" s="721">
        <f t="shared" si="531"/>
        <v>2.8828874127293628E-2</v>
      </c>
      <c r="CH191" s="741">
        <f t="shared" si="531"/>
        <v>3.113562503416898E-2</v>
      </c>
      <c r="CI191" s="721">
        <f t="shared" si="531"/>
        <v>3.3835822836121118E-2</v>
      </c>
      <c r="CJ191" s="721">
        <f t="shared" si="531"/>
        <v>3.2030304021991682E-2</v>
      </c>
      <c r="CK191" s="721">
        <f t="shared" si="531"/>
        <v>3.3753495287456338E-2</v>
      </c>
      <c r="CL191" s="721">
        <f t="shared" si="531"/>
        <v>3.6803531248404055E-2</v>
      </c>
      <c r="CM191" s="741">
        <f t="shared" si="531"/>
        <v>3.4046369541662895E-2</v>
      </c>
      <c r="CN191" s="721">
        <f t="shared" si="531"/>
        <v>3.698197249825632E-2</v>
      </c>
      <c r="CO191" s="721">
        <f t="shared" si="531"/>
        <v>3.4522131995674832E-2</v>
      </c>
      <c r="CP191" s="721">
        <f t="shared" si="531"/>
        <v>3.864597365411282E-2</v>
      </c>
      <c r="CQ191" s="721">
        <f t="shared" si="531"/>
        <v>4.1718534664486953E-2</v>
      </c>
      <c r="CR191" s="741">
        <f t="shared" si="531"/>
        <v>3.8097144001989346E-2</v>
      </c>
      <c r="CS191" s="721">
        <f t="shared" si="531"/>
        <v>4.2632997692207179E-2</v>
      </c>
      <c r="CT191" s="721">
        <f t="shared" si="531"/>
        <v>3.8800912154722943E-2</v>
      </c>
      <c r="CU191" s="721">
        <f t="shared" si="531"/>
        <v>3.8541231045221433E-2</v>
      </c>
      <c r="CV191" s="721">
        <f t="shared" si="531"/>
        <v>4.641535052097865E-2</v>
      </c>
      <c r="CW191" s="741">
        <f t="shared" si="531"/>
        <v>4.1345754670062462E-2</v>
      </c>
      <c r="CX191" s="721">
        <f t="shared" si="531"/>
        <v>5.2032749976114616E-2</v>
      </c>
      <c r="CY191" s="721">
        <f t="shared" si="531"/>
        <v>4.6252460161710363E-2</v>
      </c>
      <c r="CZ191" s="721">
        <f t="shared" si="531"/>
        <v>4.1810733862636E-2</v>
      </c>
      <c r="DA191" s="721">
        <f t="shared" si="531"/>
        <v>4.1251803574099494E-2</v>
      </c>
      <c r="DB191" s="741">
        <f t="shared" si="531"/>
        <v>4.506915635315803E-2</v>
      </c>
      <c r="DC191" s="721">
        <f t="shared" si="531"/>
        <v>3.8751677193864249E-2</v>
      </c>
      <c r="DD191" s="721">
        <f t="shared" si="531"/>
        <v>3.6698582138512695E-2</v>
      </c>
      <c r="DE191" s="721">
        <f t="shared" si="531"/>
        <v>3.9811940385697464E-2</v>
      </c>
      <c r="DF191" s="721">
        <f t="shared" si="531"/>
        <v>4.0349592095863453E-2</v>
      </c>
      <c r="DG191" s="741">
        <f t="shared" si="531"/>
        <v>3.8873675135809575E-2</v>
      </c>
      <c r="DH191" s="721">
        <f t="shared" si="531"/>
        <v>4.0392509154024432E-2</v>
      </c>
      <c r="DI191" s="721">
        <f t="shared" si="531"/>
        <v>3.7477318213872839E-2</v>
      </c>
      <c r="DJ191" s="721">
        <f t="shared" si="531"/>
        <v>3.6900647689370535E-2</v>
      </c>
      <c r="DK191" s="721">
        <f t="shared" si="531"/>
        <v>3.86585859688875E-2</v>
      </c>
      <c r="DL191" s="741">
        <f t="shared" si="531"/>
        <v>3.8308119040674118E-2</v>
      </c>
      <c r="DM191" s="721">
        <f t="shared" si="531"/>
        <v>3.7947211199851262E-2</v>
      </c>
      <c r="DN191" s="721">
        <f t="shared" si="531"/>
        <v>3.6956052710193511E-2</v>
      </c>
      <c r="DO191" s="721">
        <f t="shared" si="531"/>
        <v>3.9457650488244185E-2</v>
      </c>
      <c r="DP191" s="721">
        <f>DP189/DP120</f>
        <v>4.071337863559444E-2</v>
      </c>
      <c r="DQ191" s="741">
        <f t="shared" si="531"/>
        <v>3.8746499706285346E-2</v>
      </c>
      <c r="DR191" s="721">
        <f t="shared" si="531"/>
        <v>4.1857137297517368E-2</v>
      </c>
      <c r="DS191" s="721">
        <f t="shared" si="531"/>
        <v>4.1433504419525556E-2</v>
      </c>
      <c r="DT191" s="721">
        <f t="shared" si="531"/>
        <v>4.2138851991493691E-2</v>
      </c>
      <c r="DU191" s="721">
        <f t="shared" si="531"/>
        <v>4.3214727342224681E-2</v>
      </c>
      <c r="DV191" s="741">
        <f t="shared" si="531"/>
        <v>4.2158960608445727E-2</v>
      </c>
      <c r="DW191" s="721">
        <f t="shared" si="531"/>
        <v>4.3548456616281046E-2</v>
      </c>
      <c r="DX191" s="721">
        <f t="shared" si="531"/>
        <v>4.077330436781209E-2</v>
      </c>
      <c r="DY191" s="721">
        <f t="shared" si="531"/>
        <v>4.0453412226174247E-2</v>
      </c>
      <c r="DZ191" s="721">
        <f t="shared" si="531"/>
        <v>4.2583362427441145E-2</v>
      </c>
      <c r="EA191" s="741">
        <f t="shared" si="531"/>
        <v>4.179385398278939E-2</v>
      </c>
      <c r="EB191" s="721">
        <f t="shared" si="531"/>
        <v>4.3691085380612942E-2</v>
      </c>
      <c r="EC191" s="721">
        <f>EC189/EC120</f>
        <v>4.1844331380481097E-2</v>
      </c>
      <c r="ED191" s="721">
        <f t="shared" si="531"/>
        <v>2.6343369849551667E-2</v>
      </c>
      <c r="EE191" s="721">
        <f t="shared" si="531"/>
        <v>3.9426980478313216E-2</v>
      </c>
      <c r="EF191" s="741">
        <f t="shared" si="531"/>
        <v>3.7784553801249725E-2</v>
      </c>
      <c r="EG191" s="1303"/>
      <c r="EH191" s="711"/>
      <c r="EI191" s="711"/>
      <c r="EJ191" s="1304"/>
      <c r="EK191" s="881">
        <f>EK189/EK120</f>
        <v>5.886279859518765E-2</v>
      </c>
      <c r="EL191" s="1303"/>
      <c r="EM191" s="711"/>
      <c r="EN191" s="711"/>
      <c r="EO191" s="1304"/>
      <c r="EP191" s="881">
        <f>EP189/EP120</f>
        <v>6.3962429968142373E-2</v>
      </c>
      <c r="EQ191" s="1303"/>
      <c r="ER191" s="711"/>
      <c r="ES191" s="711"/>
      <c r="ET191" s="1304"/>
      <c r="EU191" s="881">
        <f>EU189/EU120</f>
        <v>6.2272531470127415E-2</v>
      </c>
      <c r="EV191" s="1303"/>
      <c r="EW191" s="711"/>
      <c r="EX191" s="711"/>
      <c r="EY191" s="1304"/>
      <c r="EZ191" s="881">
        <f>EZ189/EZ120</f>
        <v>6.1124304008015523E-2</v>
      </c>
      <c r="FA191" s="1303"/>
      <c r="FB191" s="711"/>
      <c r="FC191" s="711"/>
      <c r="FD191" s="1304"/>
      <c r="FE191" s="881">
        <f>FE189/FE120</f>
        <v>6.0076956161756942E-2</v>
      </c>
      <c r="FF191" s="1009"/>
      <c r="FG191" s="690"/>
      <c r="FH191" s="754"/>
      <c r="FI191" s="754"/>
      <c r="FJ191" s="754"/>
      <c r="FK191" s="754"/>
      <c r="FL191" s="690"/>
      <c r="FM191" s="1091"/>
      <c r="FN191" s="1091"/>
      <c r="FO191" s="1306"/>
      <c r="FP191" s="1306"/>
      <c r="FQ191" s="1306"/>
      <c r="FR191" s="1306"/>
      <c r="FS191" s="1306"/>
      <c r="FT191" s="1306"/>
      <c r="FU191" s="690"/>
      <c r="FV191"/>
      <c r="FW191"/>
      <c r="FX191"/>
      <c r="FY191"/>
      <c r="FZ191"/>
      <c r="GA191"/>
      <c r="GC191" s="532"/>
      <c r="GD191" s="532"/>
      <c r="GE191" s="532"/>
      <c r="GF191" s="532"/>
      <c r="GG191" s="532"/>
      <c r="GH191" s="532"/>
      <c r="GI191" s="532"/>
      <c r="GJ191" s="532"/>
      <c r="GK191" s="532"/>
      <c r="GL191" s="532"/>
      <c r="GM191" s="532"/>
      <c r="GN191" s="532"/>
      <c r="GO191" s="532"/>
      <c r="GP191" s="532"/>
      <c r="GQ191" s="532"/>
      <c r="GR191" s="532"/>
      <c r="GS191" s="532"/>
      <c r="GT191" s="532"/>
      <c r="GU191" s="532"/>
      <c r="GV191" s="532"/>
      <c r="GW191" s="532"/>
      <c r="GX191" s="532"/>
      <c r="GY191" s="532"/>
      <c r="GZ191" s="532"/>
      <c r="HA191" s="532"/>
      <c r="HB191" s="532"/>
      <c r="HC191" s="532"/>
      <c r="HD191" s="532"/>
      <c r="HE191" s="532"/>
      <c r="HF191" s="532"/>
      <c r="HG191" s="532"/>
      <c r="HH191" s="532"/>
      <c r="HI191" s="532"/>
      <c r="HJ191" s="532"/>
      <c r="HK191" s="532"/>
      <c r="HL191" s="532"/>
      <c r="HM191" s="532"/>
      <c r="HN191" s="532"/>
      <c r="HO191" s="532"/>
      <c r="HP191" s="532"/>
      <c r="HQ191" s="532"/>
      <c r="HR191" s="532"/>
      <c r="HS191" s="532"/>
      <c r="HT191" s="532"/>
      <c r="HU191" s="532"/>
      <c r="HV191" s="532"/>
      <c r="HW191" s="532"/>
      <c r="HX191" s="532"/>
      <c r="HY191" s="532"/>
      <c r="HZ191" s="532"/>
      <c r="IA191" s="532"/>
      <c r="IB191" s="532"/>
      <c r="IC191" s="532"/>
      <c r="ID191" s="532"/>
      <c r="IE191" s="532"/>
      <c r="IF191" s="532"/>
      <c r="IG191" s="532"/>
      <c r="IH191" s="532"/>
      <c r="II191" s="532"/>
      <c r="IJ191" s="532"/>
      <c r="IK191" s="532"/>
      <c r="IL191" s="532"/>
      <c r="IM191" s="532"/>
      <c r="IN191" s="532"/>
      <c r="IO191" s="532"/>
      <c r="IP191" s="532"/>
      <c r="IQ191" s="532"/>
      <c r="IR191" s="532"/>
      <c r="IS191" s="532"/>
      <c r="IT191" s="532"/>
      <c r="IU191" s="532"/>
      <c r="IV191" s="532"/>
      <c r="IW191" s="532"/>
      <c r="IX191" s="532"/>
      <c r="IY191" s="532"/>
      <c r="IZ191" s="532"/>
      <c r="JA191" s="532"/>
      <c r="JB191" s="532"/>
      <c r="JC191" s="532"/>
      <c r="JD191" s="532"/>
      <c r="JE191" s="532"/>
      <c r="JF191" s="532"/>
      <c r="JG191" s="532"/>
      <c r="JH191" s="532"/>
      <c r="JI191" s="532"/>
      <c r="JJ191" s="532"/>
      <c r="JK191" s="532"/>
      <c r="JL191" s="532"/>
    </row>
    <row r="192" spans="1:272" s="799" customFormat="1" ht="12.75" hidden="1" customHeight="1" outlineLevel="1">
      <c r="A192" s="1429" t="s">
        <v>386</v>
      </c>
      <c r="AK192" s="1430"/>
      <c r="AL192" s="1264"/>
      <c r="AM192" s="1264"/>
      <c r="AN192" s="1264"/>
      <c r="AO192" s="1431"/>
      <c r="AP192" s="1264"/>
      <c r="AQ192" s="1264"/>
      <c r="AR192" s="1264"/>
      <c r="AS192" s="1264"/>
      <c r="AT192" s="1431"/>
      <c r="AU192" s="1264"/>
      <c r="AV192" s="1264"/>
      <c r="AW192" s="1264"/>
      <c r="AX192" s="1264"/>
      <c r="AY192" s="1431"/>
      <c r="AZ192" s="1264"/>
      <c r="BA192" s="1264"/>
      <c r="BB192" s="1264"/>
      <c r="BC192" s="1264"/>
      <c r="BD192" s="1431"/>
      <c r="BE192" s="1264"/>
      <c r="BF192" s="1264"/>
      <c r="BG192" s="1264"/>
      <c r="BH192" s="1431"/>
      <c r="BI192" s="1431"/>
      <c r="BJ192" s="1264"/>
      <c r="BK192" s="1264"/>
      <c r="BL192" s="1264"/>
      <c r="BM192" s="1264"/>
      <c r="BN192" s="1431"/>
      <c r="BO192" s="1264"/>
      <c r="BP192" s="1264"/>
      <c r="BQ192" s="1264"/>
      <c r="BR192" s="1264"/>
      <c r="BS192" s="1431"/>
      <c r="BT192" s="1264"/>
      <c r="BU192" s="1264"/>
      <c r="BV192" s="1264"/>
      <c r="BW192" s="1264"/>
      <c r="BX192" s="1431"/>
      <c r="BY192" s="1264"/>
      <c r="BZ192" s="1264"/>
      <c r="CA192" s="1264"/>
      <c r="CB192" s="1264"/>
      <c r="CC192" s="1431">
        <f>-CC189/CC262</f>
        <v>0.69416425784803215</v>
      </c>
      <c r="CD192" s="1264"/>
      <c r="CE192" s="1264"/>
      <c r="CF192" s="1264"/>
      <c r="CG192" s="1264"/>
      <c r="CH192" s="1431">
        <f>-CH189/CH262</f>
        <v>0.62219772856386768</v>
      </c>
      <c r="CI192" s="1264"/>
      <c r="CJ192" s="1264"/>
      <c r="CK192" s="1264"/>
      <c r="CL192" s="1264"/>
      <c r="CM192" s="1431">
        <f>-CM189/CM262</f>
        <v>0.493745984960133</v>
      </c>
      <c r="CN192" s="1264"/>
      <c r="CO192" s="1264"/>
      <c r="CP192" s="1264"/>
      <c r="CQ192" s="1264"/>
      <c r="CR192" s="1431">
        <f>-CR189/CR262</f>
        <v>1.3501837715578173</v>
      </c>
      <c r="CS192" s="1264"/>
      <c r="CT192" s="1264"/>
      <c r="CU192" s="1264"/>
      <c r="CV192" s="1264"/>
      <c r="CW192" s="1431">
        <f>-CW189/CW262</f>
        <v>1.0655277214956715</v>
      </c>
      <c r="CX192" s="1264"/>
      <c r="CY192" s="1264"/>
      <c r="CZ192" s="1264"/>
      <c r="DA192" s="1264"/>
      <c r="DB192" s="1431">
        <f>-DB189/DB262</f>
        <v>4.6824442713910255</v>
      </c>
      <c r="DC192" s="1264"/>
      <c r="DD192" s="1264"/>
      <c r="DE192" s="1264"/>
      <c r="DF192" s="1264"/>
      <c r="DG192" s="1431">
        <f>-DG189/DG262</f>
        <v>1.1900175564402462</v>
      </c>
      <c r="DH192" s="1264"/>
      <c r="DI192" s="1264"/>
      <c r="DJ192" s="1264"/>
      <c r="DK192" s="1264"/>
      <c r="DL192" s="1431">
        <f>-DL189/DL262</f>
        <v>0.71242195410057374</v>
      </c>
      <c r="DM192" s="1264"/>
      <c r="DN192" s="1264"/>
      <c r="DO192" s="1264"/>
      <c r="DP192" s="1264"/>
      <c r="DQ192" s="1431">
        <f>-DQ189/DQ262</f>
        <v>0.76874257798889256</v>
      </c>
      <c r="DR192" s="1264"/>
      <c r="DS192" s="1264"/>
      <c r="DT192" s="1264"/>
      <c r="DU192" s="1264"/>
      <c r="DV192" s="1431">
        <f>-DV189/DV262</f>
        <v>0.83867063556965749</v>
      </c>
      <c r="DW192" s="1264"/>
      <c r="DX192" s="1264"/>
      <c r="DY192" s="1264"/>
      <c r="DZ192" s="1264"/>
      <c r="EA192" s="1431">
        <f>-EA189/EA262</f>
        <v>0.95196585354371499</v>
      </c>
      <c r="EB192" s="1264"/>
      <c r="EC192" s="1264"/>
      <c r="ED192" s="1264"/>
      <c r="EE192" s="1264"/>
      <c r="EF192" s="1431">
        <f>-EF189/EF262</f>
        <v>0.71148474576271192</v>
      </c>
      <c r="EG192" s="1432"/>
      <c r="EH192" s="1264"/>
      <c r="EI192" s="1264"/>
      <c r="EJ192" s="1433"/>
      <c r="EK192" s="1431">
        <f>-EK189/EK262</f>
        <v>0.73745454545454547</v>
      </c>
      <c r="EL192" s="1432"/>
      <c r="EM192" s="1264"/>
      <c r="EN192" s="1264"/>
      <c r="EO192" s="1433"/>
      <c r="EP192" s="1431">
        <f>-EP189/EP262</f>
        <v>0.84690909090909094</v>
      </c>
      <c r="EQ192" s="1432"/>
      <c r="ER192" s="1264"/>
      <c r="ES192" s="1264"/>
      <c r="ET192" s="1433"/>
      <c r="EU192" s="1431">
        <f>-EU189/EU262</f>
        <v>0.86909090909090914</v>
      </c>
      <c r="EV192" s="1432"/>
      <c r="EW192" s="1264"/>
      <c r="EX192" s="1264"/>
      <c r="EY192" s="1433"/>
      <c r="EZ192" s="1431">
        <f>-EZ189/EZ262</f>
        <v>0.90385454545454547</v>
      </c>
      <c r="FA192" s="1432"/>
      <c r="FB192" s="1264"/>
      <c r="FC192" s="1264"/>
      <c r="FD192" s="1433"/>
      <c r="FE192" s="1431">
        <f>-FE189/FE262</f>
        <v>0.94000872727272733</v>
      </c>
      <c r="FF192" s="950"/>
      <c r="FG192" s="690"/>
      <c r="FH192" s="1434"/>
      <c r="FI192" s="1434"/>
      <c r="FJ192" s="1434"/>
      <c r="FK192" s="1434"/>
      <c r="FL192" s="690"/>
      <c r="FM192" s="796"/>
      <c r="FN192" s="796"/>
      <c r="FO192" s="797"/>
      <c r="FP192" s="797"/>
      <c r="FQ192" s="797"/>
      <c r="FR192" s="797"/>
      <c r="FS192" s="797"/>
      <c r="FT192" s="797"/>
      <c r="FU192" s="690"/>
      <c r="FV192"/>
      <c r="FW192"/>
      <c r="FX192"/>
      <c r="FY192"/>
      <c r="FZ192"/>
      <c r="GA192"/>
      <c r="GC192" s="950"/>
      <c r="GD192" s="950"/>
      <c r="GE192" s="950"/>
      <c r="GF192" s="950"/>
      <c r="GG192" s="950"/>
      <c r="GH192" s="950"/>
      <c r="GI192" s="950"/>
      <c r="GJ192" s="950"/>
      <c r="GK192" s="950"/>
      <c r="GL192" s="950"/>
      <c r="GM192" s="950"/>
      <c r="GN192" s="950"/>
      <c r="GO192" s="950"/>
      <c r="GP192" s="950"/>
      <c r="GQ192" s="950"/>
      <c r="GR192" s="950"/>
      <c r="GS192" s="950"/>
      <c r="GT192" s="950"/>
      <c r="GU192" s="950"/>
      <c r="GV192" s="950"/>
      <c r="GW192" s="950"/>
      <c r="GX192" s="950"/>
      <c r="GY192" s="950"/>
      <c r="GZ192" s="950"/>
      <c r="HA192" s="950"/>
      <c r="HB192" s="950"/>
      <c r="HC192" s="950"/>
      <c r="HD192" s="950"/>
      <c r="HE192" s="950"/>
      <c r="HF192" s="950"/>
      <c r="HG192" s="950"/>
      <c r="HH192" s="950"/>
      <c r="HI192" s="950"/>
      <c r="HJ192" s="950"/>
      <c r="HK192" s="950"/>
      <c r="HL192" s="950"/>
      <c r="HM192" s="950"/>
      <c r="HN192" s="950"/>
      <c r="HO192" s="950"/>
      <c r="HP192" s="950"/>
      <c r="HQ192" s="950"/>
      <c r="HR192" s="950"/>
      <c r="HS192" s="950"/>
      <c r="HT192" s="950"/>
      <c r="HU192" s="950"/>
      <c r="HV192" s="950"/>
      <c r="HW192" s="950"/>
      <c r="HX192" s="950"/>
      <c r="HY192" s="950"/>
      <c r="HZ192" s="950"/>
      <c r="IA192" s="950"/>
      <c r="IB192" s="950"/>
      <c r="IC192" s="950"/>
      <c r="ID192" s="950"/>
      <c r="IE192" s="950"/>
      <c r="IF192" s="950"/>
      <c r="IG192" s="950"/>
      <c r="IH192" s="950"/>
      <c r="II192" s="950"/>
      <c r="IJ192" s="950"/>
      <c r="IK192" s="950"/>
      <c r="IL192" s="950"/>
      <c r="IM192" s="950"/>
      <c r="IN192" s="950"/>
      <c r="IO192" s="950"/>
      <c r="IP192" s="950"/>
      <c r="IQ192" s="950"/>
      <c r="IR192" s="950"/>
      <c r="IS192" s="950"/>
      <c r="IT192" s="950"/>
      <c r="IU192" s="950"/>
      <c r="IV192" s="950"/>
      <c r="IW192" s="950"/>
      <c r="IX192" s="950"/>
      <c r="IY192" s="950"/>
      <c r="IZ192" s="950"/>
      <c r="JA192" s="950"/>
      <c r="JB192" s="950"/>
      <c r="JC192" s="950"/>
      <c r="JD192" s="950"/>
      <c r="JE192" s="950"/>
      <c r="JF192" s="950"/>
      <c r="JG192" s="950"/>
      <c r="JH192" s="950"/>
      <c r="JI192" s="950"/>
      <c r="JJ192" s="950"/>
      <c r="JK192" s="950"/>
      <c r="JL192" s="950"/>
    </row>
    <row r="193" spans="1:272" s="1436" customFormat="1" ht="12.75" hidden="1" customHeight="1" outlineLevel="1">
      <c r="A193" s="58" t="s">
        <v>387</v>
      </c>
      <c r="B193" s="799"/>
      <c r="C193" s="799"/>
      <c r="D193" s="799"/>
      <c r="E193" s="799"/>
      <c r="F193" s="799"/>
      <c r="G193" s="799"/>
      <c r="H193" s="799"/>
      <c r="I193" s="799"/>
      <c r="J193" s="799"/>
      <c r="K193" s="799"/>
      <c r="L193" s="799"/>
      <c r="M193" s="799"/>
      <c r="N193" s="799"/>
      <c r="O193" s="799"/>
      <c r="P193" s="799"/>
      <c r="Q193" s="799"/>
      <c r="R193" s="799"/>
      <c r="S193" s="799"/>
      <c r="T193" s="799"/>
      <c r="U193" s="799"/>
      <c r="V193" s="799"/>
      <c r="W193" s="799"/>
      <c r="X193" s="799"/>
      <c r="Y193" s="799"/>
      <c r="Z193" s="799"/>
      <c r="AA193" s="799"/>
      <c r="AB193" s="799"/>
      <c r="AC193" s="799"/>
      <c r="AD193" s="799"/>
      <c r="AE193" s="799"/>
      <c r="AF193" s="799"/>
      <c r="AG193" s="799"/>
      <c r="AH193" s="799"/>
      <c r="AI193" s="799"/>
      <c r="AJ193" s="799"/>
      <c r="AK193" s="1430"/>
      <c r="AL193" s="1264"/>
      <c r="AM193" s="1264"/>
      <c r="AN193" s="1264"/>
      <c r="AO193" s="1431"/>
      <c r="AP193" s="1264"/>
      <c r="AQ193" s="1264"/>
      <c r="AR193" s="1264"/>
      <c r="AS193" s="1264"/>
      <c r="AT193" s="1431"/>
      <c r="AU193" s="1264"/>
      <c r="AV193" s="1264"/>
      <c r="AW193" s="1264"/>
      <c r="AX193" s="1264"/>
      <c r="AY193" s="1431"/>
      <c r="AZ193" s="1264"/>
      <c r="BA193" s="1264"/>
      <c r="BB193" s="1264"/>
      <c r="BC193" s="1264"/>
      <c r="BD193" s="1431"/>
      <c r="BE193" s="1264"/>
      <c r="BF193" s="1264"/>
      <c r="BG193" s="1264"/>
      <c r="BH193" s="1264"/>
      <c r="BI193" s="1431"/>
      <c r="BJ193" s="1111"/>
      <c r="BK193" s="1111"/>
      <c r="BL193" s="1111"/>
      <c r="BM193" s="1111"/>
      <c r="BN193" s="1431"/>
      <c r="BO193" s="1111"/>
      <c r="BP193" s="1111"/>
      <c r="BQ193" s="1111"/>
      <c r="BR193" s="1111"/>
      <c r="BS193" s="1431"/>
      <c r="BT193" s="1111"/>
      <c r="BU193" s="1111"/>
      <c r="BV193" s="1111"/>
      <c r="BW193" s="1111"/>
      <c r="BX193" s="1431"/>
      <c r="BY193" s="1111"/>
      <c r="BZ193" s="1111"/>
      <c r="CA193" s="1111"/>
      <c r="CB193" s="1111"/>
      <c r="CC193" s="1431"/>
      <c r="CD193" s="1111">
        <f>CD189*4/CC284</f>
        <v>0.12320425079801375</v>
      </c>
      <c r="CE193" s="1111">
        <f>CE189*4/CC284</f>
        <v>0.12651384057878251</v>
      </c>
      <c r="CF193" s="1111">
        <f>CF189*4/CC284</f>
        <v>0.13647519378672229</v>
      </c>
      <c r="CG193" s="1111">
        <f>CG189*4/CC284</f>
        <v>0.14411843769673968</v>
      </c>
      <c r="CH193" s="1431">
        <f>CH189/CC284</f>
        <v>0.14911889736198694</v>
      </c>
      <c r="CI193" s="1111">
        <f>CI189*4/CH284</f>
        <v>0.14877745806280757</v>
      </c>
      <c r="CJ193" s="1111">
        <f>CJ189*4/CH284</f>
        <v>0.14811747668521202</v>
      </c>
      <c r="CK193" s="1111">
        <f>CK189*4/CH284</f>
        <v>0.15278779076488477</v>
      </c>
      <c r="CL193" s="1111">
        <f>CL189*4/CH284</f>
        <v>0.15449869790298276</v>
      </c>
      <c r="CM193" s="1431">
        <f>CM189/CH284</f>
        <v>0.15104535585397177</v>
      </c>
      <c r="CN193" s="1111">
        <f>CN189*4/CM284</f>
        <v>0.1326072606079905</v>
      </c>
      <c r="CO193" s="1111">
        <f>CO189*4/CM284</f>
        <v>0.13262157215973838</v>
      </c>
      <c r="CP193" s="1111">
        <f>CP189*4/CM284</f>
        <v>0.1536595532291333</v>
      </c>
      <c r="CQ193" s="1111">
        <f>CQ189*4/CM284</f>
        <v>0.17914127111624731</v>
      </c>
      <c r="CR193" s="1431">
        <f>CR189/CM284</f>
        <v>0.14950741427827738</v>
      </c>
      <c r="CS193" s="1111">
        <f>CS189*4/CR284</f>
        <v>0.1404645500237183</v>
      </c>
      <c r="CT193" s="1111">
        <f>CT189*4/CR284</f>
        <v>0.1425320197314483</v>
      </c>
      <c r="CU193" s="1111">
        <f>CU189*4/CR284</f>
        <v>0.14479965560451552</v>
      </c>
      <c r="CV193" s="1111">
        <f>CV189*4/CR284</f>
        <v>0.14322848830673135</v>
      </c>
      <c r="CW193" s="1431">
        <f>CW189/CR284</f>
        <v>0.14275617841660337</v>
      </c>
      <c r="CX193" s="1111">
        <f>CX189*4/CW284</f>
        <v>0.1361562438007658</v>
      </c>
      <c r="CY193" s="1111">
        <f>CY189*4/CW284</f>
        <v>0.1327702730244654</v>
      </c>
      <c r="CZ193" s="1111">
        <f>CZ189*4/CW284</f>
        <v>0.12878102334580654</v>
      </c>
      <c r="DA193" s="1111">
        <f>DA189*4/CW284</f>
        <v>0.12516406740418878</v>
      </c>
      <c r="DB193" s="1431">
        <f>DB189/CW284</f>
        <v>0.13071790189380661</v>
      </c>
      <c r="DC193" s="1111">
        <f>DC189*4/DB284</f>
        <v>0.13095872601294437</v>
      </c>
      <c r="DD193" s="1111">
        <f>DD189*4/DB284</f>
        <v>0.13942831714139667</v>
      </c>
      <c r="DE193" s="1111">
        <f>DE189*4/DB284</f>
        <v>0.14707770748062385</v>
      </c>
      <c r="DF193" s="1111">
        <f>DF189*4/DB284</f>
        <v>0.14242990300834818</v>
      </c>
      <c r="DG193" s="1431">
        <f>DG189/DB284</f>
        <v>0.13997366341082826</v>
      </c>
      <c r="DH193" s="1111">
        <f>DH189*4/DG284</f>
        <v>0.14328502725004183</v>
      </c>
      <c r="DI193" s="1111">
        <f>DI189*4/DG284</f>
        <v>0.14392863372455209</v>
      </c>
      <c r="DJ193" s="1111">
        <f>DJ189*4/DG284</f>
        <v>0.14470893537948931</v>
      </c>
      <c r="DK193" s="1111">
        <f>DK189*4/DG284</f>
        <v>0.14517882506220697</v>
      </c>
      <c r="DL193" s="1431">
        <f>DL189/DG284</f>
        <v>0.14427535535407254</v>
      </c>
      <c r="DM193" s="1111">
        <f>DM189*4/DL284</f>
        <v>0.13861191564624578</v>
      </c>
      <c r="DN193" s="1111">
        <f>DN189*4/DL284</f>
        <v>0.14288989614533906</v>
      </c>
      <c r="DO193" s="1111">
        <f>DO189*4/DL284</f>
        <v>0.14813309599454022</v>
      </c>
      <c r="DP193" s="1111">
        <f>DP189*4/DL284</f>
        <v>0.1484673132210319</v>
      </c>
      <c r="DQ193" s="1431">
        <f>DQ189/DL284</f>
        <v>0.14452555525178923</v>
      </c>
      <c r="DR193" s="1111">
        <f>DR189*4/DQ284</f>
        <v>0.14100079352023601</v>
      </c>
      <c r="DS193" s="1111">
        <f>DS189*4/DQ284</f>
        <v>0.14429588787603184</v>
      </c>
      <c r="DT193" s="1111">
        <f>DT189*4/DQ284</f>
        <v>0.14852127283419081</v>
      </c>
      <c r="DU193" s="1111">
        <f>DU189*4/DQ284</f>
        <v>0.14793133245220441</v>
      </c>
      <c r="DV193" s="1431">
        <f>DV189/DQ284</f>
        <v>0.14543732167066578</v>
      </c>
      <c r="DW193" s="1111">
        <f>DW189*4/DV284</f>
        <v>0.14391553041254004</v>
      </c>
      <c r="DX193" s="1111">
        <f>DX189*4/DV284</f>
        <v>0.14690195089064498</v>
      </c>
      <c r="DY193" s="1111">
        <f>DY189*4/DV284</f>
        <v>0.14690195089064498</v>
      </c>
      <c r="DZ193" s="1111">
        <f>DZ189*4/DV284</f>
        <v>0.14811631588699645</v>
      </c>
      <c r="EA193" s="1431">
        <f>EA189/DV284</f>
        <v>0.14645893702020663</v>
      </c>
      <c r="EB193" s="1111">
        <f>EB189*4/EA284</f>
        <v>0.14499480416948018</v>
      </c>
      <c r="EC193" s="1111">
        <f>EC189*4/EA284</f>
        <v>0.14441930322068949</v>
      </c>
      <c r="ED193" s="1111">
        <f>ED189*4/EA284</f>
        <v>8.9710442017372632E-2</v>
      </c>
      <c r="EE193" s="1111">
        <f>EE189*4/EA284</f>
        <v>0.12839958143187297</v>
      </c>
      <c r="EF193" s="1431">
        <f>EF189/EA284</f>
        <v>0.12688103270985382</v>
      </c>
      <c r="EG193" s="1432"/>
      <c r="EH193" s="1264"/>
      <c r="EI193" s="1264"/>
      <c r="EJ193" s="1433"/>
      <c r="EK193" s="1431">
        <f>EK189/EF284</f>
        <v>0.11659708978723331</v>
      </c>
      <c r="EL193" s="1432"/>
      <c r="EM193" s="1264"/>
      <c r="EN193" s="1264"/>
      <c r="EO193" s="1433"/>
      <c r="EP193" s="1431">
        <f>EP189/EK284</f>
        <v>0.1285658531522923</v>
      </c>
      <c r="EQ193" s="1432"/>
      <c r="ER193" s="1264"/>
      <c r="ES193" s="1264"/>
      <c r="ET193" s="1433"/>
      <c r="EU193" s="1431">
        <f>EU189/EP284</f>
        <v>0.1289366823782398</v>
      </c>
      <c r="EV193" s="1432"/>
      <c r="EW193" s="1264"/>
      <c r="EX193" s="1264"/>
      <c r="EY193" s="1433"/>
      <c r="EZ193" s="1431">
        <f>EZ189/EU284</f>
        <v>0.13153946580878831</v>
      </c>
      <c r="FA193" s="1432"/>
      <c r="FB193" s="1264"/>
      <c r="FC193" s="1264"/>
      <c r="FD193" s="1433"/>
      <c r="FE193" s="1431">
        <f>FE189/EZ284</f>
        <v>0.13491330921791195</v>
      </c>
      <c r="FF193" s="950"/>
      <c r="FG193" s="690"/>
      <c r="FH193" s="1434"/>
      <c r="FI193" s="1434"/>
      <c r="FJ193" s="1434"/>
      <c r="FK193" s="1434"/>
      <c r="FL193" s="690"/>
      <c r="FM193" s="796"/>
      <c r="FN193" s="796"/>
      <c r="FO193" s="797"/>
      <c r="FP193" s="797"/>
      <c r="FQ193" s="797"/>
      <c r="FR193" s="797"/>
      <c r="FS193" s="797"/>
      <c r="FT193" s="797"/>
      <c r="FU193" s="690"/>
      <c r="FV193"/>
      <c r="FW193"/>
      <c r="FX193"/>
      <c r="FY193"/>
      <c r="FZ193"/>
      <c r="GA193"/>
      <c r="GB193" s="799"/>
      <c r="GC193" s="1435"/>
      <c r="GD193" s="1435"/>
      <c r="GE193" s="1435"/>
      <c r="GF193" s="1435"/>
      <c r="GG193" s="1435"/>
      <c r="GH193" s="1435"/>
      <c r="GI193" s="1435"/>
      <c r="GJ193" s="1435"/>
      <c r="GK193" s="1435"/>
      <c r="GL193" s="1435"/>
      <c r="GM193" s="1435"/>
      <c r="GN193" s="1435"/>
      <c r="GO193" s="1435"/>
      <c r="GP193" s="1435"/>
      <c r="GQ193" s="1435"/>
      <c r="GR193" s="1435"/>
      <c r="GS193" s="1435"/>
      <c r="GT193" s="1435"/>
      <c r="GU193" s="1435"/>
      <c r="GV193" s="1435"/>
      <c r="GW193" s="1435"/>
      <c r="GX193" s="1435"/>
      <c r="GY193" s="1435"/>
      <c r="GZ193" s="1435"/>
      <c r="HA193" s="1435"/>
      <c r="HB193" s="1435"/>
      <c r="HC193" s="1435"/>
      <c r="HD193" s="1435"/>
      <c r="HE193" s="1435"/>
      <c r="HF193" s="1435"/>
      <c r="HG193" s="1435"/>
      <c r="HH193" s="1435"/>
      <c r="HI193" s="1435"/>
      <c r="HJ193" s="1435"/>
      <c r="HK193" s="1435"/>
      <c r="HL193" s="1435"/>
      <c r="HM193" s="1435"/>
      <c r="HN193" s="1435"/>
      <c r="HO193" s="1435"/>
      <c r="HP193" s="1435"/>
      <c r="HQ193" s="1435"/>
      <c r="HR193" s="1435"/>
      <c r="HS193" s="1435"/>
      <c r="HT193" s="1435"/>
      <c r="HU193" s="1435"/>
      <c r="HV193" s="1435"/>
      <c r="HW193" s="1435"/>
      <c r="HX193" s="1435"/>
      <c r="HY193" s="1435"/>
      <c r="HZ193" s="1435"/>
      <c r="IA193" s="1435"/>
      <c r="IB193" s="1435"/>
      <c r="IC193" s="1435"/>
      <c r="ID193" s="1435"/>
      <c r="IE193" s="1435"/>
      <c r="IF193" s="1435"/>
      <c r="IG193" s="1435"/>
      <c r="IH193" s="1435"/>
      <c r="II193" s="1435"/>
      <c r="IJ193" s="1435"/>
      <c r="IK193" s="1435"/>
      <c r="IL193" s="1435"/>
      <c r="IM193" s="1435"/>
      <c r="IN193" s="1435"/>
      <c r="IO193" s="1435"/>
      <c r="IP193" s="1435"/>
      <c r="IQ193" s="1435"/>
      <c r="IR193" s="1435"/>
      <c r="IS193" s="1435"/>
      <c r="IT193" s="1435"/>
      <c r="IU193" s="1435"/>
      <c r="IV193" s="1435"/>
      <c r="IW193" s="1435"/>
      <c r="IX193" s="1435"/>
      <c r="IY193" s="1435"/>
      <c r="IZ193" s="1435"/>
      <c r="JA193" s="1435"/>
      <c r="JB193" s="1435"/>
      <c r="JC193" s="1435"/>
      <c r="JD193" s="1435"/>
      <c r="JE193" s="1435"/>
      <c r="JF193" s="1435"/>
      <c r="JG193" s="1435"/>
      <c r="JH193" s="1435"/>
      <c r="JI193" s="1435"/>
      <c r="JJ193" s="1435"/>
      <c r="JK193" s="1435"/>
      <c r="JL193" s="1435"/>
    </row>
    <row r="194" spans="1:272" s="1399" customFormat="1" ht="12.75" customHeight="1" collapsed="1">
      <c r="A194" s="932" t="s">
        <v>388</v>
      </c>
      <c r="B194" s="1390"/>
      <c r="C194" s="1391"/>
      <c r="D194" s="1391"/>
      <c r="E194" s="1391"/>
      <c r="F194" s="718"/>
      <c r="G194" s="1392"/>
      <c r="H194" s="1391"/>
      <c r="I194" s="1391"/>
      <c r="J194" s="1391"/>
      <c r="K194" s="718"/>
      <c r="L194" s="1392"/>
      <c r="M194" s="1391"/>
      <c r="N194" s="1391"/>
      <c r="O194" s="1391"/>
      <c r="P194" s="718"/>
      <c r="Q194" s="1392"/>
      <c r="R194" s="1391"/>
      <c r="S194" s="1391"/>
      <c r="T194" s="1391"/>
      <c r="U194" s="718"/>
      <c r="V194" s="1392"/>
      <c r="W194" s="1391"/>
      <c r="X194" s="1391"/>
      <c r="Y194" s="1391"/>
      <c r="Z194" s="718"/>
      <c r="AA194" s="1392"/>
      <c r="AB194" s="1391"/>
      <c r="AC194" s="1391"/>
      <c r="AD194" s="1391"/>
      <c r="AE194" s="718"/>
      <c r="AF194" s="719"/>
      <c r="AG194" s="719"/>
      <c r="AH194" s="719"/>
      <c r="AI194" s="719"/>
      <c r="AJ194" s="718"/>
      <c r="AK194" s="719"/>
      <c r="AL194" s="719"/>
      <c r="AM194" s="719"/>
      <c r="AN194" s="719"/>
      <c r="AO194" s="718"/>
      <c r="AP194" s="719"/>
      <c r="AQ194" s="934"/>
      <c r="AR194" s="934"/>
      <c r="AS194" s="719"/>
      <c r="AT194" s="718"/>
      <c r="AU194" s="719"/>
      <c r="AV194" s="934"/>
      <c r="AW194" s="719"/>
      <c r="AX194" s="719"/>
      <c r="AY194" s="718"/>
      <c r="AZ194" s="719"/>
      <c r="BA194" s="934"/>
      <c r="BB194" s="719"/>
      <c r="BC194" s="719"/>
      <c r="BD194" s="718"/>
      <c r="BE194" s="719"/>
      <c r="BF194" s="934"/>
      <c r="BG194" s="719"/>
      <c r="BH194" s="719"/>
      <c r="BI194" s="718"/>
      <c r="BJ194" s="719"/>
      <c r="BK194" s="934"/>
      <c r="BL194" s="719"/>
      <c r="BM194" s="719"/>
      <c r="BN194" s="718"/>
      <c r="BO194" s="719"/>
      <c r="BP194" s="934"/>
      <c r="BQ194" s="719"/>
      <c r="BR194" s="719"/>
      <c r="BS194" s="718"/>
      <c r="BT194" s="719">
        <f t="shared" ref="BT194:CC194" si="532">BT165+BT169+BT173+BT179+BT189</f>
        <v>0</v>
      </c>
      <c r="BU194" s="934">
        <f t="shared" si="532"/>
        <v>0</v>
      </c>
      <c r="BV194" s="719">
        <f t="shared" si="532"/>
        <v>0</v>
      </c>
      <c r="BW194" s="719">
        <f t="shared" si="532"/>
        <v>0</v>
      </c>
      <c r="BX194" s="718">
        <f t="shared" si="532"/>
        <v>3002.0479999999998</v>
      </c>
      <c r="BY194" s="719">
        <f t="shared" si="532"/>
        <v>717.02700000000004</v>
      </c>
      <c r="BZ194" s="934">
        <f t="shared" si="532"/>
        <v>773.32</v>
      </c>
      <c r="CA194" s="719">
        <f t="shared" si="532"/>
        <v>818.524</v>
      </c>
      <c r="CB194" s="719">
        <f t="shared" si="532"/>
        <v>759.4459999999998</v>
      </c>
      <c r="CC194" s="718">
        <f t="shared" si="532"/>
        <v>3374.232</v>
      </c>
      <c r="CD194" s="719">
        <v>874.42699999999991</v>
      </c>
      <c r="CE194" s="719">
        <v>917.45299999999997</v>
      </c>
      <c r="CF194" s="719">
        <v>980.70100000000002</v>
      </c>
      <c r="CG194" s="719">
        <f>CH194-SUM(CD194:CF194)</f>
        <v>972.06800000000021</v>
      </c>
      <c r="CH194" s="718">
        <f t="shared" ref="CH194:EB194" si="533">CH165+CH169+CH173+CH179+CH189</f>
        <v>3744.6490000000003</v>
      </c>
      <c r="CI194" s="719">
        <f t="shared" si="533"/>
        <v>968.08400000000006</v>
      </c>
      <c r="CJ194" s="719">
        <f t="shared" si="533"/>
        <v>988.21900000000005</v>
      </c>
      <c r="CK194" s="719">
        <f t="shared" si="533"/>
        <v>974.49199999999996</v>
      </c>
      <c r="CL194" s="719">
        <f t="shared" si="533"/>
        <v>895.0859999999999</v>
      </c>
      <c r="CM194" s="718">
        <f t="shared" si="533"/>
        <v>3825.8809999999999</v>
      </c>
      <c r="CN194" s="719">
        <f t="shared" si="533"/>
        <v>953.07100000000003</v>
      </c>
      <c r="CO194" s="719">
        <f t="shared" si="533"/>
        <v>996.096</v>
      </c>
      <c r="CP194" s="719">
        <f t="shared" si="533"/>
        <v>1043.6109999999999</v>
      </c>
      <c r="CQ194" s="719">
        <f t="shared" si="533"/>
        <v>1130.1319999999998</v>
      </c>
      <c r="CR194" s="718">
        <f t="shared" si="533"/>
        <v>4122.91</v>
      </c>
      <c r="CS194" s="719">
        <f t="shared" si="533"/>
        <v>1147.5730000000001</v>
      </c>
      <c r="CT194" s="719">
        <f t="shared" si="533"/>
        <v>1244.825</v>
      </c>
      <c r="CU194" s="719">
        <f t="shared" si="533"/>
        <v>1291.252</v>
      </c>
      <c r="CV194" s="719">
        <f t="shared" si="533"/>
        <v>1160.5449999999998</v>
      </c>
      <c r="CW194" s="718">
        <f t="shared" si="533"/>
        <v>4844.1949999999997</v>
      </c>
      <c r="CX194" s="719">
        <f t="shared" si="533"/>
        <v>978.43100000000015</v>
      </c>
      <c r="CY194" s="719">
        <f t="shared" si="533"/>
        <v>990.36699999999996</v>
      </c>
      <c r="CZ194" s="719">
        <f t="shared" si="533"/>
        <v>1086.9480000000001</v>
      </c>
      <c r="DA194" s="719">
        <f t="shared" si="533"/>
        <v>1095.6490000000001</v>
      </c>
      <c r="DB194" s="718">
        <f t="shared" si="533"/>
        <v>4151.3949999999995</v>
      </c>
      <c r="DC194" s="719">
        <f t="shared" si="533"/>
        <v>1144.7440000000001</v>
      </c>
      <c r="DD194" s="719">
        <f t="shared" si="533"/>
        <v>1270.8310000000001</v>
      </c>
      <c r="DE194" s="719">
        <f t="shared" si="533"/>
        <v>1235.768</v>
      </c>
      <c r="DF194" s="719">
        <f t="shared" si="533"/>
        <v>1201.72</v>
      </c>
      <c r="DG194" s="718">
        <f t="shared" si="533"/>
        <v>4845.7209999999995</v>
      </c>
      <c r="DH194" s="719">
        <f t="shared" si="533"/>
        <v>1208.931</v>
      </c>
      <c r="DI194" s="719">
        <f t="shared" si="533"/>
        <v>1288.384</v>
      </c>
      <c r="DJ194" s="719">
        <f t="shared" si="533"/>
        <v>1315.954</v>
      </c>
      <c r="DK194" s="719">
        <f t="shared" si="533"/>
        <v>1278.7560000000001</v>
      </c>
      <c r="DL194" s="718">
        <f>DL165+DL169+DL173+DL179+DL189</f>
        <v>5092.0249999999996</v>
      </c>
      <c r="DM194" s="719">
        <f t="shared" si="533"/>
        <v>1310.471</v>
      </c>
      <c r="DN194" s="719">
        <f t="shared" si="533"/>
        <v>1369.8530000000001</v>
      </c>
      <c r="DO194" s="719">
        <f t="shared" si="533"/>
        <v>1348.9</v>
      </c>
      <c r="DP194" s="719">
        <f t="shared" si="533"/>
        <v>1326.0819999999999</v>
      </c>
      <c r="DQ194" s="718">
        <f t="shared" si="533"/>
        <v>5355.3060000000005</v>
      </c>
      <c r="DR194" s="719">
        <f t="shared" si="533"/>
        <v>1304.5650000000001</v>
      </c>
      <c r="DS194" s="719">
        <f t="shared" si="533"/>
        <v>1306.971</v>
      </c>
      <c r="DT194" s="719">
        <f t="shared" si="533"/>
        <v>1330.2910000000002</v>
      </c>
      <c r="DU194" s="719">
        <f t="shared" si="533"/>
        <v>1324.421</v>
      </c>
      <c r="DV194" s="718">
        <f t="shared" si="533"/>
        <v>5266.2480000000005</v>
      </c>
      <c r="DW194" s="719">
        <f t="shared" si="533"/>
        <v>1335.7810000000002</v>
      </c>
      <c r="DX194" s="719">
        <f t="shared" si="533"/>
        <v>1393.049</v>
      </c>
      <c r="DY194" s="719">
        <f t="shared" si="533"/>
        <v>1412.7750000000001</v>
      </c>
      <c r="DZ194" s="719">
        <f t="shared" si="533"/>
        <v>1383.4140000000002</v>
      </c>
      <c r="EA194" s="718">
        <f t="shared" si="533"/>
        <v>5525.0190000000002</v>
      </c>
      <c r="EB194" s="719">
        <f t="shared" si="533"/>
        <v>1319.3819999999998</v>
      </c>
      <c r="EC194" s="719">
        <f>EC165+EC169+EC173+EC179+EC189</f>
        <v>1343.308</v>
      </c>
      <c r="ED194" s="719">
        <f>ED201</f>
        <v>1321.134</v>
      </c>
      <c r="EE194" s="719">
        <f>EE201</f>
        <v>1272.8172700812549</v>
      </c>
      <c r="EF194" s="718">
        <f>EF165+EF169+EF173+EF179+EF189</f>
        <v>5256.6412700812552</v>
      </c>
      <c r="EG194" s="1395"/>
      <c r="EH194" s="719"/>
      <c r="EI194" s="719"/>
      <c r="EJ194" s="1396"/>
      <c r="EK194" s="718">
        <f>EK201</f>
        <v>3000.9813449947524</v>
      </c>
      <c r="EL194" s="1395"/>
      <c r="EM194" s="719"/>
      <c r="EN194" s="719"/>
      <c r="EO194" s="1396"/>
      <c r="EP194" s="718">
        <f>EP201</f>
        <v>3127.086372514942</v>
      </c>
      <c r="EQ194" s="1395"/>
      <c r="ER194" s="719"/>
      <c r="ES194" s="719"/>
      <c r="ET194" s="1396"/>
      <c r="EU194" s="718">
        <f>EU201</f>
        <v>3239.461395345229</v>
      </c>
      <c r="EV194" s="1395"/>
      <c r="EW194" s="719"/>
      <c r="EX194" s="719"/>
      <c r="EY194" s="1396"/>
      <c r="EZ194" s="718">
        <f>EZ201</f>
        <v>3418.4399046044223</v>
      </c>
      <c r="FA194" s="1395"/>
      <c r="FB194" s="719"/>
      <c r="FC194" s="719"/>
      <c r="FD194" s="1396"/>
      <c r="FE194" s="718">
        <f>FE201</f>
        <v>3603.3761556610189</v>
      </c>
      <c r="FF194" s="778"/>
      <c r="FG194" s="690"/>
      <c r="FH194" s="754"/>
      <c r="FI194" s="754"/>
      <c r="FJ194" s="754"/>
      <c r="FK194" s="754"/>
      <c r="FL194" s="690"/>
      <c r="FM194" s="940"/>
      <c r="FN194" s="940"/>
      <c r="FO194" s="719"/>
      <c r="FP194" s="1437"/>
      <c r="FQ194" s="1437"/>
      <c r="FR194" s="1437"/>
      <c r="FS194" s="1437"/>
      <c r="FT194" s="719"/>
      <c r="FU194" s="690"/>
      <c r="FV194"/>
      <c r="FW194"/>
      <c r="FX194"/>
      <c r="FY194"/>
      <c r="FZ194"/>
      <c r="GA194"/>
      <c r="GB194" s="942"/>
      <c r="GC194" s="965"/>
      <c r="GD194" s="965"/>
      <c r="GE194" s="965"/>
      <c r="GF194" s="965"/>
      <c r="GG194" s="965"/>
      <c r="GH194" s="965"/>
      <c r="GI194" s="965"/>
      <c r="GJ194" s="965"/>
      <c r="GK194" s="965"/>
      <c r="GL194" s="965"/>
      <c r="GM194" s="965"/>
      <c r="GN194" s="965"/>
      <c r="GO194" s="965"/>
      <c r="GP194" s="965"/>
      <c r="GQ194" s="965"/>
      <c r="GR194" s="965"/>
      <c r="GS194" s="965"/>
      <c r="GT194" s="965"/>
      <c r="GU194" s="965"/>
      <c r="GV194" s="965"/>
      <c r="GW194" s="965"/>
      <c r="GX194" s="965"/>
      <c r="GY194" s="965"/>
      <c r="GZ194" s="965"/>
      <c r="HA194" s="965"/>
      <c r="HB194" s="965"/>
      <c r="HC194" s="965"/>
      <c r="HD194" s="965"/>
      <c r="HE194" s="965"/>
      <c r="HF194" s="965"/>
      <c r="HG194" s="965"/>
      <c r="HH194" s="965"/>
      <c r="HI194" s="965"/>
      <c r="HJ194" s="965"/>
      <c r="HK194" s="965"/>
      <c r="HL194" s="965"/>
      <c r="HM194" s="965"/>
      <c r="HN194" s="965"/>
      <c r="HO194" s="965"/>
      <c r="HP194" s="965"/>
      <c r="HQ194" s="965"/>
      <c r="HR194" s="965"/>
      <c r="HS194" s="965"/>
      <c r="HT194" s="965"/>
      <c r="HU194" s="965"/>
      <c r="HV194" s="965"/>
      <c r="HW194" s="965"/>
      <c r="HX194" s="965"/>
      <c r="HY194" s="965"/>
      <c r="HZ194" s="965"/>
      <c r="IA194" s="965"/>
      <c r="IB194" s="965"/>
      <c r="IC194" s="965"/>
      <c r="ID194" s="965"/>
      <c r="IE194" s="965"/>
      <c r="IF194" s="965"/>
      <c r="IG194" s="965"/>
      <c r="IH194" s="965"/>
      <c r="II194" s="965"/>
      <c r="IJ194" s="965"/>
      <c r="IK194" s="965"/>
      <c r="IL194" s="965"/>
      <c r="IM194" s="965"/>
      <c r="IN194" s="965"/>
      <c r="IO194" s="965"/>
      <c r="IP194" s="965"/>
      <c r="IQ194" s="965"/>
      <c r="IR194" s="965"/>
      <c r="IS194" s="965"/>
      <c r="IT194" s="965"/>
      <c r="IU194" s="965"/>
      <c r="IV194" s="965"/>
      <c r="IW194" s="965"/>
      <c r="IX194" s="965"/>
      <c r="IY194" s="965"/>
      <c r="IZ194" s="965"/>
      <c r="JA194" s="965"/>
      <c r="JB194" s="965"/>
      <c r="JC194" s="965"/>
      <c r="JD194" s="965"/>
      <c r="JE194" s="965"/>
      <c r="JF194" s="965"/>
      <c r="JG194" s="965"/>
      <c r="JH194" s="965"/>
      <c r="JI194" s="965"/>
      <c r="JJ194" s="965"/>
      <c r="JK194" s="965"/>
      <c r="JL194" s="965"/>
    </row>
    <row r="195" spans="1:272" s="749" customFormat="1" ht="12.75" customHeight="1">
      <c r="A195" s="58" t="s">
        <v>85</v>
      </c>
      <c r="B195" s="1300"/>
      <c r="C195" s="1301"/>
      <c r="D195" s="1301"/>
      <c r="E195" s="1301"/>
      <c r="F195" s="741"/>
      <c r="G195" s="1257"/>
      <c r="H195" s="1301"/>
      <c r="I195" s="1301"/>
      <c r="J195" s="1301"/>
      <c r="K195" s="741"/>
      <c r="L195" s="1257"/>
      <c r="M195" s="1301"/>
      <c r="N195" s="1301"/>
      <c r="O195" s="1301"/>
      <c r="P195" s="741"/>
      <c r="Q195" s="1257"/>
      <c r="R195" s="1301"/>
      <c r="S195" s="1301"/>
      <c r="T195" s="1301"/>
      <c r="U195" s="741"/>
      <c r="V195" s="1257"/>
      <c r="W195" s="1301"/>
      <c r="X195" s="1302"/>
      <c r="Y195" s="1302"/>
      <c r="Z195" s="741"/>
      <c r="AA195" s="1236"/>
      <c r="AB195" s="1302"/>
      <c r="AC195" s="1302"/>
      <c r="AD195" s="1302"/>
      <c r="AE195" s="741"/>
      <c r="AF195" s="721"/>
      <c r="AG195" s="721"/>
      <c r="AH195" s="721"/>
      <c r="AI195" s="721"/>
      <c r="AJ195" s="741"/>
      <c r="AK195" s="721"/>
      <c r="AL195" s="721"/>
      <c r="AM195" s="721"/>
      <c r="AN195" s="721"/>
      <c r="AO195" s="741"/>
      <c r="AP195" s="721"/>
      <c r="AQ195" s="742"/>
      <c r="AR195" s="742"/>
      <c r="AS195" s="721"/>
      <c r="AT195" s="741"/>
      <c r="AU195" s="721"/>
      <c r="AV195" s="742"/>
      <c r="AW195" s="721"/>
      <c r="AX195" s="721"/>
      <c r="AY195" s="741"/>
      <c r="AZ195" s="721"/>
      <c r="BA195" s="742"/>
      <c r="BB195" s="721"/>
      <c r="BC195" s="721"/>
      <c r="BD195" s="741"/>
      <c r="BE195" s="721"/>
      <c r="BF195" s="742"/>
      <c r="BG195" s="721"/>
      <c r="BH195" s="721"/>
      <c r="BI195" s="741"/>
      <c r="BJ195" s="721"/>
      <c r="BK195" s="742"/>
      <c r="BL195" s="721"/>
      <c r="BM195" s="721"/>
      <c r="BN195" s="741"/>
      <c r="BO195" s="721"/>
      <c r="BP195" s="742"/>
      <c r="BQ195" s="721"/>
      <c r="BR195" s="721"/>
      <c r="BS195" s="741"/>
      <c r="BT195" s="721"/>
      <c r="BU195" s="742"/>
      <c r="BV195" s="721"/>
      <c r="BW195" s="721"/>
      <c r="BX195" s="741"/>
      <c r="BY195" s="721" t="str">
        <f>IF(ISERROR(BY194/BT194-1),"",BY194/BT194-1)</f>
        <v/>
      </c>
      <c r="BZ195" s="721" t="str">
        <f>IF(ISERROR(BZ194/BU194-1),"",BZ194/BU194-1)</f>
        <v/>
      </c>
      <c r="CA195" s="721" t="str">
        <f>IF(ISERROR(CA194/BV194-1),"",CA194/BV194-1)</f>
        <v/>
      </c>
      <c r="CB195" s="721" t="str">
        <f>IF(ISERROR(CB194/BW194-1),"",CB194/BW194-1)</f>
        <v/>
      </c>
      <c r="CC195" s="741">
        <f>IF(ISERROR(CC194/BX194-1),"",CC194/BX194-1)</f>
        <v>0.1239766985737738</v>
      </c>
      <c r="CD195" s="721">
        <f t="shared" ref="CD195:EF195" si="534">CD194/BY194-1</f>
        <v>0.21951753560186704</v>
      </c>
      <c r="CE195" s="721">
        <f t="shared" si="534"/>
        <v>0.1863820927947033</v>
      </c>
      <c r="CF195" s="721">
        <f t="shared" si="534"/>
        <v>0.19813346951341693</v>
      </c>
      <c r="CG195" s="721">
        <f t="shared" si="534"/>
        <v>0.27996987277568186</v>
      </c>
      <c r="CH195" s="741">
        <f t="shared" si="534"/>
        <v>0.10977816581669564</v>
      </c>
      <c r="CI195" s="721">
        <f t="shared" si="534"/>
        <v>0.10710671102333325</v>
      </c>
      <c r="CJ195" s="721">
        <f t="shared" si="534"/>
        <v>7.7133106546057428E-2</v>
      </c>
      <c r="CK195" s="721">
        <f t="shared" si="534"/>
        <v>-6.3311855499281755E-3</v>
      </c>
      <c r="CL195" s="721">
        <f t="shared" si="534"/>
        <v>-7.9194048153010121E-2</v>
      </c>
      <c r="CM195" s="741">
        <f t="shared" si="534"/>
        <v>2.1692820875868435E-2</v>
      </c>
      <c r="CN195" s="721">
        <f t="shared" si="534"/>
        <v>-1.5507951789307528E-2</v>
      </c>
      <c r="CO195" s="721">
        <f t="shared" si="534"/>
        <v>7.9709052345684483E-3</v>
      </c>
      <c r="CP195" s="721">
        <f t="shared" si="534"/>
        <v>7.0928237481682643E-2</v>
      </c>
      <c r="CQ195" s="721">
        <f t="shared" si="534"/>
        <v>0.26259599636236075</v>
      </c>
      <c r="CR195" s="741">
        <f t="shared" si="534"/>
        <v>7.7636758696885799E-2</v>
      </c>
      <c r="CS195" s="721">
        <f t="shared" si="534"/>
        <v>0.20407923439072229</v>
      </c>
      <c r="CT195" s="721">
        <f t="shared" si="534"/>
        <v>0.24970384380621957</v>
      </c>
      <c r="CU195" s="721">
        <f t="shared" si="534"/>
        <v>0.23729243942426836</v>
      </c>
      <c r="CV195" s="721">
        <f t="shared" si="534"/>
        <v>2.6911015704360164E-2</v>
      </c>
      <c r="CW195" s="741">
        <f t="shared" si="534"/>
        <v>0.17494560880543109</v>
      </c>
      <c r="CX195" s="721">
        <f t="shared" si="534"/>
        <v>-0.1473910592180192</v>
      </c>
      <c r="CY195" s="721">
        <f t="shared" si="534"/>
        <v>-0.20441266844737216</v>
      </c>
      <c r="CZ195" s="721">
        <f t="shared" si="534"/>
        <v>-0.15822163295778036</v>
      </c>
      <c r="DA195" s="721">
        <f t="shared" si="534"/>
        <v>-5.5918555506249024E-2</v>
      </c>
      <c r="DB195" s="741">
        <f t="shared" si="534"/>
        <v>-0.14301653835157346</v>
      </c>
      <c r="DC195" s="721">
        <f t="shared" si="534"/>
        <v>0.16997928315844435</v>
      </c>
      <c r="DD195" s="721">
        <f t="shared" si="534"/>
        <v>0.28319198842449333</v>
      </c>
      <c r="DE195" s="721">
        <f t="shared" si="534"/>
        <v>0.13691547341731147</v>
      </c>
      <c r="DF195" s="721">
        <f t="shared" si="534"/>
        <v>9.6811113778226376E-2</v>
      </c>
      <c r="DG195" s="741">
        <f t="shared" si="534"/>
        <v>0.16725124927885693</v>
      </c>
      <c r="DH195" s="721">
        <f t="shared" si="534"/>
        <v>5.6071051693653784E-2</v>
      </c>
      <c r="DI195" s="721">
        <f t="shared" si="534"/>
        <v>1.3812222081456937E-2</v>
      </c>
      <c r="DJ195" s="721">
        <f t="shared" si="534"/>
        <v>6.4887584077270022E-2</v>
      </c>
      <c r="DK195" s="721">
        <f t="shared" si="534"/>
        <v>6.4104783144160127E-2</v>
      </c>
      <c r="DL195" s="741">
        <f t="shared" si="534"/>
        <v>5.0829174853442849E-2</v>
      </c>
      <c r="DM195" s="721">
        <f t="shared" si="534"/>
        <v>8.3991559485198097E-2</v>
      </c>
      <c r="DN195" s="721">
        <f t="shared" si="534"/>
        <v>6.32334769758085E-2</v>
      </c>
      <c r="DO195" s="721">
        <f t="shared" si="534"/>
        <v>2.5035829519876929E-2</v>
      </c>
      <c r="DP195" s="721">
        <f t="shared" si="534"/>
        <v>3.7009406016472068E-2</v>
      </c>
      <c r="DQ195" s="741">
        <f t="shared" si="534"/>
        <v>5.1704577255610618E-2</v>
      </c>
      <c r="DR195" s="721">
        <f>DR194/DM194-1</f>
        <v>-4.5067765711717112E-3</v>
      </c>
      <c r="DS195" s="721">
        <f>DS194/DN194-1</f>
        <v>-4.5904195559669625E-2</v>
      </c>
      <c r="DT195" s="721">
        <f t="shared" si="534"/>
        <v>-1.379568537326703E-2</v>
      </c>
      <c r="DU195" s="721">
        <f t="shared" si="534"/>
        <v>-1.2525620587564568E-3</v>
      </c>
      <c r="DV195" s="741">
        <f t="shared" si="534"/>
        <v>-1.6629862047098709E-2</v>
      </c>
      <c r="DW195" s="721">
        <f t="shared" si="534"/>
        <v>2.3928282607612594E-2</v>
      </c>
      <c r="DX195" s="721">
        <f t="shared" si="534"/>
        <v>6.5860680917939174E-2</v>
      </c>
      <c r="DY195" s="721">
        <f t="shared" si="534"/>
        <v>6.2004478719317691E-2</v>
      </c>
      <c r="DZ195" s="721">
        <f t="shared" si="534"/>
        <v>4.4542483092611995E-2</v>
      </c>
      <c r="EA195" s="741">
        <f t="shared" si="534"/>
        <v>4.9137640308621888E-2</v>
      </c>
      <c r="EB195" s="721">
        <f t="shared" si="534"/>
        <v>-1.2276713024066299E-2</v>
      </c>
      <c r="EC195" s="721">
        <f t="shared" si="534"/>
        <v>-3.5706568828519303E-2</v>
      </c>
      <c r="ED195" s="721">
        <f t="shared" si="534"/>
        <v>-6.486595530073791E-2</v>
      </c>
      <c r="EE195" s="721">
        <f t="shared" si="534"/>
        <v>-7.994478147448647E-2</v>
      </c>
      <c r="EF195" s="741">
        <f t="shared" si="534"/>
        <v>-4.857498769121793E-2</v>
      </c>
      <c r="EG195" s="1303"/>
      <c r="EH195" s="711"/>
      <c r="EI195" s="711"/>
      <c r="EJ195" s="1304"/>
      <c r="EK195" s="741">
        <f>EK194/EF194-1</f>
        <v>-0.42910668793871032</v>
      </c>
      <c r="EL195" s="1303"/>
      <c r="EM195" s="711"/>
      <c r="EN195" s="711"/>
      <c r="EO195" s="1304"/>
      <c r="EP195" s="741">
        <f>EP194/EK194-1</f>
        <v>4.2021263387896912E-2</v>
      </c>
      <c r="EQ195" s="1303"/>
      <c r="ER195" s="711"/>
      <c r="ES195" s="711"/>
      <c r="ET195" s="1304"/>
      <c r="EU195" s="741">
        <f>EU194/EP194-1</f>
        <v>3.5936015013205314E-2</v>
      </c>
      <c r="EV195" s="1303"/>
      <c r="EW195" s="711"/>
      <c r="EX195" s="711"/>
      <c r="EY195" s="1304"/>
      <c r="EZ195" s="741">
        <f>EZ194/EU194-1</f>
        <v>5.5249465085883465E-2</v>
      </c>
      <c r="FA195" s="1303"/>
      <c r="FB195" s="711"/>
      <c r="FC195" s="711"/>
      <c r="FD195" s="1304"/>
      <c r="FE195" s="741">
        <f>FE194/EZ194-1</f>
        <v>5.4099605731696254E-2</v>
      </c>
      <c r="FF195" s="1009"/>
      <c r="FG195" s="690"/>
      <c r="FH195" s="754"/>
      <c r="FI195" s="754"/>
      <c r="FJ195" s="754"/>
      <c r="FK195" s="754"/>
      <c r="FL195" s="690"/>
      <c r="FM195" s="1091"/>
      <c r="FN195" s="1091"/>
      <c r="FO195" s="1306"/>
      <c r="FP195" s="1306"/>
      <c r="FQ195" s="1306"/>
      <c r="FR195" s="1306"/>
      <c r="FS195" s="1306"/>
      <c r="FT195" s="1306"/>
      <c r="FU195" s="690"/>
      <c r="FV195"/>
      <c r="FW195"/>
      <c r="FX195"/>
      <c r="FY195"/>
      <c r="FZ195"/>
      <c r="GA195"/>
      <c r="GC195" s="532"/>
      <c r="GD195" s="532"/>
      <c r="GE195" s="532"/>
      <c r="GF195" s="532"/>
      <c r="GG195" s="532"/>
      <c r="GH195" s="532"/>
      <c r="GI195" s="532"/>
      <c r="GJ195" s="532"/>
      <c r="GK195" s="532"/>
      <c r="GL195" s="532"/>
      <c r="GM195" s="532"/>
      <c r="GN195" s="532"/>
      <c r="GO195" s="532"/>
      <c r="GP195" s="532"/>
      <c r="GQ195" s="532"/>
      <c r="GR195" s="532"/>
      <c r="GS195" s="532"/>
      <c r="GT195" s="532"/>
      <c r="GU195" s="532"/>
      <c r="GV195" s="532"/>
      <c r="GW195" s="532"/>
      <c r="GX195" s="532"/>
      <c r="GY195" s="532"/>
      <c r="GZ195" s="532"/>
      <c r="HA195" s="532"/>
      <c r="HB195" s="532"/>
      <c r="HC195" s="532"/>
      <c r="HD195" s="532"/>
      <c r="HE195" s="532"/>
      <c r="HF195" s="532"/>
      <c r="HG195" s="532"/>
      <c r="HH195" s="532"/>
      <c r="HI195" s="532"/>
      <c r="HJ195" s="532"/>
      <c r="HK195" s="532"/>
      <c r="HL195" s="532"/>
      <c r="HM195" s="532"/>
      <c r="HN195" s="532"/>
      <c r="HO195" s="532"/>
      <c r="HP195" s="532"/>
      <c r="HQ195" s="532"/>
      <c r="HR195" s="532"/>
      <c r="HS195" s="532"/>
      <c r="HT195" s="532"/>
      <c r="HU195" s="532"/>
      <c r="HV195" s="532"/>
      <c r="HW195" s="532"/>
      <c r="HX195" s="532"/>
      <c r="HY195" s="532"/>
      <c r="HZ195" s="532"/>
      <c r="IA195" s="532"/>
      <c r="IB195" s="532"/>
      <c r="IC195" s="532"/>
      <c r="ID195" s="532"/>
      <c r="IE195" s="532"/>
      <c r="IF195" s="532"/>
      <c r="IG195" s="532"/>
      <c r="IH195" s="532"/>
      <c r="II195" s="532"/>
      <c r="IJ195" s="532"/>
      <c r="IK195" s="532"/>
      <c r="IL195" s="532"/>
      <c r="IM195" s="532"/>
      <c r="IN195" s="532"/>
      <c r="IO195" s="532"/>
      <c r="IP195" s="532"/>
      <c r="IQ195" s="532"/>
      <c r="IR195" s="532"/>
      <c r="IS195" s="532"/>
      <c r="IT195" s="532"/>
      <c r="IU195" s="532"/>
      <c r="IV195" s="532"/>
      <c r="IW195" s="532"/>
      <c r="IX195" s="532"/>
      <c r="IY195" s="532"/>
      <c r="IZ195" s="532"/>
      <c r="JA195" s="532"/>
      <c r="JB195" s="532"/>
      <c r="JC195" s="532"/>
      <c r="JD195" s="532"/>
      <c r="JE195" s="532"/>
      <c r="JF195" s="532"/>
      <c r="JG195" s="532"/>
      <c r="JH195" s="532"/>
      <c r="JI195" s="532"/>
      <c r="JJ195" s="532"/>
      <c r="JK195" s="532"/>
      <c r="JL195" s="532"/>
    </row>
    <row r="196" spans="1:272" s="799" customFormat="1" ht="12.75" customHeight="1">
      <c r="A196" s="58" t="s">
        <v>291</v>
      </c>
      <c r="B196" s="790"/>
      <c r="C196" s="721"/>
      <c r="D196" s="721"/>
      <c r="E196" s="721"/>
      <c r="F196" s="741"/>
      <c r="G196" s="721"/>
      <c r="H196" s="721"/>
      <c r="I196" s="721"/>
      <c r="J196" s="721"/>
      <c r="K196" s="741"/>
      <c r="L196" s="721"/>
      <c r="M196" s="721"/>
      <c r="N196" s="721"/>
      <c r="O196" s="721"/>
      <c r="P196" s="741"/>
      <c r="Q196" s="721"/>
      <c r="R196" s="721"/>
      <c r="S196" s="721"/>
      <c r="T196" s="721"/>
      <c r="U196" s="741"/>
      <c r="V196" s="721"/>
      <c r="W196" s="721"/>
      <c r="X196" s="721"/>
      <c r="Y196" s="721"/>
      <c r="Z196" s="741"/>
      <c r="AA196" s="721"/>
      <c r="AB196" s="721"/>
      <c r="AC196" s="721"/>
      <c r="AD196" s="721"/>
      <c r="AE196" s="741"/>
      <c r="AF196" s="721"/>
      <c r="AG196" s="721"/>
      <c r="AH196" s="721"/>
      <c r="AI196" s="721"/>
      <c r="AJ196" s="741"/>
      <c r="AK196" s="721"/>
      <c r="AL196" s="721"/>
      <c r="AM196" s="721"/>
      <c r="AN196" s="721"/>
      <c r="AO196" s="741"/>
      <c r="AP196" s="721"/>
      <c r="AQ196" s="721"/>
      <c r="AR196" s="721"/>
      <c r="AS196" s="721"/>
      <c r="AT196" s="741"/>
      <c r="AU196" s="721"/>
      <c r="AV196" s="721"/>
      <c r="AW196" s="721"/>
      <c r="AX196" s="721"/>
      <c r="AY196" s="741"/>
      <c r="AZ196" s="721"/>
      <c r="BA196" s="721"/>
      <c r="BB196" s="721"/>
      <c r="BC196" s="721"/>
      <c r="BD196" s="741"/>
      <c r="BE196" s="721"/>
      <c r="BF196" s="721"/>
      <c r="BG196" s="721"/>
      <c r="BH196" s="721"/>
      <c r="BI196" s="741"/>
      <c r="BJ196" s="721"/>
      <c r="BK196" s="721"/>
      <c r="BL196" s="721"/>
      <c r="BM196" s="721"/>
      <c r="BN196" s="741"/>
      <c r="BO196" s="721"/>
      <c r="BP196" s="721"/>
      <c r="BQ196" s="721"/>
      <c r="BR196" s="721"/>
      <c r="BS196" s="741"/>
      <c r="BT196" s="721"/>
      <c r="BU196" s="721"/>
      <c r="BV196" s="721"/>
      <c r="BW196" s="721"/>
      <c r="BX196" s="741"/>
      <c r="BY196" s="721"/>
      <c r="BZ196" s="721"/>
      <c r="CA196" s="721"/>
      <c r="CB196" s="721"/>
      <c r="CC196" s="741"/>
      <c r="CD196" s="721">
        <f>CD194/CH194</f>
        <v>0.23351374187540669</v>
      </c>
      <c r="CE196" s="721">
        <f>CE194/CH194</f>
        <v>0.24500373733292491</v>
      </c>
      <c r="CF196" s="721">
        <f>CF194/CH194</f>
        <v>0.26189397190497693</v>
      </c>
      <c r="CG196" s="721">
        <f>CG194/CH194</f>
        <v>0.25958854888669142</v>
      </c>
      <c r="CH196" s="741"/>
      <c r="CI196" s="721">
        <f>CI194/CM194</f>
        <v>0.25303557533545873</v>
      </c>
      <c r="CJ196" s="721">
        <f>CJ194/CM194</f>
        <v>0.25829841544993171</v>
      </c>
      <c r="CK196" s="721">
        <f>CK194/CM194</f>
        <v>0.25471048367683158</v>
      </c>
      <c r="CL196" s="721">
        <f>CL194/CM194</f>
        <v>0.23395552553777807</v>
      </c>
      <c r="CM196" s="741"/>
      <c r="CN196" s="721">
        <f>CN194/CR194</f>
        <v>0.23116463856838981</v>
      </c>
      <c r="CO196" s="721">
        <f>CO194/CR194</f>
        <v>0.24160022896449354</v>
      </c>
      <c r="CP196" s="721">
        <f>CP194/CR194</f>
        <v>0.25312485598763979</v>
      </c>
      <c r="CQ196" s="721">
        <f>CQ194/CR194</f>
        <v>0.27411027647947683</v>
      </c>
      <c r="CR196" s="741"/>
      <c r="CS196" s="721">
        <f>CS194/CW194</f>
        <v>0.23689653286046497</v>
      </c>
      <c r="CT196" s="721">
        <f>CT194/CW194</f>
        <v>0.25697252071809662</v>
      </c>
      <c r="CU196" s="721">
        <f>CU194/CW194</f>
        <v>0.26655656925454074</v>
      </c>
      <c r="CV196" s="721">
        <f>CV194/CW194</f>
        <v>0.2395743771668977</v>
      </c>
      <c r="CW196" s="741"/>
      <c r="CX196" s="721">
        <f>CX194/DB194</f>
        <v>0.23568728102240338</v>
      </c>
      <c r="CY196" s="721">
        <f>CY194/DB194</f>
        <v>0.23856245912518564</v>
      </c>
      <c r="CZ196" s="721">
        <f>CZ194/DB194</f>
        <v>0.26182716893959745</v>
      </c>
      <c r="DA196" s="721">
        <f>DA194/DB194</f>
        <v>0.26392309091281368</v>
      </c>
      <c r="DB196" s="741"/>
      <c r="DC196" s="721">
        <f>DC194/DG194</f>
        <v>0.23623811606157272</v>
      </c>
      <c r="DD196" s="721">
        <f>DD194/DG194</f>
        <v>0.26225839250753402</v>
      </c>
      <c r="DE196" s="721">
        <f>DE194/DG194</f>
        <v>0.25502252399591313</v>
      </c>
      <c r="DF196" s="721">
        <f>DF194/DG194</f>
        <v>0.24799611863745358</v>
      </c>
      <c r="DG196" s="741"/>
      <c r="DH196" s="721">
        <f>DH194/DL194</f>
        <v>0.23741654842621554</v>
      </c>
      <c r="DI196" s="721">
        <f>DI194/DL194</f>
        <v>0.25301996749819572</v>
      </c>
      <c r="DJ196" s="721">
        <f>DJ194/DL194</f>
        <v>0.25843431640653769</v>
      </c>
      <c r="DK196" s="721">
        <f>DK194/DL194</f>
        <v>0.25112916766905113</v>
      </c>
      <c r="DL196" s="741"/>
      <c r="DM196" s="721">
        <f>DM194/DQ194</f>
        <v>0.24470515783785277</v>
      </c>
      <c r="DN196" s="721">
        <f>DN194/DQ194</f>
        <v>0.25579359984284744</v>
      </c>
      <c r="DO196" s="721">
        <f>DO194/DQ194</f>
        <v>0.25188103163479358</v>
      </c>
      <c r="DP196" s="721">
        <f>DP194/DQ194</f>
        <v>0.24762021068450613</v>
      </c>
      <c r="DQ196" s="741"/>
      <c r="DR196" s="721">
        <f>DR194/DV194</f>
        <v>0.24772190751366058</v>
      </c>
      <c r="DS196" s="721">
        <f>DS194/DV194</f>
        <v>0.24817877927511198</v>
      </c>
      <c r="DT196" s="721">
        <f>DT194/DV194</f>
        <v>0.25260697939026039</v>
      </c>
      <c r="DU196" s="721">
        <f>DU194/DV194</f>
        <v>0.25149233382096703</v>
      </c>
      <c r="DV196" s="741"/>
      <c r="DW196" s="721">
        <f>DW194/EA194</f>
        <v>0.24176948531760709</v>
      </c>
      <c r="DX196" s="721">
        <f>DX194/EA194</f>
        <v>0.25213469854130816</v>
      </c>
      <c r="DY196" s="721">
        <f>DY194/EA194</f>
        <v>0.25570500300541954</v>
      </c>
      <c r="DZ196" s="721">
        <f>DZ194/EA194</f>
        <v>0.25039081313566525</v>
      </c>
      <c r="EA196" s="741"/>
      <c r="EB196" s="721">
        <f>EB194/EF194</f>
        <v>0.2509933495955689</v>
      </c>
      <c r="EC196" s="721">
        <f>EC194/EF194</f>
        <v>0.25554492516839289</v>
      </c>
      <c r="ED196" s="721">
        <f>ED194/EF194</f>
        <v>0.25132664226478185</v>
      </c>
      <c r="EE196" s="721">
        <f>EE194/EF194</f>
        <v>0.24213508297125633</v>
      </c>
      <c r="EF196" s="741"/>
      <c r="EG196" s="1041"/>
      <c r="EH196" s="721"/>
      <c r="EI196" s="721"/>
      <c r="EJ196" s="1042"/>
      <c r="EK196" s="741"/>
      <c r="EL196" s="1041"/>
      <c r="EM196" s="721"/>
      <c r="EN196" s="721"/>
      <c r="EO196" s="1042"/>
      <c r="EP196" s="741"/>
      <c r="EQ196" s="1041"/>
      <c r="ER196" s="721"/>
      <c r="ES196" s="721"/>
      <c r="ET196" s="1042"/>
      <c r="EU196" s="741"/>
      <c r="EV196" s="1041"/>
      <c r="EW196" s="721"/>
      <c r="EX196" s="721"/>
      <c r="EY196" s="1042"/>
      <c r="EZ196" s="741"/>
      <c r="FA196" s="1041"/>
      <c r="FB196" s="721"/>
      <c r="FC196" s="721"/>
      <c r="FD196" s="1042"/>
      <c r="FE196" s="741"/>
      <c r="FF196" s="721"/>
      <c r="FG196" s="690"/>
      <c r="FH196" s="955">
        <f>AVERAGE(CI196,CN196,DH196,DM196,DC196,CS196,CX196,CD196,BY196,DR196,DW196)</f>
        <v>0.23981489848190324</v>
      </c>
      <c r="FI196" s="955">
        <f>AVERAGE(CJ196,CO196,DI196,DN196,DD196,CT196,CY196,CE196,BZ196,DS196,DX196)</f>
        <v>0.25118227992556297</v>
      </c>
      <c r="FJ196" s="955">
        <f>AVERAGE(CK196,CP196,DJ196,DO196,DE196,CU196,CZ196,CF196,CA196,DT196,DY196)</f>
        <v>0.25717629041965112</v>
      </c>
      <c r="FK196" s="955">
        <f>AVERAGE(CL196,CQ196,DK196,DP196,DF196,CV196,DA196,CG196,CB196,DU196,DZ196)</f>
        <v>0.25197804629313009</v>
      </c>
      <c r="FL196" s="690"/>
      <c r="FM196" s="708"/>
      <c r="FN196" s="708"/>
      <c r="FO196" s="723"/>
      <c r="FP196" s="723"/>
      <c r="FQ196" s="723"/>
      <c r="FR196" s="723"/>
      <c r="FS196" s="723"/>
      <c r="FT196" s="723"/>
      <c r="FU196" s="690"/>
      <c r="FV196"/>
      <c r="FW196"/>
      <c r="FX196"/>
      <c r="FY196"/>
      <c r="FZ196"/>
      <c r="GA196"/>
      <c r="GB196" s="949"/>
      <c r="GC196" s="950"/>
      <c r="GD196" s="950"/>
      <c r="GE196" s="950"/>
      <c r="GF196" s="950"/>
      <c r="GG196" s="950"/>
      <c r="GH196" s="950"/>
      <c r="GI196" s="950"/>
      <c r="GJ196" s="950"/>
      <c r="GK196" s="950"/>
      <c r="GL196" s="950"/>
      <c r="GM196" s="950"/>
      <c r="GN196" s="950"/>
      <c r="GO196" s="950"/>
      <c r="GP196" s="950"/>
      <c r="GQ196" s="950"/>
      <c r="GR196" s="950"/>
      <c r="GS196" s="950"/>
      <c r="GT196" s="950"/>
      <c r="GU196" s="950"/>
      <c r="GV196" s="950"/>
      <c r="GW196" s="950"/>
      <c r="GX196" s="950"/>
      <c r="GY196" s="950"/>
      <c r="GZ196" s="950"/>
      <c r="HA196" s="950"/>
      <c r="HB196" s="950"/>
      <c r="HC196" s="950"/>
      <c r="HD196" s="950"/>
      <c r="HE196" s="950"/>
      <c r="HF196" s="950"/>
      <c r="HG196" s="950"/>
      <c r="HH196" s="950"/>
      <c r="HI196" s="950"/>
      <c r="HJ196" s="950"/>
      <c r="HK196" s="950"/>
      <c r="HL196" s="950"/>
      <c r="HM196" s="950"/>
      <c r="HN196" s="950"/>
      <c r="HO196" s="950"/>
      <c r="HP196" s="950"/>
      <c r="HQ196" s="950"/>
      <c r="HR196" s="950"/>
      <c r="HS196" s="950"/>
      <c r="HT196" s="950"/>
      <c r="HU196" s="950"/>
      <c r="HV196" s="950"/>
      <c r="HW196" s="950"/>
      <c r="HX196" s="950"/>
      <c r="HY196" s="950"/>
      <c r="HZ196" s="950"/>
      <c r="IA196" s="950"/>
      <c r="IB196" s="950"/>
      <c r="IC196" s="950"/>
      <c r="ID196" s="950"/>
      <c r="IE196" s="950"/>
      <c r="IF196" s="950"/>
      <c r="IG196" s="950"/>
      <c r="IH196" s="950"/>
      <c r="II196" s="950"/>
      <c r="IJ196" s="950"/>
      <c r="IK196" s="950"/>
      <c r="IL196" s="950"/>
      <c r="IM196" s="950"/>
      <c r="IN196" s="950"/>
      <c r="IO196" s="950"/>
      <c r="IP196" s="950"/>
      <c r="IQ196" s="950"/>
      <c r="IR196" s="950"/>
      <c r="IS196" s="950"/>
      <c r="IT196" s="950"/>
      <c r="IU196" s="950"/>
      <c r="IV196" s="950"/>
      <c r="IW196" s="950"/>
      <c r="IX196" s="950"/>
      <c r="IY196" s="950"/>
      <c r="IZ196" s="950"/>
      <c r="JA196" s="950"/>
      <c r="JB196" s="950"/>
      <c r="JC196" s="950"/>
      <c r="JD196" s="950"/>
      <c r="JE196" s="950"/>
      <c r="JF196" s="950"/>
      <c r="JG196" s="950"/>
      <c r="JH196" s="950"/>
      <c r="JI196" s="950"/>
      <c r="JJ196" s="950"/>
      <c r="JK196" s="950"/>
      <c r="JL196" s="950"/>
    </row>
    <row r="197" spans="1:272" s="1285" customFormat="1" ht="12.75" customHeight="1">
      <c r="A197" s="54" t="s">
        <v>106</v>
      </c>
      <c r="B197" s="1271"/>
      <c r="C197" s="1271"/>
      <c r="D197" s="1271"/>
      <c r="E197" s="1271"/>
      <c r="F197" s="1272"/>
      <c r="G197" s="1271"/>
      <c r="H197" s="1271"/>
      <c r="I197" s="1271"/>
      <c r="J197" s="1271"/>
      <c r="K197" s="1272"/>
      <c r="L197" s="1271"/>
      <c r="M197" s="1271"/>
      <c r="N197" s="1271"/>
      <c r="O197" s="1271"/>
      <c r="P197" s="1272"/>
      <c r="Q197" s="1271"/>
      <c r="R197" s="1271"/>
      <c r="S197" s="1271"/>
      <c r="T197" s="1271"/>
      <c r="U197" s="1272"/>
      <c r="V197" s="1271"/>
      <c r="W197" s="1271"/>
      <c r="X197" s="1271"/>
      <c r="Y197" s="1271"/>
      <c r="Z197" s="1272"/>
      <c r="AA197" s="1271"/>
      <c r="AB197" s="1271"/>
      <c r="AC197" s="1271"/>
      <c r="AD197" s="1271"/>
      <c r="AE197" s="1272"/>
      <c r="AF197" s="1271"/>
      <c r="AG197" s="1271"/>
      <c r="AH197" s="1271"/>
      <c r="AI197" s="1271"/>
      <c r="AJ197" s="1272"/>
      <c r="AK197" s="1271"/>
      <c r="AL197" s="1271"/>
      <c r="AM197" s="1271"/>
      <c r="AN197" s="1271"/>
      <c r="AO197" s="1272"/>
      <c r="AP197" s="1271"/>
      <c r="AQ197" s="1271"/>
      <c r="AR197" s="1271"/>
      <c r="AS197" s="1271"/>
      <c r="AT197" s="1272"/>
      <c r="AU197" s="1271"/>
      <c r="AV197" s="1271"/>
      <c r="AW197" s="1271"/>
      <c r="AX197" s="1271"/>
      <c r="AY197" s="1272"/>
      <c r="AZ197" s="1271"/>
      <c r="BA197" s="1271"/>
      <c r="BB197" s="1271"/>
      <c r="BC197" s="1271"/>
      <c r="BD197" s="1272"/>
      <c r="BE197" s="1271"/>
      <c r="BF197" s="1271"/>
      <c r="BG197" s="1271"/>
      <c r="BH197" s="1271"/>
      <c r="BI197" s="1272"/>
      <c r="BJ197" s="1271"/>
      <c r="BK197" s="1271"/>
      <c r="BL197" s="1271"/>
      <c r="BM197" s="1271"/>
      <c r="BN197" s="1272"/>
      <c r="BO197" s="1271"/>
      <c r="BP197" s="1271"/>
      <c r="BQ197" s="1271"/>
      <c r="BR197" s="1271"/>
      <c r="BS197" s="1272"/>
      <c r="BT197" s="1271"/>
      <c r="BU197" s="1271"/>
      <c r="BV197" s="1271"/>
      <c r="BW197" s="1271"/>
      <c r="BX197" s="1272"/>
      <c r="BY197" s="1271"/>
      <c r="BZ197" s="1271"/>
      <c r="CA197" s="1271"/>
      <c r="CB197" s="1271"/>
      <c r="CC197" s="1272"/>
      <c r="CD197" s="1271"/>
      <c r="CE197" s="1271"/>
      <c r="CF197" s="1271"/>
      <c r="CG197" s="1271"/>
      <c r="CH197" s="1272"/>
      <c r="CI197" s="1273"/>
      <c r="CJ197" s="1273"/>
      <c r="CK197" s="1273"/>
      <c r="CL197" s="1273"/>
      <c r="CM197" s="1272"/>
      <c r="CN197" s="1273"/>
      <c r="CO197" s="1273"/>
      <c r="CP197" s="1273"/>
      <c r="CQ197" s="1273"/>
      <c r="CR197" s="1272"/>
      <c r="CS197" s="1273"/>
      <c r="CT197" s="1273"/>
      <c r="CU197" s="1273"/>
      <c r="CV197" s="1273"/>
      <c r="CW197" s="1272"/>
      <c r="CX197" s="1274"/>
      <c r="CY197" s="1274"/>
      <c r="CZ197" s="1274"/>
      <c r="DA197" s="1274"/>
      <c r="DB197" s="1272"/>
      <c r="DC197" s="1274"/>
      <c r="DD197" s="1274"/>
      <c r="DE197" s="1274"/>
      <c r="DF197" s="1274"/>
      <c r="DG197" s="1272"/>
      <c r="DH197" s="1274"/>
      <c r="DI197" s="1275"/>
      <c r="DJ197" s="1275"/>
      <c r="DK197" s="1275"/>
      <c r="DL197" s="1272"/>
      <c r="DM197" s="1275"/>
      <c r="DN197" s="1275"/>
      <c r="DO197" s="1275"/>
      <c r="DP197" s="1275"/>
      <c r="DQ197" s="1272"/>
      <c r="DR197" s="1275"/>
      <c r="DS197" s="1275"/>
      <c r="DT197" s="1275"/>
      <c r="DU197" s="1275"/>
      <c r="DV197" s="1272"/>
      <c r="DW197" s="1275"/>
      <c r="DX197" s="1275"/>
      <c r="DY197" s="1275"/>
      <c r="DZ197" s="1275"/>
      <c r="EA197" s="1438">
        <f>+SUM(DW204:DZ204)</f>
        <v>282.01499999999999</v>
      </c>
      <c r="EB197" s="1275"/>
      <c r="EC197" s="1275"/>
      <c r="ED197" s="1275"/>
      <c r="EE197" s="1275"/>
      <c r="EF197" s="1438">
        <f>+SUM(EB204:EE204)</f>
        <v>299.43220372299999</v>
      </c>
      <c r="EG197" s="1278"/>
      <c r="EH197" s="1275"/>
      <c r="EI197" s="1275"/>
      <c r="EJ197" s="1279"/>
      <c r="EK197" s="1272"/>
      <c r="EL197" s="1278"/>
      <c r="EM197" s="1275"/>
      <c r="EN197" s="1275"/>
      <c r="EO197" s="1279"/>
      <c r="EP197" s="1272"/>
      <c r="EQ197" s="1278"/>
      <c r="ER197" s="1275"/>
      <c r="ES197" s="1275"/>
      <c r="ET197" s="1279"/>
      <c r="EU197" s="1272"/>
      <c r="EV197" s="1278"/>
      <c r="EW197" s="1275"/>
      <c r="EX197" s="1275"/>
      <c r="EY197" s="1279"/>
      <c r="EZ197" s="1272"/>
      <c r="FA197" s="1278"/>
      <c r="FB197" s="1275"/>
      <c r="FC197" s="1275"/>
      <c r="FD197" s="1279"/>
      <c r="FE197" s="1272"/>
      <c r="FF197" s="1280"/>
      <c r="FG197" s="690"/>
      <c r="FH197" s="754"/>
      <c r="FI197" s="754"/>
      <c r="FJ197" s="754"/>
      <c r="FK197" s="754"/>
      <c r="FL197" s="690"/>
      <c r="FM197" s="1281"/>
      <c r="FN197" s="1281"/>
      <c r="FO197" s="1282"/>
      <c r="FP197" s="1282"/>
      <c r="FQ197" s="1282"/>
      <c r="FR197" s="1282"/>
      <c r="FS197" s="1282"/>
      <c r="FT197" s="1282"/>
      <c r="FU197" s="690"/>
      <c r="FV197"/>
      <c r="FW197"/>
      <c r="FX197"/>
      <c r="FY197"/>
      <c r="FZ197"/>
      <c r="GA197"/>
      <c r="GB197" s="1280"/>
      <c r="GC197" s="1284"/>
      <c r="GD197" s="1284"/>
      <c r="GE197" s="1284"/>
      <c r="GF197" s="1284"/>
      <c r="GG197" s="1284"/>
      <c r="GH197" s="1284"/>
      <c r="GI197" s="1284"/>
      <c r="GJ197" s="1284"/>
      <c r="GK197" s="1284"/>
      <c r="GL197" s="1284"/>
      <c r="GM197" s="1284"/>
      <c r="GN197" s="1284"/>
      <c r="GO197" s="1284"/>
      <c r="GP197" s="1284"/>
      <c r="GQ197" s="1284"/>
      <c r="GR197" s="1284"/>
      <c r="GS197" s="1284"/>
      <c r="GT197" s="1284"/>
      <c r="GU197" s="1284"/>
      <c r="GV197" s="1284"/>
      <c r="GW197" s="1284"/>
      <c r="GX197" s="1284"/>
      <c r="GY197" s="1284"/>
      <c r="GZ197" s="1284"/>
      <c r="HA197" s="1284"/>
      <c r="HB197" s="1284"/>
      <c r="HC197" s="1284"/>
      <c r="HD197" s="1284"/>
      <c r="HE197" s="1284"/>
      <c r="HF197" s="1284"/>
      <c r="HG197" s="1284"/>
      <c r="HH197" s="1284"/>
      <c r="HI197" s="1284"/>
      <c r="HJ197" s="1284"/>
      <c r="HK197" s="1284"/>
      <c r="HL197" s="1284"/>
      <c r="HM197" s="1284"/>
      <c r="HN197" s="1284"/>
      <c r="HO197" s="1284"/>
      <c r="HP197" s="1284"/>
      <c r="HQ197" s="1284"/>
      <c r="HR197" s="1284"/>
      <c r="HS197" s="1284"/>
      <c r="HT197" s="1284"/>
      <c r="HU197" s="1284"/>
      <c r="HV197" s="1284"/>
      <c r="HW197" s="1284"/>
      <c r="HX197" s="1284"/>
      <c r="HY197" s="1284"/>
      <c r="HZ197" s="1284"/>
      <c r="IA197" s="1284"/>
      <c r="IB197" s="1284"/>
      <c r="IC197" s="1284"/>
      <c r="ID197" s="1284"/>
      <c r="IE197" s="1284"/>
      <c r="IF197" s="1284"/>
      <c r="IG197" s="1284"/>
      <c r="IH197" s="1284"/>
      <c r="II197" s="1284"/>
      <c r="IJ197" s="1284"/>
      <c r="IK197" s="1284"/>
      <c r="IL197" s="1284"/>
      <c r="IM197" s="1284"/>
      <c r="IN197" s="1284"/>
      <c r="IO197" s="1284"/>
      <c r="IP197" s="1284"/>
      <c r="IQ197" s="1284"/>
      <c r="IR197" s="1284"/>
      <c r="IS197" s="1284"/>
      <c r="IT197" s="1284"/>
      <c r="IU197" s="1284"/>
      <c r="IV197" s="1284"/>
      <c r="IW197" s="1284"/>
      <c r="IX197" s="1284"/>
      <c r="IY197" s="1284"/>
      <c r="IZ197" s="1284"/>
      <c r="JA197" s="1284"/>
      <c r="JB197" s="1284"/>
      <c r="JC197" s="1284"/>
      <c r="JD197" s="1284"/>
      <c r="JE197" s="1284"/>
      <c r="JF197" s="1284"/>
      <c r="JG197" s="1284"/>
      <c r="JH197" s="1284"/>
      <c r="JI197" s="1284"/>
      <c r="JJ197" s="1284"/>
      <c r="JK197" s="1284"/>
      <c r="JL197" s="1284"/>
    </row>
    <row r="198" spans="1:272" s="726" customFormat="1" ht="12.75" customHeight="1">
      <c r="A198" s="1439" t="s">
        <v>389</v>
      </c>
      <c r="B198" s="1292"/>
      <c r="C198" s="1016"/>
      <c r="D198" s="1016"/>
      <c r="E198" s="1016"/>
      <c r="F198" s="808"/>
      <c r="G198" s="1149"/>
      <c r="H198" s="1149"/>
      <c r="I198" s="1149"/>
      <c r="J198" s="1149"/>
      <c r="K198" s="808"/>
      <c r="L198" s="1149"/>
      <c r="M198" s="1149"/>
      <c r="N198" s="1149"/>
      <c r="O198" s="1149"/>
      <c r="P198" s="808"/>
      <c r="Q198" s="1149"/>
      <c r="R198" s="1149"/>
      <c r="S198" s="1149"/>
      <c r="T198" s="1149"/>
      <c r="U198" s="808"/>
      <c r="V198" s="1149"/>
      <c r="W198" s="1149"/>
      <c r="X198" s="1149"/>
      <c r="Y198" s="1149"/>
      <c r="Z198" s="808"/>
      <c r="AA198" s="1149"/>
      <c r="AB198" s="1149"/>
      <c r="AC198" s="1149"/>
      <c r="AD198" s="1149"/>
      <c r="AE198" s="808"/>
      <c r="AF198" s="1149"/>
      <c r="AG198" s="1149"/>
      <c r="AH198" s="1149"/>
      <c r="AI198" s="1149"/>
      <c r="AJ198" s="808"/>
      <c r="AK198" s="1149"/>
      <c r="AL198" s="1149"/>
      <c r="AM198" s="1149"/>
      <c r="AN198" s="1149"/>
      <c r="AO198" s="808"/>
      <c r="AP198" s="1149"/>
      <c r="AQ198" s="1149"/>
      <c r="AR198" s="1149"/>
      <c r="AS198" s="1149"/>
      <c r="AT198" s="808"/>
      <c r="AU198" s="1149"/>
      <c r="AV198" s="1149"/>
      <c r="AW198" s="1149"/>
      <c r="AX198" s="1149"/>
      <c r="AY198" s="808"/>
      <c r="AZ198" s="1149"/>
      <c r="BA198" s="1149"/>
      <c r="BB198" s="1149"/>
      <c r="BC198" s="1149"/>
      <c r="BD198" s="808"/>
      <c r="BE198" s="1149"/>
      <c r="BF198" s="1149"/>
      <c r="BG198" s="1149"/>
      <c r="BH198" s="1149"/>
      <c r="BI198" s="808"/>
      <c r="BJ198" s="1149"/>
      <c r="BK198" s="1149"/>
      <c r="BL198" s="1149"/>
      <c r="BM198" s="1149"/>
      <c r="BN198" s="1298">
        <f>BN120</f>
        <v>2817.9369999999999</v>
      </c>
      <c r="BO198" s="780">
        <f t="shared" ref="BO198:DX198" si="535">BO120</f>
        <v>672.31299999999999</v>
      </c>
      <c r="BP198" s="780">
        <f t="shared" si="535"/>
        <v>746.48599999999999</v>
      </c>
      <c r="BQ198" s="780">
        <f t="shared" si="535"/>
        <v>783.32799999999997</v>
      </c>
      <c r="BR198" s="780">
        <f t="shared" si="535"/>
        <v>781.25800000000004</v>
      </c>
      <c r="BS198" s="1298">
        <f t="shared" si="535"/>
        <v>2983.3850000000002</v>
      </c>
      <c r="BT198" s="780">
        <f t="shared" si="535"/>
        <v>754.14300000000003</v>
      </c>
      <c r="BU198" s="780">
        <f t="shared" si="535"/>
        <v>787.322</v>
      </c>
      <c r="BV198" s="780">
        <f t="shared" si="535"/>
        <v>826.00099999999998</v>
      </c>
      <c r="BW198" s="780">
        <f t="shared" si="535"/>
        <v>819.32999999999993</v>
      </c>
      <c r="BX198" s="1298">
        <f t="shared" si="535"/>
        <v>3186.7960000000003</v>
      </c>
      <c r="BY198" s="780">
        <f t="shared" si="535"/>
        <v>836.16000000000008</v>
      </c>
      <c r="BZ198" s="780">
        <f t="shared" si="535"/>
        <v>911.13499999999999</v>
      </c>
      <c r="CA198" s="780">
        <f>CA120</f>
        <v>958.74200000000008</v>
      </c>
      <c r="CB198" s="780">
        <f t="shared" si="535"/>
        <v>952.52699999999993</v>
      </c>
      <c r="CC198" s="1298">
        <f t="shared" si="535"/>
        <v>3658.5640000000003</v>
      </c>
      <c r="CD198" s="780">
        <f t="shared" si="535"/>
        <v>935.59499999999991</v>
      </c>
      <c r="CE198" s="780">
        <f t="shared" si="535"/>
        <v>1021.5650000000001</v>
      </c>
      <c r="CF198" s="780">
        <f t="shared" si="535"/>
        <v>1084.4569999999999</v>
      </c>
      <c r="CG198" s="780">
        <f t="shared" si="535"/>
        <v>1073.9580000000001</v>
      </c>
      <c r="CH198" s="1298">
        <f t="shared" si="535"/>
        <v>4115.5749999999998</v>
      </c>
      <c r="CI198" s="780">
        <f t="shared" si="535"/>
        <v>1045.992</v>
      </c>
      <c r="CJ198" s="780">
        <f t="shared" si="535"/>
        <v>1100.0520000000001</v>
      </c>
      <c r="CK198" s="780">
        <f t="shared" si="535"/>
        <v>1076.807</v>
      </c>
      <c r="CL198" s="780">
        <f t="shared" si="535"/>
        <v>998.62700000000007</v>
      </c>
      <c r="CM198" s="1298">
        <f t="shared" si="535"/>
        <v>4221.4780000000001</v>
      </c>
      <c r="CN198" s="780">
        <f>CN120</f>
        <v>1002.191</v>
      </c>
      <c r="CO198" s="780">
        <f t="shared" si="535"/>
        <v>1073.7170000000001</v>
      </c>
      <c r="CP198" s="780">
        <f t="shared" si="535"/>
        <v>1111.2930000000001</v>
      </c>
      <c r="CQ198" s="780">
        <f t="shared" si="535"/>
        <v>1200.162</v>
      </c>
      <c r="CR198" s="1298">
        <f t="shared" si="535"/>
        <v>4387.3630000000003</v>
      </c>
      <c r="CS198" s="780">
        <f t="shared" si="535"/>
        <v>1201.5810000000001</v>
      </c>
      <c r="CT198" s="780">
        <f t="shared" si="535"/>
        <v>1339.6849999999999</v>
      </c>
      <c r="CU198" s="780">
        <f t="shared" si="535"/>
        <v>1370.1689999999999</v>
      </c>
      <c r="CV198" s="780">
        <f t="shared" si="535"/>
        <v>1125.3820000000001</v>
      </c>
      <c r="CW198" s="1298">
        <f>CW120</f>
        <v>5036.817</v>
      </c>
      <c r="CX198" s="780">
        <f t="shared" si="535"/>
        <v>962.93200000000002</v>
      </c>
      <c r="CY198" s="780">
        <f t="shared" si="535"/>
        <v>1056.3330000000001</v>
      </c>
      <c r="CZ198" s="780">
        <f t="shared" si="535"/>
        <v>1133.4409999999998</v>
      </c>
      <c r="DA198" s="780">
        <f t="shared" si="535"/>
        <v>1116.5329999999999</v>
      </c>
      <c r="DB198" s="1298">
        <f t="shared" si="535"/>
        <v>4269.2389999999996</v>
      </c>
      <c r="DC198" s="780">
        <f t="shared" si="535"/>
        <v>1161.9110000000001</v>
      </c>
      <c r="DD198" s="780">
        <f t="shared" si="535"/>
        <v>1306.2629999999999</v>
      </c>
      <c r="DE198" s="780">
        <f t="shared" si="535"/>
        <v>1270.1716999999999</v>
      </c>
      <c r="DF198" s="780">
        <f t="shared" si="535"/>
        <v>1213.6429999999998</v>
      </c>
      <c r="DG198" s="1298">
        <f t="shared" si="535"/>
        <v>4951.9886999999999</v>
      </c>
      <c r="DH198" s="780">
        <f>DH120</f>
        <v>1245.6270000000002</v>
      </c>
      <c r="DI198" s="780">
        <f t="shared" si="535"/>
        <v>1348.549</v>
      </c>
      <c r="DJ198" s="780">
        <f t="shared" si="535"/>
        <v>1377.049</v>
      </c>
      <c r="DK198" s="780">
        <f t="shared" si="535"/>
        <v>1318.6979999999999</v>
      </c>
      <c r="DL198" s="1298">
        <f t="shared" si="535"/>
        <v>5289.9230000000007</v>
      </c>
      <c r="DM198" s="780">
        <f t="shared" si="535"/>
        <v>1366.1610000000001</v>
      </c>
      <c r="DN198" s="780">
        <f t="shared" si="535"/>
        <v>1446.096</v>
      </c>
      <c r="DO198" s="780">
        <f t="shared" si="535"/>
        <v>1404.1129999999998</v>
      </c>
      <c r="DP198" s="780">
        <f t="shared" si="535"/>
        <v>1363.876</v>
      </c>
      <c r="DQ198" s="1298">
        <f t="shared" si="535"/>
        <v>5580.2460000000001</v>
      </c>
      <c r="DR198" s="780">
        <f>DR120</f>
        <v>1336.164</v>
      </c>
      <c r="DS198" s="780">
        <f>DS120</f>
        <v>1381.3699999999997</v>
      </c>
      <c r="DT198" s="780">
        <f>DT120</f>
        <v>1398.021</v>
      </c>
      <c r="DU198" s="780">
        <f>DU120</f>
        <v>1357.8009999999997</v>
      </c>
      <c r="DV198" s="1298">
        <f t="shared" si="535"/>
        <v>5473.3559999999989</v>
      </c>
      <c r="DW198" s="780">
        <f t="shared" si="535"/>
        <v>1368.8430000000001</v>
      </c>
      <c r="DX198" s="780">
        <f t="shared" si="535"/>
        <v>1492.3489999999999</v>
      </c>
      <c r="DY198" s="780">
        <f>DY120</f>
        <v>1504.15</v>
      </c>
      <c r="DZ198" s="780">
        <f>DZ120</f>
        <v>1440.7270000000001</v>
      </c>
      <c r="EA198" s="1298">
        <f>EA120</f>
        <v>5806.0690000000004</v>
      </c>
      <c r="EB198" s="780">
        <f>EB120</f>
        <v>1372.431</v>
      </c>
      <c r="EC198" s="780">
        <f>EC120</f>
        <v>1427.3140000000001</v>
      </c>
      <c r="ED198" s="780">
        <f t="shared" ref="ED198:EF198" si="536">ED120</f>
        <v>1408.3240000000001</v>
      </c>
      <c r="EE198" s="780">
        <f t="shared" si="536"/>
        <v>1346.793473804255</v>
      </c>
      <c r="EF198" s="1298">
        <f t="shared" si="536"/>
        <v>5554.8624738042545</v>
      </c>
      <c r="EG198" s="783">
        <f>EG120</f>
        <v>830.5</v>
      </c>
      <c r="EH198" s="780">
        <f t="shared" ref="EH198:EJ198" si="537">EH120</f>
        <v>877.5</v>
      </c>
      <c r="EI198" s="780">
        <f t="shared" si="537"/>
        <v>883.5</v>
      </c>
      <c r="EJ198" s="781">
        <f t="shared" si="537"/>
        <v>853.8</v>
      </c>
      <c r="EK198" s="1298">
        <f>EK120</f>
        <v>3445.3</v>
      </c>
      <c r="EL198" s="783">
        <f>EL120</f>
        <v>879.2</v>
      </c>
      <c r="EM198" s="780">
        <f t="shared" ref="EM198:EU198" si="538">EM120</f>
        <v>946.1</v>
      </c>
      <c r="EN198" s="780">
        <f t="shared" si="538"/>
        <v>928.5</v>
      </c>
      <c r="EO198" s="781">
        <f t="shared" si="538"/>
        <v>887.4</v>
      </c>
      <c r="EP198" s="1298">
        <f t="shared" si="538"/>
        <v>3641.2000000000003</v>
      </c>
      <c r="EQ198" s="783">
        <f t="shared" si="538"/>
        <v>916.90142085298601</v>
      </c>
      <c r="ER198" s="780">
        <f>ER120</f>
        <v>992.2119816952785</v>
      </c>
      <c r="ES198" s="780">
        <f t="shared" si="538"/>
        <v>969.82290600805663</v>
      </c>
      <c r="ET198" s="781">
        <f t="shared" si="538"/>
        <v>959.03196345218169</v>
      </c>
      <c r="EU198" s="1298">
        <f t="shared" si="538"/>
        <v>3837.9682720085025</v>
      </c>
      <c r="EV198" s="783">
        <f t="shared" ref="EV198" si="539">EV120</f>
        <v>879.2</v>
      </c>
      <c r="EW198" s="780">
        <f>EW120</f>
        <v>1063.8466893918421</v>
      </c>
      <c r="EX198" s="780">
        <f t="shared" ref="EX198:FA198" si="540">EX120</f>
        <v>1050.6265453842775</v>
      </c>
      <c r="EY198" s="781">
        <f t="shared" si="540"/>
        <v>1007.4229010161635</v>
      </c>
      <c r="EZ198" s="1298">
        <f t="shared" si="540"/>
        <v>4066.467570205873</v>
      </c>
      <c r="FA198" s="783">
        <f t="shared" si="540"/>
        <v>-20</v>
      </c>
      <c r="FB198" s="780">
        <f>FB120</f>
        <v>-20</v>
      </c>
      <c r="FC198" s="780">
        <f t="shared" ref="FC198:FE198" si="541">FC120</f>
        <v>-20</v>
      </c>
      <c r="FD198" s="781">
        <f t="shared" si="541"/>
        <v>-20</v>
      </c>
      <c r="FE198" s="1298">
        <f t="shared" si="541"/>
        <v>4302.8544805762704</v>
      </c>
      <c r="FF198" s="721"/>
      <c r="FG198" s="690"/>
      <c r="FH198" s="754"/>
      <c r="FI198" s="754"/>
      <c r="FJ198" s="754"/>
      <c r="FK198" s="754"/>
      <c r="FL198" s="690"/>
      <c r="FM198" s="708"/>
      <c r="FN198" s="708"/>
      <c r="FO198" s="723"/>
      <c r="FP198" s="723"/>
      <c r="FQ198" s="723"/>
      <c r="FR198" s="723"/>
      <c r="FS198" s="723"/>
      <c r="FT198" s="723"/>
      <c r="FU198" s="690"/>
      <c r="FV198"/>
      <c r="FW198"/>
      <c r="FX198"/>
      <c r="FY198"/>
      <c r="FZ198"/>
      <c r="GA198"/>
      <c r="GB198" s="1440"/>
      <c r="GC198" s="535"/>
      <c r="GD198" s="535"/>
      <c r="GE198" s="535"/>
      <c r="GF198" s="535"/>
      <c r="GG198" s="535"/>
      <c r="GH198" s="535"/>
      <c r="GI198" s="535"/>
      <c r="GJ198" s="535"/>
      <c r="GK198" s="535"/>
      <c r="GL198" s="535"/>
      <c r="GM198" s="535"/>
      <c r="GN198" s="535"/>
      <c r="GO198" s="535"/>
      <c r="GP198" s="535"/>
      <c r="GQ198" s="535"/>
      <c r="GR198" s="535"/>
      <c r="GS198" s="535"/>
      <c r="GT198" s="535"/>
      <c r="GU198" s="535"/>
      <c r="GV198" s="535"/>
      <c r="GW198" s="535"/>
      <c r="GX198" s="535"/>
      <c r="GY198" s="535"/>
      <c r="GZ198" s="535"/>
      <c r="HA198" s="535"/>
      <c r="HB198" s="535"/>
      <c r="HC198" s="535"/>
      <c r="HD198" s="535"/>
      <c r="HE198" s="535"/>
      <c r="HF198" s="535"/>
      <c r="HG198" s="535"/>
      <c r="HH198" s="535"/>
      <c r="HI198" s="535"/>
      <c r="HJ198" s="535"/>
      <c r="HK198" s="535"/>
      <c r="HL198" s="535"/>
      <c r="HM198" s="535"/>
      <c r="HN198" s="535"/>
      <c r="HO198" s="535"/>
      <c r="HP198" s="535"/>
      <c r="HQ198" s="535"/>
      <c r="HR198" s="535"/>
      <c r="HS198" s="535"/>
      <c r="HT198" s="535"/>
      <c r="HU198" s="535"/>
      <c r="HV198" s="535"/>
      <c r="HW198" s="535"/>
      <c r="HX198" s="535"/>
      <c r="HY198" s="535"/>
      <c r="HZ198" s="535"/>
      <c r="IA198" s="535"/>
      <c r="IB198" s="535"/>
      <c r="IC198" s="535"/>
      <c r="ID198" s="535"/>
      <c r="IE198" s="535"/>
      <c r="IF198" s="535"/>
      <c r="IG198" s="535"/>
      <c r="IH198" s="535"/>
      <c r="II198" s="535"/>
      <c r="IJ198" s="535"/>
      <c r="IK198" s="535"/>
      <c r="IL198" s="535"/>
      <c r="IM198" s="535"/>
      <c r="IN198" s="535"/>
      <c r="IO198" s="535"/>
      <c r="IP198" s="535"/>
      <c r="IQ198" s="535"/>
      <c r="IR198" s="535"/>
      <c r="IS198" s="535"/>
      <c r="IT198" s="535"/>
      <c r="IU198" s="535"/>
      <c r="IV198" s="535"/>
      <c r="IW198" s="535"/>
      <c r="IX198" s="535"/>
      <c r="IY198" s="535"/>
      <c r="IZ198" s="535"/>
      <c r="JA198" s="535"/>
      <c r="JB198" s="535"/>
      <c r="JC198" s="535"/>
      <c r="JD198" s="535"/>
      <c r="JE198" s="535"/>
      <c r="JF198" s="535"/>
      <c r="JG198" s="535"/>
      <c r="JH198" s="535"/>
      <c r="JI198" s="535"/>
      <c r="JJ198" s="535"/>
      <c r="JK198" s="535"/>
      <c r="JL198" s="535"/>
    </row>
    <row r="199" spans="1:272" s="749" customFormat="1" ht="12.75" customHeight="1">
      <c r="A199" s="1068" t="s">
        <v>85</v>
      </c>
      <c r="B199" s="815"/>
      <c r="C199" s="815"/>
      <c r="D199" s="815"/>
      <c r="E199" s="815"/>
      <c r="F199" s="816"/>
      <c r="G199" s="817"/>
      <c r="H199" s="817"/>
      <c r="I199" s="817"/>
      <c r="J199" s="817"/>
      <c r="K199" s="816"/>
      <c r="L199" s="817"/>
      <c r="M199" s="817"/>
      <c r="N199" s="817"/>
      <c r="O199" s="817"/>
      <c r="P199" s="816"/>
      <c r="Q199" s="817"/>
      <c r="R199" s="817"/>
      <c r="S199" s="817"/>
      <c r="T199" s="817"/>
      <c r="U199" s="816"/>
      <c r="V199" s="817"/>
      <c r="W199" s="817"/>
      <c r="X199" s="817"/>
      <c r="Y199" s="817"/>
      <c r="Z199" s="816"/>
      <c r="AA199" s="817"/>
      <c r="AB199" s="817"/>
      <c r="AC199" s="817"/>
      <c r="AD199" s="817"/>
      <c r="AE199" s="816"/>
      <c r="AF199" s="817"/>
      <c r="AG199" s="817"/>
      <c r="AH199" s="817"/>
      <c r="AI199" s="817"/>
      <c r="AJ199" s="816"/>
      <c r="AK199" s="817"/>
      <c r="AL199" s="817"/>
      <c r="AM199" s="817"/>
      <c r="AN199" s="817"/>
      <c r="AO199" s="816"/>
      <c r="AP199" s="817"/>
      <c r="AQ199" s="817"/>
      <c r="AR199" s="817"/>
      <c r="AS199" s="817"/>
      <c r="AT199" s="816"/>
      <c r="AU199" s="817"/>
      <c r="AV199" s="817"/>
      <c r="AW199" s="817"/>
      <c r="AX199" s="817"/>
      <c r="AY199" s="816"/>
      <c r="AZ199" s="817"/>
      <c r="BA199" s="817"/>
      <c r="BB199" s="817"/>
      <c r="BC199" s="817"/>
      <c r="BD199" s="816"/>
      <c r="BE199" s="817"/>
      <c r="BF199" s="817"/>
      <c r="BG199" s="817"/>
      <c r="BH199" s="817"/>
      <c r="BI199" s="816"/>
      <c r="BJ199" s="817"/>
      <c r="BK199" s="817"/>
      <c r="BL199" s="817"/>
      <c r="BM199" s="817"/>
      <c r="BN199" s="816"/>
      <c r="BO199" s="817"/>
      <c r="BP199" s="817"/>
      <c r="BQ199" s="817"/>
      <c r="BR199" s="817"/>
      <c r="BS199" s="816"/>
      <c r="BT199" s="817">
        <f>BT198/BO198-1</f>
        <v>0.1217141420737069</v>
      </c>
      <c r="BU199" s="817">
        <f>BU198/BP198-1</f>
        <v>5.4704307917362138E-2</v>
      </c>
      <c r="BV199" s="817">
        <f>BV198/BQ198-1</f>
        <v>5.4476541116875721E-2</v>
      </c>
      <c r="BW199" s="817">
        <f>BW198/BR198-1</f>
        <v>4.8731660987791248E-2</v>
      </c>
      <c r="BX199" s="816">
        <f>BX198/BS198-1</f>
        <v>6.8181277307487909E-2</v>
      </c>
      <c r="BY199" s="817">
        <f t="shared" ref="BY199:EF199" si="542">BY198/BT198-1</f>
        <v>0.10875523607591675</v>
      </c>
      <c r="BZ199" s="817">
        <f t="shared" si="542"/>
        <v>0.15725840253416012</v>
      </c>
      <c r="CA199" s="817">
        <f t="shared" si="542"/>
        <v>0.1607031952745821</v>
      </c>
      <c r="CB199" s="817">
        <f t="shared" si="542"/>
        <v>0.16256819596499583</v>
      </c>
      <c r="CC199" s="816">
        <f t="shared" si="542"/>
        <v>0.14803834321368536</v>
      </c>
      <c r="CD199" s="817">
        <f t="shared" si="542"/>
        <v>0.11891862801377706</v>
      </c>
      <c r="CE199" s="817">
        <f t="shared" si="542"/>
        <v>0.12120048071910317</v>
      </c>
      <c r="CF199" s="817">
        <f t="shared" si="542"/>
        <v>0.13112495332425178</v>
      </c>
      <c r="CG199" s="817">
        <f t="shared" si="542"/>
        <v>0.12748300048187633</v>
      </c>
      <c r="CH199" s="816">
        <f t="shared" si="542"/>
        <v>0.12491540396723955</v>
      </c>
      <c r="CI199" s="817">
        <f t="shared" si="542"/>
        <v>0.11799656902826561</v>
      </c>
      <c r="CJ199" s="817">
        <f t="shared" si="542"/>
        <v>7.6830157650271902E-2</v>
      </c>
      <c r="CK199" s="817">
        <f t="shared" si="542"/>
        <v>-7.0542216058357976E-3</v>
      </c>
      <c r="CL199" s="817">
        <f t="shared" si="542"/>
        <v>-7.0143338938766675E-2</v>
      </c>
      <c r="CM199" s="816">
        <f t="shared" si="542"/>
        <v>2.5732248835217408E-2</v>
      </c>
      <c r="CN199" s="817">
        <f t="shared" si="542"/>
        <v>-4.1875081262571778E-2</v>
      </c>
      <c r="CO199" s="817">
        <f t="shared" si="542"/>
        <v>-2.3939777392341433E-2</v>
      </c>
      <c r="CP199" s="817">
        <f t="shared" si="542"/>
        <v>3.2026166248919408E-2</v>
      </c>
      <c r="CQ199" s="817">
        <f t="shared" si="542"/>
        <v>0.20181208799681949</v>
      </c>
      <c r="CR199" s="816">
        <f t="shared" si="542"/>
        <v>3.9295478976794529E-2</v>
      </c>
      <c r="CS199" s="817">
        <f t="shared" si="542"/>
        <v>0.19895409158533672</v>
      </c>
      <c r="CT199" s="817">
        <f t="shared" si="542"/>
        <v>0.24770772931787399</v>
      </c>
      <c r="CU199" s="817">
        <f t="shared" si="542"/>
        <v>0.23295026604144886</v>
      </c>
      <c r="CV199" s="817">
        <f t="shared" si="542"/>
        <v>-6.2308255052234585E-2</v>
      </c>
      <c r="CW199" s="816">
        <f t="shared" si="542"/>
        <v>0.14802832589872317</v>
      </c>
      <c r="CX199" s="817">
        <f t="shared" si="542"/>
        <v>-0.19861249470489306</v>
      </c>
      <c r="CY199" s="817">
        <f t="shared" si="542"/>
        <v>-0.21150643621448317</v>
      </c>
      <c r="CZ199" s="817">
        <f t="shared" si="542"/>
        <v>-0.17277284772900281</v>
      </c>
      <c r="DA199" s="817">
        <f t="shared" si="542"/>
        <v>-7.863107815835102E-3</v>
      </c>
      <c r="DB199" s="816">
        <f t="shared" si="542"/>
        <v>-0.15239346595280323</v>
      </c>
      <c r="DC199" s="817">
        <f t="shared" si="542"/>
        <v>0.20663868268995111</v>
      </c>
      <c r="DD199" s="817">
        <f t="shared" si="542"/>
        <v>0.23660152622326458</v>
      </c>
      <c r="DE199" s="817">
        <f t="shared" si="542"/>
        <v>0.12063327513298017</v>
      </c>
      <c r="DF199" s="817">
        <f t="shared" si="542"/>
        <v>8.6974590092724346E-2</v>
      </c>
      <c r="DG199" s="816">
        <f t="shared" si="542"/>
        <v>0.15992304483304887</v>
      </c>
      <c r="DH199" s="817">
        <f t="shared" si="542"/>
        <v>7.2050268910441639E-2</v>
      </c>
      <c r="DI199" s="817">
        <f t="shared" si="542"/>
        <v>3.2371735247802347E-2</v>
      </c>
      <c r="DJ199" s="817">
        <f t="shared" si="542"/>
        <v>8.4143978329858982E-2</v>
      </c>
      <c r="DK199" s="817">
        <f t="shared" si="542"/>
        <v>8.6561698951009625E-2</v>
      </c>
      <c r="DL199" s="818">
        <f t="shared" si="542"/>
        <v>6.8242138759323279E-2</v>
      </c>
      <c r="DM199" s="817">
        <f t="shared" si="542"/>
        <v>9.6765725213085352E-2</v>
      </c>
      <c r="DN199" s="817">
        <f t="shared" si="542"/>
        <v>7.2334783534005798E-2</v>
      </c>
      <c r="DO199" s="817">
        <f t="shared" si="542"/>
        <v>1.965362162130746E-2</v>
      </c>
      <c r="DP199" s="817">
        <f t="shared" si="542"/>
        <v>3.4259549950026447E-2</v>
      </c>
      <c r="DQ199" s="818">
        <f t="shared" si="542"/>
        <v>5.4882273333657139E-2</v>
      </c>
      <c r="DR199" s="817">
        <f>DR198/DM198-1</f>
        <v>-2.1957148535202031E-2</v>
      </c>
      <c r="DS199" s="817">
        <f t="shared" si="542"/>
        <v>-4.4759130790763768E-2</v>
      </c>
      <c r="DT199" s="817">
        <f t="shared" si="542"/>
        <v>-4.3386821431037337E-3</v>
      </c>
      <c r="DU199" s="817">
        <f t="shared" si="542"/>
        <v>-4.4542172455562801E-3</v>
      </c>
      <c r="DV199" s="818">
        <f t="shared" si="542"/>
        <v>-1.9155069507688638E-2</v>
      </c>
      <c r="DW199" s="817">
        <f t="shared" si="542"/>
        <v>2.4457327094578263E-2</v>
      </c>
      <c r="DX199" s="817">
        <f t="shared" si="542"/>
        <v>8.0339807582327838E-2</v>
      </c>
      <c r="DY199" s="817">
        <f t="shared" si="542"/>
        <v>7.5913738062590053E-2</v>
      </c>
      <c r="DZ199" s="817">
        <f t="shared" si="542"/>
        <v>6.1073750866290633E-2</v>
      </c>
      <c r="EA199" s="818">
        <f t="shared" si="542"/>
        <v>6.0787750696282394E-2</v>
      </c>
      <c r="EB199" s="817">
        <f t="shared" si="542"/>
        <v>2.6211917656004946E-3</v>
      </c>
      <c r="EC199" s="817">
        <f t="shared" si="542"/>
        <v>-4.3578948355913916E-2</v>
      </c>
      <c r="ED199" s="817">
        <f t="shared" si="542"/>
        <v>-6.370774191403783E-2</v>
      </c>
      <c r="EE199" s="817">
        <f t="shared" si="542"/>
        <v>-6.5198699126028159E-2</v>
      </c>
      <c r="EF199" s="818">
        <f t="shared" si="542"/>
        <v>-4.3266197180182653E-2</v>
      </c>
      <c r="EG199" s="764"/>
      <c r="EH199" s="761"/>
      <c r="EI199" s="761"/>
      <c r="EJ199" s="763"/>
      <c r="EK199" s="818">
        <f>EK198/EF198-1</f>
        <v>-0.37976862321120941</v>
      </c>
      <c r="EL199" s="764"/>
      <c r="EM199" s="761"/>
      <c r="EN199" s="761"/>
      <c r="EO199" s="763"/>
      <c r="EP199" s="818">
        <f>EP198/EK198-1</f>
        <v>5.6860070240617677E-2</v>
      </c>
      <c r="EQ199" s="764"/>
      <c r="ER199" s="761"/>
      <c r="ES199" s="761"/>
      <c r="ET199" s="763"/>
      <c r="EU199" s="818">
        <f>EU198/EP198-1</f>
        <v>5.4039402397149994E-2</v>
      </c>
      <c r="EV199" s="764"/>
      <c r="EW199" s="761"/>
      <c r="EX199" s="761"/>
      <c r="EY199" s="763"/>
      <c r="EZ199" s="818">
        <f>EZ198/EU198-1</f>
        <v>5.9536526099990716E-2</v>
      </c>
      <c r="FA199" s="764"/>
      <c r="FB199" s="761"/>
      <c r="FC199" s="761"/>
      <c r="FD199" s="763"/>
      <c r="FE199" s="818">
        <f>FE198/EZ198-1</f>
        <v>5.8130774754568959E-2</v>
      </c>
      <c r="FF199" s="721"/>
      <c r="FG199" s="690"/>
      <c r="FH199" s="754"/>
      <c r="FI199" s="754"/>
      <c r="FJ199" s="754"/>
      <c r="FK199" s="754"/>
      <c r="FL199" s="690"/>
      <c r="FM199" s="708"/>
      <c r="FN199" s="708"/>
      <c r="FO199" s="723"/>
      <c r="FP199" s="723"/>
      <c r="FQ199" s="723"/>
      <c r="FR199" s="723"/>
      <c r="FS199" s="723"/>
      <c r="FT199" s="723"/>
      <c r="FU199" s="690"/>
      <c r="FV199"/>
      <c r="FW199"/>
      <c r="FX199"/>
      <c r="FY199"/>
      <c r="FZ199"/>
      <c r="GA199"/>
      <c r="GB199" s="725"/>
      <c r="GC199" s="532"/>
      <c r="GD199" s="532"/>
      <c r="GE199" s="532"/>
      <c r="GF199" s="532"/>
      <c r="GG199" s="532"/>
      <c r="GH199" s="532"/>
      <c r="GI199" s="532"/>
      <c r="GJ199" s="532"/>
      <c r="GK199" s="532"/>
      <c r="GL199" s="532"/>
      <c r="GM199" s="532"/>
      <c r="GN199" s="532"/>
      <c r="GO199" s="532"/>
      <c r="GP199" s="532"/>
      <c r="GQ199" s="532"/>
      <c r="GR199" s="532"/>
      <c r="GS199" s="532"/>
      <c r="GT199" s="532"/>
      <c r="GU199" s="532"/>
      <c r="GV199" s="532"/>
      <c r="GW199" s="532"/>
      <c r="GX199" s="532"/>
      <c r="GY199" s="532"/>
      <c r="GZ199" s="532"/>
      <c r="HA199" s="532"/>
      <c r="HB199" s="532"/>
      <c r="HC199" s="532"/>
      <c r="HD199" s="532"/>
      <c r="HE199" s="532"/>
      <c r="HF199" s="532"/>
      <c r="HG199" s="532"/>
      <c r="HH199" s="532"/>
      <c r="HI199" s="532"/>
      <c r="HJ199" s="532"/>
      <c r="HK199" s="532"/>
      <c r="HL199" s="532"/>
      <c r="HM199" s="532"/>
      <c r="HN199" s="532"/>
      <c r="HO199" s="532"/>
      <c r="HP199" s="532"/>
      <c r="HQ199" s="532"/>
      <c r="HR199" s="532"/>
      <c r="HS199" s="532"/>
      <c r="HT199" s="532"/>
      <c r="HU199" s="532"/>
      <c r="HV199" s="532"/>
      <c r="HW199" s="532"/>
      <c r="HX199" s="532"/>
      <c r="HY199" s="532"/>
      <c r="HZ199" s="532"/>
      <c r="IA199" s="532"/>
      <c r="IB199" s="532"/>
      <c r="IC199" s="532"/>
      <c r="ID199" s="532"/>
      <c r="IE199" s="532"/>
      <c r="IF199" s="532"/>
      <c r="IG199" s="532"/>
      <c r="IH199" s="532"/>
      <c r="II199" s="532"/>
      <c r="IJ199" s="532"/>
      <c r="IK199" s="532"/>
      <c r="IL199" s="532"/>
      <c r="IM199" s="532"/>
      <c r="IN199" s="532"/>
      <c r="IO199" s="532"/>
      <c r="IP199" s="532"/>
      <c r="IQ199" s="532"/>
      <c r="IR199" s="532"/>
      <c r="IS199" s="532"/>
      <c r="IT199" s="532"/>
      <c r="IU199" s="532"/>
      <c r="IV199" s="532"/>
      <c r="IW199" s="532"/>
      <c r="IX199" s="532"/>
      <c r="IY199" s="532"/>
      <c r="IZ199" s="532"/>
      <c r="JA199" s="532"/>
      <c r="JB199" s="532"/>
      <c r="JC199" s="532"/>
      <c r="JD199" s="532"/>
      <c r="JE199" s="532"/>
      <c r="JF199" s="532"/>
      <c r="JG199" s="532"/>
      <c r="JH199" s="532"/>
      <c r="JI199" s="532"/>
      <c r="JJ199" s="532"/>
      <c r="JK199" s="532"/>
      <c r="JL199" s="532"/>
    </row>
    <row r="200" spans="1:272" s="532" customFormat="1" ht="12.75" customHeight="1">
      <c r="A200" s="951" t="s">
        <v>290</v>
      </c>
      <c r="B200" s="952"/>
      <c r="C200" s="953"/>
      <c r="D200" s="953"/>
      <c r="E200" s="953"/>
      <c r="F200" s="754"/>
      <c r="G200" s="954"/>
      <c r="H200" s="954"/>
      <c r="I200" s="954"/>
      <c r="J200" s="954"/>
      <c r="K200" s="754"/>
      <c r="L200" s="743"/>
      <c r="M200" s="743"/>
      <c r="N200" s="743"/>
      <c r="O200" s="743"/>
      <c r="P200" s="754"/>
      <c r="Q200" s="743"/>
      <c r="R200" s="743"/>
      <c r="S200" s="743"/>
      <c r="T200" s="743"/>
      <c r="U200" s="754"/>
      <c r="V200" s="743"/>
      <c r="W200" s="743"/>
      <c r="X200" s="743"/>
      <c r="Y200" s="743"/>
      <c r="Z200" s="754"/>
      <c r="AA200" s="743"/>
      <c r="AB200" s="743"/>
      <c r="AC200" s="743"/>
      <c r="AD200" s="743"/>
      <c r="AE200" s="754"/>
      <c r="AF200" s="743"/>
      <c r="AG200" s="954"/>
      <c r="AH200" s="743"/>
      <c r="AI200" s="743"/>
      <c r="AJ200" s="754"/>
      <c r="AK200" s="743"/>
      <c r="AL200" s="954"/>
      <c r="AM200" s="743"/>
      <c r="AN200" s="743"/>
      <c r="AO200" s="754"/>
      <c r="AP200" s="743"/>
      <c r="AQ200" s="954"/>
      <c r="AR200" s="743"/>
      <c r="AS200" s="743"/>
      <c r="AT200" s="754"/>
      <c r="AU200" s="743"/>
      <c r="AV200" s="954"/>
      <c r="AW200" s="743"/>
      <c r="AX200" s="743"/>
      <c r="AY200" s="754"/>
      <c r="AZ200" s="743"/>
      <c r="BA200" s="954"/>
      <c r="BB200" s="743"/>
      <c r="BC200" s="743"/>
      <c r="BD200" s="754"/>
      <c r="BE200" s="743" t="str">
        <f>IF(ISERROR(BE198/BC198-1)," ",(BE198/BC198-1))</f>
        <v xml:space="preserve"> </v>
      </c>
      <c r="BF200" s="954" t="str">
        <f>IF(ISERROR(BF198/BE198-1)," ",(BF198/BE198-1))</f>
        <v xml:space="preserve"> </v>
      </c>
      <c r="BG200" s="743" t="str">
        <f>IF(ISERROR(BG198/BF198-1)," ",(BG198/BF198-1))</f>
        <v xml:space="preserve"> </v>
      </c>
      <c r="BH200" s="743" t="str">
        <f>IF(ISERROR(BH198/BG198-1)," ",(BH198/BG198-1))</f>
        <v xml:space="preserve"> </v>
      </c>
      <c r="BI200" s="754">
        <f>BI199</f>
        <v>0</v>
      </c>
      <c r="BJ200" s="743" t="str">
        <f>IF(ISERROR(BJ198/BH198-1)," ",(BJ198/BH198-1))</f>
        <v xml:space="preserve"> </v>
      </c>
      <c r="BK200" s="954" t="str">
        <f>IF(ISERROR(BK198/BJ198-1)," ",(BK198/BJ198-1))</f>
        <v xml:space="preserve"> </v>
      </c>
      <c r="BL200" s="743" t="str">
        <f>IF(ISERROR(BL198/BK198-1)," ",(BL198/BK198-1))</f>
        <v xml:space="preserve"> </v>
      </c>
      <c r="BM200" s="743" t="str">
        <f>IF(ISERROR(BM198/BL198-1)," ",(BM198/BL198-1))</f>
        <v xml:space="preserve"> </v>
      </c>
      <c r="BN200" s="754">
        <f>BN199</f>
        <v>0</v>
      </c>
      <c r="BO200" s="743" t="str">
        <f>IF(ISERROR(BO198/BM198-1)," ",(BO198/BM198-1))</f>
        <v xml:space="preserve"> </v>
      </c>
      <c r="BP200" s="954">
        <f>IF(ISERROR(BP198/BO198-1)," ",(BP198/BO198-1))</f>
        <v>0.11032510155240183</v>
      </c>
      <c r="BQ200" s="743">
        <f>IF(ISERROR(BQ198/BP198-1)," ",(BQ198/BP198-1))</f>
        <v>4.9353906168367434E-2</v>
      </c>
      <c r="BR200" s="743">
        <f>IF(ISERROR(BR198/BQ198-1)," ",(BR198/BQ198-1))</f>
        <v>-2.6425711834633381E-3</v>
      </c>
      <c r="BS200" s="754">
        <f>BS199</f>
        <v>0</v>
      </c>
      <c r="BT200" s="743">
        <f>IF(ISERROR(BT198/BR198-1)," ",(BT198/BR198-1))</f>
        <v>-3.4706844601911313E-2</v>
      </c>
      <c r="BU200" s="954">
        <f>IF(ISERROR(BU198/BT198-1)," ",(BU198/BT198-1))</f>
        <v>4.3995634780141124E-2</v>
      </c>
      <c r="BV200" s="743">
        <f>IF(ISERROR(BV198/BU198-1)," ",(BV198/BU198-1))</f>
        <v>4.9127294804412802E-2</v>
      </c>
      <c r="BW200" s="743">
        <f>IF(ISERROR(BW198/BV198-1)," ",(BW198/BV198-1))</f>
        <v>-8.0762614088845108E-3</v>
      </c>
      <c r="BX200" s="754">
        <f>BX199</f>
        <v>6.8181277307487909E-2</v>
      </c>
      <c r="BY200" s="743">
        <f>IF(ISERROR(BY198/BW198-1)," ",(BY198/BW198-1))</f>
        <v>2.0541173885980202E-2</v>
      </c>
      <c r="BZ200" s="954">
        <f>IF(ISERROR(BZ198/BY198-1)," ",(BZ198/BY198-1))</f>
        <v>8.9665853425181741E-2</v>
      </c>
      <c r="CA200" s="743">
        <f>IF(ISERROR(CA198/BZ198-1)," ",(CA198/BZ198-1))</f>
        <v>5.2250215390694077E-2</v>
      </c>
      <c r="CB200" s="743">
        <f>IF(ISERROR(CB198/CA198-1)," ",(CB198/CA198-1))</f>
        <v>-6.4824530478482245E-3</v>
      </c>
      <c r="CC200" s="754">
        <f>CC199</f>
        <v>0.14803834321368536</v>
      </c>
      <c r="CD200" s="743">
        <f>IF(ISERROR(CD198/CB198-1)," ",(CD198/CB198-1))</f>
        <v>-1.7775874069711484E-2</v>
      </c>
      <c r="CE200" s="743">
        <f>IF(ISERROR(CE198/CD198-1)," ",(CE198/CD198-1))</f>
        <v>9.1888049850630038E-2</v>
      </c>
      <c r="CF200" s="743">
        <f>IF(ISERROR(CF198/CE198-1)," ",(CF198/CE198-1))</f>
        <v>6.1564364479988809E-2</v>
      </c>
      <c r="CG200" s="743">
        <f>IF(ISERROR(CG198/CF198-1)," ",(CG198/CF198-1))</f>
        <v>-9.6813428287150227E-3</v>
      </c>
      <c r="CH200" s="754">
        <f>CH199</f>
        <v>0.12491540396723955</v>
      </c>
      <c r="CI200" s="743">
        <f>IF(ISERROR(CI198/CG198-1)," ",(CI198/CG198-1))</f>
        <v>-2.6040124474141613E-2</v>
      </c>
      <c r="CJ200" s="743">
        <f>IF(ISERROR(CJ198/CI198-1)," ",(CJ198/CI198-1))</f>
        <v>5.1682995663447029E-2</v>
      </c>
      <c r="CK200" s="743">
        <f>IF(ISERROR(CK198/CJ198-1)," ",(CK198/CJ198-1))</f>
        <v>-2.1130819270361867E-2</v>
      </c>
      <c r="CL200" s="743">
        <f>IF(ISERROR(CL198/CK198-1)," ",(CL198/CK198-1))</f>
        <v>-7.2603539910123138E-2</v>
      </c>
      <c r="CM200" s="754">
        <f>CM199</f>
        <v>2.5732248835217408E-2</v>
      </c>
      <c r="CN200" s="743">
        <f>IF(ISERROR(CN198/CL198-1)," ",(CN198/CL198-1))</f>
        <v>3.5689000998371245E-3</v>
      </c>
      <c r="CO200" s="743">
        <f>IF(ISERROR(CO198/CN198-1)," ",(CO198/CN198-1))</f>
        <v>7.1369629142548741E-2</v>
      </c>
      <c r="CP200" s="743">
        <f>IF(ISERROR(CP198/CO198-1)," ",(CP198/CO198-1))</f>
        <v>3.4996186145883845E-2</v>
      </c>
      <c r="CQ200" s="743">
        <f>IF(ISERROR(CQ198/CP198-1)," ",(CQ198/CP198-1))</f>
        <v>7.9969009073214581E-2</v>
      </c>
      <c r="CR200" s="754">
        <f>CR199</f>
        <v>3.9295478976794529E-2</v>
      </c>
      <c r="CS200" s="743">
        <f>IF(ISERROR(CS198/CQ198-1)," ",(CS198/CQ198-1))</f>
        <v>1.1823403840482971E-3</v>
      </c>
      <c r="CT200" s="743">
        <f>IF(ISERROR(CT198/CS198-1)," ",(CT198/CS198-1))</f>
        <v>0.11493523948864026</v>
      </c>
      <c r="CU200" s="743">
        <f>IF(ISERROR(CU198/CT198-1)," ",(CU198/CT198-1))</f>
        <v>2.2754602761096754E-2</v>
      </c>
      <c r="CV200" s="743">
        <f>IF(ISERROR(CV198/CU198-1)," ",(CV198/CU198-1))</f>
        <v>-0.17865460392112198</v>
      </c>
      <c r="CW200" s="754">
        <f>CW199</f>
        <v>0.14802832589872317</v>
      </c>
      <c r="CX200" s="743">
        <f>IF(ISERROR(CX198/CV198-1)," ",(CX198/CV198-1))</f>
        <v>-0.14435098482115405</v>
      </c>
      <c r="CY200" s="743">
        <f>IF(ISERROR(CY198/CX198-1)," ",(CY198/CX198-1))</f>
        <v>9.69964649632582E-2</v>
      </c>
      <c r="CZ200" s="743">
        <f>IF(ISERROR(CZ198/CY198-1)," ",(CZ198/CY198-1))</f>
        <v>7.2995920793916147E-2</v>
      </c>
      <c r="DA200" s="743">
        <f>IF(ISERROR(DA198/CZ198-1)," ",(DA198/CZ198-1))</f>
        <v>-1.4917406375805964E-2</v>
      </c>
      <c r="DB200" s="754">
        <f>DB199</f>
        <v>-0.15239346595280323</v>
      </c>
      <c r="DC200" s="743">
        <f>IF(ISERROR(DC198/DA198-1)," ",(DC198/DA198-1))</f>
        <v>4.06418798190471E-2</v>
      </c>
      <c r="DD200" s="743">
        <f>IF(ISERROR(DD198/DC198-1)," ",(DD198/DC198-1))</f>
        <v>0.1242367100406141</v>
      </c>
      <c r="DE200" s="743">
        <f>IF(ISERROR(DE198/DD198-1)," ",(DE198/DD198-1))</f>
        <v>-2.7629428376980791E-2</v>
      </c>
      <c r="DF200" s="743">
        <f>IF(ISERROR(DF198/DE198-1)," ",(DF198/DE198-1))</f>
        <v>-4.4504770496776258E-2</v>
      </c>
      <c r="DG200" s="754">
        <f>DG199</f>
        <v>0.15992304483304887</v>
      </c>
      <c r="DH200" s="743">
        <f>IF(ISERROR(DH198/DF198-1)," ",(DH198/DF198-1))</f>
        <v>2.6353713571454218E-2</v>
      </c>
      <c r="DI200" s="743">
        <f>IF(ISERROR(DI198/DH198-1)," ",(DI198/DH198-1))</f>
        <v>8.2626661111231403E-2</v>
      </c>
      <c r="DJ200" s="743">
        <f>IF(ISERROR(DJ198/DI198-1)," ",(DJ198/DI198-1))</f>
        <v>2.1133826060454552E-2</v>
      </c>
      <c r="DK200" s="743">
        <f>IF(ISERROR(DK198/DJ198-1)," ",(DK198/DJ198-1))</f>
        <v>-4.2373946025159648E-2</v>
      </c>
      <c r="DL200" s="754"/>
      <c r="DM200" s="743">
        <f>IF(ISERROR(DM198/DK198-1)," ",(DM198/DK198-1))</f>
        <v>3.5992319697155883E-2</v>
      </c>
      <c r="DN200" s="743">
        <f>IF(ISERROR(DN198/DM198-1)," ",(DN198/DM198-1))</f>
        <v>5.8510673339379426E-2</v>
      </c>
      <c r="DO200" s="743">
        <f>IF(ISERROR(DO198/DN198-1)," ",(DO198/DN198-1))</f>
        <v>-2.9031959150706554E-2</v>
      </c>
      <c r="DP200" s="743">
        <f>IF(ISERROR(DP198/DO198-1)," ",(DP198/DO198-1))</f>
        <v>-2.8656525507562369E-2</v>
      </c>
      <c r="DQ200" s="754"/>
      <c r="DR200" s="743">
        <f>IF(ISERROR(DR198/DP198-1)," ",(DR198/DP198-1))</f>
        <v>-2.0318562684584207E-2</v>
      </c>
      <c r="DS200" s="743">
        <f>IF(ISERROR(DS198/DR198-1)," ",(DS198/DR198-1))</f>
        <v>3.3832673234722499E-2</v>
      </c>
      <c r="DT200" s="743">
        <f>IF(ISERROR(DT198/DS198-1)," ",(DT198/DS198-1))</f>
        <v>1.205397540123232E-2</v>
      </c>
      <c r="DU200" s="743">
        <f>IF(ISERROR(DU198/DT198-1)," ",(DU198/DT198-1))</f>
        <v>-2.8769238802564656E-2</v>
      </c>
      <c r="DV200" s="754"/>
      <c r="DW200" s="743">
        <f>IF(ISERROR(DW198/DU198-1)," ",(DW198/DU198-1))</f>
        <v>8.1322668049297331E-3</v>
      </c>
      <c r="DX200" s="743">
        <f>IF(ISERROR(DX198/DW198-1)," ",(DX198/DW198-1))</f>
        <v>9.0226563601523146E-2</v>
      </c>
      <c r="DY200" s="743">
        <f>IF(ISERROR(DY198/DX198-1)," ",(DY198/DX198-1))</f>
        <v>7.9076677104350512E-3</v>
      </c>
      <c r="DZ200" s="743">
        <f>IF(ISERROR(DZ198/DY198-1)," ",(DZ198/DY198-1))</f>
        <v>-4.2165342552272E-2</v>
      </c>
      <c r="EA200" s="754"/>
      <c r="EB200" s="743">
        <f>IF(ISERROR(EB198/DZ198-1)," ",(EB198/DZ198-1))</f>
        <v>-4.7403845419708324E-2</v>
      </c>
      <c r="EC200" s="743">
        <f>IF(ISERROR(EC198/EB198-1)," ",(EC198/EB198-1))</f>
        <v>3.9989624250690969E-2</v>
      </c>
      <c r="ED200" s="743">
        <f>IF(ISERROR(ED198/EC198-1)," ",(ED198/EC198-1))</f>
        <v>-1.3304710806451792E-2</v>
      </c>
      <c r="EE200" s="743">
        <f>IF(ISERROR(EE198/ED198-1)," ",(EE198/ED198-1))</f>
        <v>-4.3690604005715339E-2</v>
      </c>
      <c r="EF200" s="754"/>
      <c r="EG200" s="946"/>
      <c r="EH200" s="743"/>
      <c r="EI200" s="743"/>
      <c r="EJ200" s="947"/>
      <c r="EK200" s="754"/>
      <c r="EL200" s="946"/>
      <c r="EM200" s="743"/>
      <c r="EN200" s="743"/>
      <c r="EO200" s="947"/>
      <c r="EP200" s="754"/>
      <c r="EQ200" s="946"/>
      <c r="ER200" s="743"/>
      <c r="ES200" s="743"/>
      <c r="ET200" s="947"/>
      <c r="EU200" s="754"/>
      <c r="EV200" s="946"/>
      <c r="EW200" s="743"/>
      <c r="EX200" s="743"/>
      <c r="EY200" s="947"/>
      <c r="EZ200" s="754"/>
      <c r="FA200" s="946"/>
      <c r="FB200" s="743"/>
      <c r="FC200" s="743"/>
      <c r="FD200" s="947"/>
      <c r="FE200" s="754"/>
      <c r="FF200" s="721"/>
      <c r="FG200" s="690"/>
      <c r="FH200" s="955">
        <f>AVERAGE(CI200,CN200,DH200,DM200,DC200,CS200,CX200,CD200,BY200,DR200,DW200)</f>
        <v>-6.5520865261035266E-3</v>
      </c>
      <c r="FI200" s="955">
        <f>AVERAGE(CJ200,CO200,DI200,DN200,DD200,CT200,CY200,CE200,BZ200,DS200,DX200)</f>
        <v>8.2361046714652414E-2</v>
      </c>
      <c r="FJ200" s="955">
        <f>AVERAGE(CK200,CP200,DJ200,DO200,DE200,CU200,CZ200,CF200,CA200,DT200,DY200)</f>
        <v>1.889677744960476E-2</v>
      </c>
      <c r="FK200" s="955">
        <f>AVERAGE(CL200,CQ200,DK200,DP200,DF200,CV200,DA200,CG200,CB200,DU200,DZ200)</f>
        <v>-3.5349105490430424E-2</v>
      </c>
      <c r="FL200" s="690"/>
      <c r="FM200" s="708"/>
      <c r="FN200" s="708"/>
      <c r="FO200" s="723"/>
      <c r="FP200" s="723"/>
      <c r="FQ200" s="723"/>
      <c r="FR200" s="723"/>
      <c r="FS200" s="723"/>
      <c r="FT200" s="723"/>
      <c r="FU200" s="690"/>
      <c r="FV200"/>
      <c r="FW200"/>
      <c r="FX200"/>
      <c r="FY200"/>
      <c r="FZ200"/>
      <c r="GA200"/>
      <c r="GB200" s="725"/>
    </row>
    <row r="201" spans="1:272" s="726" customFormat="1" ht="12.75" customHeight="1">
      <c r="A201" s="1439" t="s">
        <v>390</v>
      </c>
      <c r="B201" s="1292"/>
      <c r="C201" s="1016"/>
      <c r="D201" s="1016"/>
      <c r="E201" s="1016"/>
      <c r="F201" s="808"/>
      <c r="G201" s="1149"/>
      <c r="H201" s="1149"/>
      <c r="I201" s="1149"/>
      <c r="J201" s="1149"/>
      <c r="K201" s="808"/>
      <c r="L201" s="1149"/>
      <c r="M201" s="1149"/>
      <c r="N201" s="1149"/>
      <c r="O201" s="1149"/>
      <c r="P201" s="808"/>
      <c r="Q201" s="1149"/>
      <c r="R201" s="1149"/>
      <c r="S201" s="1149"/>
      <c r="T201" s="1149"/>
      <c r="U201" s="808"/>
      <c r="V201" s="1149"/>
      <c r="W201" s="1149"/>
      <c r="X201" s="1149"/>
      <c r="Y201" s="1149"/>
      <c r="Z201" s="808"/>
      <c r="AA201" s="1149"/>
      <c r="AB201" s="1149"/>
      <c r="AC201" s="1149"/>
      <c r="AD201" s="1149"/>
      <c r="AE201" s="808"/>
      <c r="AF201" s="1149"/>
      <c r="AG201" s="1149"/>
      <c r="AH201" s="1149"/>
      <c r="AI201" s="1149"/>
      <c r="AJ201" s="808"/>
      <c r="AK201" s="1149"/>
      <c r="AL201" s="1149"/>
      <c r="AM201" s="1149"/>
      <c r="AN201" s="1149"/>
      <c r="AO201" s="808"/>
      <c r="AP201" s="1149"/>
      <c r="AQ201" s="1149"/>
      <c r="AR201" s="1149"/>
      <c r="AS201" s="1149"/>
      <c r="AT201" s="808"/>
      <c r="AU201" s="1149"/>
      <c r="AV201" s="1149"/>
      <c r="AW201" s="1149"/>
      <c r="AX201" s="1149"/>
      <c r="AY201" s="808"/>
      <c r="AZ201" s="1149"/>
      <c r="BA201" s="1149"/>
      <c r="BB201" s="1149"/>
      <c r="BC201" s="1149"/>
      <c r="BD201" s="808"/>
      <c r="BE201" s="1149"/>
      <c r="BF201" s="1149"/>
      <c r="BG201" s="1149"/>
      <c r="BH201" s="1149"/>
      <c r="BI201" s="808"/>
      <c r="BJ201" s="1149"/>
      <c r="BK201" s="1149"/>
      <c r="BL201" s="1149"/>
      <c r="BM201" s="1149"/>
      <c r="BN201" s="1298">
        <f>BN198-BN204</f>
        <v>2660.47</v>
      </c>
      <c r="BO201" s="780">
        <f t="shared" ref="BO201:DR201" si="543">BO198-BO204</f>
        <v>647.29199999999992</v>
      </c>
      <c r="BP201" s="780">
        <f t="shared" si="543"/>
        <v>711.37099999999998</v>
      </c>
      <c r="BQ201" s="780">
        <f t="shared" si="543"/>
        <v>741.71</v>
      </c>
      <c r="BR201" s="780">
        <f t="shared" si="543"/>
        <v>744.55799999999999</v>
      </c>
      <c r="BS201" s="1298">
        <f t="shared" si="543"/>
        <v>2844.9310000000005</v>
      </c>
      <c r="BT201" s="780">
        <f t="shared" si="543"/>
        <v>711.82500000000005</v>
      </c>
      <c r="BU201" s="780">
        <f t="shared" si="543"/>
        <v>738.46999999999991</v>
      </c>
      <c r="BV201" s="780">
        <f t="shared" si="543"/>
        <v>764.08899999999994</v>
      </c>
      <c r="BW201" s="780">
        <f t="shared" si="543"/>
        <v>758.26599999999985</v>
      </c>
      <c r="BX201" s="1298">
        <f t="shared" si="543"/>
        <v>2972.6500000000005</v>
      </c>
      <c r="BY201" s="780">
        <f t="shared" si="543"/>
        <v>780.63700000000006</v>
      </c>
      <c r="BZ201" s="780">
        <f t="shared" si="543"/>
        <v>840.40499999999997</v>
      </c>
      <c r="CA201" s="780">
        <f t="shared" si="543"/>
        <v>881.17600000000004</v>
      </c>
      <c r="CB201" s="780">
        <f t="shared" si="543"/>
        <v>882.58499999999992</v>
      </c>
      <c r="CC201" s="1298">
        <f t="shared" si="543"/>
        <v>3384.8030000000003</v>
      </c>
      <c r="CD201" s="780">
        <f t="shared" si="543"/>
        <v>861.74499999999989</v>
      </c>
      <c r="CE201" s="780">
        <f t="shared" si="543"/>
        <v>917.45300000000009</v>
      </c>
      <c r="CF201" s="780">
        <f t="shared" si="543"/>
        <v>980.70099999999991</v>
      </c>
      <c r="CG201" s="780">
        <f t="shared" si="543"/>
        <v>984.73000000000013</v>
      </c>
      <c r="CH201" s="1298">
        <f t="shared" si="543"/>
        <v>3744.6289999999999</v>
      </c>
      <c r="CI201" s="780">
        <f>CI198-CI204</f>
        <v>968.08399999999995</v>
      </c>
      <c r="CJ201" s="780">
        <f t="shared" si="543"/>
        <v>988.21900000000016</v>
      </c>
      <c r="CK201" s="780">
        <f t="shared" si="543"/>
        <v>974.49199999999996</v>
      </c>
      <c r="CL201" s="780">
        <f t="shared" si="543"/>
        <v>888.85500000000002</v>
      </c>
      <c r="CM201" s="1298">
        <f t="shared" si="543"/>
        <v>3819.6500000000005</v>
      </c>
      <c r="CN201" s="780">
        <f t="shared" si="543"/>
        <v>953.07100000000003</v>
      </c>
      <c r="CO201" s="780">
        <f t="shared" si="543"/>
        <v>996.096</v>
      </c>
      <c r="CP201" s="780">
        <f t="shared" si="543"/>
        <v>1043.6110000000001</v>
      </c>
      <c r="CQ201" s="780">
        <f t="shared" si="543"/>
        <v>1130.1320000000001</v>
      </c>
      <c r="CR201" s="1298">
        <f t="shared" si="543"/>
        <v>4122.91</v>
      </c>
      <c r="CS201" s="780">
        <f t="shared" si="543"/>
        <v>1147.5730000000001</v>
      </c>
      <c r="CT201" s="780">
        <f t="shared" si="543"/>
        <v>1244.825</v>
      </c>
      <c r="CU201" s="780">
        <f t="shared" si="543"/>
        <v>1291.252</v>
      </c>
      <c r="CV201" s="780">
        <f t="shared" si="543"/>
        <v>1160.5450000000001</v>
      </c>
      <c r="CW201" s="1298">
        <f t="shared" si="543"/>
        <v>4844.1949999999997</v>
      </c>
      <c r="CX201" s="780">
        <f t="shared" si="543"/>
        <v>978.44399999999996</v>
      </c>
      <c r="CY201" s="780">
        <f t="shared" si="543"/>
        <v>990.36700000000008</v>
      </c>
      <c r="CZ201" s="780">
        <f t="shared" si="543"/>
        <v>1092.3069999999998</v>
      </c>
      <c r="DA201" s="780">
        <f t="shared" si="543"/>
        <v>1099.2489999999998</v>
      </c>
      <c r="DB201" s="1298">
        <f t="shared" si="543"/>
        <v>4151.6349999999993</v>
      </c>
      <c r="DC201" s="780">
        <f t="shared" si="543"/>
        <v>1144.711</v>
      </c>
      <c r="DD201" s="780">
        <f t="shared" si="543"/>
        <v>1270.8309999999999</v>
      </c>
      <c r="DE201" s="780">
        <f t="shared" si="543"/>
        <v>1235.7806999999998</v>
      </c>
      <c r="DF201" s="780">
        <f t="shared" si="543"/>
        <v>1196.6589999999999</v>
      </c>
      <c r="DG201" s="1298">
        <f t="shared" si="543"/>
        <v>4845.7096999999994</v>
      </c>
      <c r="DH201" s="780">
        <f t="shared" si="543"/>
        <v>1208.9310000000003</v>
      </c>
      <c r="DI201" s="780">
        <f t="shared" si="543"/>
        <v>1288.384</v>
      </c>
      <c r="DJ201" s="780">
        <f t="shared" si="543"/>
        <v>1315.924</v>
      </c>
      <c r="DK201" s="780">
        <f t="shared" si="543"/>
        <v>1278.7559999999999</v>
      </c>
      <c r="DL201" s="1298">
        <f t="shared" si="543"/>
        <v>5091.9950000000008</v>
      </c>
      <c r="DM201" s="780">
        <f t="shared" si="543"/>
        <v>1310.471</v>
      </c>
      <c r="DN201" s="780">
        <f t="shared" si="543"/>
        <v>1369.894</v>
      </c>
      <c r="DO201" s="780">
        <f t="shared" si="543"/>
        <v>1348.8999999999999</v>
      </c>
      <c r="DP201" s="780">
        <f t="shared" si="543"/>
        <v>1326.0809999999999</v>
      </c>
      <c r="DQ201" s="1298">
        <f t="shared" si="543"/>
        <v>5355.3460000000005</v>
      </c>
      <c r="DR201" s="780">
        <f t="shared" si="543"/>
        <v>1304.5650000000001</v>
      </c>
      <c r="DS201" s="780">
        <f>DS198-DS204</f>
        <v>1306.9469999999997</v>
      </c>
      <c r="DT201" s="780">
        <f>DT198-DT204</f>
        <v>1330.346</v>
      </c>
      <c r="DU201" s="780">
        <f>DU198-DU204</f>
        <v>1324.4209999999998</v>
      </c>
      <c r="DV201" s="1298">
        <f>DV198-DV204</f>
        <v>5266.2789999999986</v>
      </c>
      <c r="DW201" s="780">
        <f>DW198-DW204</f>
        <v>1335.7810000000002</v>
      </c>
      <c r="DX201" s="780">
        <f t="shared" ref="DX201:EF201" si="544">DX198-DX204</f>
        <v>1393.049</v>
      </c>
      <c r="DY201" s="780">
        <f t="shared" si="544"/>
        <v>1412.7750000000001</v>
      </c>
      <c r="DZ201" s="780">
        <f t="shared" si="544"/>
        <v>1382.4490000000001</v>
      </c>
      <c r="EA201" s="1298">
        <f t="shared" si="544"/>
        <v>5524.0540000000001</v>
      </c>
      <c r="EB201" s="780">
        <f t="shared" si="544"/>
        <v>1319.3820000000001</v>
      </c>
      <c r="EC201" s="780">
        <f>EC198-EC204</f>
        <v>1342.097</v>
      </c>
      <c r="ED201" s="780">
        <f t="shared" si="544"/>
        <v>1321.134</v>
      </c>
      <c r="EE201" s="780">
        <f t="shared" si="544"/>
        <v>1272.8172700812549</v>
      </c>
      <c r="EF201" s="1298">
        <f t="shared" si="544"/>
        <v>5255.430270081255</v>
      </c>
      <c r="EG201" s="1015"/>
      <c r="EH201" s="1016"/>
      <c r="EI201" s="1016"/>
      <c r="EJ201" s="1016"/>
      <c r="EK201" s="1441">
        <f>EK198-EK204</f>
        <v>3000.9813449947524</v>
      </c>
      <c r="EL201" s="1015"/>
      <c r="EM201" s="1016"/>
      <c r="EN201" s="1016"/>
      <c r="EO201" s="1016"/>
      <c r="EP201" s="1441">
        <f>EP198-EP204</f>
        <v>3127.086372514942</v>
      </c>
      <c r="EQ201" s="1015"/>
      <c r="ER201" s="1016"/>
      <c r="ES201" s="1016"/>
      <c r="ET201" s="1016"/>
      <c r="EU201" s="1441">
        <f>EU198-EU204</f>
        <v>3239.461395345229</v>
      </c>
      <c r="EV201" s="1015"/>
      <c r="EW201" s="1016"/>
      <c r="EX201" s="1016"/>
      <c r="EY201" s="1016"/>
      <c r="EZ201" s="1441">
        <f>EZ198-EZ204</f>
        <v>3418.4399046044223</v>
      </c>
      <c r="FA201" s="1015"/>
      <c r="FB201" s="1016"/>
      <c r="FC201" s="1016"/>
      <c r="FD201" s="1016"/>
      <c r="FE201" s="1441">
        <f>FE198-FE204</f>
        <v>3603.3761556610189</v>
      </c>
      <c r="FF201" s="721"/>
      <c r="FG201" s="690"/>
      <c r="FH201" s="754"/>
      <c r="FI201" s="754"/>
      <c r="FJ201" s="754"/>
      <c r="FK201" s="754"/>
      <c r="FL201" s="690"/>
      <c r="FM201" s="708"/>
      <c r="FN201" s="708"/>
      <c r="FO201" s="941"/>
      <c r="FP201" s="723"/>
      <c r="FQ201" s="723"/>
      <c r="FR201" s="723"/>
      <c r="FS201" s="723"/>
      <c r="FT201" s="723"/>
      <c r="FU201" s="690"/>
      <c r="FV201"/>
      <c r="FW201"/>
      <c r="FX201"/>
      <c r="FY201"/>
      <c r="FZ201"/>
      <c r="GA201"/>
      <c r="GB201" s="1440"/>
      <c r="GC201" s="535"/>
      <c r="GD201" s="535"/>
      <c r="GE201" s="535"/>
      <c r="GF201" s="535"/>
      <c r="GG201" s="535"/>
      <c r="GH201" s="535"/>
      <c r="GI201" s="535"/>
      <c r="GJ201" s="535"/>
      <c r="GK201" s="535"/>
      <c r="GL201" s="535"/>
      <c r="GM201" s="535"/>
      <c r="GN201" s="535"/>
      <c r="GO201" s="535"/>
      <c r="GP201" s="535"/>
      <c r="GQ201" s="535"/>
      <c r="GR201" s="535"/>
      <c r="GS201" s="535"/>
      <c r="GT201" s="535"/>
      <c r="GU201" s="535"/>
      <c r="GV201" s="535"/>
      <c r="GW201" s="535"/>
      <c r="GX201" s="535"/>
      <c r="GY201" s="535"/>
      <c r="GZ201" s="535"/>
      <c r="HA201" s="535"/>
      <c r="HB201" s="535"/>
      <c r="HC201" s="535"/>
      <c r="HD201" s="535"/>
      <c r="HE201" s="535"/>
      <c r="HF201" s="535"/>
      <c r="HG201" s="535"/>
      <c r="HH201" s="535"/>
      <c r="HI201" s="535"/>
      <c r="HJ201" s="535"/>
      <c r="HK201" s="535"/>
      <c r="HL201" s="535"/>
      <c r="HM201" s="535"/>
      <c r="HN201" s="535"/>
      <c r="HO201" s="535"/>
      <c r="HP201" s="535"/>
      <c r="HQ201" s="535"/>
      <c r="HR201" s="535"/>
      <c r="HS201" s="535"/>
      <c r="HT201" s="535"/>
      <c r="HU201" s="535"/>
      <c r="HV201" s="535"/>
      <c r="HW201" s="535"/>
      <c r="HX201" s="535"/>
      <c r="HY201" s="535"/>
      <c r="HZ201" s="535"/>
      <c r="IA201" s="535"/>
      <c r="IB201" s="535"/>
      <c r="IC201" s="535"/>
      <c r="ID201" s="535"/>
      <c r="IE201" s="535"/>
      <c r="IF201" s="535"/>
      <c r="IG201" s="535"/>
      <c r="IH201" s="535"/>
      <c r="II201" s="535"/>
      <c r="IJ201" s="535"/>
      <c r="IK201" s="535"/>
      <c r="IL201" s="535"/>
      <c r="IM201" s="535"/>
      <c r="IN201" s="535"/>
      <c r="IO201" s="535"/>
      <c r="IP201" s="535"/>
      <c r="IQ201" s="535"/>
      <c r="IR201" s="535"/>
      <c r="IS201" s="535"/>
      <c r="IT201" s="535"/>
      <c r="IU201" s="535"/>
      <c r="IV201" s="535"/>
      <c r="IW201" s="535"/>
      <c r="IX201" s="535"/>
      <c r="IY201" s="535"/>
      <c r="IZ201" s="535"/>
      <c r="JA201" s="535"/>
      <c r="JB201" s="535"/>
      <c r="JC201" s="535"/>
      <c r="JD201" s="535"/>
      <c r="JE201" s="535"/>
      <c r="JF201" s="535"/>
      <c r="JG201" s="535"/>
      <c r="JH201" s="535"/>
      <c r="JI201" s="535"/>
      <c r="JJ201" s="535"/>
      <c r="JK201" s="535"/>
      <c r="JL201" s="535"/>
    </row>
    <row r="202" spans="1:272" s="749" customFormat="1" ht="12.75" customHeight="1">
      <c r="A202" s="1068" t="s">
        <v>85</v>
      </c>
      <c r="B202" s="815"/>
      <c r="C202" s="815"/>
      <c r="D202" s="815"/>
      <c r="E202" s="815"/>
      <c r="F202" s="816"/>
      <c r="G202" s="817"/>
      <c r="H202" s="817"/>
      <c r="I202" s="817"/>
      <c r="J202" s="817"/>
      <c r="K202" s="816"/>
      <c r="L202" s="817"/>
      <c r="M202" s="817"/>
      <c r="N202" s="817"/>
      <c r="O202" s="817"/>
      <c r="P202" s="816"/>
      <c r="Q202" s="817"/>
      <c r="R202" s="817"/>
      <c r="S202" s="817"/>
      <c r="T202" s="817"/>
      <c r="U202" s="816"/>
      <c r="V202" s="817"/>
      <c r="W202" s="817"/>
      <c r="X202" s="817"/>
      <c r="Y202" s="817"/>
      <c r="Z202" s="816"/>
      <c r="AA202" s="817"/>
      <c r="AB202" s="817"/>
      <c r="AC202" s="817"/>
      <c r="AD202" s="817"/>
      <c r="AE202" s="816"/>
      <c r="AF202" s="817"/>
      <c r="AG202" s="817"/>
      <c r="AH202" s="817"/>
      <c r="AI202" s="817"/>
      <c r="AJ202" s="816"/>
      <c r="AK202" s="817"/>
      <c r="AL202" s="817"/>
      <c r="AM202" s="817"/>
      <c r="AN202" s="817"/>
      <c r="AO202" s="816"/>
      <c r="AP202" s="817"/>
      <c r="AQ202" s="817"/>
      <c r="AR202" s="817"/>
      <c r="AS202" s="817"/>
      <c r="AT202" s="816"/>
      <c r="AU202" s="817"/>
      <c r="AV202" s="817"/>
      <c r="AW202" s="817"/>
      <c r="AX202" s="817"/>
      <c r="AY202" s="816"/>
      <c r="AZ202" s="817"/>
      <c r="BA202" s="817"/>
      <c r="BB202" s="817"/>
      <c r="BC202" s="817"/>
      <c r="BD202" s="816"/>
      <c r="BE202" s="817"/>
      <c r="BF202" s="817"/>
      <c r="BG202" s="817"/>
      <c r="BH202" s="817"/>
      <c r="BI202" s="816"/>
      <c r="BJ202" s="817"/>
      <c r="BK202" s="817"/>
      <c r="BL202" s="817"/>
      <c r="BM202" s="817"/>
      <c r="BN202" s="816" t="str">
        <f>IF(ISERROR(BN201/BI201-1),"",BN201/BI201-1)</f>
        <v/>
      </c>
      <c r="BO202" s="817"/>
      <c r="BP202" s="817"/>
      <c r="BQ202" s="817"/>
      <c r="BR202" s="817"/>
      <c r="BS202" s="816">
        <f t="shared" ref="BS202:CB202" si="545">IF(ISERROR(BS201/BN201-1),"",BS201/BN201-1)</f>
        <v>6.9333989858934908E-2</v>
      </c>
      <c r="BT202" s="817">
        <f t="shared" si="545"/>
        <v>9.9696891047626357E-2</v>
      </c>
      <c r="BU202" s="817">
        <f t="shared" si="545"/>
        <v>3.8094046566418793E-2</v>
      </c>
      <c r="BV202" s="817">
        <f t="shared" si="545"/>
        <v>3.0172169715926511E-2</v>
      </c>
      <c r="BW202" s="817">
        <f t="shared" si="545"/>
        <v>1.8410922990552692E-2</v>
      </c>
      <c r="BX202" s="816">
        <f t="shared" si="545"/>
        <v>4.4893531688466215E-2</v>
      </c>
      <c r="BY202" s="817">
        <f t="shared" si="545"/>
        <v>9.6669827555930121E-2</v>
      </c>
      <c r="BZ202" s="817">
        <f t="shared" si="545"/>
        <v>0.13803539751107019</v>
      </c>
      <c r="CA202" s="817">
        <f t="shared" si="545"/>
        <v>0.15323738465021752</v>
      </c>
      <c r="CB202" s="817">
        <f t="shared" si="545"/>
        <v>0.16395170032679829</v>
      </c>
      <c r="CC202" s="816">
        <f>IF(ISERROR(CC201/BX201-1),"",CC201/BX201-1)</f>
        <v>0.13864834407010562</v>
      </c>
      <c r="CD202" s="817">
        <f t="shared" ref="CD202:EF202" si="546">CD201/BY201-1</f>
        <v>0.10389976391075462</v>
      </c>
      <c r="CE202" s="817">
        <f t="shared" si="546"/>
        <v>9.1679606856218232E-2</v>
      </c>
      <c r="CF202" s="817">
        <f t="shared" si="546"/>
        <v>0.11294565444360694</v>
      </c>
      <c r="CG202" s="817">
        <f t="shared" si="546"/>
        <v>0.11573389531886469</v>
      </c>
      <c r="CH202" s="816">
        <f t="shared" si="546"/>
        <v>0.10630633451932048</v>
      </c>
      <c r="CI202" s="817">
        <f t="shared" si="546"/>
        <v>0.12339961357478146</v>
      </c>
      <c r="CJ202" s="817">
        <f t="shared" si="546"/>
        <v>7.7133106546057428E-2</v>
      </c>
      <c r="CK202" s="817">
        <f t="shared" si="546"/>
        <v>-6.3311855499279535E-3</v>
      </c>
      <c r="CL202" s="817">
        <f t="shared" si="546"/>
        <v>-9.7361713363053881E-2</v>
      </c>
      <c r="CM202" s="816">
        <f t="shared" si="546"/>
        <v>2.0034294452134116E-2</v>
      </c>
      <c r="CN202" s="817">
        <f t="shared" si="546"/>
        <v>-1.5507951789307417E-2</v>
      </c>
      <c r="CO202" s="817">
        <f t="shared" si="546"/>
        <v>7.9709052345682263E-3</v>
      </c>
      <c r="CP202" s="817">
        <f t="shared" si="546"/>
        <v>7.0928237481682865E-2</v>
      </c>
      <c r="CQ202" s="817">
        <f t="shared" si="546"/>
        <v>0.27144697391588068</v>
      </c>
      <c r="CR202" s="816">
        <f t="shared" si="546"/>
        <v>7.9394708939300562E-2</v>
      </c>
      <c r="CS202" s="817">
        <f t="shared" si="546"/>
        <v>0.20407923439072229</v>
      </c>
      <c r="CT202" s="817">
        <f t="shared" si="546"/>
        <v>0.24970384380621957</v>
      </c>
      <c r="CU202" s="817">
        <f t="shared" si="546"/>
        <v>0.23729243942426814</v>
      </c>
      <c r="CV202" s="817">
        <f t="shared" si="546"/>
        <v>2.6911015704360164E-2</v>
      </c>
      <c r="CW202" s="816">
        <f t="shared" si="546"/>
        <v>0.17494560880543109</v>
      </c>
      <c r="CX202" s="817">
        <f t="shared" si="546"/>
        <v>-0.14737973096264911</v>
      </c>
      <c r="CY202" s="817">
        <f t="shared" si="546"/>
        <v>-0.20441266844737205</v>
      </c>
      <c r="CZ202" s="817">
        <f t="shared" si="546"/>
        <v>-0.15407139737247277</v>
      </c>
      <c r="DA202" s="817">
        <f t="shared" si="546"/>
        <v>-5.28165646312726E-2</v>
      </c>
      <c r="DB202" s="816">
        <f t="shared" si="546"/>
        <v>-0.14296699451611683</v>
      </c>
      <c r="DC202" s="817">
        <f t="shared" si="546"/>
        <v>0.16993001132410246</v>
      </c>
      <c r="DD202" s="817">
        <f t="shared" si="546"/>
        <v>0.28319198842449289</v>
      </c>
      <c r="DE202" s="817">
        <f t="shared" si="546"/>
        <v>0.13134924522135272</v>
      </c>
      <c r="DF202" s="817">
        <f t="shared" si="546"/>
        <v>8.8615045362788747E-2</v>
      </c>
      <c r="DG202" s="816">
        <f t="shared" si="546"/>
        <v>0.16718105035726905</v>
      </c>
      <c r="DH202" s="817">
        <f t="shared" si="546"/>
        <v>5.6101496360216885E-2</v>
      </c>
      <c r="DI202" s="817">
        <f t="shared" si="546"/>
        <v>1.3812222081456937E-2</v>
      </c>
      <c r="DJ202" s="817">
        <f t="shared" si="546"/>
        <v>6.485236417756024E-2</v>
      </c>
      <c r="DK202" s="817">
        <f t="shared" si="546"/>
        <v>6.8605174907805822E-2</v>
      </c>
      <c r="DL202" s="818">
        <f t="shared" si="546"/>
        <v>5.0825434301192463E-2</v>
      </c>
      <c r="DM202" s="817">
        <f t="shared" si="546"/>
        <v>8.3991559485197875E-2</v>
      </c>
      <c r="DN202" s="817">
        <f t="shared" si="546"/>
        <v>6.3265299786399165E-2</v>
      </c>
      <c r="DO202" s="817">
        <f t="shared" si="546"/>
        <v>2.5059197947601808E-2</v>
      </c>
      <c r="DP202" s="817">
        <f t="shared" si="546"/>
        <v>3.7008624006456214E-2</v>
      </c>
      <c r="DQ202" s="818">
        <f t="shared" si="546"/>
        <v>5.1718628946022083E-2</v>
      </c>
      <c r="DR202" s="817">
        <f>DR201/DM201-1</f>
        <v>-4.5067765711717112E-3</v>
      </c>
      <c r="DS202" s="817">
        <f t="shared" si="546"/>
        <v>-4.5950270604879218E-2</v>
      </c>
      <c r="DT202" s="817">
        <f t="shared" si="546"/>
        <v>-1.3754911409296411E-2</v>
      </c>
      <c r="DU202" s="817">
        <f t="shared" si="546"/>
        <v>-1.2518089015679523E-3</v>
      </c>
      <c r="DV202" s="818">
        <f t="shared" si="546"/>
        <v>-1.6631418399483788E-2</v>
      </c>
      <c r="DW202" s="817">
        <f t="shared" si="546"/>
        <v>2.3928282607612594E-2</v>
      </c>
      <c r="DX202" s="817">
        <f t="shared" si="546"/>
        <v>6.5880253751682716E-2</v>
      </c>
      <c r="DY202" s="817">
        <f t="shared" si="546"/>
        <v>6.1960572663051661E-2</v>
      </c>
      <c r="DZ202" s="817">
        <f t="shared" si="546"/>
        <v>4.3813862812504656E-2</v>
      </c>
      <c r="EA202" s="818">
        <f t="shared" si="546"/>
        <v>4.8948223214152042E-2</v>
      </c>
      <c r="EB202" s="817">
        <f t="shared" si="546"/>
        <v>-1.2276713024066188E-2</v>
      </c>
      <c r="EC202" s="817">
        <f t="shared" si="546"/>
        <v>-3.6575884983227391E-2</v>
      </c>
      <c r="ED202" s="817">
        <f t="shared" si="546"/>
        <v>-6.486595530073791E-2</v>
      </c>
      <c r="EE202" s="817">
        <f t="shared" si="546"/>
        <v>-7.9302549257690647E-2</v>
      </c>
      <c r="EF202" s="818">
        <f t="shared" si="546"/>
        <v>-4.8628005794068119E-2</v>
      </c>
      <c r="EG202" s="764"/>
      <c r="EH202" s="761"/>
      <c r="EI202" s="761"/>
      <c r="EJ202" s="763"/>
      <c r="EK202" s="818">
        <f>EK201/EF201-1</f>
        <v>-0.42897513794843789</v>
      </c>
      <c r="EL202" s="764"/>
      <c r="EM202" s="761"/>
      <c r="EN202" s="761"/>
      <c r="EO202" s="763"/>
      <c r="EP202" s="818">
        <f>EP201/EK201-1</f>
        <v>4.2021263387896912E-2</v>
      </c>
      <c r="EQ202" s="764"/>
      <c r="ER202" s="761"/>
      <c r="ES202" s="761"/>
      <c r="ET202" s="763"/>
      <c r="EU202" s="818">
        <f>EU201/EP201-1</f>
        <v>3.5936015013205314E-2</v>
      </c>
      <c r="EV202" s="764"/>
      <c r="EW202" s="761"/>
      <c r="EX202" s="761"/>
      <c r="EY202" s="763"/>
      <c r="EZ202" s="818">
        <f>EZ201/EU201-1</f>
        <v>5.5249465085883465E-2</v>
      </c>
      <c r="FA202" s="764"/>
      <c r="FB202" s="761"/>
      <c r="FC202" s="761"/>
      <c r="FD202" s="763"/>
      <c r="FE202" s="818">
        <f>FE201/EZ201-1</f>
        <v>5.4099605731696254E-2</v>
      </c>
      <c r="FF202" s="721"/>
      <c r="FG202" s="690"/>
      <c r="FH202" s="754"/>
      <c r="FI202" s="754"/>
      <c r="FJ202" s="754"/>
      <c r="FK202" s="754"/>
      <c r="FL202" s="690"/>
      <c r="FM202" s="708"/>
      <c r="FN202" s="708"/>
      <c r="FO202" s="723"/>
      <c r="FP202" s="723"/>
      <c r="FQ202" s="723"/>
      <c r="FR202" s="723"/>
      <c r="FS202" s="723"/>
      <c r="FT202" s="723"/>
      <c r="FU202" s="690"/>
      <c r="FV202"/>
      <c r="FW202"/>
      <c r="FX202"/>
      <c r="FY202"/>
      <c r="FZ202"/>
      <c r="GA202"/>
      <c r="GB202" s="725"/>
      <c r="GC202" s="532"/>
      <c r="GD202" s="532"/>
      <c r="GE202" s="532"/>
      <c r="GF202" s="532"/>
      <c r="GG202" s="532"/>
      <c r="GH202" s="532"/>
      <c r="GI202" s="532"/>
      <c r="GJ202" s="532"/>
      <c r="GK202" s="532"/>
      <c r="GL202" s="532"/>
      <c r="GM202" s="532"/>
      <c r="GN202" s="532"/>
      <c r="GO202" s="532"/>
      <c r="GP202" s="532"/>
      <c r="GQ202" s="532"/>
      <c r="GR202" s="532"/>
      <c r="GS202" s="532"/>
      <c r="GT202" s="532"/>
      <c r="GU202" s="532"/>
      <c r="GV202" s="532"/>
      <c r="GW202" s="532"/>
      <c r="GX202" s="532"/>
      <c r="GY202" s="532"/>
      <c r="GZ202" s="532"/>
      <c r="HA202" s="532"/>
      <c r="HB202" s="532"/>
      <c r="HC202" s="532"/>
      <c r="HD202" s="532"/>
      <c r="HE202" s="532"/>
      <c r="HF202" s="532"/>
      <c r="HG202" s="532"/>
      <c r="HH202" s="532"/>
      <c r="HI202" s="532"/>
      <c r="HJ202" s="532"/>
      <c r="HK202" s="532"/>
      <c r="HL202" s="532"/>
      <c r="HM202" s="532"/>
      <c r="HN202" s="532"/>
      <c r="HO202" s="532"/>
      <c r="HP202" s="532"/>
      <c r="HQ202" s="532"/>
      <c r="HR202" s="532"/>
      <c r="HS202" s="532"/>
      <c r="HT202" s="532"/>
      <c r="HU202" s="532"/>
      <c r="HV202" s="532"/>
      <c r="HW202" s="532"/>
      <c r="HX202" s="532"/>
      <c r="HY202" s="532"/>
      <c r="HZ202" s="532"/>
      <c r="IA202" s="532"/>
      <c r="IB202" s="532"/>
      <c r="IC202" s="532"/>
      <c r="ID202" s="532"/>
      <c r="IE202" s="532"/>
      <c r="IF202" s="532"/>
      <c r="IG202" s="532"/>
      <c r="IH202" s="532"/>
      <c r="II202" s="532"/>
      <c r="IJ202" s="532"/>
      <c r="IK202" s="532"/>
      <c r="IL202" s="532"/>
      <c r="IM202" s="532"/>
      <c r="IN202" s="532"/>
      <c r="IO202" s="532"/>
      <c r="IP202" s="532"/>
      <c r="IQ202" s="532"/>
      <c r="IR202" s="532"/>
      <c r="IS202" s="532"/>
      <c r="IT202" s="532"/>
      <c r="IU202" s="532"/>
      <c r="IV202" s="532"/>
      <c r="IW202" s="532"/>
      <c r="IX202" s="532"/>
      <c r="IY202" s="532"/>
      <c r="IZ202" s="532"/>
      <c r="JA202" s="532"/>
      <c r="JB202" s="532"/>
      <c r="JC202" s="532"/>
      <c r="JD202" s="532"/>
      <c r="JE202" s="532"/>
      <c r="JF202" s="532"/>
      <c r="JG202" s="532"/>
      <c r="JH202" s="532"/>
      <c r="JI202" s="532"/>
      <c r="JJ202" s="532"/>
      <c r="JK202" s="532"/>
      <c r="JL202" s="532"/>
    </row>
    <row r="203" spans="1:272" s="532" customFormat="1" ht="12.75" customHeight="1">
      <c r="A203" s="951" t="s">
        <v>290</v>
      </c>
      <c r="B203" s="952"/>
      <c r="C203" s="953"/>
      <c r="D203" s="953"/>
      <c r="E203" s="953"/>
      <c r="F203" s="754"/>
      <c r="G203" s="954"/>
      <c r="H203" s="954"/>
      <c r="I203" s="954"/>
      <c r="J203" s="954"/>
      <c r="K203" s="754"/>
      <c r="L203" s="743"/>
      <c r="M203" s="743"/>
      <c r="N203" s="743"/>
      <c r="O203" s="743"/>
      <c r="P203" s="754"/>
      <c r="Q203" s="743"/>
      <c r="R203" s="743"/>
      <c r="S203" s="743"/>
      <c r="T203" s="743"/>
      <c r="U203" s="754"/>
      <c r="V203" s="743"/>
      <c r="W203" s="743"/>
      <c r="X203" s="743"/>
      <c r="Y203" s="743"/>
      <c r="Z203" s="754"/>
      <c r="AA203" s="743"/>
      <c r="AB203" s="743"/>
      <c r="AC203" s="743"/>
      <c r="AD203" s="743"/>
      <c r="AE203" s="754"/>
      <c r="AF203" s="743"/>
      <c r="AG203" s="954"/>
      <c r="AH203" s="743"/>
      <c r="AI203" s="743"/>
      <c r="AJ203" s="754"/>
      <c r="AK203" s="743"/>
      <c r="AL203" s="954"/>
      <c r="AM203" s="743"/>
      <c r="AN203" s="743"/>
      <c r="AO203" s="754"/>
      <c r="AP203" s="743"/>
      <c r="AQ203" s="954"/>
      <c r="AR203" s="743"/>
      <c r="AS203" s="743"/>
      <c r="AT203" s="754"/>
      <c r="AU203" s="743"/>
      <c r="AV203" s="954"/>
      <c r="AW203" s="743"/>
      <c r="AX203" s="743"/>
      <c r="AY203" s="754"/>
      <c r="AZ203" s="743"/>
      <c r="BA203" s="954"/>
      <c r="BB203" s="743"/>
      <c r="BC203" s="743"/>
      <c r="BD203" s="754"/>
      <c r="BE203" s="743" t="str">
        <f>IF(ISERROR(BE201/BC201-1)," ",(BE201/BC201-1))</f>
        <v xml:space="preserve"> </v>
      </c>
      <c r="BF203" s="954" t="str">
        <f>IF(ISERROR(BF201/BE201-1)," ",(BF201/BE201-1))</f>
        <v xml:space="preserve"> </v>
      </c>
      <c r="BG203" s="743" t="str">
        <f>IF(ISERROR(BG201/BF201-1)," ",(BG201/BF201-1))</f>
        <v xml:space="preserve"> </v>
      </c>
      <c r="BH203" s="743" t="str">
        <f>IF(ISERROR(BH201/BG201-1)," ",(BH201/BG201-1))</f>
        <v xml:space="preserve"> </v>
      </c>
      <c r="BI203" s="754">
        <f>BI202</f>
        <v>0</v>
      </c>
      <c r="BJ203" s="743" t="str">
        <f>IF(ISERROR(BJ201/BH201-1)," ",(BJ201/BH201-1))</f>
        <v xml:space="preserve"> </v>
      </c>
      <c r="BK203" s="954" t="str">
        <f>IF(ISERROR(BK201/BJ201-1)," ",(BK201/BJ201-1))</f>
        <v xml:space="preserve"> </v>
      </c>
      <c r="BL203" s="743" t="str">
        <f>IF(ISERROR(BL201/BK201-1)," ",(BL201/BK201-1))</f>
        <v xml:space="preserve"> </v>
      </c>
      <c r="BM203" s="743" t="str">
        <f>IF(ISERROR(BM201/BL201-1)," ",(BM201/BL201-1))</f>
        <v xml:space="preserve"> </v>
      </c>
      <c r="BN203" s="754" t="str">
        <f>BN202</f>
        <v/>
      </c>
      <c r="BO203" s="743" t="str">
        <f>IF(ISERROR(BO201/BM201-1)," ",(BO201/BM201-1))</f>
        <v xml:space="preserve"> </v>
      </c>
      <c r="BP203" s="954">
        <f>IF(ISERROR(BP201/BO201-1)," ",(BP201/BO201-1))</f>
        <v>9.8995507437138253E-2</v>
      </c>
      <c r="BQ203" s="743">
        <f>IF(ISERROR(BQ201/BP201-1)," ",(BQ201/BP201-1))</f>
        <v>4.2648632007771026E-2</v>
      </c>
      <c r="BR203" s="743">
        <f>IF(ISERROR(BR201/BQ201-1)," ",(BR201/BQ201-1))</f>
        <v>3.8397756535573091E-3</v>
      </c>
      <c r="BS203" s="754">
        <f>BS202</f>
        <v>6.9333989858934908E-2</v>
      </c>
      <c r="BT203" s="743">
        <f>IF(ISERROR(BT201/BR201-1)," ",(BT201/BR201-1))</f>
        <v>-4.3962995495313906E-2</v>
      </c>
      <c r="BU203" s="954">
        <f>IF(ISERROR(BU201/BT201-1)," ",(BU201/BT201-1))</f>
        <v>3.7431953078354674E-2</v>
      </c>
      <c r="BV203" s="743">
        <f>IF(ISERROR(BV201/BU201-1)," ",(BV201/BU201-1))</f>
        <v>3.4691998320852679E-2</v>
      </c>
      <c r="BW203" s="743">
        <f>IF(ISERROR(BW201/BV201-1)," ",(BW201/BV201-1))</f>
        <v>-7.6208399806829696E-3</v>
      </c>
      <c r="BX203" s="754">
        <f>BX202</f>
        <v>4.4893531688466215E-2</v>
      </c>
      <c r="BY203" s="743">
        <f>IF(ISERROR(BY201/BW201-1)," ",(BY201/BW201-1))</f>
        <v>2.9502839372990808E-2</v>
      </c>
      <c r="BZ203" s="954">
        <f>IF(ISERROR(BZ201/BY201-1)," ",(BZ201/BY201-1))</f>
        <v>7.6563114482147254E-2</v>
      </c>
      <c r="CA203" s="743">
        <f>IF(ISERROR(CA201/BZ201-1)," ",(CA201/BZ201-1))</f>
        <v>4.8513514317501727E-2</v>
      </c>
      <c r="CB203" s="743">
        <f>IF(ISERROR(CB201/CA201-1)," ",(CB201/CA201-1))</f>
        <v>1.5989995188248063E-3</v>
      </c>
      <c r="CC203" s="754">
        <f>CC202</f>
        <v>0.13864834407010562</v>
      </c>
      <c r="CD203" s="743">
        <f>IF(ISERROR(CD201/CB201-1)," ",(CD201/CB201-1))</f>
        <v>-2.3612456590583419E-2</v>
      </c>
      <c r="CE203" s="743">
        <f>IF(ISERROR(CE201/CD201-1)," ",(CE201/CD201-1))</f>
        <v>6.4645573806636714E-2</v>
      </c>
      <c r="CF203" s="743">
        <f>IF(ISERROR(CF201/CE201-1)," ",(CF201/CE201-1))</f>
        <v>6.8938681327544549E-2</v>
      </c>
      <c r="CG203" s="743">
        <f>IF(ISERROR(CG201/CF201-1)," ",(CG201/CF201-1))</f>
        <v>4.1082858078049789E-3</v>
      </c>
      <c r="CH203" s="754">
        <f>CH202</f>
        <v>0.10630633451932048</v>
      </c>
      <c r="CI203" s="743">
        <f>IF(ISERROR(CI201/CG201-1)," ",(CI201/CG201-1))</f>
        <v>-1.6904126004082531E-2</v>
      </c>
      <c r="CJ203" s="743">
        <f>IF(ISERROR(CJ201/CI201-1)," ",(CJ201/CI201-1))</f>
        <v>2.0798814978865598E-2</v>
      </c>
      <c r="CK203" s="743">
        <f>IF(ISERROR(CK201/CJ201-1)," ",(CK201/CJ201-1))</f>
        <v>-1.3890645696956083E-2</v>
      </c>
      <c r="CL203" s="743">
        <f>IF(ISERROR(CL201/CK201-1)," ",(CL201/CK201-1))</f>
        <v>-8.7878607520636365E-2</v>
      </c>
      <c r="CM203" s="754">
        <f>CM202</f>
        <v>2.0034294452134116E-2</v>
      </c>
      <c r="CN203" s="743">
        <f>IF(ISERROR(CN201/CL201-1)," ",(CN201/CL201-1))</f>
        <v>7.2245754369385295E-2</v>
      </c>
      <c r="CO203" s="743">
        <f>IF(ISERROR(CO201/CN201-1)," ",(CO201/CN201-1))</f>
        <v>4.5143541247189223E-2</v>
      </c>
      <c r="CP203" s="743">
        <f>IF(ISERROR(CP201/CO201-1)," ",(CP201/CO201-1))</f>
        <v>4.7701225584682705E-2</v>
      </c>
      <c r="CQ203" s="743">
        <f>IF(ISERROR(CQ201/CP201-1)," ",(CQ201/CP201-1))</f>
        <v>8.290541207403912E-2</v>
      </c>
      <c r="CR203" s="754">
        <f>CR202</f>
        <v>7.9394708939300562E-2</v>
      </c>
      <c r="CS203" s="743">
        <f>IF(ISERROR(CS201/CQ201-1)," ",(CS201/CQ201-1))</f>
        <v>1.5432710515231873E-2</v>
      </c>
      <c r="CT203" s="743">
        <f>IF(ISERROR(CT201/CS201-1)," ",(CT201/CS201-1))</f>
        <v>8.4745807020555564E-2</v>
      </c>
      <c r="CU203" s="743">
        <f>IF(ISERROR(CU201/CT201-1)," ",(CU201/CT201-1))</f>
        <v>3.7296005462615245E-2</v>
      </c>
      <c r="CV203" s="743">
        <f>IF(ISERROR(CV201/CU201-1)," ",(CV201/CU201-1))</f>
        <v>-0.10122501262340722</v>
      </c>
      <c r="CW203" s="754">
        <f>CW202</f>
        <v>0.17494560880543109</v>
      </c>
      <c r="CX203" s="743">
        <f>IF(ISERROR(CX201/CV201-1)," ",(CX201/CV201-1))</f>
        <v>-0.15690990009004402</v>
      </c>
      <c r="CY203" s="743">
        <f>IF(ISERROR(CY201/CX201-1)," ",(CY201/CX201-1))</f>
        <v>1.2185674397308555E-2</v>
      </c>
      <c r="CZ203" s="743">
        <f>IF(ISERROR(CZ201/CY201-1)," ",(CZ201/CY201-1))</f>
        <v>0.10293153952019773</v>
      </c>
      <c r="DA203" s="743">
        <f>IF(ISERROR(DA201/CZ201-1)," ",(DA201/CZ201-1))</f>
        <v>6.3553561407185821E-3</v>
      </c>
      <c r="DB203" s="754">
        <f>DB202</f>
        <v>-0.14296699451611683</v>
      </c>
      <c r="DC203" s="743">
        <f>IF(ISERROR(DC201/DA201-1)," ",(DC201/DA201-1))</f>
        <v>4.1357326683945317E-2</v>
      </c>
      <c r="DD203" s="743">
        <f>IF(ISERROR(DD201/DC201-1)," ",(DD201/DC201-1))</f>
        <v>0.11017628030131621</v>
      </c>
      <c r="DE203" s="743">
        <f>IF(ISERROR(DE201/DD201-1)," ",(DE201/DD201-1))</f>
        <v>-2.7580614574243212E-2</v>
      </c>
      <c r="DF203" s="743">
        <f>IF(ISERROR(DF201/DE201-1)," ",(DF201/DE201-1))</f>
        <v>-3.1657477738566309E-2</v>
      </c>
      <c r="DG203" s="754">
        <f>DG202</f>
        <v>0.16718105035726905</v>
      </c>
      <c r="DH203" s="743">
        <f>IF(ISERROR(DH201/DF201-1)," ",(DH201/DF201-1))</f>
        <v>1.0255218905302455E-2</v>
      </c>
      <c r="DI203" s="743">
        <f>IF(ISERROR(DI201/DH201-1)," ",(DI201/DH201-1))</f>
        <v>6.572169958417784E-2</v>
      </c>
      <c r="DJ203" s="743">
        <f>IF(ISERROR(DJ201/DI201-1)," ",(DJ201/DI201-1))</f>
        <v>2.1375614723560643E-2</v>
      </c>
      <c r="DK203" s="743">
        <f>IF(ISERROR(DK201/DJ201-1)," ",(DK201/DJ201-1))</f>
        <v>-2.8244792252440254E-2</v>
      </c>
      <c r="DL203" s="754"/>
      <c r="DM203" s="743">
        <f>IF(ISERROR(DM201/DK201-1)," ",(DM201/DK201-1))</f>
        <v>2.4801447656941811E-2</v>
      </c>
      <c r="DN203" s="743">
        <f>IF(ISERROR(DN201/DM201-1)," ",(DN201/DM201-1))</f>
        <v>4.534476535535692E-2</v>
      </c>
      <c r="DO203" s="743">
        <f>IF(ISERROR(DO201/DN201-1)," ",(DO201/DN201-1))</f>
        <v>-1.5325273342317147E-2</v>
      </c>
      <c r="DP203" s="743">
        <f>IF(ISERROR(DP201/DO201-1)," ",(DP201/DO201-1))</f>
        <v>-1.6916746979019903E-2</v>
      </c>
      <c r="DQ203" s="754"/>
      <c r="DR203" s="743">
        <f>IF(ISERROR(DR201/DP201-1)," ",(DR201/DP201-1))</f>
        <v>-1.6225253208514312E-2</v>
      </c>
      <c r="DS203" s="743">
        <f>IF(ISERROR(DS201/DR201-1)," ",(DS201/DR201-1))</f>
        <v>1.8258959883177273E-3</v>
      </c>
      <c r="DT203" s="743">
        <f>IF(ISERROR(DT201/DS201-1)," ",(DT201/DS201-1))</f>
        <v>1.7903556915468188E-2</v>
      </c>
      <c r="DU203" s="743">
        <f>IF(ISERROR(DU201/DT201-1)," ",(DU201/DT201-1))</f>
        <v>-4.4537285788811554E-3</v>
      </c>
      <c r="DV203" s="754"/>
      <c r="DW203" s="743">
        <f>IF(ISERROR(DW201/DU201-1)," ",(DW201/DU201-1))</f>
        <v>8.577333038361834E-3</v>
      </c>
      <c r="DX203" s="743">
        <f>IF(ISERROR(DX201/DW201-1)," ",(DX201/DW201-1))</f>
        <v>4.2872297180450936E-2</v>
      </c>
      <c r="DY203" s="743">
        <f>IF(ISERROR(DY201/DX201-1)," ",(DY201/DX201-1))</f>
        <v>1.4160305918887284E-2</v>
      </c>
      <c r="DZ203" s="743">
        <f>IF(ISERROR(DZ201/DY201-1)," ",(DZ201/DY201-1))</f>
        <v>-2.1465555378598844E-2</v>
      </c>
      <c r="EA203" s="754"/>
      <c r="EB203" s="743">
        <f>IF(ISERROR(EB201/DZ201-1)," ",(EB201/DZ201-1))</f>
        <v>-4.561976608178675E-2</v>
      </c>
      <c r="EC203" s="743">
        <f>IF(ISERROR(EC201/EB201-1)," ",(EC201/EB201-1))</f>
        <v>1.7216393735855151E-2</v>
      </c>
      <c r="ED203" s="743">
        <f>IF(ISERROR(ED201/EC201-1)," ",(ED201/EC201-1))</f>
        <v>-1.5619586363727733E-2</v>
      </c>
      <c r="EE203" s="743">
        <f>IF(ISERROR(EE201/ED201-1)," ",(EE201/ED201-1))</f>
        <v>-3.6572164457765122E-2</v>
      </c>
      <c r="EF203" s="754"/>
      <c r="EG203" s="946"/>
      <c r="EH203" s="743"/>
      <c r="EI203" s="743"/>
      <c r="EJ203" s="947"/>
      <c r="EK203" s="754"/>
      <c r="EL203" s="946"/>
      <c r="EM203" s="743"/>
      <c r="EN203" s="743"/>
      <c r="EO203" s="947"/>
      <c r="EP203" s="754"/>
      <c r="EQ203" s="946"/>
      <c r="ER203" s="743"/>
      <c r="ES203" s="743"/>
      <c r="ET203" s="947"/>
      <c r="EU203" s="754"/>
      <c r="EV203" s="946"/>
      <c r="EW203" s="743"/>
      <c r="EX203" s="743"/>
      <c r="EY203" s="947"/>
      <c r="EZ203" s="754"/>
      <c r="FA203" s="946"/>
      <c r="FB203" s="743"/>
      <c r="FC203" s="743"/>
      <c r="FD203" s="947"/>
      <c r="FE203" s="754"/>
      <c r="FF203" s="721"/>
      <c r="FG203" s="690"/>
      <c r="FH203" s="955">
        <f>AVERAGE(CI203,CN203,DH203,DM203,DC203,CS203,CX203,CD203,BY203,DR203,DW203)</f>
        <v>-1.0435550319149898E-3</v>
      </c>
      <c r="FI203" s="955">
        <f>AVERAGE(CJ203,CO203,DI203,DN203,DD203,CT203,CY203,CE203,BZ203,DS203,DX203)</f>
        <v>5.1820314940211137E-2</v>
      </c>
      <c r="FJ203" s="955">
        <f>AVERAGE(CK203,CP203,DJ203,DO203,DE203,CU203,CZ203,CF203,CA203,DT203,DY203)</f>
        <v>2.7456719105176511E-2</v>
      </c>
      <c r="FK203" s="955">
        <f>AVERAGE(CL203,CQ203,DK203,DP203,DF203,CV203,DA203,CG203,CB203,DU203,DZ203)</f>
        <v>-1.7897624320923868E-2</v>
      </c>
      <c r="FL203" s="690"/>
      <c r="FM203" s="708"/>
      <c r="FN203" s="708"/>
      <c r="FO203" s="723"/>
      <c r="FP203" s="723"/>
      <c r="FQ203" s="723"/>
      <c r="FR203" s="723"/>
      <c r="FS203" s="723"/>
      <c r="FT203" s="723"/>
      <c r="FU203" s="690"/>
      <c r="FV203"/>
      <c r="FW203"/>
      <c r="FX203"/>
      <c r="FY203"/>
      <c r="FZ203"/>
      <c r="GA203"/>
      <c r="GB203" s="725"/>
    </row>
    <row r="204" spans="1:272" s="811" customFormat="1" ht="12.75" customHeight="1">
      <c r="A204" s="1439" t="s">
        <v>391</v>
      </c>
      <c r="B204" s="1297"/>
      <c r="C204" s="780"/>
      <c r="D204" s="780"/>
      <c r="E204" s="780"/>
      <c r="F204" s="1298"/>
      <c r="G204" s="780"/>
      <c r="H204" s="780"/>
      <c r="I204" s="780"/>
      <c r="J204" s="780"/>
      <c r="K204" s="1298"/>
      <c r="L204" s="780"/>
      <c r="M204" s="780"/>
      <c r="N204" s="780"/>
      <c r="O204" s="780"/>
      <c r="P204" s="1298"/>
      <c r="Q204" s="780"/>
      <c r="R204" s="780"/>
      <c r="S204" s="780"/>
      <c r="T204" s="780"/>
      <c r="U204" s="1298"/>
      <c r="V204" s="780"/>
      <c r="W204" s="780"/>
      <c r="X204" s="780"/>
      <c r="Y204" s="780"/>
      <c r="Z204" s="1298"/>
      <c r="AA204" s="780"/>
      <c r="AB204" s="780"/>
      <c r="AC204" s="780"/>
      <c r="AD204" s="780"/>
      <c r="AE204" s="1298"/>
      <c r="AF204" s="780"/>
      <c r="AG204" s="780"/>
      <c r="AH204" s="780"/>
      <c r="AI204" s="780"/>
      <c r="AJ204" s="1298"/>
      <c r="AK204" s="780"/>
      <c r="AL204" s="780"/>
      <c r="AM204" s="780"/>
      <c r="AN204" s="780"/>
      <c r="AO204" s="1298"/>
      <c r="AP204" s="780"/>
      <c r="AQ204" s="780"/>
      <c r="AR204" s="780"/>
      <c r="AS204" s="780"/>
      <c r="AT204" s="1298"/>
      <c r="AU204" s="780"/>
      <c r="AV204" s="780"/>
      <c r="AW204" s="780"/>
      <c r="AX204" s="780"/>
      <c r="AY204" s="1298"/>
      <c r="AZ204" s="780"/>
      <c r="BA204" s="780"/>
      <c r="BB204" s="780"/>
      <c r="BC204" s="780"/>
      <c r="BD204" s="1298"/>
      <c r="BE204" s="780"/>
      <c r="BF204" s="780"/>
      <c r="BG204" s="780"/>
      <c r="BH204" s="780"/>
      <c r="BI204" s="1298"/>
      <c r="BJ204" s="780"/>
      <c r="BK204" s="780"/>
      <c r="BL204" s="780"/>
      <c r="BM204" s="780"/>
      <c r="BN204" s="1298">
        <f>BN126+BN132+BN144+BN155</f>
        <v>157.4670000000001</v>
      </c>
      <c r="BO204" s="780">
        <f t="shared" ref="BO204:DY204" si="547">BO126+BO132+BO144+BO155</f>
        <v>25.021000000000015</v>
      </c>
      <c r="BP204" s="780">
        <f t="shared" si="547"/>
        <v>35.115000000000002</v>
      </c>
      <c r="BQ204" s="780">
        <f t="shared" si="547"/>
        <v>41.617999999999995</v>
      </c>
      <c r="BR204" s="780">
        <f t="shared" si="547"/>
        <v>36.700000000000003</v>
      </c>
      <c r="BS204" s="1298">
        <f t="shared" si="547"/>
        <v>138.45399999999995</v>
      </c>
      <c r="BT204" s="780">
        <f t="shared" si="547"/>
        <v>42.318000000000033</v>
      </c>
      <c r="BU204" s="780">
        <f t="shared" si="547"/>
        <v>48.852000000000082</v>
      </c>
      <c r="BV204" s="780">
        <f t="shared" si="547"/>
        <v>61.912000000000063</v>
      </c>
      <c r="BW204" s="780">
        <f t="shared" si="547"/>
        <v>61.06400000000005</v>
      </c>
      <c r="BX204" s="1298">
        <f t="shared" si="547"/>
        <v>214.14599999999993</v>
      </c>
      <c r="BY204" s="780">
        <f t="shared" si="547"/>
        <v>55.523000000000053</v>
      </c>
      <c r="BZ204" s="780">
        <f t="shared" si="547"/>
        <v>70.729999999999961</v>
      </c>
      <c r="CA204" s="780">
        <f t="shared" si="547"/>
        <v>77.565999999999988</v>
      </c>
      <c r="CB204" s="780">
        <f t="shared" si="547"/>
        <v>69.942000000000007</v>
      </c>
      <c r="CC204" s="1298">
        <f t="shared" si="547"/>
        <v>273.76100000000014</v>
      </c>
      <c r="CD204" s="780">
        <f t="shared" si="547"/>
        <v>73.849999999999966</v>
      </c>
      <c r="CE204" s="780">
        <f t="shared" si="547"/>
        <v>104.11199999999999</v>
      </c>
      <c r="CF204" s="780">
        <f t="shared" si="547"/>
        <v>103.75600000000001</v>
      </c>
      <c r="CG204" s="780">
        <f t="shared" si="547"/>
        <v>89.227999999999952</v>
      </c>
      <c r="CH204" s="1298">
        <f t="shared" si="547"/>
        <v>370.94599999999986</v>
      </c>
      <c r="CI204" s="780">
        <f t="shared" si="547"/>
        <v>77.907999999999987</v>
      </c>
      <c r="CJ204" s="780">
        <f t="shared" si="547"/>
        <v>111.83300000000001</v>
      </c>
      <c r="CK204" s="780">
        <f t="shared" si="547"/>
        <v>102.315</v>
      </c>
      <c r="CL204" s="780">
        <f t="shared" si="547"/>
        <v>109.77200000000001</v>
      </c>
      <c r="CM204" s="1298">
        <f t="shared" si="547"/>
        <v>401.82799999999975</v>
      </c>
      <c r="CN204" s="780">
        <f t="shared" si="547"/>
        <v>49.120000000000005</v>
      </c>
      <c r="CO204" s="780">
        <f t="shared" si="547"/>
        <v>77.621000000000052</v>
      </c>
      <c r="CP204" s="780">
        <f t="shared" si="547"/>
        <v>67.681999999999988</v>
      </c>
      <c r="CQ204" s="780">
        <f t="shared" si="547"/>
        <v>70.030000000000015</v>
      </c>
      <c r="CR204" s="1298">
        <f t="shared" si="547"/>
        <v>264.45299999999997</v>
      </c>
      <c r="CS204" s="780">
        <f t="shared" si="547"/>
        <v>54.007999999999996</v>
      </c>
      <c r="CT204" s="780">
        <f t="shared" si="547"/>
        <v>94.86</v>
      </c>
      <c r="CU204" s="780">
        <f t="shared" si="547"/>
        <v>78.916999999999959</v>
      </c>
      <c r="CV204" s="780">
        <f t="shared" si="547"/>
        <v>-35.16299999999999</v>
      </c>
      <c r="CW204" s="1298">
        <f t="shared" si="547"/>
        <v>192.62200000000036</v>
      </c>
      <c r="CX204" s="780">
        <f t="shared" si="547"/>
        <v>-15.511999999999986</v>
      </c>
      <c r="CY204" s="780">
        <f t="shared" si="547"/>
        <v>65.965999999999994</v>
      </c>
      <c r="CZ204" s="780">
        <f t="shared" si="547"/>
        <v>41.134</v>
      </c>
      <c r="DA204" s="780">
        <f t="shared" si="547"/>
        <v>17.284000000000002</v>
      </c>
      <c r="DB204" s="1298">
        <f t="shared" si="547"/>
        <v>117.60399999999998</v>
      </c>
      <c r="DC204" s="780">
        <f t="shared" si="547"/>
        <v>17.2</v>
      </c>
      <c r="DD204" s="780">
        <f t="shared" si="547"/>
        <v>35.432000000000002</v>
      </c>
      <c r="DE204" s="854">
        <f t="shared" si="547"/>
        <v>34.390999999999991</v>
      </c>
      <c r="DF204" s="780">
        <f t="shared" si="547"/>
        <v>16.983999999999998</v>
      </c>
      <c r="DG204" s="1298">
        <f t="shared" si="547"/>
        <v>106.27900000000001</v>
      </c>
      <c r="DH204" s="780">
        <f t="shared" si="547"/>
        <v>36.695999999999998</v>
      </c>
      <c r="DI204" s="780">
        <f t="shared" si="547"/>
        <v>60.164999999999999</v>
      </c>
      <c r="DJ204" s="780">
        <f t="shared" si="547"/>
        <v>61.124999999999993</v>
      </c>
      <c r="DK204" s="780">
        <f t="shared" si="547"/>
        <v>39.942</v>
      </c>
      <c r="DL204" s="1298">
        <f t="shared" si="547"/>
        <v>197.928</v>
      </c>
      <c r="DM204" s="780">
        <f t="shared" si="547"/>
        <v>55.690000000000005</v>
      </c>
      <c r="DN204" s="780">
        <f t="shared" si="547"/>
        <v>76.201999999999998</v>
      </c>
      <c r="DO204" s="780">
        <f t="shared" si="547"/>
        <v>55.213000000000001</v>
      </c>
      <c r="DP204" s="780">
        <f t="shared" si="547"/>
        <v>37.794999999999995</v>
      </c>
      <c r="DQ204" s="1298">
        <f t="shared" si="547"/>
        <v>224.89999999999998</v>
      </c>
      <c r="DR204" s="780">
        <f t="shared" si="547"/>
        <v>31.598999999999997</v>
      </c>
      <c r="DS204" s="780">
        <f t="shared" si="547"/>
        <v>74.423000000000002</v>
      </c>
      <c r="DT204" s="780">
        <f t="shared" si="547"/>
        <v>67.674999999999997</v>
      </c>
      <c r="DU204" s="780">
        <f t="shared" si="547"/>
        <v>33.379999999999995</v>
      </c>
      <c r="DV204" s="1298">
        <f t="shared" si="547"/>
        <v>207.077</v>
      </c>
      <c r="DW204" s="780">
        <f t="shared" si="547"/>
        <v>33.061999999999998</v>
      </c>
      <c r="DX204" s="780">
        <f t="shared" si="547"/>
        <v>99.3</v>
      </c>
      <c r="DY204" s="780">
        <f t="shared" si="547"/>
        <v>91.375</v>
      </c>
      <c r="DZ204" s="780">
        <f>DZ126+DZ132+DZ144+DZ155</f>
        <v>58.278000000000006</v>
      </c>
      <c r="EA204" s="1298">
        <f t="shared" ref="EA204:EF204" si="548">EA126+EA132+EA144+EA155</f>
        <v>282.01499999999999</v>
      </c>
      <c r="EB204" s="780">
        <f>EB126+EB132+EB144+EB155</f>
        <v>53.048999999999999</v>
      </c>
      <c r="EC204" s="780">
        <f>EC126+EC132+EC144+EC155</f>
        <v>85.217000000000013</v>
      </c>
      <c r="ED204" s="780">
        <f t="shared" si="548"/>
        <v>87.19</v>
      </c>
      <c r="EE204" s="780">
        <f t="shared" si="548"/>
        <v>73.976203722999983</v>
      </c>
      <c r="EF204" s="1221">
        <f t="shared" si="548"/>
        <v>299.43220372299993</v>
      </c>
      <c r="EG204" s="783"/>
      <c r="EH204" s="780"/>
      <c r="EI204" s="780"/>
      <c r="EJ204" s="780"/>
      <c r="EK204" s="1441">
        <f>EK126+EK132+EK144+EK155</f>
        <v>444.31865500524793</v>
      </c>
      <c r="EL204" s="783"/>
      <c r="EM204" s="780"/>
      <c r="EN204" s="780"/>
      <c r="EO204" s="780"/>
      <c r="EP204" s="1441">
        <f>EP126+EP132+EP144+EP155</f>
        <v>514.11362748505803</v>
      </c>
      <c r="EQ204" s="783"/>
      <c r="ER204" s="780"/>
      <c r="ES204" s="780"/>
      <c r="ET204" s="780"/>
      <c r="EU204" s="1441">
        <f>EU126+EU132+EU144+EU155</f>
        <v>598.5068766632736</v>
      </c>
      <c r="EV204" s="783"/>
      <c r="EW204" s="780"/>
      <c r="EX204" s="780"/>
      <c r="EY204" s="780"/>
      <c r="EZ204" s="1441">
        <f>EZ126+EZ132+EZ144+EZ155</f>
        <v>648.02766560145085</v>
      </c>
      <c r="FA204" s="783"/>
      <c r="FB204" s="780"/>
      <c r="FC204" s="780"/>
      <c r="FD204" s="780"/>
      <c r="FE204" s="1441">
        <f>FE126+FE132+FE144+FE155</f>
        <v>699.47832491525151</v>
      </c>
      <c r="FF204" s="938"/>
      <c r="FG204" s="690"/>
      <c r="FH204" s="754"/>
      <c r="FI204" s="754"/>
      <c r="FJ204" s="754"/>
      <c r="FK204" s="754"/>
      <c r="FL204" s="690"/>
      <c r="FM204" s="940"/>
      <c r="FN204" s="940"/>
      <c r="FO204" s="941"/>
      <c r="FP204" s="941"/>
      <c r="FQ204" s="941"/>
      <c r="FR204" s="941"/>
      <c r="FS204" s="941"/>
      <c r="FT204" s="941"/>
      <c r="FU204" s="690"/>
      <c r="FV204"/>
      <c r="FW204"/>
      <c r="FX204"/>
      <c r="FY204"/>
      <c r="FZ204"/>
      <c r="GA204"/>
      <c r="GB204" s="943"/>
      <c r="GC204" s="965"/>
      <c r="GD204" s="965"/>
      <c r="GE204" s="965"/>
      <c r="GF204" s="965"/>
      <c r="GG204" s="965"/>
      <c r="GH204" s="965"/>
      <c r="GI204" s="965"/>
      <c r="GJ204" s="965"/>
      <c r="GK204" s="965"/>
      <c r="GL204" s="965"/>
      <c r="GM204" s="965"/>
      <c r="GN204" s="965"/>
      <c r="GO204" s="965"/>
      <c r="GP204" s="965"/>
      <c r="GQ204" s="965"/>
      <c r="GR204" s="965"/>
      <c r="GS204" s="965"/>
      <c r="GT204" s="965"/>
      <c r="GU204" s="965"/>
      <c r="GV204" s="965"/>
      <c r="GW204" s="965"/>
      <c r="GX204" s="965"/>
      <c r="GY204" s="965"/>
      <c r="GZ204" s="965"/>
      <c r="HA204" s="965"/>
      <c r="HB204" s="965"/>
      <c r="HC204" s="965"/>
      <c r="HD204" s="965"/>
      <c r="HE204" s="965"/>
      <c r="HF204" s="965"/>
      <c r="HG204" s="965"/>
      <c r="HH204" s="965"/>
      <c r="HI204" s="965"/>
      <c r="HJ204" s="965"/>
      <c r="HK204" s="965"/>
      <c r="HL204" s="965"/>
      <c r="HM204" s="965"/>
      <c r="HN204" s="965"/>
      <c r="HO204" s="965"/>
      <c r="HP204" s="965"/>
      <c r="HQ204" s="965"/>
      <c r="HR204" s="965"/>
      <c r="HS204" s="965"/>
      <c r="HT204" s="965"/>
      <c r="HU204" s="965"/>
      <c r="HV204" s="965"/>
      <c r="HW204" s="965"/>
      <c r="HX204" s="965"/>
      <c r="HY204" s="965"/>
      <c r="HZ204" s="965"/>
      <c r="IA204" s="965"/>
      <c r="IB204" s="965"/>
      <c r="IC204" s="965"/>
      <c r="ID204" s="965"/>
      <c r="IE204" s="965"/>
      <c r="IF204" s="965"/>
      <c r="IG204" s="965"/>
      <c r="IH204" s="965"/>
      <c r="II204" s="965"/>
      <c r="IJ204" s="965"/>
      <c r="IK204" s="965"/>
      <c r="IL204" s="965"/>
      <c r="IM204" s="965"/>
      <c r="IN204" s="965"/>
      <c r="IO204" s="965"/>
      <c r="IP204" s="965"/>
      <c r="IQ204" s="965"/>
      <c r="IR204" s="965"/>
      <c r="IS204" s="965"/>
      <c r="IT204" s="965"/>
      <c r="IU204" s="965"/>
      <c r="IV204" s="965"/>
      <c r="IW204" s="965"/>
      <c r="IX204" s="965"/>
      <c r="IY204" s="965"/>
      <c r="IZ204" s="965"/>
      <c r="JA204" s="965"/>
      <c r="JB204" s="965"/>
      <c r="JC204" s="965"/>
      <c r="JD204" s="965"/>
      <c r="JE204" s="965"/>
      <c r="JF204" s="965"/>
      <c r="JG204" s="965"/>
      <c r="JH204" s="965"/>
      <c r="JI204" s="965"/>
      <c r="JJ204" s="965"/>
      <c r="JK204" s="965"/>
      <c r="JL204" s="965"/>
    </row>
    <row r="205" spans="1:272" s="749" customFormat="1" ht="12.75" customHeight="1">
      <c r="A205" s="1068" t="s">
        <v>85</v>
      </c>
      <c r="B205" s="815"/>
      <c r="C205" s="815"/>
      <c r="D205" s="815"/>
      <c r="E205" s="815"/>
      <c r="F205" s="816"/>
      <c r="G205" s="817"/>
      <c r="H205" s="817"/>
      <c r="I205" s="817"/>
      <c r="J205" s="817"/>
      <c r="K205" s="816"/>
      <c r="L205" s="817"/>
      <c r="M205" s="817"/>
      <c r="N205" s="817"/>
      <c r="O205" s="817"/>
      <c r="P205" s="816"/>
      <c r="Q205" s="817"/>
      <c r="R205" s="817"/>
      <c r="S205" s="817"/>
      <c r="T205" s="817"/>
      <c r="U205" s="816"/>
      <c r="V205" s="817"/>
      <c r="W205" s="817"/>
      <c r="X205" s="817"/>
      <c r="Y205" s="817"/>
      <c r="Z205" s="816"/>
      <c r="AA205" s="817"/>
      <c r="AB205" s="817"/>
      <c r="AC205" s="817"/>
      <c r="AD205" s="817"/>
      <c r="AE205" s="816"/>
      <c r="AF205" s="817"/>
      <c r="AG205" s="817"/>
      <c r="AH205" s="817"/>
      <c r="AI205" s="817"/>
      <c r="AJ205" s="816"/>
      <c r="AK205" s="817"/>
      <c r="AL205" s="817"/>
      <c r="AM205" s="817"/>
      <c r="AN205" s="817"/>
      <c r="AO205" s="816"/>
      <c r="AP205" s="817"/>
      <c r="AQ205" s="817"/>
      <c r="AR205" s="817"/>
      <c r="AS205" s="817"/>
      <c r="AT205" s="816"/>
      <c r="AU205" s="817"/>
      <c r="AV205" s="817"/>
      <c r="AW205" s="817"/>
      <c r="AX205" s="817"/>
      <c r="AY205" s="816"/>
      <c r="AZ205" s="817"/>
      <c r="BA205" s="817"/>
      <c r="BB205" s="817"/>
      <c r="BC205" s="817"/>
      <c r="BD205" s="816"/>
      <c r="BE205" s="817"/>
      <c r="BF205" s="817"/>
      <c r="BG205" s="817"/>
      <c r="BH205" s="817"/>
      <c r="BI205" s="816"/>
      <c r="BJ205" s="817"/>
      <c r="BK205" s="817"/>
      <c r="BL205" s="817"/>
      <c r="BM205" s="817"/>
      <c r="BN205" s="816"/>
      <c r="BO205" s="817"/>
      <c r="BP205" s="817"/>
      <c r="BQ205" s="817"/>
      <c r="BR205" s="817"/>
      <c r="BS205" s="816"/>
      <c r="BT205" s="817">
        <f t="shared" ref="BT205:EE205" si="549">BT204/BO204-1</f>
        <v>0.69129930858079236</v>
      </c>
      <c r="BU205" s="817">
        <f t="shared" si="549"/>
        <v>0.39120034173430374</v>
      </c>
      <c r="BV205" s="817">
        <f t="shared" si="549"/>
        <v>0.48762554663847535</v>
      </c>
      <c r="BW205" s="817">
        <f t="shared" si="549"/>
        <v>0.66386920980926556</v>
      </c>
      <c r="BX205" s="816">
        <f t="shared" si="549"/>
        <v>0.54669420890692932</v>
      </c>
      <c r="BY205" s="817">
        <f t="shared" si="549"/>
        <v>0.31204215700174887</v>
      </c>
      <c r="BZ205" s="817">
        <f t="shared" si="549"/>
        <v>0.44784246294931318</v>
      </c>
      <c r="CA205" s="817">
        <f t="shared" si="549"/>
        <v>0.25284274454063693</v>
      </c>
      <c r="CB205" s="817">
        <f t="shared" si="549"/>
        <v>0.14538844491025738</v>
      </c>
      <c r="CC205" s="816">
        <f t="shared" si="549"/>
        <v>0.27838484024917687</v>
      </c>
      <c r="CD205" s="817">
        <f t="shared" si="549"/>
        <v>0.33007942654395284</v>
      </c>
      <c r="CE205" s="817">
        <f t="shared" si="549"/>
        <v>0.47196380602290477</v>
      </c>
      <c r="CF205" s="817">
        <f t="shared" si="549"/>
        <v>0.3376479385297686</v>
      </c>
      <c r="CG205" s="817">
        <f t="shared" si="549"/>
        <v>0.27574275828543571</v>
      </c>
      <c r="CH205" s="816">
        <f t="shared" si="549"/>
        <v>0.35499943381270405</v>
      </c>
      <c r="CI205" s="817">
        <f t="shared" si="549"/>
        <v>5.4949221394719361E-2</v>
      </c>
      <c r="CJ205" s="817">
        <f t="shared" si="549"/>
        <v>7.4160519440602535E-2</v>
      </c>
      <c r="CK205" s="817">
        <f t="shared" si="549"/>
        <v>-1.3888353444620249E-2</v>
      </c>
      <c r="CL205" s="817">
        <f t="shared" si="549"/>
        <v>0.23024162818846183</v>
      </c>
      <c r="CM205" s="816">
        <f t="shared" si="549"/>
        <v>8.3252009726482834E-2</v>
      </c>
      <c r="CN205" s="817">
        <f t="shared" si="549"/>
        <v>-0.36951275863839383</v>
      </c>
      <c r="CO205" s="817">
        <f t="shared" si="549"/>
        <v>-0.30592043493423193</v>
      </c>
      <c r="CP205" s="817">
        <f t="shared" si="549"/>
        <v>-0.33849386697942641</v>
      </c>
      <c r="CQ205" s="817">
        <f t="shared" si="549"/>
        <v>-0.3620413220128994</v>
      </c>
      <c r="CR205" s="816">
        <f t="shared" si="549"/>
        <v>-0.34187513065291586</v>
      </c>
      <c r="CS205" s="817">
        <f t="shared" si="549"/>
        <v>9.9511400651465687E-2</v>
      </c>
      <c r="CT205" s="817">
        <f t="shared" si="549"/>
        <v>0.22209195965009387</v>
      </c>
      <c r="CU205" s="817">
        <f t="shared" si="549"/>
        <v>0.16599686770485467</v>
      </c>
      <c r="CV205" s="817">
        <f t="shared" si="549"/>
        <v>-1.5021133799800084</v>
      </c>
      <c r="CW205" s="816">
        <f t="shared" si="549"/>
        <v>-0.27162104419310662</v>
      </c>
      <c r="CX205" s="817">
        <f t="shared" si="549"/>
        <v>-1.2872167086357575</v>
      </c>
      <c r="CY205" s="817">
        <f t="shared" si="549"/>
        <v>-0.30459624710099098</v>
      </c>
      <c r="CZ205" s="817">
        <f t="shared" si="549"/>
        <v>-0.47876883307779028</v>
      </c>
      <c r="DA205" s="817">
        <f t="shared" si="549"/>
        <v>-1.4915394022125532</v>
      </c>
      <c r="DB205" s="816">
        <f t="shared" si="549"/>
        <v>-0.38945707136256624</v>
      </c>
      <c r="DC205" s="817">
        <f t="shared" si="549"/>
        <v>-2.1088189788550809</v>
      </c>
      <c r="DD205" s="817">
        <f t="shared" si="549"/>
        <v>-0.46287481429827482</v>
      </c>
      <c r="DE205" s="817">
        <f t="shared" si="549"/>
        <v>-0.1639276510915546</v>
      </c>
      <c r="DF205" s="817">
        <f t="shared" si="549"/>
        <v>-1.7357093265448098E-2</v>
      </c>
      <c r="DG205" s="816">
        <f t="shared" si="549"/>
        <v>-9.6297744974660482E-2</v>
      </c>
      <c r="DH205" s="817">
        <f t="shared" si="549"/>
        <v>1.1334883720930233</v>
      </c>
      <c r="DI205" s="817">
        <f t="shared" si="549"/>
        <v>0.69804131858207263</v>
      </c>
      <c r="DJ205" s="817">
        <f t="shared" si="549"/>
        <v>0.77735454043209007</v>
      </c>
      <c r="DK205" s="817">
        <f t="shared" si="549"/>
        <v>1.3517428167687235</v>
      </c>
      <c r="DL205" s="818">
        <f t="shared" si="549"/>
        <v>0.86234345449242067</v>
      </c>
      <c r="DM205" s="817">
        <f t="shared" si="549"/>
        <v>0.51760409853935063</v>
      </c>
      <c r="DN205" s="817">
        <f t="shared" si="549"/>
        <v>0.26655031995346135</v>
      </c>
      <c r="DO205" s="817">
        <f t="shared" si="549"/>
        <v>-9.6719836400817827E-2</v>
      </c>
      <c r="DP205" s="817">
        <f t="shared" si="549"/>
        <v>-5.3752941765560225E-2</v>
      </c>
      <c r="DQ205" s="818">
        <f t="shared" si="549"/>
        <v>0.1362717755951659</v>
      </c>
      <c r="DR205" s="817">
        <f>DR204/DM204-1</f>
        <v>-0.43259112946669076</v>
      </c>
      <c r="DS205" s="817">
        <f t="shared" si="549"/>
        <v>-2.3345843941103839E-2</v>
      </c>
      <c r="DT205" s="817">
        <f t="shared" si="549"/>
        <v>0.22570771376306298</v>
      </c>
      <c r="DU205" s="817">
        <f t="shared" si="549"/>
        <v>-0.11681439343828548</v>
      </c>
      <c r="DV205" s="818">
        <f t="shared" si="549"/>
        <v>-7.9248554913294744E-2</v>
      </c>
      <c r="DW205" s="817">
        <f t="shared" si="549"/>
        <v>4.6298933510554141E-2</v>
      </c>
      <c r="DX205" s="817">
        <f t="shared" si="549"/>
        <v>0.33426494497668724</v>
      </c>
      <c r="DY205" s="817">
        <f t="shared" si="549"/>
        <v>0.35020317694865177</v>
      </c>
      <c r="DZ205" s="817">
        <f t="shared" si="549"/>
        <v>0.74589574595566255</v>
      </c>
      <c r="EA205" s="818">
        <f t="shared" si="549"/>
        <v>0.36188470955248531</v>
      </c>
      <c r="EB205" s="817">
        <f t="shared" si="549"/>
        <v>0.60453088137438771</v>
      </c>
      <c r="EC205" s="817">
        <f t="shared" si="549"/>
        <v>-0.14182275931520627</v>
      </c>
      <c r="ED205" s="817">
        <f t="shared" si="549"/>
        <v>-4.5800273597811247E-2</v>
      </c>
      <c r="EE205" s="817">
        <f t="shared" si="549"/>
        <v>0.26936757821133139</v>
      </c>
      <c r="EF205" s="818">
        <f t="shared" ref="EF205" si="550">EF204/EA204-1</f>
        <v>6.1759848671169681E-2</v>
      </c>
      <c r="EG205" s="764"/>
      <c r="EH205" s="761"/>
      <c r="EI205" s="761"/>
      <c r="EJ205" s="763"/>
      <c r="EK205" s="818">
        <f>EK204/EF204-1</f>
        <v>0.48387063742909975</v>
      </c>
      <c r="EL205" s="764"/>
      <c r="EM205" s="761"/>
      <c r="EN205" s="761"/>
      <c r="EO205" s="763"/>
      <c r="EP205" s="818">
        <f>EP204/EK204-1</f>
        <v>0.15708314673167556</v>
      </c>
      <c r="EQ205" s="764"/>
      <c r="ER205" s="761"/>
      <c r="ES205" s="761"/>
      <c r="ET205" s="763"/>
      <c r="EU205" s="818">
        <f>EU204/EP204-1</f>
        <v>0.16415291224831097</v>
      </c>
      <c r="EV205" s="764"/>
      <c r="EW205" s="761"/>
      <c r="EX205" s="761"/>
      <c r="EY205" s="763"/>
      <c r="EZ205" s="818">
        <f>EZ204/EU204-1</f>
        <v>8.2740551310387378E-2</v>
      </c>
      <c r="FA205" s="764"/>
      <c r="FB205" s="761"/>
      <c r="FC205" s="761"/>
      <c r="FD205" s="763"/>
      <c r="FE205" s="818">
        <f>FE204/EZ204-1</f>
        <v>7.9395775898005727E-2</v>
      </c>
      <c r="FF205" s="721"/>
      <c r="FG205" s="690"/>
      <c r="FH205" s="754"/>
      <c r="FI205" s="754"/>
      <c r="FJ205" s="754"/>
      <c r="FK205" s="754"/>
      <c r="FL205" s="690"/>
      <c r="FM205" s="708"/>
      <c r="FN205" s="708"/>
      <c r="FO205" s="723"/>
      <c r="FP205" s="723"/>
      <c r="FQ205" s="723"/>
      <c r="FR205" s="723"/>
      <c r="FS205" s="723"/>
      <c r="FT205" s="723"/>
      <c r="FU205" s="690"/>
      <c r="FV205"/>
      <c r="FW205"/>
      <c r="FX205"/>
      <c r="FY205"/>
      <c r="FZ205"/>
      <c r="GA205"/>
      <c r="GB205" s="725"/>
      <c r="GC205" s="532"/>
      <c r="GD205" s="532"/>
      <c r="GE205" s="532"/>
      <c r="GF205" s="532"/>
      <c r="GG205" s="532"/>
      <c r="GH205" s="532"/>
      <c r="GI205" s="532"/>
      <c r="GJ205" s="532"/>
      <c r="GK205" s="532"/>
      <c r="GL205" s="532"/>
      <c r="GM205" s="532"/>
      <c r="GN205" s="532"/>
      <c r="GO205" s="532"/>
      <c r="GP205" s="532"/>
      <c r="GQ205" s="532"/>
      <c r="GR205" s="532"/>
      <c r="GS205" s="532"/>
      <c r="GT205" s="532"/>
      <c r="GU205" s="532"/>
      <c r="GV205" s="532"/>
      <c r="GW205" s="532"/>
      <c r="GX205" s="532"/>
      <c r="GY205" s="532"/>
      <c r="GZ205" s="532"/>
      <c r="HA205" s="532"/>
      <c r="HB205" s="532"/>
      <c r="HC205" s="532"/>
      <c r="HD205" s="532"/>
      <c r="HE205" s="532"/>
      <c r="HF205" s="532"/>
      <c r="HG205" s="532"/>
      <c r="HH205" s="532"/>
      <c r="HI205" s="532"/>
      <c r="HJ205" s="532"/>
      <c r="HK205" s="532"/>
      <c r="HL205" s="532"/>
      <c r="HM205" s="532"/>
      <c r="HN205" s="532"/>
      <c r="HO205" s="532"/>
      <c r="HP205" s="532"/>
      <c r="HQ205" s="532"/>
      <c r="HR205" s="532"/>
      <c r="HS205" s="532"/>
      <c r="HT205" s="532"/>
      <c r="HU205" s="532"/>
      <c r="HV205" s="532"/>
      <c r="HW205" s="532"/>
      <c r="HX205" s="532"/>
      <c r="HY205" s="532"/>
      <c r="HZ205" s="532"/>
      <c r="IA205" s="532"/>
      <c r="IB205" s="532"/>
      <c r="IC205" s="532"/>
      <c r="ID205" s="532"/>
      <c r="IE205" s="532"/>
      <c r="IF205" s="532"/>
      <c r="IG205" s="532"/>
      <c r="IH205" s="532"/>
      <c r="II205" s="532"/>
      <c r="IJ205" s="532"/>
      <c r="IK205" s="532"/>
      <c r="IL205" s="532"/>
      <c r="IM205" s="532"/>
      <c r="IN205" s="532"/>
      <c r="IO205" s="532"/>
      <c r="IP205" s="532"/>
      <c r="IQ205" s="532"/>
      <c r="IR205" s="532"/>
      <c r="IS205" s="532"/>
      <c r="IT205" s="532"/>
      <c r="IU205" s="532"/>
      <c r="IV205" s="532"/>
      <c r="IW205" s="532"/>
      <c r="IX205" s="532"/>
      <c r="IY205" s="532"/>
      <c r="IZ205" s="532"/>
      <c r="JA205" s="532"/>
      <c r="JB205" s="532"/>
      <c r="JC205" s="532"/>
      <c r="JD205" s="532"/>
      <c r="JE205" s="532"/>
      <c r="JF205" s="532"/>
      <c r="JG205" s="532"/>
      <c r="JH205" s="532"/>
      <c r="JI205" s="532"/>
      <c r="JJ205" s="532"/>
      <c r="JK205" s="532"/>
      <c r="JL205" s="532"/>
    </row>
    <row r="206" spans="1:272" s="532" customFormat="1" ht="12.75" customHeight="1">
      <c r="A206" s="951" t="s">
        <v>290</v>
      </c>
      <c r="B206" s="952"/>
      <c r="C206" s="953"/>
      <c r="D206" s="953"/>
      <c r="E206" s="953"/>
      <c r="F206" s="754"/>
      <c r="G206" s="954"/>
      <c r="H206" s="954"/>
      <c r="I206" s="954"/>
      <c r="J206" s="954"/>
      <c r="K206" s="754"/>
      <c r="L206" s="743"/>
      <c r="M206" s="743"/>
      <c r="N206" s="743"/>
      <c r="O206" s="743"/>
      <c r="P206" s="754"/>
      <c r="Q206" s="743"/>
      <c r="R206" s="743"/>
      <c r="S206" s="743"/>
      <c r="T206" s="743"/>
      <c r="U206" s="754"/>
      <c r="V206" s="743"/>
      <c r="W206" s="743"/>
      <c r="X206" s="743"/>
      <c r="Y206" s="743"/>
      <c r="Z206" s="754"/>
      <c r="AA206" s="743"/>
      <c r="AB206" s="743"/>
      <c r="AC206" s="743"/>
      <c r="AD206" s="743"/>
      <c r="AE206" s="754"/>
      <c r="AF206" s="743"/>
      <c r="AG206" s="954"/>
      <c r="AH206" s="743"/>
      <c r="AI206" s="743"/>
      <c r="AJ206" s="754"/>
      <c r="AK206" s="743"/>
      <c r="AL206" s="954"/>
      <c r="AM206" s="743"/>
      <c r="AN206" s="743"/>
      <c r="AO206" s="754"/>
      <c r="AP206" s="743"/>
      <c r="AQ206" s="954"/>
      <c r="AR206" s="743"/>
      <c r="AS206" s="743"/>
      <c r="AT206" s="754"/>
      <c r="AU206" s="743"/>
      <c r="AV206" s="954"/>
      <c r="AW206" s="743"/>
      <c r="AX206" s="743"/>
      <c r="AY206" s="754"/>
      <c r="AZ206" s="743"/>
      <c r="BA206" s="954"/>
      <c r="BB206" s="743"/>
      <c r="BC206" s="743"/>
      <c r="BD206" s="754"/>
      <c r="BE206" s="743" t="str">
        <f>IF(ISERROR(BE204/BC204-1)," ",(BE204/BC204-1))</f>
        <v xml:space="preserve"> </v>
      </c>
      <c r="BF206" s="954" t="str">
        <f>IF(ISERROR(BF204/BE204-1)," ",(BF204/BE204-1))</f>
        <v xml:space="preserve"> </v>
      </c>
      <c r="BG206" s="743" t="str">
        <f>IF(ISERROR(BG204/BF204-1)," ",(BG204/BF204-1))</f>
        <v xml:space="preserve"> </v>
      </c>
      <c r="BH206" s="743" t="str">
        <f>IF(ISERROR(BH204/BG204-1)," ",(BH204/BG204-1))</f>
        <v xml:space="preserve"> </v>
      </c>
      <c r="BI206" s="754">
        <f>BI205</f>
        <v>0</v>
      </c>
      <c r="BJ206" s="743" t="str">
        <f>IF(ISERROR(BJ204/BH204-1)," ",(BJ204/BH204-1))</f>
        <v xml:space="preserve"> </v>
      </c>
      <c r="BK206" s="954" t="str">
        <f>IF(ISERROR(BK204/BJ204-1)," ",(BK204/BJ204-1))</f>
        <v xml:space="preserve"> </v>
      </c>
      <c r="BL206" s="743" t="str">
        <f>IF(ISERROR(BL204/BK204-1)," ",(BL204/BK204-1))</f>
        <v xml:space="preserve"> </v>
      </c>
      <c r="BM206" s="743" t="str">
        <f>IF(ISERROR(BM204/BL204-1)," ",(BM204/BL204-1))</f>
        <v xml:space="preserve"> </v>
      </c>
      <c r="BN206" s="754">
        <f>BN205</f>
        <v>0</v>
      </c>
      <c r="BO206" s="743" t="str">
        <f>IF(ISERROR(BO204/BM204-1)," ",(BO204/BM204-1))</f>
        <v xml:space="preserve"> </v>
      </c>
      <c r="BP206" s="954">
        <f>IF(ISERROR(BP204/BO204-1)," ",(BP204/BO204-1))</f>
        <v>0.40342112625394599</v>
      </c>
      <c r="BQ206" s="743">
        <f>IF(ISERROR(BQ204/BP204-1)," ",(BQ204/BP204-1))</f>
        <v>0.1851915135981772</v>
      </c>
      <c r="BR206" s="743">
        <f>IF(ISERROR(BR204/BQ204-1)," ",(BR204/BQ204-1))</f>
        <v>-0.11817002258638076</v>
      </c>
      <c r="BS206" s="754">
        <f>BS205</f>
        <v>0</v>
      </c>
      <c r="BT206" s="743">
        <f>IF(ISERROR(BT204/BR204-1)," ",(BT204/BR204-1))</f>
        <v>0.15307901907357024</v>
      </c>
      <c r="BU206" s="954">
        <f>IF(ISERROR(BU204/BT204-1)," ",(BU204/BT204-1))</f>
        <v>0.15440238196512235</v>
      </c>
      <c r="BV206" s="743">
        <f>IF(ISERROR(BV204/BU204-1)," ",(BV204/BU204-1))</f>
        <v>0.26733808237124301</v>
      </c>
      <c r="BW206" s="743">
        <f>IF(ISERROR(BW204/BV204-1)," ",(BW204/BV204-1))</f>
        <v>-1.3696860059439375E-2</v>
      </c>
      <c r="BX206" s="754">
        <f>BX205</f>
        <v>0.54669420890692932</v>
      </c>
      <c r="BY206" s="743">
        <f>IF(ISERROR(BY204/BW204-1)," ",(BY204/BW204-1))</f>
        <v>-9.0740862046377435E-2</v>
      </c>
      <c r="BZ206" s="954">
        <f>IF(ISERROR(BZ204/BY204-1)," ",(BZ204/BY204-1))</f>
        <v>0.27388649748752569</v>
      </c>
      <c r="CA206" s="743">
        <f>IF(ISERROR(CA204/BZ204-1)," ",(CA204/BZ204-1))</f>
        <v>9.664922946415988E-2</v>
      </c>
      <c r="CB206" s="743">
        <f>IF(ISERROR(CB204/CA204-1)," ",(CB204/CA204-1))</f>
        <v>-9.8290488100456153E-2</v>
      </c>
      <c r="CC206" s="754">
        <f>CC205</f>
        <v>0.27838484024917687</v>
      </c>
      <c r="CD206" s="743">
        <f>IF(ISERROR(CD204/CB204-1)," ",(CD204/CB204-1))</f>
        <v>5.5874867747561563E-2</v>
      </c>
      <c r="CE206" s="743">
        <f>IF(ISERROR(CE204/CD204-1)," ",(CE204/CD204-1))</f>
        <v>0.40977657413676427</v>
      </c>
      <c r="CF206" s="743">
        <f>IF(ISERROR(CF204/CE204-1)," ",(CF204/CE204-1))</f>
        <v>-3.4193944982324753E-3</v>
      </c>
      <c r="CG206" s="743">
        <f>IF(ISERROR(CG204/CF204-1)," ",(CG204/CF204-1))</f>
        <v>-0.14002081807317224</v>
      </c>
      <c r="CH206" s="754">
        <f>CH205</f>
        <v>0.35499943381270405</v>
      </c>
      <c r="CI206" s="743">
        <f>IF(ISERROR(CI204/CG204-1)," ",(CI204/CG204-1))</f>
        <v>-0.12686600618639854</v>
      </c>
      <c r="CJ206" s="743">
        <f>IF(ISERROR(CJ204/CI204-1)," ",(CJ204/CI204-1))</f>
        <v>0.43544950454382136</v>
      </c>
      <c r="CK206" s="743">
        <f>IF(ISERROR(CK204/CJ204-1)," ",(CK204/CJ204-1))</f>
        <v>-8.5109046524728948E-2</v>
      </c>
      <c r="CL206" s="743">
        <f>IF(ISERROR(CL204/CK204-1)," ",(CL204/CK204-1))</f>
        <v>7.2882764013096901E-2</v>
      </c>
      <c r="CM206" s="754">
        <f>CM205</f>
        <v>8.3252009726482834E-2</v>
      </c>
      <c r="CN206" s="743">
        <f>IF(ISERROR(CN204/CL204-1)," ",(CN204/CL204-1))</f>
        <v>-0.55252705607987462</v>
      </c>
      <c r="CO206" s="743">
        <f>IF(ISERROR(CO204/CN204-1)," ",(CO204/CN204-1))</f>
        <v>0.58023208469055465</v>
      </c>
      <c r="CP206" s="743">
        <f>IF(ISERROR(CP204/CO204-1)," ",(CP204/CO204-1))</f>
        <v>-0.12804524548769092</v>
      </c>
      <c r="CQ206" s="743">
        <f>IF(ISERROR(CQ204/CP204-1)," ",(CQ204/CP204-1))</f>
        <v>3.4691646227948736E-2</v>
      </c>
      <c r="CR206" s="754">
        <f>CR205</f>
        <v>-0.34187513065291586</v>
      </c>
      <c r="CS206" s="743">
        <f>IF(ISERROR(CS204/CQ204-1)," ",(CS204/CQ204-1))</f>
        <v>-0.22878766243038717</v>
      </c>
      <c r="CT206" s="743">
        <f>IF(ISERROR(CT204/CS204-1)," ",(CT204/CS204-1))</f>
        <v>0.75640645830247388</v>
      </c>
      <c r="CU206" s="743">
        <f>IF(ISERROR(CU204/CT204-1)," ",(CU204/CT204-1))</f>
        <v>-0.16806873286949231</v>
      </c>
      <c r="CV206" s="743">
        <f>IF(ISERROR(CV204/CU204-1)," ",(CV204/CU204-1))</f>
        <v>-1.4455693956942104</v>
      </c>
      <c r="CW206" s="754">
        <f>CW205</f>
        <v>-0.27162104419310662</v>
      </c>
      <c r="CX206" s="743">
        <f>IF(ISERROR(CX204/CV204-1)," ",(CX204/CV204-1))</f>
        <v>-0.55885447771805619</v>
      </c>
      <c r="CY206" s="743">
        <f>IF(ISERROR(CY204/CX204-1)," ",(CY204/CX204-1))</f>
        <v>-5.2525786487880382</v>
      </c>
      <c r="CZ206" s="743">
        <f>IF(ISERROR(CZ204/CY204-1)," ",(CZ204/CY204-1))</f>
        <v>-0.37643634599642228</v>
      </c>
      <c r="DA206" s="743">
        <f>IF(ISERROR(DA204/CZ204-1)," ",(DA204/CZ204-1))</f>
        <v>-0.5798123207079301</v>
      </c>
      <c r="DB206" s="754">
        <f>DB205</f>
        <v>-0.38945707136256624</v>
      </c>
      <c r="DC206" s="743">
        <f>IF(ISERROR(DC204/DA204-1)," ",(DC204/DA204-1))</f>
        <v>-4.8599861143255874E-3</v>
      </c>
      <c r="DD206" s="743">
        <f>IF(ISERROR(DD204/DC204-1)," ",(DD204/DC204-1))</f>
        <v>1.06</v>
      </c>
      <c r="DE206" s="743">
        <f>IF(ISERROR(DE204/DD204-1)," ",(DE204/DD204-1))</f>
        <v>-2.9380221268909823E-2</v>
      </c>
      <c r="DF206" s="743">
        <f>IF(ISERROR(DF204/DE204-1)," ",(DF204/DE204-1))</f>
        <v>-0.50614986479020674</v>
      </c>
      <c r="DG206" s="754">
        <f>DG205</f>
        <v>-9.6297744974660482E-2</v>
      </c>
      <c r="DH206" s="743">
        <f>IF(ISERROR(DH204/DF204-1)," ",(DH204/DF204-1))</f>
        <v>1.1606217616580312</v>
      </c>
      <c r="DI206" s="743">
        <f>IF(ISERROR(DI204/DH204-1)," ",(DI204/DH204-1))</f>
        <v>0.6395519947678221</v>
      </c>
      <c r="DJ206" s="743">
        <f>IF(ISERROR(DJ204/DI204-1)," ",(DJ204/DI204-1))</f>
        <v>1.5956120668162432E-2</v>
      </c>
      <c r="DK206" s="743">
        <f>IF(ISERROR(DK204/DJ204-1)," ",(DK204/DJ204-1))</f>
        <v>-0.34655214723926375</v>
      </c>
      <c r="DL206" s="754"/>
      <c r="DM206" s="743">
        <f>IF(ISERROR(DM204/DK204-1)," ",(DM204/DK204-1))</f>
        <v>0.39427169395623674</v>
      </c>
      <c r="DN206" s="743">
        <f>IF(ISERROR(DN204/DM204-1)," ",(DN204/DM204-1))</f>
        <v>0.36832465433650552</v>
      </c>
      <c r="DO206" s="743">
        <f>IF(ISERROR(DO204/DN204-1)," ",(DO204/DN204-1))</f>
        <v>-0.27543896485656538</v>
      </c>
      <c r="DP206" s="743">
        <f>IF(ISERROR(DP204/DO204-1)," ",(DP204/DO204-1))</f>
        <v>-0.31546918298226878</v>
      </c>
      <c r="DQ206" s="754"/>
      <c r="DR206" s="743">
        <f>IF(ISERROR(DR204/DP204-1)," ",(DR204/DP204-1))</f>
        <v>-0.16393702870750093</v>
      </c>
      <c r="DS206" s="743">
        <f>IF(ISERROR(DS204/DR204-1)," ",(DS204/DR204-1))</f>
        <v>1.3552327605303969</v>
      </c>
      <c r="DT206" s="743">
        <f>IF(ISERROR(DT204/DS204-1)," ",(DT204/DS204-1))</f>
        <v>-9.0670894750278896E-2</v>
      </c>
      <c r="DU206" s="743">
        <f>IF(ISERROR(DU204/DT204-1)," ",(DU204/DT204-1))</f>
        <v>-0.50676025120059109</v>
      </c>
      <c r="DV206" s="754"/>
      <c r="DW206" s="743">
        <f>IF(ISERROR(DW204/DU204-1)," ",(DW204/DU204-1))</f>
        <v>-9.5266626722587677E-3</v>
      </c>
      <c r="DX206" s="743">
        <f>IF(ISERROR(DX204/DW204-1)," ",(DX204/DW204-1))</f>
        <v>2.0034480672675579</v>
      </c>
      <c r="DY206" s="743">
        <f>IF(ISERROR(DY204/DX204-1)," ",(DY204/DX204-1))</f>
        <v>-7.9808660624370531E-2</v>
      </c>
      <c r="DZ206" s="743">
        <f>IF(ISERROR(DZ204/DY204-1)," ",(DZ204/DY204-1))</f>
        <v>-0.36221067031463738</v>
      </c>
      <c r="EA206" s="754"/>
      <c r="EB206" s="743">
        <f>IF(ISERROR(EB204/DZ204-1)," ",(EB204/DZ204-1))</f>
        <v>-8.97251106764132E-2</v>
      </c>
      <c r="EC206" s="743">
        <f>IF(ISERROR(EC204/EB204-1)," ",(EC204/EB204-1))</f>
        <v>0.60638277818620545</v>
      </c>
      <c r="ED206" s="743">
        <f>IF(ISERROR(ED204/EC204-1)," ",(ED204/EC204-1))</f>
        <v>2.3152657333630478E-2</v>
      </c>
      <c r="EE206" s="743">
        <f>IF(ISERROR(EE204/ED204-1)," ",(EE204/ED204-1))</f>
        <v>-0.15155174076155542</v>
      </c>
      <c r="EF206" s="754"/>
      <c r="EG206" s="946"/>
      <c r="EH206" s="743"/>
      <c r="EI206" s="743"/>
      <c r="EJ206" s="947"/>
      <c r="EK206" s="754"/>
      <c r="EL206" s="946"/>
      <c r="EM206" s="743"/>
      <c r="EN206" s="743"/>
      <c r="EO206" s="947"/>
      <c r="EP206" s="754"/>
      <c r="EQ206" s="946"/>
      <c r="ER206" s="743"/>
      <c r="ES206" s="743"/>
      <c r="ET206" s="947"/>
      <c r="EU206" s="754"/>
      <c r="EV206" s="946"/>
      <c r="EW206" s="743"/>
      <c r="EX206" s="743"/>
      <c r="EY206" s="947"/>
      <c r="EZ206" s="754"/>
      <c r="FA206" s="946"/>
      <c r="FB206" s="743"/>
      <c r="FC206" s="743"/>
      <c r="FD206" s="947"/>
      <c r="FE206" s="754"/>
      <c r="FF206" s="721"/>
      <c r="FG206" s="690"/>
      <c r="FH206" s="955">
        <f>AVERAGE(CI206,CN206,DH206,DM206,DC206,CS206,CX206,CD206,BY206,DR206,DW206)</f>
        <v>-1.1393765326668158E-2</v>
      </c>
      <c r="FI206" s="955">
        <f>AVERAGE(CJ206,CO206,DI206,DN206,DD206,CT206,CY206,CE206,BZ206,DS206,DX206)</f>
        <v>0.23906635884321678</v>
      </c>
      <c r="FJ206" s="955">
        <f>AVERAGE(CK206,CP206,DJ206,DO206,DE206,CU206,CZ206,CF206,CA206,DT206,DY206)</f>
        <v>-0.10216110515857903</v>
      </c>
      <c r="FK206" s="955">
        <f>AVERAGE(CL206,CQ206,DK206,DP206,DF206,CV206,DA206,CG206,CB206,DU206,DZ206)</f>
        <v>-0.38120552080560821</v>
      </c>
      <c r="FL206" s="690"/>
      <c r="FM206" s="708"/>
      <c r="FN206" s="708"/>
      <c r="FO206" s="723"/>
      <c r="FP206" s="723"/>
      <c r="FQ206" s="723"/>
      <c r="FR206" s="723"/>
      <c r="FS206" s="723"/>
      <c r="FT206" s="723"/>
      <c r="FU206" s="690"/>
      <c r="FV206"/>
      <c r="FW206"/>
      <c r="FX206"/>
      <c r="FY206"/>
      <c r="FZ206"/>
      <c r="GA206"/>
      <c r="GB206" s="725"/>
    </row>
    <row r="207" spans="1:272" s="726" customFormat="1" ht="12.75" customHeight="1">
      <c r="A207" s="1439" t="s">
        <v>392</v>
      </c>
      <c r="B207" s="1292"/>
      <c r="C207" s="1016"/>
      <c r="D207" s="1016"/>
      <c r="E207" s="1016"/>
      <c r="F207" s="808"/>
      <c r="G207" s="1149"/>
      <c r="H207" s="1149"/>
      <c r="I207" s="1149"/>
      <c r="J207" s="1149"/>
      <c r="K207" s="808"/>
      <c r="L207" s="1149"/>
      <c r="M207" s="1149"/>
      <c r="N207" s="1149"/>
      <c r="O207" s="1149"/>
      <c r="P207" s="808"/>
      <c r="Q207" s="1149"/>
      <c r="R207" s="1149"/>
      <c r="S207" s="1149"/>
      <c r="T207" s="1149"/>
      <c r="U207" s="808"/>
      <c r="V207" s="1149"/>
      <c r="W207" s="1149"/>
      <c r="X207" s="1149"/>
      <c r="Y207" s="1149"/>
      <c r="Z207" s="808"/>
      <c r="AA207" s="1149"/>
      <c r="AB207" s="1149"/>
      <c r="AC207" s="1149"/>
      <c r="AD207" s="1149"/>
      <c r="AE207" s="808"/>
      <c r="AF207" s="1149"/>
      <c r="AG207" s="1149"/>
      <c r="AH207" s="1149"/>
      <c r="AI207" s="1149"/>
      <c r="AJ207" s="808"/>
      <c r="AK207" s="1149"/>
      <c r="AL207" s="1149"/>
      <c r="AM207" s="1149"/>
      <c r="AN207" s="1149"/>
      <c r="AO207" s="808"/>
      <c r="AP207" s="1149"/>
      <c r="AQ207" s="1149"/>
      <c r="AR207" s="1149"/>
      <c r="AS207" s="1149"/>
      <c r="AT207" s="808"/>
      <c r="AU207" s="1149"/>
      <c r="AV207" s="1149"/>
      <c r="AW207" s="1149"/>
      <c r="AX207" s="1149"/>
      <c r="AY207" s="808"/>
      <c r="AZ207" s="1149"/>
      <c r="BA207" s="1149"/>
      <c r="BB207" s="1149"/>
      <c r="BC207" s="1149"/>
      <c r="BD207" s="808"/>
      <c r="BE207" s="1149"/>
      <c r="BF207" s="1149"/>
      <c r="BG207" s="1149"/>
      <c r="BH207" s="1149"/>
      <c r="BI207" s="808"/>
      <c r="BJ207" s="1149"/>
      <c r="BK207" s="1149"/>
      <c r="BL207" s="1149"/>
      <c r="BM207" s="1149"/>
      <c r="BN207" s="1298">
        <f>BN204+BN189</f>
        <v>157.4670000000001</v>
      </c>
      <c r="BO207" s="780">
        <f t="shared" ref="BO207:DZ207" si="551">BO204+BO189</f>
        <v>25.021000000000015</v>
      </c>
      <c r="BP207" s="780">
        <f t="shared" si="551"/>
        <v>35.115000000000002</v>
      </c>
      <c r="BQ207" s="780">
        <f t="shared" si="551"/>
        <v>41.617999999999995</v>
      </c>
      <c r="BR207" s="780">
        <f t="shared" si="551"/>
        <v>36.700000000000003</v>
      </c>
      <c r="BS207" s="1298">
        <f t="shared" si="551"/>
        <v>138.45399999999995</v>
      </c>
      <c r="BT207" s="780">
        <f t="shared" si="551"/>
        <v>42.318000000000033</v>
      </c>
      <c r="BU207" s="780">
        <f t="shared" si="551"/>
        <v>48.852000000000082</v>
      </c>
      <c r="BV207" s="780">
        <f t="shared" si="551"/>
        <v>61.912000000000063</v>
      </c>
      <c r="BW207" s="780">
        <f t="shared" si="551"/>
        <v>61.06400000000005</v>
      </c>
      <c r="BX207" s="1298">
        <f t="shared" si="551"/>
        <v>315.18999999999994</v>
      </c>
      <c r="BY207" s="780">
        <f t="shared" si="551"/>
        <v>80.733000000000061</v>
      </c>
      <c r="BZ207" s="780">
        <f t="shared" si="551"/>
        <v>96.021999999999963</v>
      </c>
      <c r="CA207" s="780">
        <f t="shared" si="551"/>
        <v>104.01499999999999</v>
      </c>
      <c r="CB207" s="780">
        <f t="shared" si="551"/>
        <v>96.013999999999996</v>
      </c>
      <c r="CC207" s="1298">
        <f t="shared" si="551"/>
        <v>376.78400000000011</v>
      </c>
      <c r="CD207" s="780">
        <f t="shared" si="551"/>
        <v>100.31799999999997</v>
      </c>
      <c r="CE207" s="780">
        <f t="shared" si="551"/>
        <v>131.291</v>
      </c>
      <c r="CF207" s="780">
        <f t="shared" si="551"/>
        <v>133.07500000000002</v>
      </c>
      <c r="CG207" s="780">
        <f t="shared" si="551"/>
        <v>120.18899999999996</v>
      </c>
      <c r="CH207" s="1298">
        <f t="shared" si="551"/>
        <v>499.08699999999988</v>
      </c>
      <c r="CI207" s="780">
        <f t="shared" si="551"/>
        <v>113.29999999999998</v>
      </c>
      <c r="CJ207" s="780">
        <f t="shared" si="551"/>
        <v>147.06800000000001</v>
      </c>
      <c r="CK207" s="780">
        <f t="shared" si="551"/>
        <v>138.661</v>
      </c>
      <c r="CL207" s="780">
        <f t="shared" si="551"/>
        <v>146.52500000000001</v>
      </c>
      <c r="CM207" s="1298">
        <f t="shared" si="551"/>
        <v>545.55399999999975</v>
      </c>
      <c r="CN207" s="780">
        <f t="shared" si="551"/>
        <v>86.183000000000007</v>
      </c>
      <c r="CO207" s="780">
        <f t="shared" si="551"/>
        <v>114.68800000000005</v>
      </c>
      <c r="CP207" s="780">
        <f t="shared" si="551"/>
        <v>110.62899999999999</v>
      </c>
      <c r="CQ207" s="780">
        <f t="shared" si="551"/>
        <v>120.099</v>
      </c>
      <c r="CR207" s="1298">
        <f t="shared" si="551"/>
        <v>431.59899999999993</v>
      </c>
      <c r="CS207" s="780">
        <f t="shared" si="551"/>
        <v>105.23499999999999</v>
      </c>
      <c r="CT207" s="780">
        <f t="shared" si="551"/>
        <v>146.84100000000001</v>
      </c>
      <c r="CU207" s="780">
        <f t="shared" si="551"/>
        <v>131.72499999999997</v>
      </c>
      <c r="CV207" s="780">
        <f t="shared" si="551"/>
        <v>17.07200000000001</v>
      </c>
      <c r="CW207" s="1298">
        <f t="shared" si="551"/>
        <v>400.87300000000039</v>
      </c>
      <c r="CX207" s="780">
        <f t="shared" si="551"/>
        <v>34.592000000000013</v>
      </c>
      <c r="CY207" s="780">
        <f t="shared" si="551"/>
        <v>114.82399999999998</v>
      </c>
      <c r="CZ207" s="780">
        <f t="shared" si="551"/>
        <v>88.524000000000001</v>
      </c>
      <c r="DA207" s="780">
        <f t="shared" si="551"/>
        <v>63.343000000000032</v>
      </c>
      <c r="DB207" s="1298">
        <f t="shared" si="551"/>
        <v>310.01499999999999</v>
      </c>
      <c r="DC207" s="780">
        <f t="shared" si="551"/>
        <v>62.225999999999999</v>
      </c>
      <c r="DD207" s="780">
        <f t="shared" si="551"/>
        <v>83.37</v>
      </c>
      <c r="DE207" s="780">
        <f t="shared" si="551"/>
        <v>84.958999999999989</v>
      </c>
      <c r="DF207" s="780">
        <f t="shared" si="551"/>
        <v>65.953999999999994</v>
      </c>
      <c r="DG207" s="1298">
        <f t="shared" si="551"/>
        <v>298.78100000000001</v>
      </c>
      <c r="DH207" s="780">
        <f t="shared" si="551"/>
        <v>87.009999999999991</v>
      </c>
      <c r="DI207" s="780">
        <f t="shared" si="551"/>
        <v>110.705</v>
      </c>
      <c r="DJ207" s="780">
        <f t="shared" si="551"/>
        <v>111.93899999999999</v>
      </c>
      <c r="DK207" s="780">
        <f t="shared" si="551"/>
        <v>90.920999999999992</v>
      </c>
      <c r="DL207" s="1298">
        <f t="shared" si="551"/>
        <v>400.57499999999999</v>
      </c>
      <c r="DM207" s="780">
        <f t="shared" si="551"/>
        <v>107.53200000000001</v>
      </c>
      <c r="DN207" s="780">
        <f t="shared" si="551"/>
        <v>129.64400000000001</v>
      </c>
      <c r="DO207" s="780">
        <f t="shared" si="551"/>
        <v>110.616</v>
      </c>
      <c r="DP207" s="780">
        <f>DP204+DP189</f>
        <v>93.322999999999993</v>
      </c>
      <c r="DQ207" s="1298">
        <f t="shared" si="551"/>
        <v>441.11499999999995</v>
      </c>
      <c r="DR207" s="780">
        <f t="shared" si="551"/>
        <v>87.526999999999987</v>
      </c>
      <c r="DS207" s="780">
        <f t="shared" si="551"/>
        <v>131.65800000000002</v>
      </c>
      <c r="DT207" s="780">
        <f t="shared" si="551"/>
        <v>126.586</v>
      </c>
      <c r="DU207" s="780">
        <f t="shared" si="551"/>
        <v>92.056999999999988</v>
      </c>
      <c r="DV207" s="1298">
        <f t="shared" si="551"/>
        <v>437.82799999999997</v>
      </c>
      <c r="DW207" s="780">
        <f t="shared" si="551"/>
        <v>92.673000000000002</v>
      </c>
      <c r="DX207" s="780">
        <f t="shared" si="551"/>
        <v>160.148</v>
      </c>
      <c r="DY207" s="780">
        <f t="shared" si="551"/>
        <v>152.22300000000001</v>
      </c>
      <c r="DZ207" s="780">
        <f t="shared" si="551"/>
        <v>119.629</v>
      </c>
      <c r="EA207" s="2289">
        <f t="shared" ref="EA207:EF207" si="552">EA204+EA189</f>
        <v>524.673</v>
      </c>
      <c r="EB207" s="2290">
        <f t="shared" si="552"/>
        <v>113.012</v>
      </c>
      <c r="EC207" s="2290">
        <f>EC204+EC189</f>
        <v>144.94200000000001</v>
      </c>
      <c r="ED207" s="2290">
        <f t="shared" si="552"/>
        <v>124.28999999999999</v>
      </c>
      <c r="EE207" s="2290">
        <f t="shared" si="552"/>
        <v>127.07620372299999</v>
      </c>
      <c r="EF207" s="2289">
        <f t="shared" si="552"/>
        <v>509.32020372299996</v>
      </c>
      <c r="EG207" s="2291"/>
      <c r="EH207" s="2292">
        <f t="shared" ref="EH207:EO207" si="553">+EH126+EH189</f>
        <v>175.2</v>
      </c>
      <c r="EI207" s="2292">
        <f t="shared" si="553"/>
        <v>159.80000000000001</v>
      </c>
      <c r="EJ207" s="2293">
        <f t="shared" si="553"/>
        <v>134.80000000000001</v>
      </c>
      <c r="EK207" s="2289">
        <f t="shared" si="553"/>
        <v>577.20000000000005</v>
      </c>
      <c r="EL207" s="2294">
        <f t="shared" si="553"/>
        <v>152.30000000000001</v>
      </c>
      <c r="EM207" s="2292">
        <f t="shared" si="553"/>
        <v>204.8</v>
      </c>
      <c r="EN207" s="2292">
        <f t="shared" si="553"/>
        <v>173.4</v>
      </c>
      <c r="EO207" s="2293">
        <f t="shared" si="553"/>
        <v>144.6</v>
      </c>
      <c r="EP207" s="2289">
        <f>+EP126+EP189</f>
        <v>675.1</v>
      </c>
      <c r="EQ207" s="2294">
        <f t="shared" ref="EQ207:FE207" si="554">+EQ126+EQ189</f>
        <v>159.0729591355344</v>
      </c>
      <c r="ER207" s="2292">
        <f t="shared" si="554"/>
        <v>209.04893319937764</v>
      </c>
      <c r="ES207" s="2292">
        <f t="shared" si="554"/>
        <v>206.16508171322462</v>
      </c>
      <c r="ET207" s="2293">
        <f t="shared" si="554"/>
        <v>190.86434702949671</v>
      </c>
      <c r="EU207" s="2289">
        <f t="shared" si="554"/>
        <v>765.15132107763338</v>
      </c>
      <c r="EV207" s="2294">
        <f t="shared" si="554"/>
        <v>186.13306058391606</v>
      </c>
      <c r="EW207" s="2292">
        <f t="shared" si="554"/>
        <v>232.71547030269477</v>
      </c>
      <c r="EX207" s="2292">
        <f t="shared" si="554"/>
        <v>222.69523489841021</v>
      </c>
      <c r="EY207" s="2293">
        <f t="shared" si="554"/>
        <v>193.96497713210124</v>
      </c>
      <c r="EZ207" s="2289">
        <f t="shared" si="554"/>
        <v>823.70136253943997</v>
      </c>
      <c r="FA207" s="2294">
        <f t="shared" si="554"/>
        <v>59.9</v>
      </c>
      <c r="FB207" s="2292">
        <f t="shared" si="554"/>
        <v>59.22</v>
      </c>
      <c r="FC207" s="2292">
        <f t="shared" si="554"/>
        <v>59.86</v>
      </c>
      <c r="FD207" s="2293">
        <f t="shared" si="554"/>
        <v>60.3</v>
      </c>
      <c r="FE207" s="2289">
        <f t="shared" si="554"/>
        <v>884.48050864471179</v>
      </c>
      <c r="FF207" s="721"/>
      <c r="FG207" s="690"/>
      <c r="FH207" s="754"/>
      <c r="FI207" s="754"/>
      <c r="FJ207" s="754"/>
      <c r="FK207" s="754"/>
      <c r="FL207" s="690"/>
      <c r="FM207" s="708"/>
      <c r="FN207" s="708"/>
      <c r="FO207" s="723"/>
      <c r="FP207" s="723"/>
      <c r="FQ207" s="873" t="s">
        <v>644</v>
      </c>
      <c r="FR207" s="723"/>
      <c r="FS207" s="723"/>
      <c r="FT207" s="723"/>
      <c r="FU207" s="690"/>
      <c r="FV207"/>
      <c r="FW207"/>
      <c r="FX207"/>
      <c r="FY207"/>
      <c r="FZ207"/>
      <c r="GA207"/>
      <c r="GB207" s="961"/>
      <c r="GC207" s="535"/>
      <c r="GD207" s="535"/>
      <c r="GE207" s="535"/>
      <c r="GF207" s="535"/>
      <c r="GG207" s="535"/>
      <c r="GH207" s="535"/>
      <c r="GI207" s="535"/>
      <c r="GJ207" s="535"/>
      <c r="GK207" s="535"/>
      <c r="GL207" s="535"/>
      <c r="GM207" s="535"/>
      <c r="GN207" s="535"/>
      <c r="GO207" s="535"/>
      <c r="GP207" s="535"/>
      <c r="GQ207" s="535"/>
      <c r="GR207" s="535"/>
      <c r="GS207" s="535"/>
      <c r="GT207" s="535"/>
      <c r="GU207" s="535"/>
      <c r="GV207" s="535"/>
      <c r="GW207" s="535"/>
      <c r="GX207" s="535"/>
      <c r="GY207" s="535"/>
      <c r="GZ207" s="535"/>
      <c r="HA207" s="535"/>
      <c r="HB207" s="535"/>
      <c r="HC207" s="535"/>
      <c r="HD207" s="535"/>
      <c r="HE207" s="535"/>
      <c r="HF207" s="535"/>
      <c r="HG207" s="535"/>
      <c r="HH207" s="535"/>
      <c r="HI207" s="535"/>
      <c r="HJ207" s="535"/>
      <c r="HK207" s="535"/>
      <c r="HL207" s="535"/>
      <c r="HM207" s="535"/>
      <c r="HN207" s="535"/>
      <c r="HO207" s="535"/>
      <c r="HP207" s="535"/>
      <c r="HQ207" s="535"/>
      <c r="HR207" s="535"/>
      <c r="HS207" s="535"/>
      <c r="HT207" s="535"/>
      <c r="HU207" s="535"/>
      <c r="HV207" s="535"/>
      <c r="HW207" s="535"/>
      <c r="HX207" s="535"/>
      <c r="HY207" s="535"/>
      <c r="HZ207" s="535"/>
      <c r="IA207" s="535"/>
      <c r="IB207" s="535"/>
      <c r="IC207" s="535"/>
      <c r="ID207" s="535"/>
      <c r="IE207" s="535"/>
      <c r="IF207" s="535"/>
      <c r="IG207" s="535"/>
      <c r="IH207" s="535"/>
      <c r="II207" s="535"/>
      <c r="IJ207" s="535"/>
      <c r="IK207" s="535"/>
      <c r="IL207" s="535"/>
      <c r="IM207" s="535"/>
      <c r="IN207" s="535"/>
      <c r="IO207" s="535"/>
      <c r="IP207" s="535"/>
      <c r="IQ207" s="535"/>
      <c r="IR207" s="535"/>
      <c r="IS207" s="535"/>
      <c r="IT207" s="535"/>
      <c r="IU207" s="535"/>
      <c r="IV207" s="535"/>
      <c r="IW207" s="535"/>
      <c r="IX207" s="535"/>
      <c r="IY207" s="535"/>
      <c r="IZ207" s="535"/>
      <c r="JA207" s="535"/>
      <c r="JB207" s="535"/>
      <c r="JC207" s="535"/>
      <c r="JD207" s="535"/>
      <c r="JE207" s="535"/>
      <c r="JF207" s="535"/>
      <c r="JG207" s="535"/>
      <c r="JH207" s="535"/>
      <c r="JI207" s="535"/>
      <c r="JJ207" s="535"/>
      <c r="JK207" s="535"/>
      <c r="JL207" s="535"/>
    </row>
    <row r="208" spans="1:272" s="749" customFormat="1" ht="12.75" customHeight="1">
      <c r="A208" s="1068" t="s">
        <v>85</v>
      </c>
      <c r="B208" s="815"/>
      <c r="C208" s="815"/>
      <c r="D208" s="815"/>
      <c r="E208" s="815"/>
      <c r="F208" s="816"/>
      <c r="G208" s="817"/>
      <c r="H208" s="817"/>
      <c r="I208" s="817"/>
      <c r="J208" s="817"/>
      <c r="K208" s="816"/>
      <c r="L208" s="817"/>
      <c r="M208" s="817"/>
      <c r="N208" s="817"/>
      <c r="O208" s="817"/>
      <c r="P208" s="816"/>
      <c r="Q208" s="817"/>
      <c r="R208" s="817"/>
      <c r="S208" s="817"/>
      <c r="T208" s="817"/>
      <c r="U208" s="816"/>
      <c r="V208" s="817"/>
      <c r="W208" s="817"/>
      <c r="X208" s="817"/>
      <c r="Y208" s="817"/>
      <c r="Z208" s="816"/>
      <c r="AA208" s="817"/>
      <c r="AB208" s="817"/>
      <c r="AC208" s="817"/>
      <c r="AD208" s="817"/>
      <c r="AE208" s="816"/>
      <c r="AF208" s="817"/>
      <c r="AG208" s="817"/>
      <c r="AH208" s="817"/>
      <c r="AI208" s="817"/>
      <c r="AJ208" s="816"/>
      <c r="AK208" s="817"/>
      <c r="AL208" s="817"/>
      <c r="AM208" s="817"/>
      <c r="AN208" s="817"/>
      <c r="AO208" s="816"/>
      <c r="AP208" s="817"/>
      <c r="AQ208" s="817"/>
      <c r="AR208" s="817"/>
      <c r="AS208" s="817"/>
      <c r="AT208" s="816"/>
      <c r="AU208" s="817"/>
      <c r="AV208" s="817"/>
      <c r="AW208" s="817"/>
      <c r="AX208" s="817"/>
      <c r="AY208" s="816"/>
      <c r="AZ208" s="817"/>
      <c r="BA208" s="817"/>
      <c r="BB208" s="817"/>
      <c r="BC208" s="817"/>
      <c r="BD208" s="816"/>
      <c r="BE208" s="817"/>
      <c r="BF208" s="817"/>
      <c r="BG208" s="817"/>
      <c r="BH208" s="817"/>
      <c r="BI208" s="816"/>
      <c r="BJ208" s="817"/>
      <c r="BK208" s="817"/>
      <c r="BL208" s="817"/>
      <c r="BM208" s="817"/>
      <c r="BN208" s="816"/>
      <c r="BO208" s="817"/>
      <c r="BP208" s="817"/>
      <c r="BQ208" s="817"/>
      <c r="BR208" s="817"/>
      <c r="BS208" s="816"/>
      <c r="BT208" s="817">
        <f t="shared" ref="BT208:EE208" si="555">BT207/BO207-1</f>
        <v>0.69129930858079236</v>
      </c>
      <c r="BU208" s="817">
        <f t="shared" si="555"/>
        <v>0.39120034173430374</v>
      </c>
      <c r="BV208" s="817">
        <f t="shared" si="555"/>
        <v>0.48762554663847535</v>
      </c>
      <c r="BW208" s="817">
        <f t="shared" si="555"/>
        <v>0.66386920980926556</v>
      </c>
      <c r="BX208" s="816">
        <f t="shared" si="555"/>
        <v>1.2764961647911948</v>
      </c>
      <c r="BY208" s="817">
        <f t="shared" si="555"/>
        <v>0.90776974337161476</v>
      </c>
      <c r="BZ208" s="817">
        <f t="shared" si="555"/>
        <v>0.96556947514942681</v>
      </c>
      <c r="CA208" s="817">
        <f t="shared" si="555"/>
        <v>0.68004587155963114</v>
      </c>
      <c r="CB208" s="817">
        <f t="shared" si="555"/>
        <v>0.57235032097471361</v>
      </c>
      <c r="CC208" s="816">
        <f t="shared" si="555"/>
        <v>0.19541863637805834</v>
      </c>
      <c r="CD208" s="817">
        <f t="shared" si="555"/>
        <v>0.24258977122118464</v>
      </c>
      <c r="CE208" s="817">
        <f t="shared" si="555"/>
        <v>0.36730124346503978</v>
      </c>
      <c r="CF208" s="817">
        <f t="shared" si="555"/>
        <v>0.27938278132961636</v>
      </c>
      <c r="CG208" s="817">
        <f t="shared" si="555"/>
        <v>0.25178619784614709</v>
      </c>
      <c r="CH208" s="816">
        <f t="shared" si="555"/>
        <v>0.32459711665038782</v>
      </c>
      <c r="CI208" s="817">
        <f t="shared" si="555"/>
        <v>0.12940848103032376</v>
      </c>
      <c r="CJ208" s="817">
        <f t="shared" si="555"/>
        <v>0.12016817603643837</v>
      </c>
      <c r="CK208" s="817">
        <f t="shared" si="555"/>
        <v>4.1976329137704216E-2</v>
      </c>
      <c r="CL208" s="817">
        <f t="shared" si="555"/>
        <v>0.21912155022506252</v>
      </c>
      <c r="CM208" s="816">
        <f t="shared" si="555"/>
        <v>9.3104007918458853E-2</v>
      </c>
      <c r="CN208" s="817">
        <f t="shared" si="555"/>
        <v>-0.23933804060017638</v>
      </c>
      <c r="CO208" s="817">
        <f t="shared" si="555"/>
        <v>-0.22017026137568996</v>
      </c>
      <c r="CP208" s="817">
        <f t="shared" si="555"/>
        <v>-0.2021621075861274</v>
      </c>
      <c r="CQ208" s="817">
        <f t="shared" si="555"/>
        <v>-0.18035147585736222</v>
      </c>
      <c r="CR208" s="816">
        <f t="shared" si="555"/>
        <v>-0.20887941432012203</v>
      </c>
      <c r="CS208" s="817">
        <f t="shared" si="555"/>
        <v>0.22106447907359894</v>
      </c>
      <c r="CT208" s="817">
        <f t="shared" si="555"/>
        <v>0.28035191127232095</v>
      </c>
      <c r="CU208" s="817">
        <f t="shared" si="555"/>
        <v>0.19069141002811185</v>
      </c>
      <c r="CV208" s="817">
        <f t="shared" si="555"/>
        <v>-0.85785060658290235</v>
      </c>
      <c r="CW208" s="816">
        <f t="shared" si="555"/>
        <v>-7.1191082463118671E-2</v>
      </c>
      <c r="CX208" s="817">
        <f t="shared" si="555"/>
        <v>-0.67128806955860676</v>
      </c>
      <c r="CY208" s="817">
        <f t="shared" si="555"/>
        <v>-0.21803855871316613</v>
      </c>
      <c r="CZ208" s="817">
        <f t="shared" si="555"/>
        <v>-0.32796356044790265</v>
      </c>
      <c r="DA208" s="817">
        <f t="shared" si="555"/>
        <v>2.7103444236176193</v>
      </c>
      <c r="DB208" s="816">
        <f t="shared" si="555"/>
        <v>-0.22665033564246106</v>
      </c>
      <c r="DC208" s="817">
        <f t="shared" si="555"/>
        <v>0.79885522664199748</v>
      </c>
      <c r="DD208" s="817">
        <f t="shared" si="555"/>
        <v>-0.27393227896606964</v>
      </c>
      <c r="DE208" s="817">
        <f t="shared" si="555"/>
        <v>-4.0271564773394886E-2</v>
      </c>
      <c r="DF208" s="817">
        <f t="shared" si="555"/>
        <v>4.1220024312078163E-2</v>
      </c>
      <c r="DG208" s="816">
        <f t="shared" si="555"/>
        <v>-3.6236956276309185E-2</v>
      </c>
      <c r="DH208" s="817">
        <f t="shared" si="555"/>
        <v>0.39829010381512542</v>
      </c>
      <c r="DI208" s="817">
        <f t="shared" si="555"/>
        <v>0.32787573467674225</v>
      </c>
      <c r="DJ208" s="817">
        <f t="shared" si="555"/>
        <v>0.31756494309019656</v>
      </c>
      <c r="DK208" s="817">
        <f t="shared" si="555"/>
        <v>0.37855171786396591</v>
      </c>
      <c r="DL208" s="818">
        <f t="shared" si="555"/>
        <v>0.34069770166108282</v>
      </c>
      <c r="DM208" s="817">
        <f t="shared" si="555"/>
        <v>0.23585794736237231</v>
      </c>
      <c r="DN208" s="817">
        <f t="shared" si="555"/>
        <v>0.17107628381735251</v>
      </c>
      <c r="DO208" s="817">
        <f t="shared" si="555"/>
        <v>-1.1818937099670301E-2</v>
      </c>
      <c r="DP208" s="817">
        <f t="shared" si="555"/>
        <v>2.6418539171368494E-2</v>
      </c>
      <c r="DQ208" s="818">
        <f t="shared" si="555"/>
        <v>0.10120451850464951</v>
      </c>
      <c r="DR208" s="817">
        <f>DR207/DM207-1</f>
        <v>-0.18603764460811689</v>
      </c>
      <c r="DS208" s="817">
        <f t="shared" si="555"/>
        <v>1.5534849279565721E-2</v>
      </c>
      <c r="DT208" s="817">
        <f t="shared" si="555"/>
        <v>0.14437332754755183</v>
      </c>
      <c r="DU208" s="817">
        <f t="shared" si="555"/>
        <v>-1.356578764077454E-2</v>
      </c>
      <c r="DV208" s="818">
        <f t="shared" si="555"/>
        <v>-7.4515715856409148E-3</v>
      </c>
      <c r="DW208" s="817">
        <f t="shared" si="555"/>
        <v>5.8793286642979004E-2</v>
      </c>
      <c r="DX208" s="817">
        <f t="shared" si="555"/>
        <v>0.21639399049051322</v>
      </c>
      <c r="DY208" s="817">
        <f t="shared" si="555"/>
        <v>0.20252634572543582</v>
      </c>
      <c r="DZ208" s="817">
        <f t="shared" si="555"/>
        <v>0.2995100861422817</v>
      </c>
      <c r="EA208" s="818">
        <f t="shared" si="555"/>
        <v>0.19835414820431785</v>
      </c>
      <c r="EB208" s="817">
        <f t="shared" si="555"/>
        <v>0.21947061172078164</v>
      </c>
      <c r="EC208" s="817">
        <f t="shared" si="555"/>
        <v>-9.494967155381262E-2</v>
      </c>
      <c r="ED208" s="817">
        <f t="shared" si="555"/>
        <v>-0.18350052226010538</v>
      </c>
      <c r="EE208" s="817">
        <f t="shared" si="555"/>
        <v>6.2252494988673135E-2</v>
      </c>
      <c r="EF208" s="818">
        <f t="shared" ref="EF208" si="556">EF207/EA207-1</f>
        <v>-2.926164730603642E-2</v>
      </c>
      <c r="EG208" s="764"/>
      <c r="EH208" s="761"/>
      <c r="EI208" s="761"/>
      <c r="EJ208" s="763"/>
      <c r="EK208" s="818">
        <f>EK207/EF207-1</f>
        <v>0.13327528690363399</v>
      </c>
      <c r="EL208" s="764"/>
      <c r="EM208" s="761"/>
      <c r="EN208" s="761"/>
      <c r="EO208" s="763"/>
      <c r="EP208" s="818">
        <f>EP207/EK207-1</f>
        <v>0.16961191961191946</v>
      </c>
      <c r="EQ208" s="764"/>
      <c r="ER208" s="761"/>
      <c r="ES208" s="761"/>
      <c r="ET208" s="763"/>
      <c r="EU208" s="818">
        <f>EU207/EP207-1</f>
        <v>0.13338960313676984</v>
      </c>
      <c r="EV208" s="764"/>
      <c r="EW208" s="761"/>
      <c r="EX208" s="761"/>
      <c r="EY208" s="763"/>
      <c r="EZ208" s="818">
        <f>EZ207/EU207-1</f>
        <v>7.6520865675753003E-2</v>
      </c>
      <c r="FA208" s="764"/>
      <c r="FB208" s="761"/>
      <c r="FC208" s="761"/>
      <c r="FD208" s="763"/>
      <c r="FE208" s="818">
        <f>FE207/EZ207-1</f>
        <v>7.3787842134790171E-2</v>
      </c>
      <c r="FF208" s="721"/>
      <c r="FG208" s="690"/>
      <c r="FH208" s="754"/>
      <c r="FI208" s="754"/>
      <c r="FJ208" s="754"/>
      <c r="FK208" s="754"/>
      <c r="FL208" s="690"/>
      <c r="FM208" s="708"/>
      <c r="FN208" s="708"/>
      <c r="FO208" s="723"/>
      <c r="FP208" s="723"/>
      <c r="FQ208" s="723"/>
      <c r="FR208" s="723"/>
      <c r="FS208" s="723"/>
      <c r="FT208" s="723"/>
      <c r="FU208" s="690"/>
      <c r="FV208"/>
      <c r="FW208"/>
      <c r="FX208"/>
      <c r="FY208"/>
      <c r="FZ208"/>
      <c r="GA208"/>
      <c r="GB208" s="725"/>
      <c r="GC208" s="532"/>
      <c r="GD208" s="532"/>
      <c r="GE208" s="532"/>
      <c r="GF208" s="532"/>
      <c r="GG208" s="532"/>
      <c r="GH208" s="532"/>
      <c r="GI208" s="532"/>
      <c r="GJ208" s="532"/>
      <c r="GK208" s="532"/>
      <c r="GL208" s="532"/>
      <c r="GM208" s="532"/>
      <c r="GN208" s="532"/>
      <c r="GO208" s="532"/>
      <c r="GP208" s="532"/>
      <c r="GQ208" s="532"/>
      <c r="GR208" s="532"/>
      <c r="GS208" s="532"/>
      <c r="GT208" s="532"/>
      <c r="GU208" s="532"/>
      <c r="GV208" s="532"/>
      <c r="GW208" s="532"/>
      <c r="GX208" s="532"/>
      <c r="GY208" s="532"/>
      <c r="GZ208" s="532"/>
      <c r="HA208" s="532"/>
      <c r="HB208" s="532"/>
      <c r="HC208" s="532"/>
      <c r="HD208" s="532"/>
      <c r="HE208" s="532"/>
      <c r="HF208" s="532"/>
      <c r="HG208" s="532"/>
      <c r="HH208" s="532"/>
      <c r="HI208" s="532"/>
      <c r="HJ208" s="532"/>
      <c r="HK208" s="532"/>
      <c r="HL208" s="532"/>
      <c r="HM208" s="532"/>
      <c r="HN208" s="532"/>
      <c r="HO208" s="532"/>
      <c r="HP208" s="532"/>
      <c r="HQ208" s="532"/>
      <c r="HR208" s="532"/>
      <c r="HS208" s="532"/>
      <c r="HT208" s="532"/>
      <c r="HU208" s="532"/>
      <c r="HV208" s="532"/>
      <c r="HW208" s="532"/>
      <c r="HX208" s="532"/>
      <c r="HY208" s="532"/>
      <c r="HZ208" s="532"/>
      <c r="IA208" s="532"/>
      <c r="IB208" s="532"/>
      <c r="IC208" s="532"/>
      <c r="ID208" s="532"/>
      <c r="IE208" s="532"/>
      <c r="IF208" s="532"/>
      <c r="IG208" s="532"/>
      <c r="IH208" s="532"/>
      <c r="II208" s="532"/>
      <c r="IJ208" s="532"/>
      <c r="IK208" s="532"/>
      <c r="IL208" s="532"/>
      <c r="IM208" s="532"/>
      <c r="IN208" s="532"/>
      <c r="IO208" s="532"/>
      <c r="IP208" s="532"/>
      <c r="IQ208" s="532"/>
      <c r="IR208" s="532"/>
      <c r="IS208" s="532"/>
      <c r="IT208" s="532"/>
      <c r="IU208" s="532"/>
      <c r="IV208" s="532"/>
      <c r="IW208" s="532"/>
      <c r="IX208" s="532"/>
      <c r="IY208" s="532"/>
      <c r="IZ208" s="532"/>
      <c r="JA208" s="532"/>
      <c r="JB208" s="532"/>
      <c r="JC208" s="532"/>
      <c r="JD208" s="532"/>
      <c r="JE208" s="532"/>
      <c r="JF208" s="532"/>
      <c r="JG208" s="532"/>
      <c r="JH208" s="532"/>
      <c r="JI208" s="532"/>
      <c r="JJ208" s="532"/>
      <c r="JK208" s="532"/>
      <c r="JL208" s="532"/>
    </row>
    <row r="209" spans="1:272" s="532" customFormat="1" ht="12.75" customHeight="1">
      <c r="A209" s="951" t="s">
        <v>290</v>
      </c>
      <c r="B209" s="952"/>
      <c r="C209" s="953"/>
      <c r="D209" s="953"/>
      <c r="E209" s="953"/>
      <c r="F209" s="754"/>
      <c r="G209" s="954"/>
      <c r="H209" s="954"/>
      <c r="I209" s="954"/>
      <c r="J209" s="954"/>
      <c r="K209" s="754"/>
      <c r="L209" s="743"/>
      <c r="M209" s="743"/>
      <c r="N209" s="743"/>
      <c r="O209" s="743"/>
      <c r="P209" s="754"/>
      <c r="Q209" s="743"/>
      <c r="R209" s="743"/>
      <c r="S209" s="743"/>
      <c r="T209" s="743"/>
      <c r="U209" s="754"/>
      <c r="V209" s="743"/>
      <c r="W209" s="743"/>
      <c r="X209" s="743"/>
      <c r="Y209" s="743"/>
      <c r="Z209" s="754"/>
      <c r="AA209" s="743"/>
      <c r="AB209" s="743"/>
      <c r="AC209" s="743"/>
      <c r="AD209" s="743"/>
      <c r="AE209" s="754"/>
      <c r="AF209" s="743"/>
      <c r="AG209" s="954"/>
      <c r="AH209" s="743"/>
      <c r="AI209" s="743"/>
      <c r="AJ209" s="754"/>
      <c r="AK209" s="743"/>
      <c r="AL209" s="954"/>
      <c r="AM209" s="743"/>
      <c r="AN209" s="743"/>
      <c r="AO209" s="754"/>
      <c r="AP209" s="743"/>
      <c r="AQ209" s="954"/>
      <c r="AR209" s="743"/>
      <c r="AS209" s="743"/>
      <c r="AT209" s="754"/>
      <c r="AU209" s="743"/>
      <c r="AV209" s="954"/>
      <c r="AW209" s="743"/>
      <c r="AX209" s="743"/>
      <c r="AY209" s="754"/>
      <c r="AZ209" s="743"/>
      <c r="BA209" s="954"/>
      <c r="BB209" s="743"/>
      <c r="BC209" s="743"/>
      <c r="BD209" s="754"/>
      <c r="BE209" s="743" t="str">
        <f>IF(ISERROR(BE207/BC207-1)," ",(BE207/BC207-1))</f>
        <v xml:space="preserve"> </v>
      </c>
      <c r="BF209" s="954" t="str">
        <f>IF(ISERROR(BF207/BE207-1)," ",(BF207/BE207-1))</f>
        <v xml:space="preserve"> </v>
      </c>
      <c r="BG209" s="743" t="str">
        <f>IF(ISERROR(BG207/BF207-1)," ",(BG207/BF207-1))</f>
        <v xml:space="preserve"> </v>
      </c>
      <c r="BH209" s="743" t="str">
        <f>IF(ISERROR(BH207/BG207-1)," ",(BH207/BG207-1))</f>
        <v xml:space="preserve"> </v>
      </c>
      <c r="BI209" s="754">
        <f>BI208</f>
        <v>0</v>
      </c>
      <c r="BJ209" s="743" t="str">
        <f>IF(ISERROR(BJ207/BH207-1)," ",(BJ207/BH207-1))</f>
        <v xml:space="preserve"> </v>
      </c>
      <c r="BK209" s="954" t="str">
        <f>IF(ISERROR(BK207/BJ207-1)," ",(BK207/BJ207-1))</f>
        <v xml:space="preserve"> </v>
      </c>
      <c r="BL209" s="743" t="str">
        <f>IF(ISERROR(BL207/BK207-1)," ",(BL207/BK207-1))</f>
        <v xml:space="preserve"> </v>
      </c>
      <c r="BM209" s="743" t="str">
        <f>IF(ISERROR(BM207/BL207-1)," ",(BM207/BL207-1))</f>
        <v xml:space="preserve"> </v>
      </c>
      <c r="BN209" s="754">
        <f>BN208</f>
        <v>0</v>
      </c>
      <c r="BO209" s="743" t="str">
        <f>IF(ISERROR(BO207/BM207-1)," ",(BO207/BM207-1))</f>
        <v xml:space="preserve"> </v>
      </c>
      <c r="BP209" s="954">
        <f>IF(ISERROR(BP207/BO207-1)," ",(BP207/BO207-1))</f>
        <v>0.40342112625394599</v>
      </c>
      <c r="BQ209" s="743">
        <f>IF(ISERROR(BQ207/BP207-1)," ",(BQ207/BP207-1))</f>
        <v>0.1851915135981772</v>
      </c>
      <c r="BR209" s="743">
        <f>IF(ISERROR(BR207/BQ207-1)," ",(BR207/BQ207-1))</f>
        <v>-0.11817002258638076</v>
      </c>
      <c r="BS209" s="754">
        <f>BS208</f>
        <v>0</v>
      </c>
      <c r="BT209" s="743">
        <f>IF(ISERROR(BT207/BR207-1)," ",(BT207/BR207-1))</f>
        <v>0.15307901907357024</v>
      </c>
      <c r="BU209" s="954">
        <f>IF(ISERROR(BU207/BT207-1)," ",(BU207/BT207-1))</f>
        <v>0.15440238196512235</v>
      </c>
      <c r="BV209" s="743">
        <f>IF(ISERROR(BV207/BU207-1)," ",(BV207/BU207-1))</f>
        <v>0.26733808237124301</v>
      </c>
      <c r="BW209" s="743">
        <f>IF(ISERROR(BW207/BV207-1)," ",(BW207/BV207-1))</f>
        <v>-1.3696860059439375E-2</v>
      </c>
      <c r="BX209" s="754">
        <f>BX208</f>
        <v>1.2764961647911948</v>
      </c>
      <c r="BY209" s="743">
        <f>IF(ISERROR(BY207/BW207-1)," ",(BY207/BW207-1))</f>
        <v>0.32210467706013346</v>
      </c>
      <c r="BZ209" s="954">
        <f>IF(ISERROR(BZ207/BY207-1)," ",(BZ207/BY207-1))</f>
        <v>0.1893773302119317</v>
      </c>
      <c r="CA209" s="743">
        <f>IF(ISERROR(CA207/BZ207-1)," ",(CA207/BZ207-1))</f>
        <v>8.3241340526129637E-2</v>
      </c>
      <c r="CB209" s="743">
        <f>IF(ISERROR(CB207/CA207-1)," ",(CB207/CA207-1))</f>
        <v>-7.6921597846464351E-2</v>
      </c>
      <c r="CC209" s="754">
        <f>CC208</f>
        <v>0.19541863637805834</v>
      </c>
      <c r="CD209" s="743">
        <f>IF(ISERROR(CD207/CB207-1)," ",(CD207/CB207-1))</f>
        <v>4.4826796092236165E-2</v>
      </c>
      <c r="CE209" s="743">
        <f>IF(ISERROR(CE207/CD207-1)," ",(CE207/CD207-1))</f>
        <v>0.3087481807851038</v>
      </c>
      <c r="CF209" s="743">
        <f>IF(ISERROR(CF207/CE207-1)," ",(CF207/CE207-1))</f>
        <v>1.3588136277429719E-2</v>
      </c>
      <c r="CG209" s="743">
        <f>IF(ISERROR(CG207/CF207-1)," ",(CG207/CF207-1))</f>
        <v>-9.6832613188052252E-2</v>
      </c>
      <c r="CH209" s="754">
        <f>CH208</f>
        <v>0.32459711665038782</v>
      </c>
      <c r="CI209" s="743">
        <f>IF(ISERROR(CI207/CG207-1)," ",(CI207/CG207-1))</f>
        <v>-5.731805739293927E-2</v>
      </c>
      <c r="CJ209" s="743">
        <f>IF(ISERROR(CJ207/CI207-1)," ",(CJ207/CI207-1))</f>
        <v>0.29804060017652279</v>
      </c>
      <c r="CK209" s="743">
        <f>IF(ISERROR(CK207/CJ207-1)," ",(CK207/CJ207-1))</f>
        <v>-5.7164032964343137E-2</v>
      </c>
      <c r="CL209" s="743">
        <f>IF(ISERROR(CL207/CK207-1)," ",(CL207/CK207-1))</f>
        <v>5.6713856095080839E-2</v>
      </c>
      <c r="CM209" s="754">
        <f>CM208</f>
        <v>9.3104007918458853E-2</v>
      </c>
      <c r="CN209" s="743">
        <f>IF(ISERROR(CN207/CL207-1)," ",(CN207/CL207-1))</f>
        <v>-0.41182050844565776</v>
      </c>
      <c r="CO209" s="743">
        <f>IF(ISERROR(CO207/CN207-1)," ",(CO207/CN207-1))</f>
        <v>0.33074968381235315</v>
      </c>
      <c r="CP209" s="743">
        <f>IF(ISERROR(CP207/CO207-1)," ",(CP207/CO207-1))</f>
        <v>-3.5391671316964746E-2</v>
      </c>
      <c r="CQ209" s="743">
        <f>IF(ISERROR(CQ207/CP207-1)," ",(CQ207/CP207-1))</f>
        <v>8.560142458125819E-2</v>
      </c>
      <c r="CR209" s="754">
        <f>CR208</f>
        <v>-0.20887941432012203</v>
      </c>
      <c r="CS209" s="743">
        <f>IF(ISERROR(CS207/CQ207-1)," ",(CS207/CQ207-1))</f>
        <v>-0.12376456090392107</v>
      </c>
      <c r="CT209" s="743">
        <f>IF(ISERROR(CT207/CS207-1)," ",(CT207/CS207-1))</f>
        <v>0.39536275953817679</v>
      </c>
      <c r="CU209" s="743">
        <f>IF(ISERROR(CU207/CT207-1)," ",(CU207/CT207-1))</f>
        <v>-0.10294127661892827</v>
      </c>
      <c r="CV209" s="743">
        <f>IF(ISERROR(CV207/CU207-1)," ",(CV207/CU207-1))</f>
        <v>-0.87039665970772429</v>
      </c>
      <c r="CW209" s="754">
        <f>CW208</f>
        <v>-7.1191082463118671E-2</v>
      </c>
      <c r="CX209" s="743">
        <f>IF(ISERROR(CX207/CV207-1)," ",(CX207/CV207-1))</f>
        <v>1.0262417994376754</v>
      </c>
      <c r="CY209" s="743">
        <f>IF(ISERROR(CY207/CX207-1)," ",(CY207/CX207-1))</f>
        <v>2.3193802035152618</v>
      </c>
      <c r="CZ209" s="743">
        <f>IF(ISERROR(CZ207/CY207-1)," ",(CZ207/CY207-1))</f>
        <v>-0.22904619243363744</v>
      </c>
      <c r="DA209" s="743">
        <f>IF(ISERROR(DA207/CZ207-1)," ",(DA207/CZ207-1))</f>
        <v>-0.28445393339659264</v>
      </c>
      <c r="DB209" s="754">
        <f>DB208</f>
        <v>-0.22665033564246106</v>
      </c>
      <c r="DC209" s="743">
        <f>IF(ISERROR(DC207/DA207-1)," ",(DC207/DA207-1))</f>
        <v>-1.7634150577017671E-2</v>
      </c>
      <c r="DD209" s="743">
        <f>IF(ISERROR(DD207/DC207-1)," ",(DD207/DC207-1))</f>
        <v>0.33979365538520878</v>
      </c>
      <c r="DE209" s="743">
        <f>IF(ISERROR(DE207/DD207-1)," ",(DE207/DD207-1))</f>
        <v>1.9059613769941031E-2</v>
      </c>
      <c r="DF209" s="743">
        <f>IF(ISERROR(DF207/DE207-1)," ",(DF207/DE207-1))</f>
        <v>-0.2236961357831424</v>
      </c>
      <c r="DG209" s="754">
        <f>DG208</f>
        <v>-3.6236956276309185E-2</v>
      </c>
      <c r="DH209" s="743">
        <f>IF(ISERROR(DH207/DF207-1)," ",(DH207/DF207-1))</f>
        <v>0.31925281256633409</v>
      </c>
      <c r="DI209" s="743">
        <f>IF(ISERROR(DI207/DH207-1)," ",(DI207/DH207-1))</f>
        <v>0.27232502011263082</v>
      </c>
      <c r="DJ209" s="743">
        <f>IF(ISERROR(DJ207/DI207-1)," ",(DJ207/DI207-1))</f>
        <v>1.1146741339596256E-2</v>
      </c>
      <c r="DK209" s="743">
        <f>IF(ISERROR(DK207/DJ207-1)," ",(DK207/DJ207-1))</f>
        <v>-0.18776297805054543</v>
      </c>
      <c r="DL209" s="754"/>
      <c r="DM209" s="743">
        <f>IF(ISERROR(DM207/DK207-1)," ",(DM207/DK207-1))</f>
        <v>0.18269706668426466</v>
      </c>
      <c r="DN209" s="743">
        <f>IF(ISERROR(DN207/DM207-1)," ",(DN207/DM207-1))</f>
        <v>0.20563181192575231</v>
      </c>
      <c r="DO209" s="743">
        <f>IF(ISERROR(DO207/DN207-1)," ",(DO207/DN207-1))</f>
        <v>-0.14677115794020557</v>
      </c>
      <c r="DP209" s="743">
        <f>IF(ISERROR(DP207/DO207-1)," ",(DP207/DO207-1))</f>
        <v>-0.15633362262240547</v>
      </c>
      <c r="DQ209" s="754"/>
      <c r="DR209" s="743">
        <f>IF(ISERROR(DR207/DP207-1)," ",(DR207/DP207-1))</f>
        <v>-6.2106876118427468E-2</v>
      </c>
      <c r="DS209" s="743">
        <f>IF(ISERROR(DS207/DR207-1)," ",(DS207/DR207-1))</f>
        <v>0.50419870439978554</v>
      </c>
      <c r="DT209" s="743">
        <f>IF(ISERROR(DT207/DS207-1)," ",(DT207/DS207-1))</f>
        <v>-3.8524054747907543E-2</v>
      </c>
      <c r="DU209" s="743">
        <f>IF(ISERROR(DU207/DT207-1)," ",(DU207/DT207-1))</f>
        <v>-0.27277108053023247</v>
      </c>
      <c r="DV209" s="754"/>
      <c r="DW209" s="743">
        <f>IF(ISERROR(DW207/DU207-1)," ",(DW207/DU207-1))</f>
        <v>6.6915063493271365E-3</v>
      </c>
      <c r="DX209" s="743">
        <f>IF(ISERROR(DX207/DW207-1)," ",(DX207/DW207-1))</f>
        <v>0.72809771994000405</v>
      </c>
      <c r="DY209" s="743">
        <f>IF(ISERROR(DY207/DX207-1)," ",(DY207/DX207-1))</f>
        <v>-4.948547593476027E-2</v>
      </c>
      <c r="DZ209" s="743">
        <f>IF(ISERROR(DZ207/DY207-1)," ",(DZ207/DY207-1))</f>
        <v>-0.21412007383903886</v>
      </c>
      <c r="EA209" s="754"/>
      <c r="EB209" s="743">
        <f>IF(ISERROR(EB207/DZ207-1)," ",(EB207/DZ207-1))</f>
        <v>-5.531267502027104E-2</v>
      </c>
      <c r="EC209" s="743">
        <f>IF(ISERROR(EC207/EB207-1)," ",(EC207/EB207-1))</f>
        <v>0.28253636781934666</v>
      </c>
      <c r="ED209" s="743">
        <f>IF(ISERROR(ED207/EC207-1)," ",(ED207/EC207-1))</f>
        <v>-0.14248458003891218</v>
      </c>
      <c r="EE209" s="743">
        <f>IF(ISERROR(EE207/ED207-1)," ",(EE207/ED207-1))</f>
        <v>2.2416958106042273E-2</v>
      </c>
      <c r="EF209" s="754"/>
      <c r="EG209" s="743"/>
      <c r="EH209" s="743" t="str">
        <f>IF(ISERROR(EH207/EG207-1)," ",(EH207/EG207-1))</f>
        <v xml:space="preserve"> </v>
      </c>
      <c r="EI209" s="743">
        <f>IF(ISERROR(EI207/EH207-1)," ",(EI207/EH207-1))</f>
        <v>-8.7899543378995304E-2</v>
      </c>
      <c r="EJ209" s="743">
        <f>IF(ISERROR(EJ207/EI207-1)," ",(EJ207/EI207-1))</f>
        <v>-0.15644555694618267</v>
      </c>
      <c r="EK209" s="754"/>
      <c r="EL209" s="743">
        <f>IF(ISERROR(EL207/EJ207-1)," ",(EL207/EJ207-1))</f>
        <v>0.12982195845697331</v>
      </c>
      <c r="EM209" s="743">
        <f>IF(ISERROR(EM207/EL207-1)," ",(EM207/EL207-1))</f>
        <v>0.34471437951411676</v>
      </c>
      <c r="EN209" s="743">
        <f>IF(ISERROR(EN207/EM207-1)," ",(EN207/EM207-1))</f>
        <v>-0.1533203125</v>
      </c>
      <c r="EO209" s="743">
        <f>IF(ISERROR(EO207/EN207-1)," ",(EO207/EN207-1))</f>
        <v>-0.16608996539792398</v>
      </c>
      <c r="EP209" s="754"/>
      <c r="EQ209" s="743">
        <f>IF(ISERROR(EQ207/EO207-1)," ",(EQ207/EO207-1))</f>
        <v>0.10008962057769311</v>
      </c>
      <c r="ER209" s="743">
        <f>IF(ISERROR(ER207/EQ207-1)," ",(ER207/EQ207-1))</f>
        <v>0.31417014139569988</v>
      </c>
      <c r="ES209" s="743">
        <f>IF(ISERROR(ES207/ER207-1)," ",(ES207/ER207-1))</f>
        <v>-1.3795102620316135E-2</v>
      </c>
      <c r="ET209" s="743">
        <f>IF(ISERROR(ET207/ES207-1)," ",(ET207/ES207-1))</f>
        <v>-7.4215936843326391E-2</v>
      </c>
      <c r="EU209" s="754"/>
      <c r="EV209" s="946"/>
      <c r="EW209" s="743"/>
      <c r="EX209" s="743"/>
      <c r="EY209" s="947"/>
      <c r="EZ209" s="754"/>
      <c r="FA209" s="946"/>
      <c r="FB209" s="743"/>
      <c r="FC209" s="743"/>
      <c r="FD209" s="947"/>
      <c r="FE209" s="754"/>
      <c r="FF209" s="721"/>
      <c r="FG209" s="690"/>
      <c r="FH209" s="955">
        <f>AVERAGE(CI209,CN209,DH209,DM209,DC209,CS209,CX209,CD209,BY209,DR209,DW209)</f>
        <v>0.1117427731592734</v>
      </c>
      <c r="FI209" s="955">
        <f>AVERAGE(CJ209,CO209,DI209,DN209,DD209,CT209,CY209,CE209,BZ209,DS209,DX209)</f>
        <v>0.53560960634570276</v>
      </c>
      <c r="FJ209" s="955">
        <f>AVERAGE(CK209,CP209,DJ209,DO209,DE209,CU209,CZ209,CF209,CA209,DT209,DY209)</f>
        <v>-4.8389820913059121E-2</v>
      </c>
      <c r="FK209" s="955">
        <f>AVERAGE(CL209,CQ209,DK209,DP209,DF209,CV209,DA209,CG209,CB209,DU209,DZ209)</f>
        <v>-0.20372485584435082</v>
      </c>
      <c r="FL209" s="690"/>
      <c r="FM209" s="708"/>
      <c r="FN209" s="708"/>
      <c r="FO209" s="723"/>
      <c r="FP209" s="723"/>
      <c r="FQ209" s="723"/>
      <c r="FR209" s="723"/>
      <c r="FS209" s="723"/>
      <c r="FT209" s="723"/>
      <c r="FU209" s="690"/>
      <c r="FV209"/>
      <c r="FW209"/>
      <c r="FX209"/>
      <c r="FY209"/>
      <c r="FZ209"/>
      <c r="GA209"/>
      <c r="GB209" s="725"/>
    </row>
    <row r="210" spans="1:272" s="1446" customFormat="1" ht="12.75" hidden="1" customHeight="1" outlineLevel="1">
      <c r="A210" s="1442" t="s">
        <v>90</v>
      </c>
      <c r="B210" s="1443"/>
      <c r="C210" s="1444"/>
      <c r="D210" s="1444"/>
      <c r="E210" s="1444"/>
      <c r="F210" s="1445"/>
      <c r="G210" s="1444"/>
      <c r="H210" s="1444"/>
      <c r="I210" s="1444"/>
      <c r="J210" s="1444"/>
      <c r="K210" s="1445"/>
      <c r="L210" s="1444"/>
      <c r="M210" s="1444"/>
      <c r="N210" s="1444"/>
      <c r="O210" s="1444"/>
      <c r="P210" s="1445"/>
      <c r="Q210" s="1444"/>
      <c r="R210" s="1444"/>
      <c r="S210" s="1444"/>
      <c r="T210" s="1444"/>
      <c r="U210" s="1445"/>
      <c r="X210" s="1447"/>
      <c r="Z210" s="1445"/>
      <c r="AC210" s="1447"/>
      <c r="AE210" s="1445"/>
      <c r="AH210" s="1447"/>
      <c r="AJ210" s="1445"/>
      <c r="AM210" s="1447"/>
      <c r="AO210" s="1445"/>
      <c r="AP210" s="1448"/>
      <c r="AQ210" s="1448"/>
      <c r="AR210" s="1449"/>
      <c r="AS210" s="1448"/>
      <c r="AT210" s="1445"/>
      <c r="AU210" s="1448"/>
      <c r="AV210" s="1448"/>
      <c r="AW210" s="1449"/>
      <c r="AX210" s="1448"/>
      <c r="AY210" s="1445"/>
      <c r="AZ210" s="1448"/>
      <c r="BA210" s="1448"/>
      <c r="BB210" s="1449"/>
      <c r="BC210" s="1448"/>
      <c r="BD210" s="1445"/>
      <c r="BE210" s="1448"/>
      <c r="BF210" s="1448"/>
      <c r="BG210" s="1449"/>
      <c r="BH210" s="1448"/>
      <c r="BI210" s="1445"/>
      <c r="BJ210" s="1448"/>
      <c r="BK210" s="1448"/>
      <c r="BL210" s="1449"/>
      <c r="BM210" s="1448"/>
      <c r="BN210" s="1445"/>
      <c r="BO210" s="1448"/>
      <c r="BP210" s="1448"/>
      <c r="BQ210" s="1449"/>
      <c r="BR210" s="1448"/>
      <c r="BS210" s="1445"/>
      <c r="BT210" s="1448"/>
      <c r="BU210" s="1448"/>
      <c r="BV210" s="1449"/>
      <c r="BW210" s="1448"/>
      <c r="BX210" s="1445"/>
      <c r="BY210" s="1448"/>
      <c r="BZ210" s="1448"/>
      <c r="CA210" s="1448"/>
      <c r="CB210" s="1448"/>
      <c r="CC210" s="1445"/>
      <c r="CD210" s="1450"/>
      <c r="CE210" s="1448"/>
      <c r="CF210" s="1448"/>
      <c r="CG210" s="1448"/>
      <c r="CH210" s="1445"/>
      <c r="CI210" s="1448"/>
      <c r="CJ210" s="1448"/>
      <c r="CK210" s="1448"/>
      <c r="CL210" s="1448"/>
      <c r="CM210" s="1445"/>
      <c r="CN210" s="1448"/>
      <c r="CO210" s="1448"/>
      <c r="CP210" s="1448"/>
      <c r="CQ210" s="1448"/>
      <c r="CR210" s="1445"/>
      <c r="CS210" s="1448"/>
      <c r="CT210" s="1448"/>
      <c r="CU210" s="1448"/>
      <c r="CV210" s="1448"/>
      <c r="CW210" s="1445"/>
      <c r="CX210" s="1448"/>
      <c r="CY210" s="1448"/>
      <c r="CZ210" s="1448"/>
      <c r="DA210" s="1448"/>
      <c r="DB210" s="1445"/>
      <c r="DC210" s="1448"/>
      <c r="DD210" s="1448"/>
      <c r="DE210" s="1448"/>
      <c r="DF210" s="1448"/>
      <c r="DG210" s="1445"/>
      <c r="DH210" s="1448"/>
      <c r="DI210" s="1448"/>
      <c r="DJ210" s="1448"/>
      <c r="DK210" s="1448"/>
      <c r="DL210" s="1445"/>
      <c r="DM210" s="1448"/>
      <c r="DN210" s="1448"/>
      <c r="DO210" s="1448"/>
      <c r="DP210" s="1448"/>
      <c r="DQ210" s="1451"/>
      <c r="DR210" s="1448"/>
      <c r="DS210" s="1448"/>
      <c r="DT210" s="1448"/>
      <c r="DU210" s="1448"/>
      <c r="DV210" s="1451"/>
      <c r="DW210" s="1448"/>
      <c r="DX210" s="1448"/>
      <c r="DY210" s="1448"/>
      <c r="DZ210" s="1448"/>
      <c r="EA210" s="1451"/>
      <c r="EB210" s="1448">
        <f>+EB207/249.3</f>
        <v>0.4533172884075411</v>
      </c>
      <c r="EC210" s="1448"/>
      <c r="ED210" s="1448"/>
      <c r="EE210" s="1448"/>
      <c r="EF210" s="1451">
        <f>+EF207/EF198</f>
        <v>9.1689075314620949E-2</v>
      </c>
      <c r="EG210" s="1452"/>
      <c r="EH210" s="1448"/>
      <c r="EI210" s="1448"/>
      <c r="EJ210" s="1453"/>
      <c r="EK210" s="1451"/>
      <c r="EL210" s="1452"/>
      <c r="EM210" s="1448"/>
      <c r="EN210" s="1448"/>
      <c r="EO210" s="1453"/>
      <c r="EP210" s="1451"/>
      <c r="EQ210" s="1452"/>
      <c r="ER210" s="1448"/>
      <c r="ES210" s="1448"/>
      <c r="ET210" s="1453"/>
      <c r="EU210" s="1451"/>
      <c r="EV210" s="1452"/>
      <c r="EW210" s="1448"/>
      <c r="EX210" s="1448"/>
      <c r="EY210" s="1453"/>
      <c r="EZ210" s="1451"/>
      <c r="FA210" s="1452"/>
      <c r="FB210" s="1448"/>
      <c r="FC210" s="1448"/>
      <c r="FD210" s="1453"/>
      <c r="FE210" s="1451"/>
      <c r="FF210" s="721"/>
      <c r="FG210" s="690"/>
      <c r="FH210" s="754"/>
      <c r="FI210" s="754"/>
      <c r="FJ210" s="754"/>
      <c r="FK210" s="754"/>
      <c r="FL210" s="690"/>
      <c r="FM210" s="708"/>
      <c r="FN210" s="708"/>
      <c r="FO210" s="723"/>
      <c r="FP210" s="1454"/>
      <c r="FQ210" s="723"/>
      <c r="FR210" s="723"/>
      <c r="FS210" s="723"/>
      <c r="FT210" s="723"/>
      <c r="FU210" s="690"/>
      <c r="FV210"/>
      <c r="FW210"/>
      <c r="FX210"/>
      <c r="FY210"/>
      <c r="FZ210"/>
      <c r="GA210"/>
      <c r="GB210" s="1455"/>
      <c r="GC210" s="1118"/>
      <c r="GD210" s="1118"/>
      <c r="GE210" s="1118"/>
      <c r="GF210" s="1118"/>
      <c r="GG210" s="1118"/>
      <c r="GH210" s="1118"/>
      <c r="GI210" s="1118"/>
      <c r="GJ210" s="1118"/>
      <c r="GK210" s="1118"/>
      <c r="GL210" s="1118"/>
      <c r="GM210" s="1118"/>
      <c r="GN210" s="1118"/>
      <c r="GO210" s="1118"/>
      <c r="GP210" s="1118"/>
      <c r="GQ210" s="1118"/>
      <c r="GR210" s="1118"/>
      <c r="GS210" s="1118"/>
      <c r="GT210" s="1118"/>
      <c r="GU210" s="1118"/>
      <c r="GV210" s="1118"/>
      <c r="GW210" s="1118"/>
      <c r="GX210" s="1118"/>
      <c r="GY210" s="1118"/>
      <c r="GZ210" s="1118"/>
      <c r="HA210" s="1118"/>
      <c r="HB210" s="1118"/>
      <c r="HC210" s="1118"/>
      <c r="HD210" s="1118"/>
      <c r="HE210" s="1118"/>
      <c r="HF210" s="1118"/>
      <c r="HG210" s="1118"/>
      <c r="HH210" s="1118"/>
      <c r="HI210" s="1118"/>
      <c r="HJ210" s="1118"/>
      <c r="HK210" s="1118"/>
      <c r="HL210" s="1118"/>
      <c r="HM210" s="1118"/>
      <c r="HN210" s="1118"/>
      <c r="HO210" s="1118"/>
      <c r="HP210" s="1118"/>
      <c r="HQ210" s="1118"/>
      <c r="HR210" s="1118"/>
      <c r="HS210" s="1118"/>
      <c r="HT210" s="1118"/>
      <c r="HU210" s="1118"/>
      <c r="HV210" s="1118"/>
      <c r="HW210" s="1118"/>
      <c r="HX210" s="1118"/>
      <c r="HY210" s="1118"/>
      <c r="HZ210" s="1118"/>
      <c r="IA210" s="1118"/>
      <c r="IB210" s="1118"/>
      <c r="IC210" s="1118"/>
      <c r="ID210" s="1118"/>
      <c r="IE210" s="1118"/>
      <c r="IF210" s="1118"/>
      <c r="IG210" s="1118"/>
      <c r="IH210" s="1118"/>
      <c r="II210" s="1118"/>
      <c r="IJ210" s="1118"/>
      <c r="IK210" s="1118"/>
      <c r="IL210" s="1118"/>
      <c r="IM210" s="1118"/>
      <c r="IN210" s="1118"/>
      <c r="IO210" s="1118"/>
      <c r="IP210" s="1118"/>
      <c r="IQ210" s="1118"/>
      <c r="IR210" s="1118"/>
      <c r="IS210" s="1118"/>
      <c r="IT210" s="1118"/>
      <c r="IU210" s="1118"/>
      <c r="IV210" s="1118"/>
      <c r="IW210" s="1118"/>
      <c r="IX210" s="1118"/>
      <c r="IY210" s="1118"/>
      <c r="IZ210" s="1118"/>
      <c r="JA210" s="1118"/>
      <c r="JB210" s="1118"/>
      <c r="JC210" s="1118"/>
      <c r="JD210" s="1118"/>
      <c r="JE210" s="1118"/>
      <c r="JF210" s="1118"/>
      <c r="JG210" s="1118"/>
      <c r="JH210" s="1118"/>
      <c r="JI210" s="1118"/>
      <c r="JJ210" s="1118"/>
      <c r="JK210" s="1118"/>
      <c r="JL210" s="1118"/>
    </row>
    <row r="211" spans="1:272" s="1398" customFormat="1" ht="12.75" hidden="1" customHeight="1" outlineLevel="1">
      <c r="A211" s="1456" t="s">
        <v>393</v>
      </c>
      <c r="B211" s="1457"/>
      <c r="C211" s="1458"/>
      <c r="D211" s="1458"/>
      <c r="E211" s="1458"/>
      <c r="F211" s="1459"/>
      <c r="G211" s="1245"/>
      <c r="H211" s="1458"/>
      <c r="I211" s="1458"/>
      <c r="J211" s="1458"/>
      <c r="K211" s="1459"/>
      <c r="L211" s="1245"/>
      <c r="M211" s="1458"/>
      <c r="N211" s="1458"/>
      <c r="O211" s="1458"/>
      <c r="P211" s="1459"/>
      <c r="Q211" s="1245"/>
      <c r="R211" s="1458"/>
      <c r="S211" s="1458"/>
      <c r="T211" s="1458"/>
      <c r="U211" s="1459"/>
      <c r="V211" s="1245"/>
      <c r="W211" s="1458"/>
      <c r="X211" s="1458"/>
      <c r="Y211" s="1458"/>
      <c r="Z211" s="1459"/>
      <c r="AA211" s="1245"/>
      <c r="AB211" s="1458"/>
      <c r="AC211" s="1458"/>
      <c r="AD211" s="1458"/>
      <c r="AE211" s="1459"/>
      <c r="AF211" s="994"/>
      <c r="AG211" s="994"/>
      <c r="AH211" s="994"/>
      <c r="AI211" s="994"/>
      <c r="AJ211" s="1459"/>
      <c r="AK211" s="994"/>
      <c r="AL211" s="994"/>
      <c r="AM211" s="1460"/>
      <c r="AN211" s="994"/>
      <c r="AO211" s="1459"/>
      <c r="AP211" s="994"/>
      <c r="AQ211" s="1460"/>
      <c r="AR211" s="1460"/>
      <c r="AS211" s="994"/>
      <c r="AT211" s="1459"/>
      <c r="AU211" s="994"/>
      <c r="AV211" s="1460"/>
      <c r="AW211" s="1460"/>
      <c r="AX211" s="994"/>
      <c r="AY211" s="1459"/>
      <c r="AZ211" s="994"/>
      <c r="BA211" s="1460"/>
      <c r="BB211" s="1460"/>
      <c r="BC211" s="994"/>
      <c r="BD211" s="1459"/>
      <c r="BE211" s="994"/>
      <c r="BF211" s="1460"/>
      <c r="BG211" s="1460"/>
      <c r="BH211" s="994"/>
      <c r="BI211" s="1459"/>
      <c r="BJ211" s="994"/>
      <c r="BK211" s="1460"/>
      <c r="BL211" s="1460"/>
      <c r="BM211" s="994"/>
      <c r="BN211" s="1459"/>
      <c r="BO211" s="994">
        <v>1.6080000000000001</v>
      </c>
      <c r="BP211" s="1460">
        <v>1.677</v>
      </c>
      <c r="BQ211" s="1460">
        <v>1.2210000000000001</v>
      </c>
      <c r="BR211" s="994">
        <v>1.0509999999999999</v>
      </c>
      <c r="BS211" s="1459">
        <f>BR211+BQ211+BP211+BO211</f>
        <v>5.5570000000000004</v>
      </c>
      <c r="BT211" s="994">
        <v>0.58599999999999997</v>
      </c>
      <c r="BU211" s="1460">
        <v>0.63</v>
      </c>
      <c r="BV211" s="1460">
        <v>0.63500000000000001</v>
      </c>
      <c r="BW211" s="994">
        <v>0.67600000000000005</v>
      </c>
      <c r="BX211" s="1459">
        <f>BW211+BV211+BU211+BT211</f>
        <v>2.5269999999999997</v>
      </c>
      <c r="BY211" s="994">
        <v>0.72699999999999998</v>
      </c>
      <c r="BZ211" s="1460">
        <v>1.4079999999999999</v>
      </c>
      <c r="CA211" s="1460">
        <v>2.1120000000000001</v>
      </c>
      <c r="CB211" s="994">
        <v>3.238</v>
      </c>
      <c r="CC211" s="1459">
        <f>CB211+CA211+BZ211+BY211</f>
        <v>7.4849999999999994</v>
      </c>
      <c r="CD211" s="994">
        <v>4.6269999999999998</v>
      </c>
      <c r="CE211" s="994">
        <v>5.5350000000000001</v>
      </c>
      <c r="CF211" s="994">
        <v>5.6680000000000001</v>
      </c>
      <c r="CG211" s="994">
        <v>6.9</v>
      </c>
      <c r="CH211" s="1459">
        <v>22.73</v>
      </c>
      <c r="CI211" s="994">
        <v>6.9420000000000002</v>
      </c>
      <c r="CJ211" s="994">
        <v>6.68</v>
      </c>
      <c r="CK211" s="994">
        <v>5.399</v>
      </c>
      <c r="CL211" s="994">
        <v>5.76</v>
      </c>
      <c r="CM211" s="1459">
        <f>CL211+CK211+CJ211+CI211</f>
        <v>24.780999999999999</v>
      </c>
      <c r="CN211" s="994">
        <v>5.4480000000000004</v>
      </c>
      <c r="CO211" s="994">
        <v>5.8540000000000001</v>
      </c>
      <c r="CP211" s="994">
        <v>5.1180000000000003</v>
      </c>
      <c r="CQ211" s="994">
        <v>2.5870000000000002</v>
      </c>
      <c r="CR211" s="1459">
        <f>CQ211+CP211+CO211+CN211</f>
        <v>19.007000000000001</v>
      </c>
      <c r="CS211" s="994">
        <v>1.5569999999999999</v>
      </c>
      <c r="CT211" s="994">
        <v>1.113</v>
      </c>
      <c r="CU211" s="994">
        <v>1.3440000000000001</v>
      </c>
      <c r="CV211" s="994">
        <v>1.6579999999999999</v>
      </c>
      <c r="CW211" s="1459">
        <f>CV211+CU211+CT211+CS211</f>
        <v>5.6720000000000006</v>
      </c>
      <c r="CX211" s="1461">
        <v>0.78300000000000003</v>
      </c>
      <c r="CY211" s="1461">
        <v>0.70899999999999996</v>
      </c>
      <c r="CZ211" s="1461">
        <v>0.50900000000000001</v>
      </c>
      <c r="DA211" s="1461">
        <v>0.35699999999999998</v>
      </c>
      <c r="DB211" s="1459">
        <v>2.3580000000000001</v>
      </c>
      <c r="DC211" s="1461">
        <v>0.38200000000000001</v>
      </c>
      <c r="DD211" s="1461">
        <v>0.32500000000000001</v>
      </c>
      <c r="DE211" s="1461">
        <v>0.35199999999999998</v>
      </c>
      <c r="DF211" s="1461">
        <v>0.26800000000000002</v>
      </c>
      <c r="DG211" s="1459">
        <f>DF211+DE211+DD211+DC211</f>
        <v>1.327</v>
      </c>
      <c r="DH211" s="1461">
        <v>0.32200000000000001</v>
      </c>
      <c r="DI211" s="1461">
        <v>0.22700000000000001</v>
      </c>
      <c r="DJ211" s="1461">
        <v>0.16300000000000001</v>
      </c>
      <c r="DK211" s="1461">
        <v>0.20799999999999999</v>
      </c>
      <c r="DL211" s="1459">
        <f>SUM(DH211:DK211)</f>
        <v>0.92</v>
      </c>
      <c r="DM211" s="1461">
        <v>0.23499999999999999</v>
      </c>
      <c r="DN211" s="1461">
        <v>0.20899999999999999</v>
      </c>
      <c r="DO211" s="1461">
        <v>0.20399999999999999</v>
      </c>
      <c r="DP211" s="1461">
        <v>0.183</v>
      </c>
      <c r="DQ211" s="1459">
        <f>SUM(DM211:DP211)</f>
        <v>0.83099999999999996</v>
      </c>
      <c r="DR211" s="994">
        <v>0.16400000000000001</v>
      </c>
      <c r="DS211" s="1461">
        <v>0.159</v>
      </c>
      <c r="DT211" s="1461">
        <v>0.15</v>
      </c>
      <c r="DU211" s="1461">
        <v>0.14799999999999999</v>
      </c>
      <c r="DV211" s="1459">
        <f>SUM(DR211:DU211)</f>
        <v>0.621</v>
      </c>
      <c r="DW211" s="1461">
        <v>0.161</v>
      </c>
      <c r="DX211" s="1461">
        <v>0.17499999999999999</v>
      </c>
      <c r="DY211" s="1461">
        <v>0.185</v>
      </c>
      <c r="DZ211" s="1461">
        <v>0.16500000000000001</v>
      </c>
      <c r="EA211" s="1459">
        <f>SUM(DW211:DZ211)</f>
        <v>0.68599999999999994</v>
      </c>
      <c r="EB211" s="1461">
        <v>0.16500000000000001</v>
      </c>
      <c r="EC211" s="1461">
        <v>0.14399999999999999</v>
      </c>
      <c r="ED211" s="1462">
        <f>+EC211</f>
        <v>0.14399999999999999</v>
      </c>
      <c r="EE211" s="1462">
        <f>+ED211</f>
        <v>0.14399999999999999</v>
      </c>
      <c r="EF211" s="1459">
        <f>SUM(EB211:EE211)</f>
        <v>0.59699999999999998</v>
      </c>
      <c r="EG211" s="1463"/>
      <c r="EH211" s="994"/>
      <c r="EI211" s="994"/>
      <c r="EJ211" s="1464"/>
      <c r="EK211" s="1465">
        <f>+EF211</f>
        <v>0.59699999999999998</v>
      </c>
      <c r="EL211" s="1463"/>
      <c r="EM211" s="994"/>
      <c r="EN211" s="994"/>
      <c r="EO211" s="1464"/>
      <c r="EP211" s="1465">
        <f>+EK211</f>
        <v>0.59699999999999998</v>
      </c>
      <c r="EQ211" s="1463"/>
      <c r="ER211" s="994"/>
      <c r="ES211" s="994"/>
      <c r="ET211" s="1464"/>
      <c r="EU211" s="1465">
        <f>+EP211</f>
        <v>0.59699999999999998</v>
      </c>
      <c r="EV211" s="1463"/>
      <c r="EW211" s="994"/>
      <c r="EX211" s="994"/>
      <c r="EY211" s="1464"/>
      <c r="EZ211" s="1465">
        <f>+EU211</f>
        <v>0.59699999999999998</v>
      </c>
      <c r="FA211" s="1463"/>
      <c r="FB211" s="994"/>
      <c r="FC211" s="994"/>
      <c r="FD211" s="1464"/>
      <c r="FE211" s="1465">
        <f>+EZ211</f>
        <v>0.59699999999999998</v>
      </c>
      <c r="FF211" s="994"/>
      <c r="FG211" s="690"/>
      <c r="FH211" s="754"/>
      <c r="FI211" s="754"/>
      <c r="FJ211" s="754"/>
      <c r="FK211" s="754"/>
      <c r="FL211" s="690"/>
      <c r="FM211" s="1230"/>
      <c r="FN211" s="1230"/>
      <c r="FO211" s="1244"/>
      <c r="FP211" s="1244"/>
      <c r="FQ211" s="1244"/>
      <c r="FR211" s="1244"/>
      <c r="FS211" s="1244"/>
      <c r="FT211" s="1244"/>
      <c r="FU211" s="690"/>
      <c r="FV211"/>
      <c r="FW211"/>
      <c r="FX211"/>
      <c r="FY211"/>
      <c r="FZ211"/>
      <c r="GA211"/>
      <c r="GB211" s="1245"/>
      <c r="GC211" s="1467"/>
      <c r="GD211" s="1467"/>
      <c r="GE211" s="1467"/>
      <c r="GF211" s="1467"/>
      <c r="GG211" s="1467"/>
      <c r="GH211" s="1467"/>
      <c r="GI211" s="1467"/>
      <c r="GJ211" s="1467"/>
      <c r="GK211" s="1467"/>
      <c r="GL211" s="1467"/>
      <c r="GM211" s="1467"/>
      <c r="GN211" s="1467"/>
      <c r="GO211" s="1467"/>
      <c r="GP211" s="1467"/>
      <c r="GQ211" s="1467"/>
      <c r="GR211" s="1467"/>
      <c r="GS211" s="1467"/>
      <c r="GT211" s="1467"/>
      <c r="GU211" s="1467"/>
      <c r="GV211" s="1467"/>
      <c r="GW211" s="1467"/>
      <c r="GX211" s="1467"/>
      <c r="GY211" s="1467"/>
      <c r="GZ211" s="1467"/>
      <c r="HA211" s="1467"/>
      <c r="HB211" s="1467"/>
      <c r="HC211" s="1467"/>
      <c r="HD211" s="1467"/>
      <c r="HE211" s="1467"/>
      <c r="HF211" s="1467"/>
      <c r="HG211" s="1467"/>
      <c r="HH211" s="1467"/>
      <c r="HI211" s="1467"/>
      <c r="HJ211" s="1467"/>
      <c r="HK211" s="1467"/>
      <c r="HL211" s="1467"/>
      <c r="HM211" s="1467"/>
      <c r="HN211" s="1467"/>
      <c r="HO211" s="1467"/>
      <c r="HP211" s="1467"/>
      <c r="HQ211" s="1467"/>
      <c r="HR211" s="1467"/>
      <c r="HS211" s="1467"/>
      <c r="HT211" s="1467"/>
      <c r="HU211" s="1467"/>
      <c r="HV211" s="1467"/>
      <c r="HW211" s="1467"/>
      <c r="HX211" s="1467"/>
      <c r="HY211" s="1467"/>
      <c r="HZ211" s="1467"/>
      <c r="IA211" s="1467"/>
      <c r="IB211" s="1467"/>
      <c r="IC211" s="1467"/>
      <c r="ID211" s="1467"/>
      <c r="IE211" s="1467"/>
      <c r="IF211" s="1467"/>
      <c r="IG211" s="1467"/>
      <c r="IH211" s="1467"/>
      <c r="II211" s="1467"/>
      <c r="IJ211" s="1467"/>
      <c r="IK211" s="1467"/>
      <c r="IL211" s="1467"/>
      <c r="IM211" s="1467"/>
      <c r="IN211" s="1467"/>
      <c r="IO211" s="1467"/>
      <c r="IP211" s="1467"/>
      <c r="IQ211" s="1467"/>
      <c r="IR211" s="1467"/>
      <c r="IS211" s="1467"/>
      <c r="IT211" s="1467"/>
      <c r="IU211" s="1467"/>
      <c r="IV211" s="1467"/>
      <c r="IW211" s="1467"/>
      <c r="IX211" s="1467"/>
      <c r="IY211" s="1467"/>
      <c r="IZ211" s="1467"/>
      <c r="JA211" s="1467"/>
      <c r="JB211" s="1467"/>
      <c r="JC211" s="1467"/>
      <c r="JD211" s="1467"/>
      <c r="JE211" s="1467"/>
      <c r="JF211" s="1467"/>
      <c r="JG211" s="1467"/>
      <c r="JH211" s="1467"/>
      <c r="JI211" s="1467"/>
      <c r="JJ211" s="1467"/>
      <c r="JK211" s="1467"/>
      <c r="JL211" s="1467"/>
    </row>
    <row r="212" spans="1:272" s="1398" customFormat="1" ht="12.75" hidden="1" customHeight="1" outlineLevel="1">
      <c r="A212" s="1456" t="s">
        <v>128</v>
      </c>
      <c r="B212" s="1457"/>
      <c r="C212" s="1458"/>
      <c r="D212" s="1458"/>
      <c r="E212" s="1458"/>
      <c r="F212" s="1459"/>
      <c r="G212" s="1245"/>
      <c r="H212" s="1458"/>
      <c r="I212" s="1458"/>
      <c r="J212" s="1458"/>
      <c r="K212" s="1459"/>
      <c r="L212" s="1245"/>
      <c r="M212" s="1458"/>
      <c r="N212" s="1458"/>
      <c r="O212" s="1458"/>
      <c r="P212" s="1459"/>
      <c r="Q212" s="1245"/>
      <c r="R212" s="1458"/>
      <c r="S212" s="1458"/>
      <c r="T212" s="1458"/>
      <c r="U212" s="1459"/>
      <c r="V212" s="1245"/>
      <c r="W212" s="1458"/>
      <c r="X212" s="1458"/>
      <c r="Y212" s="1458"/>
      <c r="Z212" s="1459"/>
      <c r="AA212" s="1245"/>
      <c r="AB212" s="1458"/>
      <c r="AC212" s="1458"/>
      <c r="AD212" s="1458"/>
      <c r="AE212" s="1459"/>
      <c r="AF212" s="994"/>
      <c r="AG212" s="994"/>
      <c r="AH212" s="994"/>
      <c r="AI212" s="994"/>
      <c r="AJ212" s="1459"/>
      <c r="AK212" s="994"/>
      <c r="AL212" s="994"/>
      <c r="AM212" s="994"/>
      <c r="AN212" s="994"/>
      <c r="AO212" s="1459"/>
      <c r="AP212" s="994"/>
      <c r="AQ212" s="1460"/>
      <c r="AR212" s="1460"/>
      <c r="AS212" s="994"/>
      <c r="AT212" s="1459"/>
      <c r="AU212" s="994"/>
      <c r="AV212" s="1460"/>
      <c r="AW212" s="1460"/>
      <c r="AX212" s="994"/>
      <c r="AY212" s="1459"/>
      <c r="AZ212" s="994"/>
      <c r="BA212" s="1460"/>
      <c r="BB212" s="1460"/>
      <c r="BC212" s="994"/>
      <c r="BD212" s="1459"/>
      <c r="BE212" s="994"/>
      <c r="BF212" s="1460"/>
      <c r="BG212" s="1460"/>
      <c r="BH212" s="994"/>
      <c r="BI212" s="1459"/>
      <c r="BJ212" s="994"/>
      <c r="BK212" s="1460"/>
      <c r="BL212" s="1460"/>
      <c r="BM212" s="994"/>
      <c r="BN212" s="1459"/>
      <c r="BO212" s="994">
        <f>5.885+1.563</f>
        <v>7.4479999999999995</v>
      </c>
      <c r="BP212" s="1460">
        <f>5.638+1.563</f>
        <v>7.2009999999999996</v>
      </c>
      <c r="BQ212" s="1460">
        <f>5.813+1.563</f>
        <v>7.3759999999999994</v>
      </c>
      <c r="BR212" s="994">
        <f>6.222+1.561</f>
        <v>7.7830000000000004</v>
      </c>
      <c r="BS212" s="1459">
        <f>BR212+BQ212+BP212+BO212</f>
        <v>29.808</v>
      </c>
      <c r="BT212" s="994">
        <v>7.5620000000000003</v>
      </c>
      <c r="BU212" s="1460">
        <v>7.2290000000000001</v>
      </c>
      <c r="BV212" s="1460">
        <v>7.1340000000000003</v>
      </c>
      <c r="BW212" s="994">
        <v>7.6719999999999997</v>
      </c>
      <c r="BX212" s="1459">
        <f>BW212+BV212+BU212+BT212</f>
        <v>29.597000000000001</v>
      </c>
      <c r="BY212" s="994">
        <v>7.3360000000000003</v>
      </c>
      <c r="BZ212" s="1460">
        <v>10.010999999999999</v>
      </c>
      <c r="CA212" s="1460">
        <v>10.959</v>
      </c>
      <c r="CB212" s="994">
        <v>11.388999999999999</v>
      </c>
      <c r="CC212" s="1459">
        <f>CB212+CA212+BZ212+BY212</f>
        <v>39.694999999999993</v>
      </c>
      <c r="CD212" s="994">
        <v>10.465999999999999</v>
      </c>
      <c r="CE212" s="994">
        <v>9.6880000000000006</v>
      </c>
      <c r="CF212" s="994">
        <v>8.4260000000000002</v>
      </c>
      <c r="CG212" s="994">
        <v>8.9209999999999994</v>
      </c>
      <c r="CH212" s="1459">
        <v>37.500999999999998</v>
      </c>
      <c r="CI212" s="994">
        <v>8.1479999999999997</v>
      </c>
      <c r="CJ212" s="994">
        <v>8.3170000000000002</v>
      </c>
      <c r="CK212" s="994">
        <v>8.7609999999999992</v>
      </c>
      <c r="CL212" s="994">
        <v>8.98</v>
      </c>
      <c r="CM212" s="1459">
        <f>CL212+CK212+CJ212+CI212</f>
        <v>34.206000000000003</v>
      </c>
      <c r="CN212" s="994">
        <v>8.5510000000000002</v>
      </c>
      <c r="CO212" s="994">
        <v>8.7729999999999997</v>
      </c>
      <c r="CP212" s="994">
        <v>10.603</v>
      </c>
      <c r="CQ212" s="994">
        <v>14.878</v>
      </c>
      <c r="CR212" s="1459">
        <f>CQ212+CP212+CO212+CN212</f>
        <v>42.805000000000007</v>
      </c>
      <c r="CS212" s="994">
        <v>16.439</v>
      </c>
      <c r="CT212" s="994">
        <v>15.704000000000001</v>
      </c>
      <c r="CU212" s="994">
        <v>15.646000000000001</v>
      </c>
      <c r="CV212" s="994">
        <v>15.147</v>
      </c>
      <c r="CW212" s="1459">
        <f>CV212+CU212+CT212+CS212</f>
        <v>62.936</v>
      </c>
      <c r="CX212" s="1461">
        <v>15.619</v>
      </c>
      <c r="CY212" s="1461">
        <v>16.98</v>
      </c>
      <c r="CZ212" s="1461">
        <v>15.864000000000001</v>
      </c>
      <c r="DA212" s="1461">
        <v>15.977</v>
      </c>
      <c r="DB212" s="1459">
        <v>64.44</v>
      </c>
      <c r="DC212" s="1461">
        <v>16.399999999999999</v>
      </c>
      <c r="DD212" s="1461">
        <v>14.688000000000001</v>
      </c>
      <c r="DE212" s="1461">
        <v>13.818</v>
      </c>
      <c r="DF212" s="1461">
        <v>14.109</v>
      </c>
      <c r="DG212" s="1459">
        <f>DF212+DE212+DD212+DC212</f>
        <v>59.015000000000001</v>
      </c>
      <c r="DH212" s="1461">
        <v>13.919</v>
      </c>
      <c r="DI212" s="1461">
        <v>13.923</v>
      </c>
      <c r="DJ212" s="1461">
        <v>13.909000000000001</v>
      </c>
      <c r="DK212" s="1461">
        <v>13.837999999999999</v>
      </c>
      <c r="DL212" s="1459">
        <f>SUM(DH212:DK212)</f>
        <v>55.588999999999999</v>
      </c>
      <c r="DM212" s="1461">
        <v>13.794</v>
      </c>
      <c r="DN212" s="1461">
        <v>13.738</v>
      </c>
      <c r="DO212" s="1461">
        <v>13.667</v>
      </c>
      <c r="DP212" s="1461">
        <v>13.577999999999999</v>
      </c>
      <c r="DQ212" s="1459">
        <f>SUM(DM212:DP212)</f>
        <v>54.777000000000001</v>
      </c>
      <c r="DR212" s="994">
        <v>13.505000000000001</v>
      </c>
      <c r="DS212" s="1461">
        <v>13.659000000000001</v>
      </c>
      <c r="DT212" s="1461">
        <v>13.395</v>
      </c>
      <c r="DU212" s="1461">
        <v>12.78</v>
      </c>
      <c r="DV212" s="1459">
        <f>SUM(DR212:DU212)</f>
        <v>53.338999999999999</v>
      </c>
      <c r="DW212" s="1461">
        <v>13.305999999999999</v>
      </c>
      <c r="DX212" s="1461">
        <v>13.403</v>
      </c>
      <c r="DY212" s="1461">
        <v>13.372999999999999</v>
      </c>
      <c r="DZ212" s="1461">
        <v>13.374000000000001</v>
      </c>
      <c r="EA212" s="1459">
        <f>SUM(DW212:DZ212)</f>
        <v>53.456000000000003</v>
      </c>
      <c r="EB212" s="1461">
        <v>13.276999999999999</v>
      </c>
      <c r="EC212" s="1461">
        <v>13.221</v>
      </c>
      <c r="ED212" s="1468">
        <f>+EC212</f>
        <v>13.221</v>
      </c>
      <c r="EE212" s="1468">
        <f>+ED212</f>
        <v>13.221</v>
      </c>
      <c r="EF212" s="1459">
        <f>SUM(EB212:EE212)</f>
        <v>52.94</v>
      </c>
      <c r="EG212" s="1463"/>
      <c r="EH212" s="994"/>
      <c r="EI212" s="994"/>
      <c r="EJ212" s="1464"/>
      <c r="EK212" s="1465">
        <v>52.940000000000005</v>
      </c>
      <c r="EL212" s="1463"/>
      <c r="EM212" s="994"/>
      <c r="EN212" s="994"/>
      <c r="EO212" s="1464"/>
      <c r="EP212" s="1465">
        <v>52.940000000000005</v>
      </c>
      <c r="EQ212" s="1463"/>
      <c r="ER212" s="994"/>
      <c r="ES212" s="994"/>
      <c r="ET212" s="1464"/>
      <c r="EU212" s="1465">
        <v>52.940000000000005</v>
      </c>
      <c r="EV212" s="1463"/>
      <c r="EW212" s="994"/>
      <c r="EX212" s="994"/>
      <c r="EY212" s="1464"/>
      <c r="EZ212" s="1465">
        <v>52.940000000000005</v>
      </c>
      <c r="FA212" s="1463"/>
      <c r="FB212" s="994"/>
      <c r="FC212" s="994"/>
      <c r="FD212" s="1464"/>
      <c r="FE212" s="1465">
        <v>52.940000000000005</v>
      </c>
      <c r="FF212" s="994"/>
      <c r="FG212" s="690"/>
      <c r="FH212" s="754"/>
      <c r="FI212" s="754"/>
      <c r="FJ212" s="754"/>
      <c r="FK212" s="754"/>
      <c r="FL212" s="690"/>
      <c r="FM212" s="752"/>
      <c r="FN212" s="1230"/>
      <c r="FO212" s="1244"/>
      <c r="FP212" s="1244"/>
      <c r="FQ212" s="1244"/>
      <c r="FR212" s="1244"/>
      <c r="FS212" s="1244"/>
      <c r="FT212" s="1244"/>
      <c r="FU212" s="690"/>
      <c r="FV212"/>
      <c r="FW212"/>
      <c r="FX212"/>
      <c r="FY212"/>
      <c r="FZ212"/>
      <c r="GA212"/>
      <c r="GB212" s="1245"/>
      <c r="GC212" s="1467"/>
      <c r="GD212" s="1467"/>
      <c r="GE212" s="1467"/>
      <c r="GF212" s="1467"/>
      <c r="GG212" s="1467"/>
      <c r="GH212" s="1467"/>
      <c r="GI212" s="1467"/>
      <c r="GJ212" s="1467"/>
      <c r="GK212" s="1467"/>
      <c r="GL212" s="1467"/>
      <c r="GM212" s="1467"/>
      <c r="GN212" s="1467"/>
      <c r="GO212" s="1467"/>
      <c r="GP212" s="1467"/>
      <c r="GQ212" s="1467"/>
      <c r="GR212" s="1467"/>
      <c r="GS212" s="1467"/>
      <c r="GT212" s="1467"/>
      <c r="GU212" s="1467"/>
      <c r="GV212" s="1467"/>
      <c r="GW212" s="1467"/>
      <c r="GX212" s="1467"/>
      <c r="GY212" s="1467"/>
      <c r="GZ212" s="1467"/>
      <c r="HA212" s="1467"/>
      <c r="HB212" s="1467"/>
      <c r="HC212" s="1467"/>
      <c r="HD212" s="1467"/>
      <c r="HE212" s="1467"/>
      <c r="HF212" s="1467"/>
      <c r="HG212" s="1467"/>
      <c r="HH212" s="1467"/>
      <c r="HI212" s="1467"/>
      <c r="HJ212" s="1467"/>
      <c r="HK212" s="1467"/>
      <c r="HL212" s="1467"/>
      <c r="HM212" s="1467"/>
      <c r="HN212" s="1467"/>
      <c r="HO212" s="1467"/>
      <c r="HP212" s="1467"/>
      <c r="HQ212" s="1467"/>
      <c r="HR212" s="1467"/>
      <c r="HS212" s="1467"/>
      <c r="HT212" s="1467"/>
      <c r="HU212" s="1467"/>
      <c r="HV212" s="1467"/>
      <c r="HW212" s="1467"/>
      <c r="HX212" s="1467"/>
      <c r="HY212" s="1467"/>
      <c r="HZ212" s="1467"/>
      <c r="IA212" s="1467"/>
      <c r="IB212" s="1467"/>
      <c r="IC212" s="1467"/>
      <c r="ID212" s="1467"/>
      <c r="IE212" s="1467"/>
      <c r="IF212" s="1467"/>
      <c r="IG212" s="1467"/>
      <c r="IH212" s="1467"/>
      <c r="II212" s="1467"/>
      <c r="IJ212" s="1467"/>
      <c r="IK212" s="1467"/>
      <c r="IL212" s="1467"/>
      <c r="IM212" s="1467"/>
      <c r="IN212" s="1467"/>
      <c r="IO212" s="1467"/>
      <c r="IP212" s="1467"/>
      <c r="IQ212" s="1467"/>
      <c r="IR212" s="1467"/>
      <c r="IS212" s="1467"/>
      <c r="IT212" s="1467"/>
      <c r="IU212" s="1467"/>
      <c r="IV212" s="1467"/>
      <c r="IW212" s="1467"/>
      <c r="IX212" s="1467"/>
      <c r="IY212" s="1467"/>
      <c r="IZ212" s="1467"/>
      <c r="JA212" s="1467"/>
      <c r="JB212" s="1467"/>
      <c r="JC212" s="1467"/>
      <c r="JD212" s="1467"/>
      <c r="JE212" s="1467"/>
      <c r="JF212" s="1467"/>
      <c r="JG212" s="1467"/>
      <c r="JH212" s="1467"/>
      <c r="JI212" s="1467"/>
      <c r="JJ212" s="1467"/>
      <c r="JK212" s="1467"/>
      <c r="JL212" s="1467"/>
    </row>
    <row r="213" spans="1:272" s="1398" customFormat="1" ht="12.75" hidden="1" customHeight="1" outlineLevel="1">
      <c r="A213" s="1469" t="s">
        <v>138</v>
      </c>
      <c r="B213" s="1457"/>
      <c r="C213" s="1458"/>
      <c r="D213" s="1458"/>
      <c r="E213" s="1458"/>
      <c r="F213" s="1459"/>
      <c r="G213" s="1245"/>
      <c r="H213" s="1458"/>
      <c r="I213" s="1458"/>
      <c r="J213" s="1458"/>
      <c r="K213" s="1459"/>
      <c r="L213" s="1245"/>
      <c r="M213" s="1458"/>
      <c r="N213" s="1458"/>
      <c r="O213" s="1458"/>
      <c r="P213" s="1459"/>
      <c r="Q213" s="1245"/>
      <c r="R213" s="1458"/>
      <c r="S213" s="1458"/>
      <c r="T213" s="1458"/>
      <c r="U213" s="1459"/>
      <c r="V213" s="1245"/>
      <c r="W213" s="1458"/>
      <c r="X213" s="1458"/>
      <c r="Y213" s="1458"/>
      <c r="Z213" s="1459"/>
      <c r="AA213" s="1245"/>
      <c r="AB213" s="1458"/>
      <c r="AC213" s="1458"/>
      <c r="AD213" s="1458"/>
      <c r="AE213" s="1459"/>
      <c r="AF213" s="994"/>
      <c r="AG213" s="994"/>
      <c r="AH213" s="994"/>
      <c r="AI213" s="994"/>
      <c r="AJ213" s="1459"/>
      <c r="AK213" s="994"/>
      <c r="AL213" s="994"/>
      <c r="AM213" s="994"/>
      <c r="AN213" s="994"/>
      <c r="AO213" s="1459"/>
      <c r="AP213" s="994"/>
      <c r="AQ213" s="1460"/>
      <c r="AR213" s="1460"/>
      <c r="AS213" s="994"/>
      <c r="AT213" s="1459"/>
      <c r="AU213" s="994"/>
      <c r="AV213" s="1460"/>
      <c r="AW213" s="1460"/>
      <c r="AX213" s="994"/>
      <c r="AY213" s="1459"/>
      <c r="AZ213" s="994"/>
      <c r="BA213" s="1460"/>
      <c r="BB213" s="1460"/>
      <c r="BC213" s="994"/>
      <c r="BD213" s="1459"/>
      <c r="BE213" s="994"/>
      <c r="BF213" s="1460"/>
      <c r="BG213" s="1460"/>
      <c r="BH213" s="994"/>
      <c r="BI213" s="1459"/>
      <c r="BJ213" s="994"/>
      <c r="BK213" s="1460"/>
      <c r="BL213" s="1460"/>
      <c r="BM213" s="994"/>
      <c r="BN213" s="1459"/>
      <c r="BO213" s="994"/>
      <c r="BP213" s="1460"/>
      <c r="BQ213" s="1460"/>
      <c r="BR213" s="994"/>
      <c r="BS213" s="1459"/>
      <c r="BT213" s="994"/>
      <c r="BU213" s="1460"/>
      <c r="BV213" s="1460"/>
      <c r="BW213" s="994"/>
      <c r="BX213" s="1459"/>
      <c r="BY213" s="994"/>
      <c r="BZ213" s="1460"/>
      <c r="CA213" s="1460"/>
      <c r="CB213" s="994"/>
      <c r="CC213" s="1459"/>
      <c r="CD213" s="994"/>
      <c r="CE213" s="994"/>
      <c r="CF213" s="994"/>
      <c r="CG213" s="994"/>
      <c r="CH213" s="1459"/>
      <c r="CI213" s="994"/>
      <c r="CJ213" s="994"/>
      <c r="CK213" s="994"/>
      <c r="CL213" s="994"/>
      <c r="CM213" s="1459"/>
      <c r="CN213" s="994"/>
      <c r="CO213" s="994"/>
      <c r="CP213" s="994"/>
      <c r="CQ213" s="994"/>
      <c r="CR213" s="1459"/>
      <c r="CS213" s="994"/>
      <c r="CT213" s="994"/>
      <c r="CU213" s="994"/>
      <c r="CV213" s="994"/>
      <c r="CW213" s="1459"/>
      <c r="CX213" s="1461"/>
      <c r="CY213" s="1461"/>
      <c r="CZ213" s="1461"/>
      <c r="DA213" s="1461"/>
      <c r="DB213" s="1459"/>
      <c r="DC213" s="1461"/>
      <c r="DD213" s="1461"/>
      <c r="DE213" s="1461"/>
      <c r="DF213" s="1461"/>
      <c r="DG213" s="1459"/>
      <c r="DH213" s="1461"/>
      <c r="DI213" s="1461"/>
      <c r="DJ213" s="1461"/>
      <c r="DK213" s="1461"/>
      <c r="DL213" s="1459"/>
      <c r="DM213" s="1461"/>
      <c r="DN213" s="1468"/>
      <c r="DO213" s="1468"/>
      <c r="DP213" s="1468"/>
      <c r="DQ213" s="1459"/>
      <c r="DR213" s="994"/>
      <c r="DS213" s="1468"/>
      <c r="DT213" s="1462"/>
      <c r="DU213" s="1462"/>
      <c r="DV213" s="1459"/>
      <c r="DW213" s="994"/>
      <c r="DX213" s="994"/>
      <c r="DY213" s="1462"/>
      <c r="DZ213" s="1462"/>
      <c r="EA213" s="1459"/>
      <c r="EB213" s="994"/>
      <c r="EC213" s="1461"/>
      <c r="ED213" s="1468"/>
      <c r="EE213" s="1468"/>
      <c r="EF213" s="1459"/>
      <c r="EG213" s="1463"/>
      <c r="EH213" s="994"/>
      <c r="EI213" s="994"/>
      <c r="EJ213" s="1464"/>
      <c r="EK213" s="1470">
        <f>EK214*EK215</f>
        <v>52.940000000000005</v>
      </c>
      <c r="EL213" s="1463"/>
      <c r="EM213" s="994"/>
      <c r="EN213" s="994"/>
      <c r="EO213" s="1464"/>
      <c r="EP213" s="1470">
        <f>EP214*EP215</f>
        <v>52.940000000000005</v>
      </c>
      <c r="EQ213" s="1463"/>
      <c r="ER213" s="994"/>
      <c r="ES213" s="994"/>
      <c r="ET213" s="1464"/>
      <c r="EU213" s="1470">
        <f>EU214*EU215</f>
        <v>52.940000000000005</v>
      </c>
      <c r="EV213" s="1463"/>
      <c r="EW213" s="994"/>
      <c r="EX213" s="994"/>
      <c r="EY213" s="1464"/>
      <c r="EZ213" s="1470">
        <f>EZ214*EZ215</f>
        <v>52.940000000000005</v>
      </c>
      <c r="FA213" s="1463"/>
      <c r="FB213" s="994"/>
      <c r="FC213" s="994"/>
      <c r="FD213" s="1464"/>
      <c r="FE213" s="1470">
        <f>FE214*FE215</f>
        <v>52.940000000000005</v>
      </c>
      <c r="FF213" s="994"/>
      <c r="FG213" s="690"/>
      <c r="FH213" s="754"/>
      <c r="FI213" s="754"/>
      <c r="FJ213" s="754"/>
      <c r="FK213" s="754"/>
      <c r="FL213" s="690"/>
      <c r="FM213" s="1230"/>
      <c r="FN213" s="1230"/>
      <c r="FO213" s="1244"/>
      <c r="FP213" s="1244"/>
      <c r="FQ213" s="1244"/>
      <c r="FR213" s="1244"/>
      <c r="FS213" s="1244"/>
      <c r="FT213" s="1244"/>
      <c r="FU213" s="690"/>
      <c r="FV213"/>
      <c r="FW213"/>
      <c r="FX213"/>
      <c r="FY213"/>
      <c r="FZ213"/>
      <c r="GA213"/>
      <c r="GB213" s="1245"/>
      <c r="GC213" s="1467"/>
      <c r="GD213" s="1467"/>
      <c r="GE213" s="1467"/>
      <c r="GF213" s="1467"/>
      <c r="GG213" s="1467"/>
      <c r="GH213" s="1467"/>
      <c r="GI213" s="1467"/>
      <c r="GJ213" s="1467"/>
      <c r="GK213" s="1467"/>
      <c r="GL213" s="1467"/>
      <c r="GM213" s="1467"/>
      <c r="GN213" s="1467"/>
      <c r="GO213" s="1467"/>
      <c r="GP213" s="1467"/>
      <c r="GQ213" s="1467"/>
      <c r="GR213" s="1467"/>
      <c r="GS213" s="1467"/>
      <c r="GT213" s="1467"/>
      <c r="GU213" s="1467"/>
      <c r="GV213" s="1467"/>
      <c r="GW213" s="1467"/>
      <c r="GX213" s="1467"/>
      <c r="GY213" s="1467"/>
      <c r="GZ213" s="1467"/>
      <c r="HA213" s="1467"/>
      <c r="HB213" s="1467"/>
      <c r="HC213" s="1467"/>
      <c r="HD213" s="1467"/>
      <c r="HE213" s="1467"/>
      <c r="HF213" s="1467"/>
      <c r="HG213" s="1467"/>
      <c r="HH213" s="1467"/>
      <c r="HI213" s="1467"/>
      <c r="HJ213" s="1467"/>
      <c r="HK213" s="1467"/>
      <c r="HL213" s="1467"/>
      <c r="HM213" s="1467"/>
      <c r="HN213" s="1467"/>
      <c r="HO213" s="1467"/>
      <c r="HP213" s="1467"/>
      <c r="HQ213" s="1467"/>
      <c r="HR213" s="1467"/>
      <c r="HS213" s="1467"/>
      <c r="HT213" s="1467"/>
      <c r="HU213" s="1467"/>
      <c r="HV213" s="1467"/>
      <c r="HW213" s="1467"/>
      <c r="HX213" s="1467"/>
      <c r="HY213" s="1467"/>
      <c r="HZ213" s="1467"/>
      <c r="IA213" s="1467"/>
      <c r="IB213" s="1467"/>
      <c r="IC213" s="1467"/>
      <c r="ID213" s="1467"/>
      <c r="IE213" s="1467"/>
      <c r="IF213" s="1467"/>
      <c r="IG213" s="1467"/>
      <c r="IH213" s="1467"/>
      <c r="II213" s="1467"/>
      <c r="IJ213" s="1467"/>
      <c r="IK213" s="1467"/>
      <c r="IL213" s="1467"/>
      <c r="IM213" s="1467"/>
      <c r="IN213" s="1467"/>
      <c r="IO213" s="1467"/>
      <c r="IP213" s="1467"/>
      <c r="IQ213" s="1467"/>
      <c r="IR213" s="1467"/>
      <c r="IS213" s="1467"/>
      <c r="IT213" s="1467"/>
      <c r="IU213" s="1467"/>
      <c r="IV213" s="1467"/>
      <c r="IW213" s="1467"/>
      <c r="IX213" s="1467"/>
      <c r="IY213" s="1467"/>
      <c r="IZ213" s="1467"/>
      <c r="JA213" s="1467"/>
      <c r="JB213" s="1467"/>
      <c r="JC213" s="1467"/>
      <c r="JD213" s="1467"/>
      <c r="JE213" s="1467"/>
      <c r="JF213" s="1467"/>
      <c r="JG213" s="1467"/>
      <c r="JH213" s="1467"/>
      <c r="JI213" s="1467"/>
      <c r="JJ213" s="1467"/>
      <c r="JK213" s="1467"/>
      <c r="JL213" s="1467"/>
    </row>
    <row r="214" spans="1:272" s="1398" customFormat="1" ht="12.75" hidden="1" customHeight="1" outlineLevel="1">
      <c r="A214" s="1471" t="s">
        <v>139</v>
      </c>
      <c r="B214" s="1457"/>
      <c r="C214" s="1458"/>
      <c r="D214" s="1458"/>
      <c r="E214" s="1458"/>
      <c r="F214" s="1459"/>
      <c r="G214" s="1245"/>
      <c r="H214" s="1458"/>
      <c r="I214" s="1458"/>
      <c r="J214" s="1458"/>
      <c r="K214" s="1459"/>
      <c r="L214" s="1245"/>
      <c r="M214" s="1458"/>
      <c r="N214" s="1458"/>
      <c r="O214" s="1458"/>
      <c r="P214" s="1459"/>
      <c r="Q214" s="1245"/>
      <c r="R214" s="1458"/>
      <c r="S214" s="1458"/>
      <c r="T214" s="1458"/>
      <c r="U214" s="1459"/>
      <c r="V214" s="1245"/>
      <c r="W214" s="1458"/>
      <c r="X214" s="1458"/>
      <c r="Y214" s="1458"/>
      <c r="Z214" s="1459"/>
      <c r="AA214" s="1245"/>
      <c r="AB214" s="1458"/>
      <c r="AC214" s="1458"/>
      <c r="AD214" s="1458"/>
      <c r="AE214" s="1459"/>
      <c r="AF214" s="994"/>
      <c r="AG214" s="994"/>
      <c r="AH214" s="994"/>
      <c r="AI214" s="994"/>
      <c r="AJ214" s="1459"/>
      <c r="AK214" s="994"/>
      <c r="AL214" s="994"/>
      <c r="AM214" s="994"/>
      <c r="AN214" s="994"/>
      <c r="AO214" s="1459"/>
      <c r="AP214" s="994"/>
      <c r="AQ214" s="1460"/>
      <c r="AR214" s="1460"/>
      <c r="AS214" s="994"/>
      <c r="AT214" s="1459"/>
      <c r="AU214" s="994"/>
      <c r="AV214" s="1460"/>
      <c r="AW214" s="1460"/>
      <c r="AX214" s="994"/>
      <c r="AY214" s="1459"/>
      <c r="AZ214" s="994"/>
      <c r="BA214" s="1460"/>
      <c r="BB214" s="1460"/>
      <c r="BC214" s="994"/>
      <c r="BD214" s="1459"/>
      <c r="BE214" s="994"/>
      <c r="BF214" s="1460"/>
      <c r="BG214" s="1460"/>
      <c r="BH214" s="994"/>
      <c r="BI214" s="1459"/>
      <c r="BJ214" s="994"/>
      <c r="BK214" s="1460"/>
      <c r="BL214" s="1460"/>
      <c r="BM214" s="994"/>
      <c r="BN214" s="1459"/>
      <c r="BO214" s="994"/>
      <c r="BP214" s="1460"/>
      <c r="BQ214" s="1460"/>
      <c r="BR214" s="994"/>
      <c r="BS214" s="1459"/>
      <c r="BT214" s="994"/>
      <c r="BU214" s="1460"/>
      <c r="BV214" s="1460"/>
      <c r="BW214" s="994"/>
      <c r="BX214" s="1459"/>
      <c r="BY214" s="994"/>
      <c r="BZ214" s="1460"/>
      <c r="CA214" s="1460"/>
      <c r="CB214" s="994"/>
      <c r="CC214" s="1459"/>
      <c r="CD214" s="994"/>
      <c r="CE214" s="994"/>
      <c r="CF214" s="994"/>
      <c r="CG214" s="994"/>
      <c r="CH214" s="1459">
        <f>AVERAGE(CH289+CH295,CC289+CC295)</f>
        <v>655.28650000000005</v>
      </c>
      <c r="CI214" s="994"/>
      <c r="CJ214" s="994"/>
      <c r="CK214" s="994"/>
      <c r="CL214" s="994"/>
      <c r="CM214" s="1459">
        <f>AVERAGE(CM289+CM295,CH289+CH295)</f>
        <v>586.43000000000006</v>
      </c>
      <c r="CN214" s="994"/>
      <c r="CO214" s="994"/>
      <c r="CP214" s="994"/>
      <c r="CQ214" s="994"/>
      <c r="CR214" s="1459">
        <f>AVERAGE(CR289+CR295,CM289+CM295)</f>
        <v>779.92799999999988</v>
      </c>
      <c r="CS214" s="994"/>
      <c r="CT214" s="994"/>
      <c r="CU214" s="994"/>
      <c r="CV214" s="994"/>
      <c r="CW214" s="1459">
        <f>AVERAGE(CW289+CW295,CR289+CR295)</f>
        <v>970.50099999999998</v>
      </c>
      <c r="CX214" s="1461"/>
      <c r="CY214" s="1461"/>
      <c r="CZ214" s="1461"/>
      <c r="DA214" s="1461"/>
      <c r="DB214" s="1459">
        <f>AVERAGE(DB289+DB295,CW289+CW295)</f>
        <v>969.71699999999998</v>
      </c>
      <c r="DC214" s="1461"/>
      <c r="DD214" s="1461"/>
      <c r="DE214" s="1461"/>
      <c r="DF214" s="1461"/>
      <c r="DG214" s="1459">
        <f>AVERAGE(DG289+DG295,DB289+DB295)</f>
        <v>907.25299999999993</v>
      </c>
      <c r="DH214" s="1461"/>
      <c r="DI214" s="1461"/>
      <c r="DJ214" s="1461"/>
      <c r="DK214" s="1461"/>
      <c r="DL214" s="1459">
        <f>AVERAGE(DL289+DL295,DG289+DG295)</f>
        <v>820.66049999999996</v>
      </c>
      <c r="DM214" s="1461"/>
      <c r="DN214" s="1468"/>
      <c r="DO214" s="1468"/>
      <c r="DP214" s="1468"/>
      <c r="DQ214" s="1459">
        <f>AVERAGE(DQ289+DQ295,DL289+DL295)</f>
        <v>790.553</v>
      </c>
      <c r="DR214" s="994"/>
      <c r="DS214" s="1468"/>
      <c r="DT214" s="1462"/>
      <c r="DU214" s="1462"/>
      <c r="DV214" s="1459">
        <f>AVERAGE(DV289+DV295,DQ289+DQ295)</f>
        <v>764.48699999999997</v>
      </c>
      <c r="DW214" s="994"/>
      <c r="DX214" s="994"/>
      <c r="DY214" s="1462"/>
      <c r="DZ214" s="1462"/>
      <c r="EA214" s="1459">
        <f>AVERAGE(EA289+EA295,DV289+DV295)</f>
        <v>751.45100000000002</v>
      </c>
      <c r="EB214" s="994"/>
      <c r="EC214" s="1461"/>
      <c r="ED214" s="1468"/>
      <c r="EE214" s="1468"/>
      <c r="EF214" s="1459">
        <f>AVERAGE(EF289+EF295,EA289+EA295)</f>
        <v>746.28899999999999</v>
      </c>
      <c r="EG214" s="1463"/>
      <c r="EH214" s="994"/>
      <c r="EI214" s="994"/>
      <c r="EJ214" s="1464"/>
      <c r="EK214" s="1459">
        <f>AVERAGE(EK289+EK295,EF289+EF295)</f>
        <v>746.28899999999999</v>
      </c>
      <c r="EL214" s="1463"/>
      <c r="EM214" s="994"/>
      <c r="EN214" s="994"/>
      <c r="EO214" s="1464"/>
      <c r="EP214" s="1459">
        <f>AVERAGE(EP289+EP295,EK289+EK295)</f>
        <v>746.28899999999999</v>
      </c>
      <c r="EQ214" s="1463"/>
      <c r="ER214" s="994"/>
      <c r="ES214" s="994"/>
      <c r="ET214" s="1464"/>
      <c r="EU214" s="1459">
        <f>AVERAGE(EU289+EU295,EP289+EP295)</f>
        <v>746.28899999999999</v>
      </c>
      <c r="EV214" s="1463"/>
      <c r="EW214" s="994"/>
      <c r="EX214" s="994"/>
      <c r="EY214" s="1464"/>
      <c r="EZ214" s="1459">
        <f>AVERAGE(EZ289+EZ295,EU289+EU295)</f>
        <v>746.28899999999999</v>
      </c>
      <c r="FA214" s="1463"/>
      <c r="FB214" s="994"/>
      <c r="FC214" s="994"/>
      <c r="FD214" s="1464"/>
      <c r="FE214" s="1459">
        <f>AVERAGE(FE289+FE295,EZ289+EZ295)</f>
        <v>746.28899999999999</v>
      </c>
      <c r="FF214" s="994"/>
      <c r="FG214" s="690"/>
      <c r="FH214" s="754"/>
      <c r="FI214" s="754"/>
      <c r="FJ214" s="754"/>
      <c r="FK214" s="754"/>
      <c r="FL214" s="690"/>
      <c r="FM214" s="1230"/>
      <c r="FN214" s="1230"/>
      <c r="FO214" s="1244"/>
      <c r="FP214" s="1244"/>
      <c r="FQ214" s="1244"/>
      <c r="FR214" s="1244"/>
      <c r="FS214" s="1244"/>
      <c r="FT214" s="1244"/>
      <c r="FU214" s="690"/>
      <c r="FV214"/>
      <c r="FW214"/>
      <c r="FX214"/>
      <c r="FY214"/>
      <c r="FZ214"/>
      <c r="GA214"/>
      <c r="GB214" s="1245"/>
      <c r="GC214" s="1467"/>
      <c r="GD214" s="1467"/>
      <c r="GE214" s="1467"/>
      <c r="GF214" s="1467"/>
      <c r="GG214" s="1467"/>
      <c r="GH214" s="1467"/>
      <c r="GI214" s="1467"/>
      <c r="GJ214" s="1467"/>
      <c r="GK214" s="1467"/>
      <c r="GL214" s="1467"/>
      <c r="GM214" s="1467"/>
      <c r="GN214" s="1467"/>
      <c r="GO214" s="1467"/>
      <c r="GP214" s="1467"/>
      <c r="GQ214" s="1467"/>
      <c r="GR214" s="1467"/>
      <c r="GS214" s="1467"/>
      <c r="GT214" s="1467"/>
      <c r="GU214" s="1467"/>
      <c r="GV214" s="1467"/>
      <c r="GW214" s="1467"/>
      <c r="GX214" s="1467"/>
      <c r="GY214" s="1467"/>
      <c r="GZ214" s="1467"/>
      <c r="HA214" s="1467"/>
      <c r="HB214" s="1467"/>
      <c r="HC214" s="1467"/>
      <c r="HD214" s="1467"/>
      <c r="HE214" s="1467"/>
      <c r="HF214" s="1467"/>
      <c r="HG214" s="1467"/>
      <c r="HH214" s="1467"/>
      <c r="HI214" s="1467"/>
      <c r="HJ214" s="1467"/>
      <c r="HK214" s="1467"/>
      <c r="HL214" s="1467"/>
      <c r="HM214" s="1467"/>
      <c r="HN214" s="1467"/>
      <c r="HO214" s="1467"/>
      <c r="HP214" s="1467"/>
      <c r="HQ214" s="1467"/>
      <c r="HR214" s="1467"/>
      <c r="HS214" s="1467"/>
      <c r="HT214" s="1467"/>
      <c r="HU214" s="1467"/>
      <c r="HV214" s="1467"/>
      <c r="HW214" s="1467"/>
      <c r="HX214" s="1467"/>
      <c r="HY214" s="1467"/>
      <c r="HZ214" s="1467"/>
      <c r="IA214" s="1467"/>
      <c r="IB214" s="1467"/>
      <c r="IC214" s="1467"/>
      <c r="ID214" s="1467"/>
      <c r="IE214" s="1467"/>
      <c r="IF214" s="1467"/>
      <c r="IG214" s="1467"/>
      <c r="IH214" s="1467"/>
      <c r="II214" s="1467"/>
      <c r="IJ214" s="1467"/>
      <c r="IK214" s="1467"/>
      <c r="IL214" s="1467"/>
      <c r="IM214" s="1467"/>
      <c r="IN214" s="1467"/>
      <c r="IO214" s="1467"/>
      <c r="IP214" s="1467"/>
      <c r="IQ214" s="1467"/>
      <c r="IR214" s="1467"/>
      <c r="IS214" s="1467"/>
      <c r="IT214" s="1467"/>
      <c r="IU214" s="1467"/>
      <c r="IV214" s="1467"/>
      <c r="IW214" s="1467"/>
      <c r="IX214" s="1467"/>
      <c r="IY214" s="1467"/>
      <c r="IZ214" s="1467"/>
      <c r="JA214" s="1467"/>
      <c r="JB214" s="1467"/>
      <c r="JC214" s="1467"/>
      <c r="JD214" s="1467"/>
      <c r="JE214" s="1467"/>
      <c r="JF214" s="1467"/>
      <c r="JG214" s="1467"/>
      <c r="JH214" s="1467"/>
      <c r="JI214" s="1467"/>
      <c r="JJ214" s="1467"/>
      <c r="JK214" s="1467"/>
      <c r="JL214" s="1467"/>
    </row>
    <row r="215" spans="1:272" s="1398" customFormat="1" ht="12.75" hidden="1" customHeight="1" outlineLevel="1">
      <c r="A215" s="1471" t="s">
        <v>140</v>
      </c>
      <c r="B215" s="1457"/>
      <c r="C215" s="1458"/>
      <c r="D215" s="1458"/>
      <c r="E215" s="1458"/>
      <c r="F215" s="1459"/>
      <c r="G215" s="1245"/>
      <c r="H215" s="1458"/>
      <c r="I215" s="1458"/>
      <c r="J215" s="1458"/>
      <c r="K215" s="1459"/>
      <c r="L215" s="1245"/>
      <c r="M215" s="1458"/>
      <c r="N215" s="1458"/>
      <c r="O215" s="1458"/>
      <c r="P215" s="1459"/>
      <c r="Q215" s="1245"/>
      <c r="R215" s="1458"/>
      <c r="S215" s="1458"/>
      <c r="T215" s="1458"/>
      <c r="U215" s="1459"/>
      <c r="V215" s="1245"/>
      <c r="W215" s="1458"/>
      <c r="X215" s="1458"/>
      <c r="Y215" s="1458"/>
      <c r="Z215" s="1459"/>
      <c r="AA215" s="1245"/>
      <c r="AB215" s="1458"/>
      <c r="AC215" s="1458"/>
      <c r="AD215" s="1458"/>
      <c r="AE215" s="1459"/>
      <c r="AF215" s="994"/>
      <c r="AG215" s="994"/>
      <c r="AH215" s="994"/>
      <c r="AI215" s="994"/>
      <c r="AJ215" s="1459"/>
      <c r="AK215" s="994"/>
      <c r="AL215" s="994"/>
      <c r="AM215" s="994"/>
      <c r="AN215" s="994"/>
      <c r="AO215" s="1459"/>
      <c r="AP215" s="994"/>
      <c r="AQ215" s="1460"/>
      <c r="AR215" s="1460"/>
      <c r="AS215" s="994"/>
      <c r="AT215" s="1459"/>
      <c r="AU215" s="994"/>
      <c r="AV215" s="1460"/>
      <c r="AW215" s="1460"/>
      <c r="AX215" s="994"/>
      <c r="AY215" s="1459"/>
      <c r="AZ215" s="994"/>
      <c r="BA215" s="1460"/>
      <c r="BB215" s="1460"/>
      <c r="BC215" s="994"/>
      <c r="BD215" s="1459"/>
      <c r="BE215" s="994"/>
      <c r="BF215" s="1460"/>
      <c r="BG215" s="1460"/>
      <c r="BH215" s="994"/>
      <c r="BI215" s="1459"/>
      <c r="BJ215" s="994"/>
      <c r="BK215" s="1460"/>
      <c r="BL215" s="1460"/>
      <c r="BM215" s="994"/>
      <c r="BN215" s="1459"/>
      <c r="BO215" s="994"/>
      <c r="BP215" s="1460"/>
      <c r="BQ215" s="1460"/>
      <c r="BR215" s="994"/>
      <c r="BS215" s="1459"/>
      <c r="BT215" s="994"/>
      <c r="BU215" s="1460"/>
      <c r="BV215" s="1460"/>
      <c r="BW215" s="994"/>
      <c r="BX215" s="1459"/>
      <c r="BY215" s="994"/>
      <c r="BZ215" s="1460"/>
      <c r="CA215" s="1460"/>
      <c r="CB215" s="994"/>
      <c r="CC215" s="881"/>
      <c r="CD215" s="994"/>
      <c r="CE215" s="994"/>
      <c r="CF215" s="994"/>
      <c r="CG215" s="994"/>
      <c r="CH215" s="881">
        <f>CH212/CH214</f>
        <v>5.7228403148851678E-2</v>
      </c>
      <c r="CI215" s="994"/>
      <c r="CJ215" s="994"/>
      <c r="CK215" s="994"/>
      <c r="CL215" s="994"/>
      <c r="CM215" s="881">
        <f>CM212/CM214</f>
        <v>5.832921235271047E-2</v>
      </c>
      <c r="CN215" s="994"/>
      <c r="CO215" s="994"/>
      <c r="CP215" s="994"/>
      <c r="CQ215" s="994"/>
      <c r="CR215" s="881">
        <f>CR212/CR214</f>
        <v>5.4883271276322962E-2</v>
      </c>
      <c r="CS215" s="994"/>
      <c r="CT215" s="994"/>
      <c r="CU215" s="994"/>
      <c r="CV215" s="994"/>
      <c r="CW215" s="881">
        <f>CW212/CW214</f>
        <v>6.4848980062874748E-2</v>
      </c>
      <c r="CX215" s="1461"/>
      <c r="CY215" s="1461"/>
      <c r="CZ215" s="1461"/>
      <c r="DA215" s="1461"/>
      <c r="DB215" s="881">
        <f>DB212/DB214</f>
        <v>6.6452377343080501E-2</v>
      </c>
      <c r="DC215" s="1461"/>
      <c r="DD215" s="1461"/>
      <c r="DE215" s="1461"/>
      <c r="DF215" s="1461"/>
      <c r="DG215" s="881">
        <f>DG212/DG214</f>
        <v>6.5048007556877743E-2</v>
      </c>
      <c r="DH215" s="1461"/>
      <c r="DI215" s="1461"/>
      <c r="DJ215" s="1461"/>
      <c r="DK215" s="1461"/>
      <c r="DL215" s="881">
        <f>DL212/DL214</f>
        <v>6.7736902165999216E-2</v>
      </c>
      <c r="DM215" s="1461"/>
      <c r="DN215" s="1468"/>
      <c r="DO215" s="1468"/>
      <c r="DP215" s="1468"/>
      <c r="DQ215" s="881">
        <f>DQ212/DQ214</f>
        <v>6.9289472053107135E-2</v>
      </c>
      <c r="DR215" s="994"/>
      <c r="DS215" s="1468"/>
      <c r="DT215" s="1462"/>
      <c r="DU215" s="1462"/>
      <c r="DV215" s="881">
        <f>DV212/DV214</f>
        <v>6.9770970598584406E-2</v>
      </c>
      <c r="DW215" s="994"/>
      <c r="DX215" s="994"/>
      <c r="DY215" s="1462"/>
      <c r="DZ215" s="1462"/>
      <c r="EA215" s="881">
        <f>EA212/EA214</f>
        <v>7.1137040206214378E-2</v>
      </c>
      <c r="EB215" s="994"/>
      <c r="EC215" s="1461"/>
      <c r="ED215" s="1468"/>
      <c r="EE215" s="1468"/>
      <c r="EF215" s="881">
        <f>EF212/EF214</f>
        <v>7.0937666239218322E-2</v>
      </c>
      <c r="EG215" s="1463"/>
      <c r="EH215" s="994"/>
      <c r="EI215" s="994"/>
      <c r="EJ215" s="1464"/>
      <c r="EK215" s="1400">
        <f>+EF215</f>
        <v>7.0937666239218322E-2</v>
      </c>
      <c r="EL215" s="1463"/>
      <c r="EM215" s="994"/>
      <c r="EN215" s="994"/>
      <c r="EO215" s="1464"/>
      <c r="EP215" s="1400">
        <f>+EK215</f>
        <v>7.0937666239218322E-2</v>
      </c>
      <c r="EQ215" s="1463"/>
      <c r="ER215" s="994"/>
      <c r="ES215" s="994"/>
      <c r="ET215" s="1464"/>
      <c r="EU215" s="1400">
        <f>+EP215</f>
        <v>7.0937666239218322E-2</v>
      </c>
      <c r="EV215" s="1463"/>
      <c r="EW215" s="994"/>
      <c r="EX215" s="994"/>
      <c r="EY215" s="1464"/>
      <c r="EZ215" s="1400">
        <f>+EU215</f>
        <v>7.0937666239218322E-2</v>
      </c>
      <c r="FA215" s="1463"/>
      <c r="FB215" s="994"/>
      <c r="FC215" s="994"/>
      <c r="FD215" s="1464"/>
      <c r="FE215" s="1400">
        <f>+EZ215</f>
        <v>7.0937666239218322E-2</v>
      </c>
      <c r="FF215" s="994"/>
      <c r="FG215" s="690"/>
      <c r="FH215" s="754"/>
      <c r="FI215" s="754"/>
      <c r="FJ215" s="754"/>
      <c r="FK215" s="754"/>
      <c r="FL215" s="690"/>
      <c r="FM215" s="1230"/>
      <c r="FN215" s="1230"/>
      <c r="FO215" s="1244"/>
      <c r="FP215" s="1244"/>
      <c r="FQ215" s="1244"/>
      <c r="FR215" s="1244"/>
      <c r="FS215" s="1244"/>
      <c r="FT215" s="1244"/>
      <c r="FU215" s="690"/>
      <c r="FV215"/>
      <c r="FW215"/>
      <c r="FX215"/>
      <c r="FY215"/>
      <c r="FZ215"/>
      <c r="GA215"/>
      <c r="GB215" s="1245"/>
      <c r="GC215" s="1467"/>
      <c r="GD215" s="1467"/>
      <c r="GE215" s="1467"/>
      <c r="GF215" s="1467"/>
      <c r="GG215" s="1467"/>
      <c r="GH215" s="1467"/>
      <c r="GI215" s="1467"/>
      <c r="GJ215" s="1467"/>
      <c r="GK215" s="1467"/>
      <c r="GL215" s="1467"/>
      <c r="GM215" s="1467"/>
      <c r="GN215" s="1467"/>
      <c r="GO215" s="1467"/>
      <c r="GP215" s="1467"/>
      <c r="GQ215" s="1467"/>
      <c r="GR215" s="1467"/>
      <c r="GS215" s="1467"/>
      <c r="GT215" s="1467"/>
      <c r="GU215" s="1467"/>
      <c r="GV215" s="1467"/>
      <c r="GW215" s="1467"/>
      <c r="GX215" s="1467"/>
      <c r="GY215" s="1467"/>
      <c r="GZ215" s="1467"/>
      <c r="HA215" s="1467"/>
      <c r="HB215" s="1467"/>
      <c r="HC215" s="1467"/>
      <c r="HD215" s="1467"/>
      <c r="HE215" s="1467"/>
      <c r="HF215" s="1467"/>
      <c r="HG215" s="1467"/>
      <c r="HH215" s="1467"/>
      <c r="HI215" s="1467"/>
      <c r="HJ215" s="1467"/>
      <c r="HK215" s="1467"/>
      <c r="HL215" s="1467"/>
      <c r="HM215" s="1467"/>
      <c r="HN215" s="1467"/>
      <c r="HO215" s="1467"/>
      <c r="HP215" s="1467"/>
      <c r="HQ215" s="1467"/>
      <c r="HR215" s="1467"/>
      <c r="HS215" s="1467"/>
      <c r="HT215" s="1467"/>
      <c r="HU215" s="1467"/>
      <c r="HV215" s="1467"/>
      <c r="HW215" s="1467"/>
      <c r="HX215" s="1467"/>
      <c r="HY215" s="1467"/>
      <c r="HZ215" s="1467"/>
      <c r="IA215" s="1467"/>
      <c r="IB215" s="1467"/>
      <c r="IC215" s="1467"/>
      <c r="ID215" s="1467"/>
      <c r="IE215" s="1467"/>
      <c r="IF215" s="1467"/>
      <c r="IG215" s="1467"/>
      <c r="IH215" s="1467"/>
      <c r="II215" s="1467"/>
      <c r="IJ215" s="1467"/>
      <c r="IK215" s="1467"/>
      <c r="IL215" s="1467"/>
      <c r="IM215" s="1467"/>
      <c r="IN215" s="1467"/>
      <c r="IO215" s="1467"/>
      <c r="IP215" s="1467"/>
      <c r="IQ215" s="1467"/>
      <c r="IR215" s="1467"/>
      <c r="IS215" s="1467"/>
      <c r="IT215" s="1467"/>
      <c r="IU215" s="1467"/>
      <c r="IV215" s="1467"/>
      <c r="IW215" s="1467"/>
      <c r="IX215" s="1467"/>
      <c r="IY215" s="1467"/>
      <c r="IZ215" s="1467"/>
      <c r="JA215" s="1467"/>
      <c r="JB215" s="1467"/>
      <c r="JC215" s="1467"/>
      <c r="JD215" s="1467"/>
      <c r="JE215" s="1467"/>
      <c r="JF215" s="1467"/>
      <c r="JG215" s="1467"/>
      <c r="JH215" s="1467"/>
      <c r="JI215" s="1467"/>
      <c r="JJ215" s="1467"/>
      <c r="JK215" s="1467"/>
      <c r="JL215" s="1467"/>
    </row>
    <row r="216" spans="1:272" s="1398" customFormat="1" ht="12.75" hidden="1" customHeight="1" outlineLevel="1">
      <c r="A216" s="1456" t="s">
        <v>394</v>
      </c>
      <c r="B216" s="1457"/>
      <c r="C216" s="1458"/>
      <c r="D216" s="1458"/>
      <c r="E216" s="1458"/>
      <c r="F216" s="1459"/>
      <c r="G216" s="1245"/>
      <c r="H216" s="1458"/>
      <c r="I216" s="1458"/>
      <c r="J216" s="1458"/>
      <c r="K216" s="1459"/>
      <c r="L216" s="1245"/>
      <c r="M216" s="1458"/>
      <c r="N216" s="1458"/>
      <c r="O216" s="1458"/>
      <c r="P216" s="1459"/>
      <c r="Q216" s="1245"/>
      <c r="R216" s="1458"/>
      <c r="S216" s="1458"/>
      <c r="T216" s="1458"/>
      <c r="U216" s="1459"/>
      <c r="V216" s="1245"/>
      <c r="W216" s="1458"/>
      <c r="X216" s="1458"/>
      <c r="Y216" s="1458"/>
      <c r="Z216" s="1459"/>
      <c r="AA216" s="1245"/>
      <c r="AB216" s="1458"/>
      <c r="AC216" s="1458"/>
      <c r="AD216" s="1458"/>
      <c r="AE216" s="1459"/>
      <c r="AF216" s="994"/>
      <c r="AG216" s="994"/>
      <c r="AH216" s="994"/>
      <c r="AI216" s="994"/>
      <c r="AJ216" s="1459"/>
      <c r="AK216" s="994"/>
      <c r="AL216" s="994"/>
      <c r="AM216" s="994"/>
      <c r="AN216" s="994"/>
      <c r="AO216" s="1459"/>
      <c r="AP216" s="994"/>
      <c r="AQ216" s="1460"/>
      <c r="AR216" s="1460"/>
      <c r="AS216" s="994"/>
      <c r="AT216" s="1459"/>
      <c r="AU216" s="994"/>
      <c r="AV216" s="1460"/>
      <c r="AW216" s="1460"/>
      <c r="AX216" s="994"/>
      <c r="AY216" s="1459"/>
      <c r="AZ216" s="994"/>
      <c r="BA216" s="1460"/>
      <c r="BB216" s="1460"/>
      <c r="BC216" s="994"/>
      <c r="BD216" s="1459"/>
      <c r="BE216" s="994"/>
      <c r="BF216" s="1460"/>
      <c r="BG216" s="1460"/>
      <c r="BH216" s="994"/>
      <c r="BI216" s="1459"/>
      <c r="BJ216" s="994"/>
      <c r="BK216" s="1460"/>
      <c r="BL216" s="1460"/>
      <c r="BM216" s="994"/>
      <c r="BN216" s="1459"/>
      <c r="BO216" s="994">
        <v>-1.302</v>
      </c>
      <c r="BP216" s="1460">
        <v>-2.5009999999999999</v>
      </c>
      <c r="BQ216" s="1460">
        <v>-3.5270000000000001</v>
      </c>
      <c r="BR216" s="994">
        <v>-2.9499999999999998E-2</v>
      </c>
      <c r="BS216" s="1459">
        <f>BR216+BQ216+BP216+BO216</f>
        <v>-7.3595000000000006</v>
      </c>
      <c r="BT216" s="994">
        <v>-2.3570000000000002</v>
      </c>
      <c r="BU216" s="1460">
        <v>1.875</v>
      </c>
      <c r="BV216" s="1460">
        <v>-0.53400000000000003</v>
      </c>
      <c r="BW216" s="994">
        <v>2.141</v>
      </c>
      <c r="BX216" s="1459">
        <f>BW216+BV216+BU216+BT216</f>
        <v>1.125</v>
      </c>
      <c r="BY216" s="994">
        <v>-0.154</v>
      </c>
      <c r="BZ216" s="1245">
        <v>-3.5249999999999999</v>
      </c>
      <c r="CA216" s="1460">
        <v>-0.41199999999999998</v>
      </c>
      <c r="CB216" s="994">
        <v>0.74399999999999999</v>
      </c>
      <c r="CC216" s="1459">
        <f>CB216+CA216+BZ216+BY216</f>
        <v>-3.347</v>
      </c>
      <c r="CD216" s="994">
        <v>1.0920000000000001</v>
      </c>
      <c r="CE216" s="994">
        <v>1.4930000000000001</v>
      </c>
      <c r="CF216" s="994">
        <v>0.73199999999999998</v>
      </c>
      <c r="CG216" s="994">
        <v>0.502</v>
      </c>
      <c r="CH216" s="1459">
        <v>3.819</v>
      </c>
      <c r="CI216" s="994">
        <v>-0.48199999999999998</v>
      </c>
      <c r="CJ216" s="994">
        <v>-0.17399999999999999</v>
      </c>
      <c r="CK216" s="994">
        <v>0.51100000000000001</v>
      </c>
      <c r="CL216" s="994">
        <v>0.23899999999999999</v>
      </c>
      <c r="CM216" s="1459">
        <f>CL216+CK216+CJ216+CI216</f>
        <v>9.4000000000000083E-2</v>
      </c>
      <c r="CN216" s="994">
        <v>0.22500000000000001</v>
      </c>
      <c r="CO216" s="994">
        <v>-0.41799999999999998</v>
      </c>
      <c r="CP216" s="994">
        <v>0.27100000000000002</v>
      </c>
      <c r="CQ216" s="994">
        <v>-2.069</v>
      </c>
      <c r="CR216" s="1459">
        <f>CQ216+CP216+CO216+CN216</f>
        <v>-1.9910000000000001</v>
      </c>
      <c r="CS216" s="994">
        <v>-0.67300000000000004</v>
      </c>
      <c r="CT216" s="994">
        <v>-0.72199999999999998</v>
      </c>
      <c r="CU216" s="994">
        <v>0.86699999999999999</v>
      </c>
      <c r="CV216" s="994">
        <v>0.96899999999999997</v>
      </c>
      <c r="CW216" s="1459">
        <f>CV216+CU216+CT216+CS216</f>
        <v>0.44099999999999984</v>
      </c>
      <c r="CX216" s="1461">
        <v>0.67700000000000005</v>
      </c>
      <c r="CY216" s="1461">
        <v>0.31</v>
      </c>
      <c r="CZ216" s="1461">
        <v>0.755</v>
      </c>
      <c r="DA216" s="1461">
        <v>0.51700000000000002</v>
      </c>
      <c r="DB216" s="1459">
        <v>2.2589999999999999</v>
      </c>
      <c r="DC216" s="1461">
        <v>1.296</v>
      </c>
      <c r="DD216" s="1461">
        <v>0.75800000000000001</v>
      </c>
      <c r="DE216" s="1461">
        <v>0.56799999999999995</v>
      </c>
      <c r="DF216" s="1461">
        <v>1.3029999999999999</v>
      </c>
      <c r="DG216" s="1459">
        <f>DF216+DE216+DD216+DC216</f>
        <v>3.9249999999999998</v>
      </c>
      <c r="DH216" s="1461">
        <v>1.738</v>
      </c>
      <c r="DI216" s="1461">
        <v>1.0249999999999999</v>
      </c>
      <c r="DJ216" s="1461">
        <v>-0.22700000000000001</v>
      </c>
      <c r="DK216" s="1461">
        <v>2.6509999999999998</v>
      </c>
      <c r="DL216" s="1459">
        <f>SUM(DH216:DK216)</f>
        <v>5.1869999999999994</v>
      </c>
      <c r="DM216" s="1461">
        <v>0.70899999999999996</v>
      </c>
      <c r="DN216" s="1461">
        <v>1.917</v>
      </c>
      <c r="DO216" s="1461">
        <v>0.59199999999999997</v>
      </c>
      <c r="DP216" s="1461">
        <v>0.72299999999999998</v>
      </c>
      <c r="DQ216" s="1459">
        <f>SUM(DM216:DP216)</f>
        <v>3.9409999999999998</v>
      </c>
      <c r="DR216" s="994">
        <f>DR217-DR212+DR211</f>
        <v>1.482999999999999</v>
      </c>
      <c r="DS216" s="1461">
        <v>-0.05</v>
      </c>
      <c r="DT216" s="1461">
        <v>1.052</v>
      </c>
      <c r="DU216" s="1461">
        <v>-0.61499999999999999</v>
      </c>
      <c r="DV216" s="1459">
        <f>SUM(DR216:DU216)</f>
        <v>1.869999999999999</v>
      </c>
      <c r="DW216" s="994">
        <v>-0.69499999999999995</v>
      </c>
      <c r="DX216" s="994">
        <v>1.296</v>
      </c>
      <c r="DY216" s="1461">
        <v>-0.79700000000000004</v>
      </c>
      <c r="DZ216" s="1461">
        <v>4.7869999999999999</v>
      </c>
      <c r="EA216" s="1459">
        <f>SUM(DW216:DZ216)</f>
        <v>4.5910000000000002</v>
      </c>
      <c r="EB216" s="1461">
        <v>2.42</v>
      </c>
      <c r="EC216" s="1461">
        <v>-0.52400000000000002</v>
      </c>
      <c r="ED216" s="1722">
        <v>0</v>
      </c>
      <c r="EE216" s="1468">
        <f>+ED216</f>
        <v>0</v>
      </c>
      <c r="EF216" s="1459">
        <f>SUM(EB216:EE216)</f>
        <v>1.8959999999999999</v>
      </c>
      <c r="EG216" s="1472"/>
      <c r="EH216" s="1414"/>
      <c r="EI216" s="1414"/>
      <c r="EJ216" s="1473"/>
      <c r="EK216" s="1459">
        <f>+EF216</f>
        <v>1.8959999999999999</v>
      </c>
      <c r="EL216" s="1472"/>
      <c r="EM216" s="1414"/>
      <c r="EN216" s="1414"/>
      <c r="EO216" s="1473"/>
      <c r="EP216" s="1459">
        <f>+EK216</f>
        <v>1.8959999999999999</v>
      </c>
      <c r="EQ216" s="1472"/>
      <c r="ER216" s="1414"/>
      <c r="ES216" s="1414"/>
      <c r="ET216" s="1473"/>
      <c r="EU216" s="1459">
        <f>+EP216</f>
        <v>1.8959999999999999</v>
      </c>
      <c r="EV216" s="1472"/>
      <c r="EW216" s="1414"/>
      <c r="EX216" s="1414"/>
      <c r="EY216" s="1473"/>
      <c r="EZ216" s="1459">
        <f>+EU216</f>
        <v>1.8959999999999999</v>
      </c>
      <c r="FA216" s="1472"/>
      <c r="FB216" s="1414"/>
      <c r="FC216" s="1414"/>
      <c r="FD216" s="1473"/>
      <c r="FE216" s="1459">
        <f>+EZ216</f>
        <v>1.8959999999999999</v>
      </c>
      <c r="FF216" s="994"/>
      <c r="FG216" s="690"/>
      <c r="FH216" s="1229"/>
      <c r="FI216" s="1229"/>
      <c r="FJ216" s="1229"/>
      <c r="FK216" s="1229"/>
      <c r="FL216" s="690"/>
      <c r="FM216" s="940" t="s">
        <v>395</v>
      </c>
      <c r="FN216" s="1230"/>
      <c r="FO216" s="1244"/>
      <c r="FP216" s="1244"/>
      <c r="FQ216" s="1244"/>
      <c r="FR216" s="1244"/>
      <c r="FS216" s="1244"/>
      <c r="FT216" s="1244"/>
      <c r="FU216" s="690"/>
      <c r="FV216"/>
      <c r="FW216"/>
      <c r="FX216"/>
      <c r="FY216"/>
      <c r="FZ216"/>
      <c r="GA216"/>
      <c r="GB216" s="1245"/>
      <c r="GC216" s="1467"/>
      <c r="GD216" s="1467"/>
      <c r="GE216" s="1467"/>
      <c r="GF216" s="1467"/>
      <c r="GG216" s="1467"/>
      <c r="GH216" s="1467"/>
      <c r="GI216" s="1467"/>
      <c r="GJ216" s="1467"/>
      <c r="GK216" s="1467"/>
      <c r="GL216" s="1467"/>
      <c r="GM216" s="1467"/>
      <c r="GN216" s="1467"/>
      <c r="GO216" s="1467"/>
      <c r="GP216" s="1467"/>
      <c r="GQ216" s="1467"/>
      <c r="GR216" s="1467"/>
      <c r="GS216" s="1467"/>
      <c r="GT216" s="1467"/>
      <c r="GU216" s="1467"/>
      <c r="GV216" s="1467"/>
      <c r="GW216" s="1467"/>
      <c r="GX216" s="1467"/>
      <c r="GY216" s="1467"/>
      <c r="GZ216" s="1467"/>
      <c r="HA216" s="1467"/>
      <c r="HB216" s="1467"/>
      <c r="HC216" s="1467"/>
      <c r="HD216" s="1467"/>
      <c r="HE216" s="1467"/>
      <c r="HF216" s="1467"/>
      <c r="HG216" s="1467"/>
      <c r="HH216" s="1467"/>
      <c r="HI216" s="1467"/>
      <c r="HJ216" s="1467"/>
      <c r="HK216" s="1467"/>
      <c r="HL216" s="1467"/>
      <c r="HM216" s="1467"/>
      <c r="HN216" s="1467"/>
      <c r="HO216" s="1467"/>
      <c r="HP216" s="1467"/>
      <c r="HQ216" s="1467"/>
      <c r="HR216" s="1467"/>
      <c r="HS216" s="1467"/>
      <c r="HT216" s="1467"/>
      <c r="HU216" s="1467"/>
      <c r="HV216" s="1467"/>
      <c r="HW216" s="1467"/>
      <c r="HX216" s="1467"/>
      <c r="HY216" s="1467"/>
      <c r="HZ216" s="1467"/>
      <c r="IA216" s="1467"/>
      <c r="IB216" s="1467"/>
      <c r="IC216" s="1467"/>
      <c r="ID216" s="1467"/>
      <c r="IE216" s="1467"/>
      <c r="IF216" s="1467"/>
      <c r="IG216" s="1467"/>
      <c r="IH216" s="1467"/>
      <c r="II216" s="1467"/>
      <c r="IJ216" s="1467"/>
      <c r="IK216" s="1467"/>
      <c r="IL216" s="1467"/>
      <c r="IM216" s="1467"/>
      <c r="IN216" s="1467"/>
      <c r="IO216" s="1467"/>
      <c r="IP216" s="1467"/>
      <c r="IQ216" s="1467"/>
      <c r="IR216" s="1467"/>
      <c r="IS216" s="1467"/>
      <c r="IT216" s="1467"/>
      <c r="IU216" s="1467"/>
      <c r="IV216" s="1467"/>
      <c r="IW216" s="1467"/>
      <c r="IX216" s="1467"/>
      <c r="IY216" s="1467"/>
      <c r="IZ216" s="1467"/>
      <c r="JA216" s="1467"/>
      <c r="JB216" s="1467"/>
      <c r="JC216" s="1467"/>
      <c r="JD216" s="1467"/>
      <c r="JE216" s="1467"/>
      <c r="JF216" s="1467"/>
      <c r="JG216" s="1467"/>
      <c r="JH216" s="1467"/>
      <c r="JI216" s="1467"/>
      <c r="JJ216" s="1467"/>
      <c r="JK216" s="1467"/>
      <c r="JL216" s="1467"/>
    </row>
    <row r="217" spans="1:272" s="1398" customFormat="1" ht="12.75" hidden="1" customHeight="1" outlineLevel="1">
      <c r="A217" s="1218" t="s">
        <v>396</v>
      </c>
      <c r="B217" s="1474"/>
      <c r="C217" s="1475"/>
      <c r="D217" s="1475"/>
      <c r="E217" s="1475"/>
      <c r="F217" s="1476"/>
      <c r="G217" s="1475"/>
      <c r="H217" s="1475"/>
      <c r="I217" s="1475"/>
      <c r="J217" s="1475"/>
      <c r="K217" s="1476"/>
      <c r="L217" s="1475"/>
      <c r="M217" s="1475"/>
      <c r="N217" s="1475"/>
      <c r="O217" s="1475"/>
      <c r="P217" s="1476"/>
      <c r="Q217" s="1475"/>
      <c r="R217" s="1475"/>
      <c r="S217" s="1475"/>
      <c r="T217" s="1475"/>
      <c r="U217" s="1476"/>
      <c r="V217" s="1475"/>
      <c r="W217" s="1475"/>
      <c r="X217" s="1475"/>
      <c r="Y217" s="1475"/>
      <c r="Z217" s="1476"/>
      <c r="AA217" s="1475"/>
      <c r="AB217" s="1475"/>
      <c r="AC217" s="1475"/>
      <c r="AD217" s="1475"/>
      <c r="AE217" s="1476"/>
      <c r="AF217" s="1477"/>
      <c r="AG217" s="1477"/>
      <c r="AH217" s="1477"/>
      <c r="AI217" s="1477"/>
      <c r="AJ217" s="1476"/>
      <c r="AK217" s="1477"/>
      <c r="AL217" s="1477"/>
      <c r="AM217" s="1477"/>
      <c r="AN217" s="1477"/>
      <c r="AO217" s="1476"/>
      <c r="AP217" s="1477"/>
      <c r="AQ217" s="1477"/>
      <c r="AR217" s="1477"/>
      <c r="AS217" s="1477"/>
      <c r="AT217" s="1476"/>
      <c r="AU217" s="1477"/>
      <c r="AV217" s="1477"/>
      <c r="AW217" s="1477"/>
      <c r="AX217" s="1477"/>
      <c r="AY217" s="1476"/>
      <c r="AZ217" s="1477"/>
      <c r="BA217" s="1477"/>
      <c r="BB217" s="1477"/>
      <c r="BC217" s="1477"/>
      <c r="BD217" s="1476"/>
      <c r="BE217" s="1477"/>
      <c r="BF217" s="1477"/>
      <c r="BG217" s="1477"/>
      <c r="BH217" s="1477"/>
      <c r="BI217" s="1476"/>
      <c r="BJ217" s="1477"/>
      <c r="BK217" s="1477"/>
      <c r="BL217" s="1477"/>
      <c r="BM217" s="1477"/>
      <c r="BN217" s="1476"/>
      <c r="BO217" s="1477">
        <f>BO212-BO211+BO216</f>
        <v>4.5380000000000003</v>
      </c>
      <c r="BP217" s="1477">
        <f>BP212-BP211+BP216</f>
        <v>3.0229999999999992</v>
      </c>
      <c r="BQ217" s="1477">
        <f>BQ212-BQ211+BQ216</f>
        <v>2.6279999999999992</v>
      </c>
      <c r="BR217" s="1477">
        <f>BR212-BR211+BR216</f>
        <v>6.7025000000000006</v>
      </c>
      <c r="BS217" s="1476">
        <f>BS212-BS211+BS216</f>
        <v>16.891499999999997</v>
      </c>
      <c r="BT217" s="1477">
        <f>BT212-BT211-BT216</f>
        <v>9.3330000000000002</v>
      </c>
      <c r="BU217" s="1477">
        <f>BU212-BU211-BU216</f>
        <v>4.7240000000000002</v>
      </c>
      <c r="BV217" s="1477">
        <f>BV212-BV211-BV216</f>
        <v>7.0330000000000004</v>
      </c>
      <c r="BW217" s="1477">
        <f>BW212-BW211-BW216</f>
        <v>4.8549999999999995</v>
      </c>
      <c r="BX217" s="1476">
        <f>BX212-BX211+BX216</f>
        <v>28.195</v>
      </c>
      <c r="BY217" s="1477">
        <f>BY212-BY211-BY216</f>
        <v>6.7629999999999999</v>
      </c>
      <c r="BZ217" s="1477">
        <f>BZ212-BZ211-BZ216</f>
        <v>12.128</v>
      </c>
      <c r="CA217" s="1477">
        <f>CA212-CA211-CA216</f>
        <v>9.2590000000000003</v>
      </c>
      <c r="CB217" s="1477">
        <f>CB212-CB211-CB216</f>
        <v>7.407</v>
      </c>
      <c r="CC217" s="1476">
        <f t="shared" ref="CC217:DU217" si="557">CC212-CC211+CC216</f>
        <v>28.862999999999992</v>
      </c>
      <c r="CD217" s="1477">
        <f t="shared" si="557"/>
        <v>6.9309999999999992</v>
      </c>
      <c r="CE217" s="1477">
        <f t="shared" si="557"/>
        <v>5.6460000000000008</v>
      </c>
      <c r="CF217" s="1477">
        <f t="shared" si="557"/>
        <v>3.49</v>
      </c>
      <c r="CG217" s="1477">
        <f t="shared" si="557"/>
        <v>2.5229999999999988</v>
      </c>
      <c r="CH217" s="1476">
        <f t="shared" si="557"/>
        <v>18.589999999999996</v>
      </c>
      <c r="CI217" s="1477">
        <f t="shared" si="557"/>
        <v>0.72399999999999953</v>
      </c>
      <c r="CJ217" s="1477">
        <f t="shared" si="557"/>
        <v>1.4630000000000005</v>
      </c>
      <c r="CK217" s="1477">
        <f t="shared" si="557"/>
        <v>3.8729999999999993</v>
      </c>
      <c r="CL217" s="1477">
        <f t="shared" si="557"/>
        <v>3.4590000000000005</v>
      </c>
      <c r="CM217" s="1476">
        <f t="shared" si="557"/>
        <v>9.5190000000000037</v>
      </c>
      <c r="CN217" s="1477">
        <f t="shared" si="557"/>
        <v>3.3279999999999998</v>
      </c>
      <c r="CO217" s="1477">
        <f t="shared" si="557"/>
        <v>2.5009999999999994</v>
      </c>
      <c r="CP217" s="1477">
        <f t="shared" si="557"/>
        <v>5.7559999999999993</v>
      </c>
      <c r="CQ217" s="1477">
        <f t="shared" si="557"/>
        <v>10.222000000000001</v>
      </c>
      <c r="CR217" s="1476">
        <f t="shared" si="557"/>
        <v>21.807000000000006</v>
      </c>
      <c r="CS217" s="1477">
        <f t="shared" si="557"/>
        <v>14.209</v>
      </c>
      <c r="CT217" s="1477">
        <f t="shared" si="557"/>
        <v>13.869000000000002</v>
      </c>
      <c r="CU217" s="1477">
        <f t="shared" si="557"/>
        <v>15.169</v>
      </c>
      <c r="CV217" s="1477">
        <f t="shared" si="557"/>
        <v>14.458</v>
      </c>
      <c r="CW217" s="1476">
        <f t="shared" si="557"/>
        <v>57.704999999999998</v>
      </c>
      <c r="CX217" s="1477">
        <f t="shared" si="557"/>
        <v>15.513</v>
      </c>
      <c r="CY217" s="1477">
        <f t="shared" si="557"/>
        <v>16.581</v>
      </c>
      <c r="CZ217" s="1477">
        <f t="shared" si="557"/>
        <v>16.11</v>
      </c>
      <c r="DA217" s="1477">
        <f t="shared" si="557"/>
        <v>16.137</v>
      </c>
      <c r="DB217" s="1476">
        <f t="shared" si="557"/>
        <v>64.340999999999994</v>
      </c>
      <c r="DC217" s="1477">
        <f t="shared" si="557"/>
        <v>17.313999999999997</v>
      </c>
      <c r="DD217" s="1477">
        <f t="shared" si="557"/>
        <v>15.121000000000002</v>
      </c>
      <c r="DE217" s="1477">
        <f t="shared" si="557"/>
        <v>14.033999999999999</v>
      </c>
      <c r="DF217" s="1477">
        <f t="shared" si="557"/>
        <v>15.143999999999998</v>
      </c>
      <c r="DG217" s="1476">
        <f t="shared" si="557"/>
        <v>61.613</v>
      </c>
      <c r="DH217" s="1477">
        <f t="shared" si="557"/>
        <v>15.335000000000001</v>
      </c>
      <c r="DI217" s="1477">
        <f t="shared" si="557"/>
        <v>14.721</v>
      </c>
      <c r="DJ217" s="1477">
        <f t="shared" si="557"/>
        <v>13.519</v>
      </c>
      <c r="DK217" s="1477">
        <f t="shared" si="557"/>
        <v>16.280999999999999</v>
      </c>
      <c r="DL217" s="1476">
        <f t="shared" si="557"/>
        <v>59.855999999999995</v>
      </c>
      <c r="DM217" s="1477">
        <f t="shared" si="557"/>
        <v>14.268000000000001</v>
      </c>
      <c r="DN217" s="1477">
        <f t="shared" si="557"/>
        <v>15.446</v>
      </c>
      <c r="DO217" s="1477">
        <f t="shared" si="557"/>
        <v>14.055</v>
      </c>
      <c r="DP217" s="1477">
        <f t="shared" si="557"/>
        <v>14.118</v>
      </c>
      <c r="DQ217" s="1476">
        <f t="shared" si="557"/>
        <v>57.887</v>
      </c>
      <c r="DR217" s="1478">
        <v>14.824</v>
      </c>
      <c r="DS217" s="1477">
        <f t="shared" si="557"/>
        <v>13.45</v>
      </c>
      <c r="DT217" s="1478">
        <f t="shared" si="557"/>
        <v>14.296999999999999</v>
      </c>
      <c r="DU217" s="1477">
        <f t="shared" si="557"/>
        <v>12.016999999999999</v>
      </c>
      <c r="DV217" s="1476">
        <f>DV212-DV211+DV216</f>
        <v>54.587999999999994</v>
      </c>
      <c r="DW217" s="1478">
        <v>13.84</v>
      </c>
      <c r="DX217" s="1477">
        <v>11.932</v>
      </c>
      <c r="DY217" s="1478">
        <v>13.984999999999999</v>
      </c>
      <c r="DZ217" s="1477">
        <f t="shared" ref="DZ217:EF217" si="558">DZ212-DZ211+DZ216</f>
        <v>17.996000000000002</v>
      </c>
      <c r="EA217" s="1476">
        <f t="shared" si="558"/>
        <v>57.361000000000004</v>
      </c>
      <c r="EB217" s="1478">
        <v>15.532</v>
      </c>
      <c r="EC217" s="1477">
        <v>12.553000000000001</v>
      </c>
      <c r="ED217" s="1477">
        <f t="shared" si="558"/>
        <v>13.077</v>
      </c>
      <c r="EE217" s="1477">
        <f t="shared" si="558"/>
        <v>13.077</v>
      </c>
      <c r="EF217" s="1476">
        <f t="shared" si="558"/>
        <v>54.238999999999997</v>
      </c>
      <c r="EG217" s="1479"/>
      <c r="EH217" s="846"/>
      <c r="EI217" s="846"/>
      <c r="EJ217" s="1480"/>
      <c r="EK217" s="1476">
        <f>EK212-EK211+EK216</f>
        <v>54.239000000000004</v>
      </c>
      <c r="EL217" s="1479"/>
      <c r="EM217" s="846"/>
      <c r="EN217" s="846"/>
      <c r="EO217" s="1480"/>
      <c r="EP217" s="1476">
        <f>EP212-EP211+EP216</f>
        <v>54.239000000000004</v>
      </c>
      <c r="EQ217" s="1479"/>
      <c r="ER217" s="846"/>
      <c r="ES217" s="846"/>
      <c r="ET217" s="1480"/>
      <c r="EU217" s="1476">
        <f>EU212-EU211+EU216</f>
        <v>54.239000000000004</v>
      </c>
      <c r="EV217" s="1479"/>
      <c r="EW217" s="846"/>
      <c r="EX217" s="846"/>
      <c r="EY217" s="1480"/>
      <c r="EZ217" s="1476">
        <f>EZ212-EZ211+EZ216</f>
        <v>54.239000000000004</v>
      </c>
      <c r="FA217" s="1479"/>
      <c r="FB217" s="846"/>
      <c r="FC217" s="846"/>
      <c r="FD217" s="1480"/>
      <c r="FE217" s="1476">
        <f>FE212-FE211+FE216</f>
        <v>54.239000000000004</v>
      </c>
      <c r="FF217" s="994"/>
      <c r="FG217" s="690"/>
      <c r="FH217" s="754"/>
      <c r="FI217" s="754"/>
      <c r="FJ217" s="754"/>
      <c r="FK217" s="754"/>
      <c r="FL217" s="690"/>
      <c r="FM217" s="1230" t="s">
        <v>397</v>
      </c>
      <c r="FN217" s="1230"/>
      <c r="FO217" s="1244"/>
      <c r="FP217" s="1244"/>
      <c r="FQ217" s="1244"/>
      <c r="FR217" s="1244"/>
      <c r="FS217" s="1244"/>
      <c r="FT217" s="1244"/>
      <c r="FU217" s="690"/>
      <c r="FV217"/>
      <c r="FW217"/>
      <c r="FX217"/>
      <c r="FY217"/>
      <c r="FZ217"/>
      <c r="GA217"/>
      <c r="GB217" s="1245"/>
      <c r="GC217" s="1467"/>
      <c r="GD217" s="1467"/>
      <c r="GE217" s="1467"/>
      <c r="GF217" s="1467"/>
      <c r="GG217" s="1467"/>
      <c r="GH217" s="1467"/>
      <c r="GI217" s="1467"/>
      <c r="GJ217" s="1467"/>
      <c r="GK217" s="1467"/>
      <c r="GL217" s="1467"/>
      <c r="GM217" s="1467"/>
      <c r="GN217" s="1467"/>
      <c r="GO217" s="1467"/>
      <c r="GP217" s="1467"/>
      <c r="GQ217" s="1467"/>
      <c r="GR217" s="1467"/>
      <c r="GS217" s="1467"/>
      <c r="GT217" s="1467"/>
      <c r="GU217" s="1467"/>
      <c r="GV217" s="1467"/>
      <c r="GW217" s="1467"/>
      <c r="GX217" s="1467"/>
      <c r="GY217" s="1467"/>
      <c r="GZ217" s="1467"/>
      <c r="HA217" s="1467"/>
      <c r="HB217" s="1467"/>
      <c r="HC217" s="1467"/>
      <c r="HD217" s="1467"/>
      <c r="HE217" s="1467"/>
      <c r="HF217" s="1467"/>
      <c r="HG217" s="1467"/>
      <c r="HH217" s="1467"/>
      <c r="HI217" s="1467"/>
      <c r="HJ217" s="1467"/>
      <c r="HK217" s="1467"/>
      <c r="HL217" s="1467"/>
      <c r="HM217" s="1467"/>
      <c r="HN217" s="1467"/>
      <c r="HO217" s="1467"/>
      <c r="HP217" s="1467"/>
      <c r="HQ217" s="1467"/>
      <c r="HR217" s="1467"/>
      <c r="HS217" s="1467"/>
      <c r="HT217" s="1467"/>
      <c r="HU217" s="1467"/>
      <c r="HV217" s="1467"/>
      <c r="HW217" s="1467"/>
      <c r="HX217" s="1467"/>
      <c r="HY217" s="1467"/>
      <c r="HZ217" s="1467"/>
      <c r="IA217" s="1467"/>
      <c r="IB217" s="1467"/>
      <c r="IC217" s="1467"/>
      <c r="ID217" s="1467"/>
      <c r="IE217" s="1467"/>
      <c r="IF217" s="1467"/>
      <c r="IG217" s="1467"/>
      <c r="IH217" s="1467"/>
      <c r="II217" s="1467"/>
      <c r="IJ217" s="1467"/>
      <c r="IK217" s="1467"/>
      <c r="IL217" s="1467"/>
      <c r="IM217" s="1467"/>
      <c r="IN217" s="1467"/>
      <c r="IO217" s="1467"/>
      <c r="IP217" s="1467"/>
      <c r="IQ217" s="1467"/>
      <c r="IR217" s="1467"/>
      <c r="IS217" s="1467"/>
      <c r="IT217" s="1467"/>
      <c r="IU217" s="1467"/>
      <c r="IV217" s="1467"/>
      <c r="IW217" s="1467"/>
      <c r="IX217" s="1467"/>
      <c r="IY217" s="1467"/>
      <c r="IZ217" s="1467"/>
      <c r="JA217" s="1467"/>
      <c r="JB217" s="1467"/>
      <c r="JC217" s="1467"/>
      <c r="JD217" s="1467"/>
      <c r="JE217" s="1467"/>
      <c r="JF217" s="1467"/>
      <c r="JG217" s="1467"/>
      <c r="JH217" s="1467"/>
      <c r="JI217" s="1467"/>
      <c r="JJ217" s="1467"/>
      <c r="JK217" s="1467"/>
      <c r="JL217" s="1467"/>
    </row>
    <row r="218" spans="1:272" s="1486" customFormat="1" ht="12.75" hidden="1" customHeight="1" outlineLevel="1">
      <c r="A218" s="1286" t="s">
        <v>398</v>
      </c>
      <c r="B218" s="1481"/>
      <c r="C218" s="1482"/>
      <c r="D218" s="1482"/>
      <c r="E218" s="1482"/>
      <c r="F218" s="1240"/>
      <c r="G218" s="1482"/>
      <c r="H218" s="1482"/>
      <c r="I218" s="1482"/>
      <c r="J218" s="1482"/>
      <c r="K218" s="1240"/>
      <c r="L218" s="1482"/>
      <c r="M218" s="1482"/>
      <c r="N218" s="1482"/>
      <c r="O218" s="1482"/>
      <c r="P218" s="1240"/>
      <c r="Q218" s="1482"/>
      <c r="R218" s="1482"/>
      <c r="S218" s="1482"/>
      <c r="T218" s="1482"/>
      <c r="U218" s="1240"/>
      <c r="V218" s="1482"/>
      <c r="W218" s="1482"/>
      <c r="X218" s="1482"/>
      <c r="Y218" s="1482"/>
      <c r="Z218" s="1240"/>
      <c r="AA218" s="1482"/>
      <c r="AB218" s="1482"/>
      <c r="AC218" s="1482"/>
      <c r="AD218" s="1482"/>
      <c r="AE218" s="1240"/>
      <c r="AF218" s="1483"/>
      <c r="AG218" s="1483"/>
      <c r="AH218" s="1483"/>
      <c r="AI218" s="1483"/>
      <c r="AJ218" s="1240"/>
      <c r="AK218" s="1483"/>
      <c r="AL218" s="1483"/>
      <c r="AM218" s="1483"/>
      <c r="AN218" s="1483"/>
      <c r="AO218" s="1240"/>
      <c r="AP218" s="1483"/>
      <c r="AQ218" s="1484"/>
      <c r="AR218" s="1484"/>
      <c r="AS218" s="1484"/>
      <c r="AT218" s="1240"/>
      <c r="AU218" s="1484"/>
      <c r="AV218" s="1484"/>
      <c r="AW218" s="1484"/>
      <c r="AX218" s="1484"/>
      <c r="AY218" s="1240"/>
      <c r="AZ218" s="1484"/>
      <c r="BA218" s="1484"/>
      <c r="BB218" s="1484"/>
      <c r="BC218" s="1484"/>
      <c r="BD218" s="1240"/>
      <c r="BE218" s="1484"/>
      <c r="BF218" s="1484"/>
      <c r="BG218" s="1484"/>
      <c r="BH218" s="1484"/>
      <c r="BI218" s="1240"/>
      <c r="BJ218" s="1484"/>
      <c r="BK218" s="1484"/>
      <c r="BL218" s="1484"/>
      <c r="BM218" s="1484"/>
      <c r="BN218" s="1485"/>
      <c r="BO218" s="1484"/>
      <c r="BP218" s="1484"/>
      <c r="BQ218" s="1484"/>
      <c r="BR218" s="1484"/>
      <c r="BS218" s="1240"/>
      <c r="BT218" s="1484"/>
      <c r="BU218" s="1484"/>
      <c r="BV218" s="1484"/>
      <c r="BW218" s="1484"/>
      <c r="BX218" s="1240"/>
      <c r="BY218" s="1484"/>
      <c r="BZ218" s="1484"/>
      <c r="CA218" s="1484"/>
      <c r="CB218" s="1484"/>
      <c r="CC218" s="1240"/>
      <c r="CD218" s="1484"/>
      <c r="CE218" s="1484"/>
      <c r="CF218" s="1484"/>
      <c r="CG218" s="1484"/>
      <c r="CH218" s="1240"/>
      <c r="CI218" s="1484"/>
      <c r="CJ218" s="1484"/>
      <c r="CK218" s="1484"/>
      <c r="CL218" s="1484"/>
      <c r="CM218" s="1240"/>
      <c r="CN218" s="1484"/>
      <c r="CO218" s="1484"/>
      <c r="CP218" s="1484"/>
      <c r="CQ218" s="1484"/>
      <c r="CR218" s="1240"/>
      <c r="CS218" s="1484"/>
      <c r="CT218" s="1484"/>
      <c r="CU218" s="1484"/>
      <c r="CV218" s="1484"/>
      <c r="CW218" s="1240"/>
      <c r="CX218" s="1484"/>
      <c r="CY218" s="1484"/>
      <c r="CZ218" s="1484"/>
      <c r="DA218" s="1484"/>
      <c r="DB218" s="1240"/>
      <c r="DC218" s="1484"/>
      <c r="DD218" s="1484"/>
      <c r="DE218" s="1484"/>
      <c r="DF218" s="1484"/>
      <c r="DG218" s="1240"/>
      <c r="DH218" s="1484"/>
      <c r="DI218" s="1484"/>
      <c r="DJ218" s="1483"/>
      <c r="DK218" s="1483"/>
      <c r="DL218" s="1240"/>
      <c r="DM218" s="1483"/>
      <c r="DN218" s="1483"/>
      <c r="DO218" s="1483"/>
      <c r="DP218" s="1483"/>
      <c r="DQ218" s="1240"/>
      <c r="DR218" s="1483"/>
      <c r="DS218" s="1483"/>
      <c r="DT218" s="1483"/>
      <c r="DU218" s="1483"/>
      <c r="DV218" s="1240"/>
      <c r="DW218" s="1483"/>
      <c r="DX218" s="1483"/>
      <c r="DY218" s="1483"/>
      <c r="DZ218" s="1483"/>
      <c r="EA218" s="1240"/>
      <c r="EB218" s="1483"/>
      <c r="EC218" s="1483"/>
      <c r="ED218" s="1483"/>
      <c r="EE218" s="1483"/>
      <c r="EF218" s="1240"/>
      <c r="EG218" s="862"/>
      <c r="EH218" s="720"/>
      <c r="EI218" s="720"/>
      <c r="EJ218" s="863"/>
      <c r="EK218" s="1240"/>
      <c r="EL218" s="862"/>
      <c r="EM218" s="720"/>
      <c r="EN218" s="720"/>
      <c r="EO218" s="863"/>
      <c r="EP218" s="1240"/>
      <c r="EQ218" s="862"/>
      <c r="ER218" s="720"/>
      <c r="ES218" s="720"/>
      <c r="ET218" s="863"/>
      <c r="EU218" s="1240"/>
      <c r="EV218" s="862"/>
      <c r="EW218" s="720"/>
      <c r="EX218" s="720"/>
      <c r="EY218" s="863"/>
      <c r="EZ218" s="1240"/>
      <c r="FA218" s="862"/>
      <c r="FB218" s="720"/>
      <c r="FC218" s="720"/>
      <c r="FD218" s="863"/>
      <c r="FE218" s="1240"/>
      <c r="FF218" s="721"/>
      <c r="FG218" s="690"/>
      <c r="FH218" s="754"/>
      <c r="FI218" s="754"/>
      <c r="FJ218" s="754"/>
      <c r="FK218" s="754"/>
      <c r="FL218" s="690"/>
      <c r="FM218" s="708"/>
      <c r="FN218" s="708"/>
      <c r="FO218" s="723"/>
      <c r="FP218" s="723"/>
      <c r="FQ218" s="723"/>
      <c r="FR218" s="723"/>
      <c r="FS218" s="723"/>
      <c r="FT218" s="723"/>
      <c r="FU218" s="690"/>
      <c r="FV218"/>
      <c r="FW218"/>
      <c r="FX218"/>
      <c r="FY218"/>
      <c r="FZ218"/>
      <c r="GA218"/>
      <c r="GB218" s="1440"/>
      <c r="GC218" s="535"/>
      <c r="GD218" s="535"/>
      <c r="GE218" s="535"/>
      <c r="GF218" s="535"/>
      <c r="GG218" s="535"/>
      <c r="GH218" s="535"/>
      <c r="GI218" s="535"/>
      <c r="GJ218" s="535"/>
      <c r="GK218" s="535"/>
      <c r="GL218" s="535"/>
      <c r="GM218" s="535"/>
      <c r="GN218" s="535"/>
      <c r="GO218" s="535"/>
      <c r="GP218" s="535"/>
      <c r="GQ218" s="535"/>
      <c r="GR218" s="535"/>
      <c r="GS218" s="535"/>
      <c r="GT218" s="535"/>
      <c r="GU218" s="535"/>
      <c r="GV218" s="535"/>
      <c r="GW218" s="535"/>
      <c r="GX218" s="535"/>
      <c r="GY218" s="535"/>
      <c r="GZ218" s="535"/>
      <c r="HA218" s="535"/>
      <c r="HB218" s="535"/>
      <c r="HC218" s="535"/>
      <c r="HD218" s="535"/>
      <c r="HE218" s="535"/>
      <c r="HF218" s="535"/>
      <c r="HG218" s="535"/>
      <c r="HH218" s="535"/>
      <c r="HI218" s="535"/>
      <c r="HJ218" s="535"/>
      <c r="HK218" s="535"/>
      <c r="HL218" s="535"/>
      <c r="HM218" s="535"/>
      <c r="HN218" s="535"/>
      <c r="HO218" s="535"/>
      <c r="HP218" s="535"/>
      <c r="HQ218" s="535"/>
      <c r="HR218" s="535"/>
      <c r="HS218" s="535"/>
      <c r="HT218" s="535"/>
      <c r="HU218" s="535"/>
      <c r="HV218" s="535"/>
      <c r="HW218" s="535"/>
      <c r="HX218" s="535"/>
      <c r="HY218" s="535"/>
      <c r="HZ218" s="535"/>
      <c r="IA218" s="535"/>
      <c r="IB218" s="535"/>
      <c r="IC218" s="535"/>
      <c r="ID218" s="535"/>
      <c r="IE218" s="535"/>
      <c r="IF218" s="535"/>
      <c r="IG218" s="535"/>
      <c r="IH218" s="535"/>
      <c r="II218" s="535"/>
      <c r="IJ218" s="535"/>
      <c r="IK218" s="535"/>
      <c r="IL218" s="535"/>
      <c r="IM218" s="535"/>
      <c r="IN218" s="535"/>
      <c r="IO218" s="535"/>
      <c r="IP218" s="535"/>
      <c r="IQ218" s="535"/>
      <c r="IR218" s="535"/>
      <c r="IS218" s="535"/>
      <c r="IT218" s="535"/>
      <c r="IU218" s="535"/>
      <c r="IV218" s="535"/>
      <c r="IW218" s="535"/>
      <c r="IX218" s="535"/>
      <c r="IY218" s="535"/>
      <c r="IZ218" s="535"/>
      <c r="JA218" s="535"/>
      <c r="JB218" s="535"/>
      <c r="JC218" s="535"/>
      <c r="JD218" s="535"/>
      <c r="JE218" s="535"/>
      <c r="JF218" s="535"/>
      <c r="JG218" s="535"/>
      <c r="JH218" s="535"/>
      <c r="JI218" s="535"/>
      <c r="JJ218" s="535"/>
      <c r="JK218" s="535"/>
      <c r="JL218" s="535"/>
    </row>
    <row r="219" spans="1:272" s="811" customFormat="1" ht="12.75" hidden="1" customHeight="1" outlineLevel="1">
      <c r="A219" s="962" t="s">
        <v>399</v>
      </c>
      <c r="B219" s="1487"/>
      <c r="C219" s="1488"/>
      <c r="D219" s="1488"/>
      <c r="E219" s="1488"/>
      <c r="F219" s="1074"/>
      <c r="G219" s="1489"/>
      <c r="H219" s="1488"/>
      <c r="I219" s="1488"/>
      <c r="J219" s="1488"/>
      <c r="K219" s="1074"/>
      <c r="L219" s="1489"/>
      <c r="M219" s="1488"/>
      <c r="N219" s="1488"/>
      <c r="O219" s="1488"/>
      <c r="P219" s="1074"/>
      <c r="Q219" s="1489"/>
      <c r="R219" s="1488"/>
      <c r="S219" s="1488"/>
      <c r="T219" s="1488"/>
      <c r="U219" s="1074"/>
      <c r="V219" s="1489"/>
      <c r="W219" s="1488"/>
      <c r="X219" s="1488"/>
      <c r="Y219" s="1488"/>
      <c r="Z219" s="1074"/>
      <c r="AA219" s="1489"/>
      <c r="AB219" s="1488"/>
      <c r="AC219" s="1488"/>
      <c r="AD219" s="1488"/>
      <c r="AE219" s="1074"/>
      <c r="AF219" s="778"/>
      <c r="AG219" s="778"/>
      <c r="AH219" s="778"/>
      <c r="AI219" s="778"/>
      <c r="AJ219" s="1074"/>
      <c r="AK219" s="778"/>
      <c r="AL219" s="778"/>
      <c r="AM219" s="778"/>
      <c r="AN219" s="778"/>
      <c r="AO219" s="1074"/>
      <c r="AP219" s="778"/>
      <c r="AQ219" s="778"/>
      <c r="AR219" s="778"/>
      <c r="AS219" s="778"/>
      <c r="AT219" s="1074"/>
      <c r="AU219" s="778"/>
      <c r="AV219" s="778"/>
      <c r="AW219" s="778"/>
      <c r="AX219" s="778"/>
      <c r="AY219" s="1074"/>
      <c r="AZ219" s="778"/>
      <c r="BA219" s="778"/>
      <c r="BB219" s="778"/>
      <c r="BC219" s="778"/>
      <c r="BD219" s="1074"/>
      <c r="BE219" s="778"/>
      <c r="BF219" s="778"/>
      <c r="BG219" s="778"/>
      <c r="BH219" s="778"/>
      <c r="BI219" s="1074"/>
      <c r="BJ219" s="778"/>
      <c r="BK219" s="778"/>
      <c r="BL219" s="778"/>
      <c r="BM219" s="778"/>
      <c r="BN219" s="1074"/>
      <c r="BO219" s="778">
        <f>BO204-BO217</f>
        <v>20.483000000000015</v>
      </c>
      <c r="BP219" s="778">
        <f>BP204-BP217</f>
        <v>32.092000000000006</v>
      </c>
      <c r="BQ219" s="778">
        <f>BQ204-BQ217</f>
        <v>38.989999999999995</v>
      </c>
      <c r="BR219" s="778">
        <f>BR204-BR217</f>
        <v>29.997500000000002</v>
      </c>
      <c r="BS219" s="1074">
        <f>SUM(BO219:BR219)</f>
        <v>121.56250000000001</v>
      </c>
      <c r="BT219" s="778">
        <f>BT204-BT217</f>
        <v>32.985000000000035</v>
      </c>
      <c r="BU219" s="778">
        <f>BU204-BU217</f>
        <v>44.128000000000085</v>
      </c>
      <c r="BV219" s="778">
        <f>BV204-BV217</f>
        <v>54.879000000000062</v>
      </c>
      <c r="BW219" s="778">
        <f>BW204-BW217</f>
        <v>56.209000000000053</v>
      </c>
      <c r="BX219" s="1074">
        <f>SUM(BT219:BW219)</f>
        <v>188.20100000000025</v>
      </c>
      <c r="BY219" s="778">
        <f>BY204-BY217</f>
        <v>48.760000000000055</v>
      </c>
      <c r="BZ219" s="778">
        <f>BZ204-BZ217</f>
        <v>58.601999999999961</v>
      </c>
      <c r="CA219" s="778">
        <f>CA204-CA217</f>
        <v>68.306999999999988</v>
      </c>
      <c r="CB219" s="778">
        <f>CB204-CB217</f>
        <v>62.535000000000011</v>
      </c>
      <c r="CC219" s="1074">
        <f>SUM(BY219:CB219)</f>
        <v>238.20400000000001</v>
      </c>
      <c r="CD219" s="778">
        <f t="shared" ref="CD219:CL219" si="559">CD204-CD217</f>
        <v>66.918999999999969</v>
      </c>
      <c r="CE219" s="778">
        <f t="shared" si="559"/>
        <v>98.465999999999994</v>
      </c>
      <c r="CF219" s="778">
        <f t="shared" si="559"/>
        <v>100.26600000000002</v>
      </c>
      <c r="CG219" s="778">
        <f t="shared" si="559"/>
        <v>86.704999999999956</v>
      </c>
      <c r="CH219" s="1074">
        <f t="shared" si="559"/>
        <v>352.35599999999988</v>
      </c>
      <c r="CI219" s="778">
        <f t="shared" si="559"/>
        <v>77.183999999999983</v>
      </c>
      <c r="CJ219" s="778">
        <f t="shared" si="559"/>
        <v>110.37000000000002</v>
      </c>
      <c r="CK219" s="778">
        <f t="shared" si="559"/>
        <v>98.441999999999993</v>
      </c>
      <c r="CL219" s="778">
        <f t="shared" si="559"/>
        <v>106.313</v>
      </c>
      <c r="CM219" s="1074">
        <f>SUM(CI219:CL219)</f>
        <v>392.30899999999997</v>
      </c>
      <c r="CN219" s="778">
        <f>CN204-CN217</f>
        <v>45.792000000000002</v>
      </c>
      <c r="CO219" s="778">
        <f>CO204-CO217</f>
        <v>75.120000000000047</v>
      </c>
      <c r="CP219" s="778">
        <f>CP204-CP217</f>
        <v>61.925999999999988</v>
      </c>
      <c r="CQ219" s="778">
        <f>CQ204-CQ217</f>
        <v>59.808000000000014</v>
      </c>
      <c r="CR219" s="1074">
        <f>SUM(CN219:CQ219)</f>
        <v>242.64600000000004</v>
      </c>
      <c r="CS219" s="778">
        <f>CS204-CS217</f>
        <v>39.798999999999992</v>
      </c>
      <c r="CT219" s="778">
        <f>CT204-CT217</f>
        <v>80.991</v>
      </c>
      <c r="CU219" s="778">
        <f>CU204-CU217</f>
        <v>63.747999999999962</v>
      </c>
      <c r="CV219" s="778">
        <f>CV204-CV217</f>
        <v>-49.620999999999988</v>
      </c>
      <c r="CW219" s="1074">
        <f>SUM(CS219:CV219)</f>
        <v>134.91699999999997</v>
      </c>
      <c r="CX219" s="778">
        <f>CX204-CX217</f>
        <v>-31.024999999999984</v>
      </c>
      <c r="CY219" s="778">
        <f>CY204-CY217</f>
        <v>49.384999999999991</v>
      </c>
      <c r="CZ219" s="778">
        <f>CZ204-CZ217</f>
        <v>25.024000000000001</v>
      </c>
      <c r="DA219" s="778">
        <f>DA204-DA217</f>
        <v>1.147000000000002</v>
      </c>
      <c r="DB219" s="1074">
        <f t="shared" ref="DB219:EF219" si="560">DB204-DB217</f>
        <v>53.262999999999991</v>
      </c>
      <c r="DC219" s="778">
        <f t="shared" si="560"/>
        <v>-0.11399999999999721</v>
      </c>
      <c r="DD219" s="778">
        <f t="shared" si="560"/>
        <v>20.311</v>
      </c>
      <c r="DE219" s="778">
        <f t="shared" si="560"/>
        <v>20.356999999999992</v>
      </c>
      <c r="DF219" s="778">
        <f t="shared" si="560"/>
        <v>1.8399999999999999</v>
      </c>
      <c r="DG219" s="1074">
        <f t="shared" si="560"/>
        <v>44.666000000000011</v>
      </c>
      <c r="DH219" s="778">
        <f t="shared" si="560"/>
        <v>21.360999999999997</v>
      </c>
      <c r="DI219" s="778">
        <f t="shared" si="560"/>
        <v>45.444000000000003</v>
      </c>
      <c r="DJ219" s="778">
        <f t="shared" si="560"/>
        <v>47.605999999999995</v>
      </c>
      <c r="DK219" s="778">
        <f t="shared" si="560"/>
        <v>23.661000000000001</v>
      </c>
      <c r="DL219" s="1074">
        <f t="shared" si="560"/>
        <v>138.072</v>
      </c>
      <c r="DM219" s="778">
        <f t="shared" si="560"/>
        <v>41.422000000000004</v>
      </c>
      <c r="DN219" s="778">
        <f t="shared" si="560"/>
        <v>60.756</v>
      </c>
      <c r="DO219" s="778">
        <f t="shared" si="560"/>
        <v>41.158000000000001</v>
      </c>
      <c r="DP219" s="778">
        <f t="shared" si="560"/>
        <v>23.676999999999992</v>
      </c>
      <c r="DQ219" s="1074">
        <f t="shared" si="560"/>
        <v>167.01299999999998</v>
      </c>
      <c r="DR219" s="778">
        <f>DR204-DR217</f>
        <v>16.774999999999999</v>
      </c>
      <c r="DS219" s="778">
        <f>DS204-DS217</f>
        <v>60.972999999999999</v>
      </c>
      <c r="DT219" s="778">
        <f>DT204-DT217</f>
        <v>53.378</v>
      </c>
      <c r="DU219" s="778">
        <f>DU204-DU217</f>
        <v>21.362999999999996</v>
      </c>
      <c r="DV219" s="1074">
        <f t="shared" si="560"/>
        <v>152.489</v>
      </c>
      <c r="DW219" s="778">
        <f t="shared" si="560"/>
        <v>19.221999999999998</v>
      </c>
      <c r="DX219" s="778">
        <f t="shared" si="560"/>
        <v>87.367999999999995</v>
      </c>
      <c r="DY219" s="778">
        <f>DY204-DY217</f>
        <v>77.39</v>
      </c>
      <c r="DZ219" s="778">
        <f>DZ204-DZ217</f>
        <v>40.282000000000004</v>
      </c>
      <c r="EA219" s="1074">
        <f>EA204-EA217</f>
        <v>224.654</v>
      </c>
      <c r="EB219" s="778">
        <f>EB204-EB217</f>
        <v>37.516999999999996</v>
      </c>
      <c r="EC219" s="778">
        <f>EC204-EC217</f>
        <v>72.664000000000016</v>
      </c>
      <c r="ED219" s="778">
        <f t="shared" si="560"/>
        <v>74.113</v>
      </c>
      <c r="EE219" s="778">
        <f t="shared" si="560"/>
        <v>60.899203722999985</v>
      </c>
      <c r="EF219" s="1074">
        <f t="shared" si="560"/>
        <v>245.19320372299993</v>
      </c>
      <c r="EG219" s="1039"/>
      <c r="EH219" s="778"/>
      <c r="EI219" s="778"/>
      <c r="EJ219" s="1040"/>
      <c r="EK219" s="1074">
        <f>EK204-EK217</f>
        <v>390.0796550052479</v>
      </c>
      <c r="EL219" s="1039"/>
      <c r="EM219" s="778"/>
      <c r="EN219" s="778"/>
      <c r="EO219" s="1040"/>
      <c r="EP219" s="1074">
        <f>EP204-EP217</f>
        <v>459.874627485058</v>
      </c>
      <c r="EQ219" s="1039"/>
      <c r="ER219" s="778"/>
      <c r="ES219" s="778"/>
      <c r="ET219" s="1040"/>
      <c r="EU219" s="1074">
        <f>EU204-EU217</f>
        <v>544.26787666327357</v>
      </c>
      <c r="EV219" s="1039"/>
      <c r="EW219" s="778"/>
      <c r="EX219" s="778"/>
      <c r="EY219" s="1040"/>
      <c r="EZ219" s="1074">
        <f>EZ204-EZ217</f>
        <v>593.78866560145082</v>
      </c>
      <c r="FA219" s="1039"/>
      <c r="FB219" s="778"/>
      <c r="FC219" s="778"/>
      <c r="FD219" s="1040"/>
      <c r="FE219" s="1074">
        <f>FE204-FE217</f>
        <v>645.23932491525147</v>
      </c>
      <c r="FF219" s="938"/>
      <c r="FG219" s="690"/>
      <c r="FH219" s="754"/>
      <c r="FI219" s="754"/>
      <c r="FJ219" s="754"/>
      <c r="FK219" s="754"/>
      <c r="FL219" s="690"/>
      <c r="FM219" s="940"/>
      <c r="FN219" s="940"/>
      <c r="FO219" s="941"/>
      <c r="FP219" s="941"/>
      <c r="FQ219" s="941"/>
      <c r="FR219" s="941"/>
      <c r="FS219" s="941"/>
      <c r="FT219" s="941"/>
      <c r="FU219" s="690"/>
      <c r="FV219"/>
      <c r="FW219"/>
      <c r="FX219"/>
      <c r="FY219"/>
      <c r="FZ219"/>
      <c r="GA219"/>
      <c r="GB219" s="943"/>
      <c r="GC219" s="965"/>
      <c r="GD219" s="965"/>
      <c r="GE219" s="965"/>
      <c r="GF219" s="965"/>
      <c r="GG219" s="965"/>
      <c r="GH219" s="965"/>
      <c r="GI219" s="965"/>
      <c r="GJ219" s="965"/>
      <c r="GK219" s="965"/>
      <c r="GL219" s="965"/>
      <c r="GM219" s="965"/>
      <c r="GN219" s="965"/>
      <c r="GO219" s="965"/>
      <c r="GP219" s="965"/>
      <c r="GQ219" s="965"/>
      <c r="GR219" s="965"/>
      <c r="GS219" s="965"/>
      <c r="GT219" s="965"/>
      <c r="GU219" s="965"/>
      <c r="GV219" s="965"/>
      <c r="GW219" s="965"/>
      <c r="GX219" s="965"/>
      <c r="GY219" s="965"/>
      <c r="GZ219" s="965"/>
      <c r="HA219" s="965"/>
      <c r="HB219" s="965"/>
      <c r="HC219" s="965"/>
      <c r="HD219" s="965"/>
      <c r="HE219" s="965"/>
      <c r="HF219" s="965"/>
      <c r="HG219" s="965"/>
      <c r="HH219" s="965"/>
      <c r="HI219" s="965"/>
      <c r="HJ219" s="965"/>
      <c r="HK219" s="965"/>
      <c r="HL219" s="965"/>
      <c r="HM219" s="965"/>
      <c r="HN219" s="965"/>
      <c r="HO219" s="965"/>
      <c r="HP219" s="965"/>
      <c r="HQ219" s="965"/>
      <c r="HR219" s="965"/>
      <c r="HS219" s="965"/>
      <c r="HT219" s="965"/>
      <c r="HU219" s="965"/>
      <c r="HV219" s="965"/>
      <c r="HW219" s="965"/>
      <c r="HX219" s="965"/>
      <c r="HY219" s="965"/>
      <c r="HZ219" s="965"/>
      <c r="IA219" s="965"/>
      <c r="IB219" s="965"/>
      <c r="IC219" s="965"/>
      <c r="ID219" s="965"/>
      <c r="IE219" s="965"/>
      <c r="IF219" s="965"/>
      <c r="IG219" s="965"/>
      <c r="IH219" s="965"/>
      <c r="II219" s="965"/>
      <c r="IJ219" s="965"/>
      <c r="IK219" s="965"/>
      <c r="IL219" s="965"/>
      <c r="IM219" s="965"/>
      <c r="IN219" s="965"/>
      <c r="IO219" s="965"/>
      <c r="IP219" s="965"/>
      <c r="IQ219" s="965"/>
      <c r="IR219" s="965"/>
      <c r="IS219" s="965"/>
      <c r="IT219" s="965"/>
      <c r="IU219" s="965"/>
      <c r="IV219" s="965"/>
      <c r="IW219" s="965"/>
      <c r="IX219" s="965"/>
      <c r="IY219" s="965"/>
      <c r="IZ219" s="965"/>
      <c r="JA219" s="965"/>
      <c r="JB219" s="965"/>
      <c r="JC219" s="965"/>
      <c r="JD219" s="965"/>
      <c r="JE219" s="965"/>
      <c r="JF219" s="965"/>
      <c r="JG219" s="965"/>
      <c r="JH219" s="965"/>
      <c r="JI219" s="965"/>
      <c r="JJ219" s="965"/>
      <c r="JK219" s="965"/>
      <c r="JL219" s="965"/>
    </row>
    <row r="220" spans="1:272" s="749" customFormat="1" ht="12.75" hidden="1" customHeight="1" outlineLevel="1">
      <c r="A220" s="1490" t="s">
        <v>21</v>
      </c>
      <c r="B220" s="1491"/>
      <c r="C220" s="1440"/>
      <c r="D220" s="1440"/>
      <c r="E220" s="1440"/>
      <c r="F220" s="1492"/>
      <c r="G220" s="1440"/>
      <c r="H220" s="1440"/>
      <c r="I220" s="1440"/>
      <c r="J220" s="1440"/>
      <c r="K220" s="1492"/>
      <c r="L220" s="1440"/>
      <c r="M220" s="1440"/>
      <c r="N220" s="1440"/>
      <c r="O220" s="1440"/>
      <c r="P220" s="1492"/>
      <c r="Q220" s="1440"/>
      <c r="R220" s="1440"/>
      <c r="S220" s="1493"/>
      <c r="T220" s="1493"/>
      <c r="U220" s="1492"/>
      <c r="V220" s="721"/>
      <c r="W220" s="1493"/>
      <c r="X220" s="1493"/>
      <c r="Y220" s="1493"/>
      <c r="Z220" s="1492"/>
      <c r="AA220" s="721"/>
      <c r="AB220" s="1493"/>
      <c r="AC220" s="1493"/>
      <c r="AD220" s="1493"/>
      <c r="AE220" s="1492"/>
      <c r="AF220" s="721"/>
      <c r="AG220" s="1493"/>
      <c r="AH220" s="1493"/>
      <c r="AI220" s="1493"/>
      <c r="AJ220" s="1492"/>
      <c r="AK220" s="721"/>
      <c r="AL220" s="1493"/>
      <c r="AM220" s="1493"/>
      <c r="AN220" s="1493"/>
      <c r="AO220" s="1492"/>
      <c r="AP220" s="721"/>
      <c r="AQ220" s="1493"/>
      <c r="AR220" s="1493"/>
      <c r="AS220" s="1493"/>
      <c r="AT220" s="1492"/>
      <c r="AU220" s="721"/>
      <c r="AV220" s="1493"/>
      <c r="AW220" s="1493"/>
      <c r="AX220" s="1493"/>
      <c r="AY220" s="1492"/>
      <c r="AZ220" s="721"/>
      <c r="BA220" s="1493"/>
      <c r="BB220" s="1493"/>
      <c r="BC220" s="1493"/>
      <c r="BD220" s="1492"/>
      <c r="BE220" s="721"/>
      <c r="BF220" s="1493"/>
      <c r="BG220" s="1493"/>
      <c r="BH220" s="1493"/>
      <c r="BI220" s="1492"/>
      <c r="BJ220" s="721"/>
      <c r="BK220" s="1493"/>
      <c r="BL220" s="1493"/>
      <c r="BM220" s="1493"/>
      <c r="BN220" s="1492"/>
      <c r="BO220" s="721">
        <f t="shared" ref="BO220:DX220" si="561">BO221/BO219</f>
        <v>0.36283609536056632</v>
      </c>
      <c r="BP220" s="1493">
        <f t="shared" si="561"/>
        <v>0.40220311044813317</v>
      </c>
      <c r="BQ220" s="1493">
        <f t="shared" si="561"/>
        <v>0.39341337293846423</v>
      </c>
      <c r="BR220" s="1493">
        <f t="shared" si="561"/>
        <v>0.49739429708901384</v>
      </c>
      <c r="BS220" s="1492">
        <f t="shared" si="561"/>
        <v>0.41624059063913943</v>
      </c>
      <c r="BT220" s="721">
        <f t="shared" si="561"/>
        <v>0.39965079644054352</v>
      </c>
      <c r="BU220" s="1493">
        <f t="shared" si="561"/>
        <v>0.37109273005793975</v>
      </c>
      <c r="BV220" s="1493">
        <f t="shared" si="561"/>
        <v>0.38838773590888676</v>
      </c>
      <c r="BW220" s="1493">
        <f t="shared" si="561"/>
        <v>0.39321136265472695</v>
      </c>
      <c r="BX220" s="1492">
        <f t="shared" si="561"/>
        <v>0.38774719345269915</v>
      </c>
      <c r="BY220" s="721">
        <f t="shared" si="561"/>
        <v>0.38564986922756378</v>
      </c>
      <c r="BZ220" s="1493">
        <f t="shared" si="561"/>
        <v>0.38859417481928804</v>
      </c>
      <c r="CA220" s="1493">
        <f t="shared" si="561"/>
        <v>0.3834853249806911</v>
      </c>
      <c r="CB220" s="1493">
        <f t="shared" si="561"/>
        <v>0.3878689824605458</v>
      </c>
      <c r="CC220" s="1492">
        <f t="shared" si="561"/>
        <v>0.38633609161862198</v>
      </c>
      <c r="CD220" s="721">
        <f t="shared" si="561"/>
        <v>0.3596159639353404</v>
      </c>
      <c r="CE220" s="721">
        <f t="shared" si="561"/>
        <v>0.29095550092967387</v>
      </c>
      <c r="CF220" s="721">
        <f t="shared" si="561"/>
        <v>0.34005760683367386</v>
      </c>
      <c r="CG220" s="721">
        <f t="shared" si="561"/>
        <v>0.34374087468498454</v>
      </c>
      <c r="CH220" s="1492">
        <f t="shared" si="561"/>
        <v>0.34618681106608101</v>
      </c>
      <c r="CI220" s="721">
        <f t="shared" si="561"/>
        <v>0.35784060040658161</v>
      </c>
      <c r="CJ220" s="721">
        <f t="shared" si="561"/>
        <v>0.29883381435423989</v>
      </c>
      <c r="CK220" s="721">
        <f t="shared" si="561"/>
        <v>0.33528659305311065</v>
      </c>
      <c r="CL220" s="721">
        <f t="shared" si="561"/>
        <v>0.13235806536314063</v>
      </c>
      <c r="CM220" s="1492">
        <f t="shared" si="561"/>
        <v>0.2744763000296831</v>
      </c>
      <c r="CN220" s="721">
        <f t="shared" si="561"/>
        <v>0.44131215151872105</v>
      </c>
      <c r="CO220" s="721">
        <f t="shared" si="561"/>
        <v>0.34171991480298169</v>
      </c>
      <c r="CP220" s="721">
        <f t="shared" si="561"/>
        <v>0.37078125504634568</v>
      </c>
      <c r="CQ220" s="721">
        <f t="shared" si="561"/>
        <v>0.35252808988764034</v>
      </c>
      <c r="CR220" s="1492">
        <f t="shared" si="561"/>
        <v>0.37059570750123744</v>
      </c>
      <c r="CS220" s="721">
        <f t="shared" si="561"/>
        <v>0.39415563205105664</v>
      </c>
      <c r="CT220" s="721">
        <f t="shared" si="561"/>
        <v>0.39738983343828327</v>
      </c>
      <c r="CU220" s="721">
        <f t="shared" si="561"/>
        <v>0.36493693919809267</v>
      </c>
      <c r="CV220" s="721">
        <f t="shared" si="561"/>
        <v>3.3090828479877481E-2</v>
      </c>
      <c r="CW220" s="1492">
        <f t="shared" si="561"/>
        <v>0.51508705352179496</v>
      </c>
      <c r="CX220" s="721">
        <f t="shared" si="561"/>
        <v>0.43435938759065296</v>
      </c>
      <c r="CY220" s="721">
        <f t="shared" si="561"/>
        <v>0.33099119165738589</v>
      </c>
      <c r="CZ220" s="721">
        <f t="shared" si="561"/>
        <v>0.46083759590792839</v>
      </c>
      <c r="DA220" s="1493">
        <f t="shared" si="561"/>
        <v>2.6817785527462901</v>
      </c>
      <c r="DB220" s="1492">
        <f t="shared" si="561"/>
        <v>0.38998929838724827</v>
      </c>
      <c r="DC220" s="721">
        <f t="shared" si="561"/>
        <v>-5.5263157894738182</v>
      </c>
      <c r="DD220" s="721">
        <f t="shared" si="561"/>
        <v>0.3174634434542859</v>
      </c>
      <c r="DE220" s="721">
        <f t="shared" si="561"/>
        <v>0.41656432676720556</v>
      </c>
      <c r="DF220" s="1493">
        <f t="shared" si="561"/>
        <v>0.39782608695652177</v>
      </c>
      <c r="DG220" s="1492">
        <f t="shared" si="561"/>
        <v>0.4348497738772219</v>
      </c>
      <c r="DH220" s="721">
        <f t="shared" si="561"/>
        <v>0.37301624455783911</v>
      </c>
      <c r="DI220" s="721">
        <f t="shared" si="561"/>
        <v>0.35256579526450132</v>
      </c>
      <c r="DJ220" s="721">
        <f t="shared" si="561"/>
        <v>0.38814435155232541</v>
      </c>
      <c r="DK220" s="1493">
        <f t="shared" si="561"/>
        <v>0.37999239254469375</v>
      </c>
      <c r="DL220" s="1492">
        <f>DL221/DL219</f>
        <v>0.37269685381540069</v>
      </c>
      <c r="DM220" s="1493">
        <f t="shared" si="561"/>
        <v>0.38597846554970783</v>
      </c>
      <c r="DN220" s="1493">
        <f t="shared" si="561"/>
        <v>0.38922904733688879</v>
      </c>
      <c r="DO220" s="1493">
        <f t="shared" si="561"/>
        <v>0.38519850332863598</v>
      </c>
      <c r="DP220" s="1493">
        <f t="shared" si="561"/>
        <v>0.38079148540777985</v>
      </c>
      <c r="DQ220" s="1492">
        <f>DQ221/DQ219</f>
        <v>0.38623340698029507</v>
      </c>
      <c r="DR220" s="1493">
        <f t="shared" si="561"/>
        <v>0.37001490312965724</v>
      </c>
      <c r="DS220" s="1493">
        <f t="shared" si="561"/>
        <v>0.37721614485099964</v>
      </c>
      <c r="DT220" s="1493">
        <f t="shared" si="561"/>
        <v>0.37599760200831805</v>
      </c>
      <c r="DU220" s="1493">
        <f t="shared" si="561"/>
        <v>0.38899031034967008</v>
      </c>
      <c r="DV220" s="1492">
        <f>DV221/DV219</f>
        <v>0.37764691223629249</v>
      </c>
      <c r="DW220" s="1493">
        <f t="shared" si="561"/>
        <v>0.40001040474456356</v>
      </c>
      <c r="DX220" s="1493">
        <f t="shared" si="561"/>
        <v>0.39680432194853943</v>
      </c>
      <c r="DY220" s="1493">
        <f>DY221/DY219</f>
        <v>0.39999999999999997</v>
      </c>
      <c r="DZ220" s="1493">
        <f>DZ221/DZ219</f>
        <v>0.4091653840425003</v>
      </c>
      <c r="EA220" s="1492">
        <f>EA221/EA219</f>
        <v>0.39970354411673059</v>
      </c>
      <c r="EB220" s="1493">
        <f>EB221/EB219</f>
        <v>0.39464775968227744</v>
      </c>
      <c r="EC220" s="1493">
        <f>EC221/EC219</f>
        <v>0.3987394032808545</v>
      </c>
      <c r="ED220" s="1723">
        <v>0.39600000000000002</v>
      </c>
      <c r="EE220" s="1494">
        <f>+ED220</f>
        <v>0.39600000000000002</v>
      </c>
      <c r="EF220" s="1492">
        <f>EF221/EF219</f>
        <v>0.39660492704425693</v>
      </c>
      <c r="EG220" s="1495"/>
      <c r="EH220" s="1496"/>
      <c r="EI220" s="1496"/>
      <c r="EJ220" s="1497"/>
      <c r="EK220" s="1498">
        <v>0.39500000000000002</v>
      </c>
      <c r="EL220" s="1495"/>
      <c r="EM220" s="1496"/>
      <c r="EN220" s="1496"/>
      <c r="EO220" s="1497"/>
      <c r="EP220" s="1498">
        <v>0.39500000000000002</v>
      </c>
      <c r="EQ220" s="1495"/>
      <c r="ER220" s="1496"/>
      <c r="ES220" s="1496"/>
      <c r="ET220" s="1497"/>
      <c r="EU220" s="1498">
        <v>0.39500000000000002</v>
      </c>
      <c r="EV220" s="1495"/>
      <c r="EW220" s="1496"/>
      <c r="EX220" s="1496"/>
      <c r="EY220" s="1497"/>
      <c r="EZ220" s="1498">
        <v>0.39500000000000002</v>
      </c>
      <c r="FA220" s="1495"/>
      <c r="FB220" s="1496"/>
      <c r="FC220" s="1496"/>
      <c r="FD220" s="1497"/>
      <c r="FE220" s="1498">
        <v>0.39500000000000002</v>
      </c>
      <c r="FF220" s="721"/>
      <c r="FG220" s="690"/>
      <c r="FH220" s="754"/>
      <c r="FI220" s="754"/>
      <c r="FJ220" s="754"/>
      <c r="FK220" s="754"/>
      <c r="FL220" s="690"/>
      <c r="FM220" s="940" t="s">
        <v>400</v>
      </c>
      <c r="FN220" s="708"/>
      <c r="FO220" s="723"/>
      <c r="FP220" s="723"/>
      <c r="FQ220" s="723"/>
      <c r="FR220" s="723"/>
      <c r="FS220" s="723"/>
      <c r="FT220" s="723"/>
      <c r="FU220" s="690"/>
      <c r="FV220"/>
      <c r="FW220"/>
      <c r="FX220"/>
      <c r="FY220"/>
      <c r="FZ220"/>
      <c r="GA220"/>
      <c r="GB220" s="1440"/>
      <c r="GC220" s="532"/>
      <c r="GD220" s="532"/>
      <c r="GE220" s="532"/>
      <c r="GF220" s="532"/>
      <c r="GG220" s="532"/>
      <c r="GH220" s="532"/>
      <c r="GI220" s="532"/>
      <c r="GJ220" s="532"/>
      <c r="GK220" s="532"/>
      <c r="GL220" s="532"/>
      <c r="GM220" s="532"/>
      <c r="GN220" s="532"/>
      <c r="GO220" s="532"/>
      <c r="GP220" s="532"/>
      <c r="GQ220" s="532"/>
      <c r="GR220" s="532"/>
      <c r="GS220" s="532"/>
      <c r="GT220" s="532"/>
      <c r="GU220" s="532"/>
      <c r="GV220" s="532"/>
      <c r="GW220" s="532"/>
      <c r="GX220" s="532"/>
      <c r="GY220" s="532"/>
      <c r="GZ220" s="532"/>
      <c r="HA220" s="532"/>
      <c r="HB220" s="532"/>
      <c r="HC220" s="532"/>
      <c r="HD220" s="532"/>
      <c r="HE220" s="532"/>
      <c r="HF220" s="532"/>
      <c r="HG220" s="532"/>
      <c r="HH220" s="532"/>
      <c r="HI220" s="532"/>
      <c r="HJ220" s="532"/>
      <c r="HK220" s="532"/>
      <c r="HL220" s="532"/>
      <c r="HM220" s="532"/>
      <c r="HN220" s="532"/>
      <c r="HO220" s="532"/>
      <c r="HP220" s="532"/>
      <c r="HQ220" s="532"/>
      <c r="HR220" s="532"/>
      <c r="HS220" s="532"/>
      <c r="HT220" s="532"/>
      <c r="HU220" s="532"/>
      <c r="HV220" s="532"/>
      <c r="HW220" s="532"/>
      <c r="HX220" s="532"/>
      <c r="HY220" s="532"/>
      <c r="HZ220" s="532"/>
      <c r="IA220" s="532"/>
      <c r="IB220" s="532"/>
      <c r="IC220" s="532"/>
      <c r="ID220" s="532"/>
      <c r="IE220" s="532"/>
      <c r="IF220" s="532"/>
      <c r="IG220" s="532"/>
      <c r="IH220" s="532"/>
      <c r="II220" s="532"/>
      <c r="IJ220" s="532"/>
      <c r="IK220" s="532"/>
      <c r="IL220" s="532"/>
      <c r="IM220" s="532"/>
      <c r="IN220" s="532"/>
      <c r="IO220" s="532"/>
      <c r="IP220" s="532"/>
      <c r="IQ220" s="532"/>
      <c r="IR220" s="532"/>
      <c r="IS220" s="532"/>
      <c r="IT220" s="532"/>
      <c r="IU220" s="532"/>
      <c r="IV220" s="532"/>
      <c r="IW220" s="532"/>
      <c r="IX220" s="532"/>
      <c r="IY220" s="532"/>
      <c r="IZ220" s="532"/>
      <c r="JA220" s="532"/>
      <c r="JB220" s="532"/>
      <c r="JC220" s="532"/>
      <c r="JD220" s="532"/>
      <c r="JE220" s="532"/>
      <c r="JF220" s="532"/>
      <c r="JG220" s="532"/>
      <c r="JH220" s="532"/>
      <c r="JI220" s="532"/>
      <c r="JJ220" s="532"/>
      <c r="JK220" s="532"/>
      <c r="JL220" s="532"/>
    </row>
    <row r="221" spans="1:272" s="942" customFormat="1" ht="12.75" hidden="1" customHeight="1" outlineLevel="1">
      <c r="A221" s="1499" t="s">
        <v>401</v>
      </c>
      <c r="B221" s="1420"/>
      <c r="C221" s="1421"/>
      <c r="D221" s="1421"/>
      <c r="E221" s="1421"/>
      <c r="F221" s="1196"/>
      <c r="G221" s="943"/>
      <c r="H221" s="1421"/>
      <c r="I221" s="1421"/>
      <c r="J221" s="1421"/>
      <c r="K221" s="1196"/>
      <c r="L221" s="943"/>
      <c r="M221" s="1421"/>
      <c r="N221" s="1421"/>
      <c r="O221" s="1421"/>
      <c r="P221" s="1196"/>
      <c r="Q221" s="943"/>
      <c r="R221" s="1421"/>
      <c r="S221" s="1421"/>
      <c r="T221" s="1421"/>
      <c r="U221" s="1196"/>
      <c r="V221" s="943"/>
      <c r="W221" s="1421"/>
      <c r="X221" s="1421"/>
      <c r="Y221" s="1421"/>
      <c r="Z221" s="1196"/>
      <c r="AA221" s="943"/>
      <c r="AB221" s="1421"/>
      <c r="AC221" s="1421"/>
      <c r="AD221" s="1421"/>
      <c r="AE221" s="1196"/>
      <c r="AF221" s="938"/>
      <c r="AG221" s="938"/>
      <c r="AH221" s="938"/>
      <c r="AI221" s="938"/>
      <c r="AJ221" s="1196"/>
      <c r="AK221" s="938"/>
      <c r="AL221" s="938"/>
      <c r="AM221" s="938"/>
      <c r="AN221" s="938"/>
      <c r="AO221" s="1196"/>
      <c r="AP221" s="938"/>
      <c r="AQ221" s="1422"/>
      <c r="AR221" s="1422"/>
      <c r="AS221" s="938"/>
      <c r="AT221" s="1196"/>
      <c r="AU221" s="938"/>
      <c r="AV221" s="1422"/>
      <c r="AW221" s="938"/>
      <c r="AX221" s="938"/>
      <c r="AY221" s="1196"/>
      <c r="AZ221" s="938"/>
      <c r="BA221" s="938"/>
      <c r="BB221" s="938"/>
      <c r="BC221" s="938"/>
      <c r="BD221" s="1196"/>
      <c r="BE221" s="938"/>
      <c r="BF221" s="938"/>
      <c r="BG221" s="938"/>
      <c r="BH221" s="938"/>
      <c r="BI221" s="1196"/>
      <c r="BJ221" s="938"/>
      <c r="BK221" s="938"/>
      <c r="BL221" s="938"/>
      <c r="BM221" s="938"/>
      <c r="BN221" s="1196"/>
      <c r="BO221" s="938">
        <v>7.4319717412704849</v>
      </c>
      <c r="BP221" s="938">
        <v>12.907502220501492</v>
      </c>
      <c r="BQ221" s="938">
        <v>15.339187410870718</v>
      </c>
      <c r="BR221" s="938">
        <v>14.920585426927694</v>
      </c>
      <c r="BS221" s="1196">
        <f>BR221+BQ221+BP221+BO221</f>
        <v>50.599246799570395</v>
      </c>
      <c r="BT221" s="938">
        <v>13.182481520591342</v>
      </c>
      <c r="BU221" s="938">
        <v>16.375579991996798</v>
      </c>
      <c r="BV221" s="938">
        <v>21.314330558943819</v>
      </c>
      <c r="BW221" s="938">
        <v>22.102017483459569</v>
      </c>
      <c r="BX221" s="1196">
        <f>BW221+BV221+BU221+BT221</f>
        <v>72.974409554991524</v>
      </c>
      <c r="BY221" s="938">
        <v>18.80428762353603</v>
      </c>
      <c r="BZ221" s="938">
        <v>22.772395832759901</v>
      </c>
      <c r="CA221" s="938">
        <v>26.194732093456061</v>
      </c>
      <c r="CB221" s="938">
        <v>24.255386818170237</v>
      </c>
      <c r="CC221" s="1196">
        <f>CB221+CA221+BZ221+BY221</f>
        <v>92.02680236792223</v>
      </c>
      <c r="CD221" s="938">
        <v>24.065140690589033</v>
      </c>
      <c r="CE221" s="938">
        <v>28.649224354541264</v>
      </c>
      <c r="CF221" s="938">
        <v>34.096216006785149</v>
      </c>
      <c r="CG221" s="938">
        <v>29.804052539561571</v>
      </c>
      <c r="CH221" s="1196">
        <v>121.98099999999999</v>
      </c>
      <c r="CI221" s="938">
        <v>27.619568901781587</v>
      </c>
      <c r="CJ221" s="938">
        <v>32.982288090277464</v>
      </c>
      <c r="CK221" s="938">
        <v>33.006282793334314</v>
      </c>
      <c r="CL221" s="938">
        <v>14.071383002951571</v>
      </c>
      <c r="CM221" s="1196">
        <f>CL221+CK221+CJ221+CI221</f>
        <v>107.67952278834494</v>
      </c>
      <c r="CN221" s="938">
        <v>20.208566042345275</v>
      </c>
      <c r="CO221" s="938">
        <v>25.67</v>
      </c>
      <c r="CP221" s="938">
        <v>22.960999999999999</v>
      </c>
      <c r="CQ221" s="938">
        <v>21.084</v>
      </c>
      <c r="CR221" s="1196">
        <f>CQ221+CP221+CO221+CN221</f>
        <v>89.923566042345271</v>
      </c>
      <c r="CS221" s="938">
        <v>15.686999999999999</v>
      </c>
      <c r="CT221" s="938">
        <v>32.185000000000002</v>
      </c>
      <c r="CU221" s="938">
        <v>23.263999999999999</v>
      </c>
      <c r="CV221" s="938">
        <v>-1.6419999999999999</v>
      </c>
      <c r="CW221" s="1196">
        <f>CV221+CU221+CT221+CS221</f>
        <v>69.494</v>
      </c>
      <c r="CX221" s="1423">
        <v>-13.476000000000001</v>
      </c>
      <c r="CY221" s="1423">
        <v>16.346</v>
      </c>
      <c r="CZ221" s="1423">
        <f>11.532</f>
        <v>11.532</v>
      </c>
      <c r="DA221" s="1423">
        <f>3.076</f>
        <v>3.0760000000000001</v>
      </c>
      <c r="DB221" s="1427">
        <f>17.478+3.4-0.787+0.681</f>
        <v>20.772000000000002</v>
      </c>
      <c r="DC221" s="1423">
        <f>1.123+0.692-1.185</f>
        <v>0.62999999999999989</v>
      </c>
      <c r="DD221" s="1423">
        <v>6.4480000000000004</v>
      </c>
      <c r="DE221" s="1423">
        <f>6.695+1.785</f>
        <v>8.48</v>
      </c>
      <c r="DF221" s="1423">
        <f>-1.694+0.447+1.287+0.692</f>
        <v>0.73199999999999998</v>
      </c>
      <c r="DG221" s="1196">
        <f>12.572+4.174+1.322+1.355</f>
        <v>19.422999999999998</v>
      </c>
      <c r="DH221" s="938">
        <f>14.439-6.471</f>
        <v>7.968</v>
      </c>
      <c r="DI221" s="1423">
        <f>16.022</f>
        <v>16.021999999999998</v>
      </c>
      <c r="DJ221" s="938">
        <v>18.478000000000002</v>
      </c>
      <c r="DK221" s="938">
        <f>10.69-1.149+0.026-0.576</f>
        <v>8.9909999999999997</v>
      </c>
      <c r="DL221" s="1196">
        <f>DK221+DJ221+DI221+DH221</f>
        <v>51.459000000000003</v>
      </c>
      <c r="DM221" s="938">
        <f>15.776+0.212</f>
        <v>15.988</v>
      </c>
      <c r="DN221" s="938">
        <v>23.648000000000014</v>
      </c>
      <c r="DO221" s="938">
        <v>15.853999999999999</v>
      </c>
      <c r="DP221" s="938">
        <v>9.016</v>
      </c>
      <c r="DQ221" s="1196">
        <f>DP221+DO221+DN221+DM221</f>
        <v>64.506000000000014</v>
      </c>
      <c r="DR221" s="1423">
        <v>6.2069999999999999</v>
      </c>
      <c r="DS221" s="1423">
        <v>23</v>
      </c>
      <c r="DT221" s="938">
        <v>20.07</v>
      </c>
      <c r="DU221" s="938">
        <v>8.31</v>
      </c>
      <c r="DV221" s="1196">
        <f>DU221+DT221+DS221+DR221</f>
        <v>57.587000000000003</v>
      </c>
      <c r="DW221" s="1423">
        <v>7.6890000000000001</v>
      </c>
      <c r="DX221" s="1423">
        <v>34.667999999999992</v>
      </c>
      <c r="DY221" s="938">
        <f>31.807-0.851</f>
        <v>30.956</v>
      </c>
      <c r="DZ221" s="938">
        <v>16.481999999999999</v>
      </c>
      <c r="EA221" s="1196">
        <f>DZ221+DY221+DX221+DW221</f>
        <v>89.794999999999987</v>
      </c>
      <c r="EB221" s="1423">
        <v>14.806000000000001</v>
      </c>
      <c r="EC221" s="1423">
        <v>28.974000000000018</v>
      </c>
      <c r="ED221" s="938">
        <f>ED220*ED219</f>
        <v>29.348748000000001</v>
      </c>
      <c r="EE221" s="938">
        <f>EE220*EE219</f>
        <v>24.116084674307995</v>
      </c>
      <c r="EF221" s="1196">
        <f>EE221+ED221+EC221+EB221</f>
        <v>97.244832674308014</v>
      </c>
      <c r="EG221" s="1424"/>
      <c r="EH221" s="938"/>
      <c r="EI221" s="938"/>
      <c r="EJ221" s="1425"/>
      <c r="EK221" s="1196">
        <f>EK219*EK220</f>
        <v>154.08146372707293</v>
      </c>
      <c r="EL221" s="1424"/>
      <c r="EM221" s="938"/>
      <c r="EN221" s="938"/>
      <c r="EO221" s="1425"/>
      <c r="EP221" s="1196">
        <f>EP219*EP220</f>
        <v>181.65047785659792</v>
      </c>
      <c r="EQ221" s="1424"/>
      <c r="ER221" s="938"/>
      <c r="ES221" s="938"/>
      <c r="ET221" s="1425"/>
      <c r="EU221" s="1196">
        <f>EU219*EU220</f>
        <v>214.98581128199308</v>
      </c>
      <c r="EV221" s="1424"/>
      <c r="EW221" s="938"/>
      <c r="EX221" s="938"/>
      <c r="EY221" s="1425"/>
      <c r="EZ221" s="1196">
        <f>EZ219*EZ220</f>
        <v>234.5465229125731</v>
      </c>
      <c r="FA221" s="1424"/>
      <c r="FB221" s="938"/>
      <c r="FC221" s="938"/>
      <c r="FD221" s="1425"/>
      <c r="FE221" s="1196">
        <f>FE219*FE220</f>
        <v>254.86953334152435</v>
      </c>
      <c r="FF221" s="938"/>
      <c r="FG221" s="690"/>
      <c r="FH221" s="754"/>
      <c r="FI221" s="754"/>
      <c r="FJ221" s="754"/>
      <c r="FK221" s="754"/>
      <c r="FL221" s="690"/>
      <c r="FM221" s="940"/>
      <c r="FN221" s="940"/>
      <c r="FO221" s="941"/>
      <c r="FP221" s="941"/>
      <c r="FQ221" s="941"/>
      <c r="FR221" s="941"/>
      <c r="FS221" s="941"/>
      <c r="FT221" s="941"/>
      <c r="FU221" s="690"/>
      <c r="FV221"/>
      <c r="FW221"/>
      <c r="FX221"/>
      <c r="FY221"/>
      <c r="FZ221"/>
      <c r="GA221"/>
      <c r="GB221" s="943"/>
      <c r="GC221" s="1426"/>
      <c r="GD221" s="1426"/>
      <c r="GE221" s="1426"/>
      <c r="GF221" s="1426"/>
      <c r="GG221" s="1426"/>
      <c r="GH221" s="1426"/>
      <c r="GI221" s="1426"/>
      <c r="GJ221" s="1426"/>
      <c r="GK221" s="1426"/>
      <c r="GL221" s="1426"/>
      <c r="GM221" s="1426"/>
      <c r="GN221" s="1426"/>
      <c r="GO221" s="1426"/>
      <c r="GP221" s="1426"/>
      <c r="GQ221" s="1426"/>
      <c r="GR221" s="1426"/>
      <c r="GS221" s="1426"/>
      <c r="GT221" s="1426"/>
      <c r="GU221" s="1426"/>
      <c r="GV221" s="1426"/>
      <c r="GW221" s="1426"/>
      <c r="GX221" s="1426"/>
      <c r="GY221" s="1426"/>
      <c r="GZ221" s="1426"/>
      <c r="HA221" s="1426"/>
      <c r="HB221" s="1426"/>
      <c r="HC221" s="1426"/>
      <c r="HD221" s="1426"/>
      <c r="HE221" s="1426"/>
      <c r="HF221" s="1426"/>
      <c r="HG221" s="1426"/>
      <c r="HH221" s="1426"/>
      <c r="HI221" s="1426"/>
      <c r="HJ221" s="1426"/>
      <c r="HK221" s="1426"/>
      <c r="HL221" s="1426"/>
      <c r="HM221" s="1426"/>
      <c r="HN221" s="1426"/>
      <c r="HO221" s="1426"/>
      <c r="HP221" s="1426"/>
      <c r="HQ221" s="1426"/>
      <c r="HR221" s="1426"/>
      <c r="HS221" s="1426"/>
      <c r="HT221" s="1426"/>
      <c r="HU221" s="1426"/>
      <c r="HV221" s="1426"/>
      <c r="HW221" s="1426"/>
      <c r="HX221" s="1426"/>
      <c r="HY221" s="1426"/>
      <c r="HZ221" s="1426"/>
      <c r="IA221" s="1426"/>
      <c r="IB221" s="1426"/>
      <c r="IC221" s="1426"/>
      <c r="ID221" s="1426"/>
      <c r="IE221" s="1426"/>
      <c r="IF221" s="1426"/>
      <c r="IG221" s="1426"/>
      <c r="IH221" s="1426"/>
      <c r="II221" s="1426"/>
      <c r="IJ221" s="1426"/>
      <c r="IK221" s="1426"/>
      <c r="IL221" s="1426"/>
      <c r="IM221" s="1426"/>
      <c r="IN221" s="1426"/>
      <c r="IO221" s="1426"/>
      <c r="IP221" s="1426"/>
      <c r="IQ221" s="1426"/>
      <c r="IR221" s="1426"/>
      <c r="IS221" s="1426"/>
      <c r="IT221" s="1426"/>
      <c r="IU221" s="1426"/>
      <c r="IV221" s="1426"/>
      <c r="IW221" s="1426"/>
      <c r="IX221" s="1426"/>
      <c r="IY221" s="1426"/>
      <c r="IZ221" s="1426"/>
      <c r="JA221" s="1426"/>
      <c r="JB221" s="1426"/>
      <c r="JC221" s="1426"/>
      <c r="JD221" s="1426"/>
      <c r="JE221" s="1426"/>
      <c r="JF221" s="1426"/>
      <c r="JG221" s="1426"/>
      <c r="JH221" s="1426"/>
      <c r="JI221" s="1426"/>
      <c r="JJ221" s="1426"/>
      <c r="JK221" s="1426"/>
      <c r="JL221" s="1426"/>
    </row>
    <row r="222" spans="1:272" s="942" customFormat="1" ht="12.75" hidden="1" customHeight="1" outlineLevel="1">
      <c r="A222" s="957" t="s">
        <v>402</v>
      </c>
      <c r="B222" s="1487"/>
      <c r="C222" s="1488"/>
      <c r="D222" s="1488"/>
      <c r="E222" s="1488"/>
      <c r="F222" s="1074"/>
      <c r="G222" s="1489"/>
      <c r="H222" s="1488"/>
      <c r="I222" s="1488"/>
      <c r="J222" s="1488"/>
      <c r="K222" s="1074"/>
      <c r="L222" s="1489"/>
      <c r="M222" s="1488"/>
      <c r="N222" s="1488"/>
      <c r="O222" s="1488"/>
      <c r="P222" s="1074"/>
      <c r="Q222" s="1489"/>
      <c r="R222" s="1488"/>
      <c r="S222" s="1488"/>
      <c r="T222" s="1488"/>
      <c r="U222" s="1074"/>
      <c r="V222" s="1489"/>
      <c r="W222" s="1488"/>
      <c r="X222" s="1488"/>
      <c r="Y222" s="1488"/>
      <c r="Z222" s="1074"/>
      <c r="AA222" s="1489"/>
      <c r="AB222" s="1488"/>
      <c r="AC222" s="1488"/>
      <c r="AD222" s="1488"/>
      <c r="AE222" s="1074"/>
      <c r="AF222" s="778"/>
      <c r="AG222" s="778"/>
      <c r="AH222" s="778"/>
      <c r="AI222" s="778"/>
      <c r="AJ222" s="1074"/>
      <c r="AK222" s="778"/>
      <c r="AL222" s="778"/>
      <c r="AM222" s="778"/>
      <c r="AN222" s="778"/>
      <c r="AO222" s="1074"/>
      <c r="AP222" s="778"/>
      <c r="AQ222" s="1073"/>
      <c r="AR222" s="1073"/>
      <c r="AS222" s="778"/>
      <c r="AT222" s="1074"/>
      <c r="AU222" s="778"/>
      <c r="AV222" s="1073"/>
      <c r="AW222" s="778"/>
      <c r="AX222" s="778"/>
      <c r="AY222" s="1074"/>
      <c r="AZ222" s="778"/>
      <c r="BA222" s="1073"/>
      <c r="BB222" s="778"/>
      <c r="BC222" s="778"/>
      <c r="BD222" s="1074"/>
      <c r="BE222" s="778"/>
      <c r="BF222" s="1073"/>
      <c r="BG222" s="778"/>
      <c r="BH222" s="778"/>
      <c r="BI222" s="1074"/>
      <c r="BJ222" s="778"/>
      <c r="BK222" s="1073"/>
      <c r="BL222" s="778"/>
      <c r="BM222" s="778"/>
      <c r="BN222" s="1074"/>
      <c r="BO222" s="778">
        <f>BO219-BO221</f>
        <v>13.051028258729531</v>
      </c>
      <c r="BP222" s="1073">
        <f>BP219-BP221</f>
        <v>19.184497779498514</v>
      </c>
      <c r="BQ222" s="778">
        <f>BQ219-BQ221</f>
        <v>23.650812589129277</v>
      </c>
      <c r="BR222" s="778">
        <f>BR219-BR221</f>
        <v>15.076914573072308</v>
      </c>
      <c r="BS222" s="1074">
        <f>BR222+BQ222+BP222+BO222</f>
        <v>70.963253200429634</v>
      </c>
      <c r="BT222" s="778">
        <f>BT219-BT221</f>
        <v>19.802518479408693</v>
      </c>
      <c r="BU222" s="1073">
        <f>BU219-BU221</f>
        <v>27.752420008003288</v>
      </c>
      <c r="BV222" s="778">
        <f>BV219-BV221</f>
        <v>33.564669441056239</v>
      </c>
      <c r="BW222" s="778">
        <f>BW219-BW221</f>
        <v>34.106982516540484</v>
      </c>
      <c r="BX222" s="1074">
        <f>BW222+BV222+BU222+BT222</f>
        <v>115.2265904450087</v>
      </c>
      <c r="BY222" s="778">
        <f>BY219-BY221</f>
        <v>29.955712376464025</v>
      </c>
      <c r="BZ222" s="1073">
        <f>BZ219-BZ221</f>
        <v>35.829604167240063</v>
      </c>
      <c r="CA222" s="778">
        <f>CA219-CA221</f>
        <v>42.112267906543927</v>
      </c>
      <c r="CB222" s="778">
        <f>CB219-CB221</f>
        <v>38.279613181829774</v>
      </c>
      <c r="CC222" s="1074">
        <f>CB222+CA222+BZ222+BY222</f>
        <v>146.17719763207779</v>
      </c>
      <c r="CD222" s="778">
        <f t="shared" ref="CD222:CL222" si="562">CD219-CD221</f>
        <v>42.853859309410936</v>
      </c>
      <c r="CE222" s="778">
        <f t="shared" si="562"/>
        <v>69.816775645458733</v>
      </c>
      <c r="CF222" s="778">
        <f t="shared" si="562"/>
        <v>66.169783993214878</v>
      </c>
      <c r="CG222" s="778">
        <f t="shared" si="562"/>
        <v>56.900947460438388</v>
      </c>
      <c r="CH222" s="1074">
        <f t="shared" si="562"/>
        <v>230.37499999999989</v>
      </c>
      <c r="CI222" s="778">
        <f t="shared" si="562"/>
        <v>49.564431098218392</v>
      </c>
      <c r="CJ222" s="778">
        <f t="shared" si="562"/>
        <v>77.387711909722555</v>
      </c>
      <c r="CK222" s="778">
        <f t="shared" si="562"/>
        <v>65.435717206665686</v>
      </c>
      <c r="CL222" s="778">
        <f t="shared" si="562"/>
        <v>92.241616997048425</v>
      </c>
      <c r="CM222" s="1074">
        <f>CL222+CK222+CJ222+CI222</f>
        <v>284.62947721165506</v>
      </c>
      <c r="CN222" s="778">
        <f>CN219-CN221</f>
        <v>25.583433957654726</v>
      </c>
      <c r="CO222" s="778">
        <f>CO219-CO221</f>
        <v>49.450000000000045</v>
      </c>
      <c r="CP222" s="778">
        <f>CP219-CP221</f>
        <v>38.964999999999989</v>
      </c>
      <c r="CQ222" s="778">
        <f>CQ219-CQ221</f>
        <v>38.724000000000018</v>
      </c>
      <c r="CR222" s="1074">
        <f>CQ222+CP222+CO222+CN222</f>
        <v>152.72243395765477</v>
      </c>
      <c r="CS222" s="778">
        <f>CS219-CS221</f>
        <v>24.111999999999995</v>
      </c>
      <c r="CT222" s="778">
        <f>CT219-CT221</f>
        <v>48.805999999999997</v>
      </c>
      <c r="CU222" s="778">
        <f>CU219-CU221</f>
        <v>40.483999999999966</v>
      </c>
      <c r="CV222" s="778">
        <f>CV219-CV221</f>
        <v>-47.978999999999985</v>
      </c>
      <c r="CW222" s="1074">
        <f>CV222+CU222+CT222+CS222</f>
        <v>65.422999999999973</v>
      </c>
      <c r="CX222" s="780">
        <f t="shared" ref="CX222:DU222" si="563">CX219-CX221</f>
        <v>-17.548999999999985</v>
      </c>
      <c r="CY222" s="780">
        <f t="shared" si="563"/>
        <v>33.038999999999987</v>
      </c>
      <c r="CZ222" s="780">
        <f t="shared" si="563"/>
        <v>13.492000000000001</v>
      </c>
      <c r="DA222" s="780">
        <f t="shared" si="563"/>
        <v>-1.928999999999998</v>
      </c>
      <c r="DB222" s="1298">
        <f t="shared" si="563"/>
        <v>32.490999999999985</v>
      </c>
      <c r="DC222" s="780">
        <f t="shared" si="563"/>
        <v>-0.74399999999999711</v>
      </c>
      <c r="DD222" s="780">
        <f t="shared" si="563"/>
        <v>13.863</v>
      </c>
      <c r="DE222" s="780">
        <f t="shared" si="563"/>
        <v>11.876999999999992</v>
      </c>
      <c r="DF222" s="780">
        <f t="shared" si="563"/>
        <v>1.1079999999999999</v>
      </c>
      <c r="DG222" s="1074">
        <f t="shared" si="563"/>
        <v>25.243000000000013</v>
      </c>
      <c r="DH222" s="778">
        <f t="shared" si="563"/>
        <v>13.392999999999997</v>
      </c>
      <c r="DI222" s="778">
        <f t="shared" si="563"/>
        <v>29.422000000000004</v>
      </c>
      <c r="DJ222" s="778">
        <f t="shared" si="563"/>
        <v>29.127999999999993</v>
      </c>
      <c r="DK222" s="778">
        <f t="shared" si="563"/>
        <v>14.670000000000002</v>
      </c>
      <c r="DL222" s="1074">
        <f>DK222+DJ222+DI222+DH222</f>
        <v>86.613</v>
      </c>
      <c r="DM222" s="778">
        <f t="shared" si="563"/>
        <v>25.434000000000005</v>
      </c>
      <c r="DN222" s="778">
        <f t="shared" si="563"/>
        <v>37.10799999999999</v>
      </c>
      <c r="DO222" s="778">
        <f t="shared" si="563"/>
        <v>25.304000000000002</v>
      </c>
      <c r="DP222" s="778">
        <f t="shared" si="563"/>
        <v>14.660999999999992</v>
      </c>
      <c r="DQ222" s="1074">
        <f>DP222+DO222+DN222+DM222</f>
        <v>102.50699999999998</v>
      </c>
      <c r="DR222" s="778">
        <f>DR219-DR221</f>
        <v>10.567999999999998</v>
      </c>
      <c r="DS222" s="778">
        <f t="shared" si="563"/>
        <v>37.972999999999999</v>
      </c>
      <c r="DT222" s="778">
        <f t="shared" si="563"/>
        <v>33.308</v>
      </c>
      <c r="DU222" s="778">
        <f t="shared" si="563"/>
        <v>13.052999999999995</v>
      </c>
      <c r="DV222" s="1074">
        <f>DU222+DT222+DS222+DR222</f>
        <v>94.902000000000001</v>
      </c>
      <c r="DW222" s="778">
        <f>DW219-DW221</f>
        <v>11.532999999999998</v>
      </c>
      <c r="DX222" s="778">
        <f>DX219-DX221</f>
        <v>52.7</v>
      </c>
      <c r="DY222" s="778">
        <f>DY219-DY221</f>
        <v>46.433999999999997</v>
      </c>
      <c r="DZ222" s="778">
        <f>DZ219-DZ221</f>
        <v>23.800000000000004</v>
      </c>
      <c r="EA222" s="1074">
        <f>DZ222+DY222+DX222+DW222</f>
        <v>134.46700000000001</v>
      </c>
      <c r="EB222" s="778">
        <f>EB219-EB221</f>
        <v>22.710999999999995</v>
      </c>
      <c r="EC222" s="778">
        <f>EC219-EC221</f>
        <v>43.69</v>
      </c>
      <c r="ED222" s="778">
        <f>ED219-ED221</f>
        <v>44.764251999999999</v>
      </c>
      <c r="EE222" s="778">
        <f>EE219-EE221</f>
        <v>36.783119048691987</v>
      </c>
      <c r="EF222" s="1074">
        <f>EE222+ED222+EC222+EB222</f>
        <v>147.94837104869197</v>
      </c>
      <c r="EG222" s="1039"/>
      <c r="EH222" s="778"/>
      <c r="EI222" s="778"/>
      <c r="EJ222" s="1040"/>
      <c r="EK222" s="1074">
        <f>EK219-EK221</f>
        <v>235.99819127817497</v>
      </c>
      <c r="EL222" s="1039"/>
      <c r="EM222" s="778"/>
      <c r="EN222" s="778"/>
      <c r="EO222" s="1040"/>
      <c r="EP222" s="1074">
        <f>EP219-EP221</f>
        <v>278.22414962846005</v>
      </c>
      <c r="EQ222" s="1039"/>
      <c r="ER222" s="778"/>
      <c r="ES222" s="778"/>
      <c r="ET222" s="1040"/>
      <c r="EU222" s="1074">
        <f>EU219-EU221</f>
        <v>329.28206538128052</v>
      </c>
      <c r="EV222" s="1039"/>
      <c r="EW222" s="778"/>
      <c r="EX222" s="778"/>
      <c r="EY222" s="1040"/>
      <c r="EZ222" s="1074">
        <f>EZ219-EZ221</f>
        <v>359.24214268887772</v>
      </c>
      <c r="FA222" s="1039"/>
      <c r="FB222" s="778"/>
      <c r="FC222" s="778"/>
      <c r="FD222" s="1040"/>
      <c r="FE222" s="1074">
        <f>FE219-FE221</f>
        <v>390.36979157372713</v>
      </c>
      <c r="FF222" s="938"/>
      <c r="FG222" s="690"/>
      <c r="FH222" s="754"/>
      <c r="FI222" s="754"/>
      <c r="FJ222" s="754"/>
      <c r="FK222" s="754"/>
      <c r="FL222" s="690"/>
      <c r="FM222" s="940"/>
      <c r="FN222" s="940"/>
      <c r="FO222" s="941"/>
      <c r="FP222" s="941"/>
      <c r="FQ222" s="941"/>
      <c r="FR222" s="941"/>
      <c r="FS222" s="941"/>
      <c r="FT222" s="941"/>
      <c r="FU222" s="690"/>
      <c r="FV222"/>
      <c r="FW222"/>
      <c r="FX222"/>
      <c r="FY222"/>
      <c r="FZ222"/>
      <c r="GA222"/>
      <c r="GB222" s="943"/>
      <c r="GC222" s="1426"/>
      <c r="GD222" s="1426"/>
      <c r="GE222" s="1426"/>
      <c r="GF222" s="1426"/>
      <c r="GG222" s="1426"/>
      <c r="GH222" s="1426"/>
      <c r="GI222" s="1426"/>
      <c r="GJ222" s="1426"/>
      <c r="GK222" s="1426"/>
      <c r="GL222" s="1426"/>
      <c r="GM222" s="1426"/>
      <c r="GN222" s="1426"/>
      <c r="GO222" s="1426"/>
      <c r="GP222" s="1426"/>
      <c r="GQ222" s="1426"/>
      <c r="GR222" s="1426"/>
      <c r="GS222" s="1426"/>
      <c r="GT222" s="1426"/>
      <c r="GU222" s="1426"/>
      <c r="GV222" s="1426"/>
      <c r="GW222" s="1426"/>
      <c r="GX222" s="1426"/>
      <c r="GY222" s="1426"/>
      <c r="GZ222" s="1426"/>
      <c r="HA222" s="1426"/>
      <c r="HB222" s="1426"/>
      <c r="HC222" s="1426"/>
      <c r="HD222" s="1426"/>
      <c r="HE222" s="1426"/>
      <c r="HF222" s="1426"/>
      <c r="HG222" s="1426"/>
      <c r="HH222" s="1426"/>
      <c r="HI222" s="1426"/>
      <c r="HJ222" s="1426"/>
      <c r="HK222" s="1426"/>
      <c r="HL222" s="1426"/>
      <c r="HM222" s="1426"/>
      <c r="HN222" s="1426"/>
      <c r="HO222" s="1426"/>
      <c r="HP222" s="1426"/>
      <c r="HQ222" s="1426"/>
      <c r="HR222" s="1426"/>
      <c r="HS222" s="1426"/>
      <c r="HT222" s="1426"/>
      <c r="HU222" s="1426"/>
      <c r="HV222" s="1426"/>
      <c r="HW222" s="1426"/>
      <c r="HX222" s="1426"/>
      <c r="HY222" s="1426"/>
      <c r="HZ222" s="1426"/>
      <c r="IA222" s="1426"/>
      <c r="IB222" s="1426"/>
      <c r="IC222" s="1426"/>
      <c r="ID222" s="1426"/>
      <c r="IE222" s="1426"/>
      <c r="IF222" s="1426"/>
      <c r="IG222" s="1426"/>
      <c r="IH222" s="1426"/>
      <c r="II222" s="1426"/>
      <c r="IJ222" s="1426"/>
      <c r="IK222" s="1426"/>
      <c r="IL222" s="1426"/>
      <c r="IM222" s="1426"/>
      <c r="IN222" s="1426"/>
      <c r="IO222" s="1426"/>
      <c r="IP222" s="1426"/>
      <c r="IQ222" s="1426"/>
      <c r="IR222" s="1426"/>
      <c r="IS222" s="1426"/>
      <c r="IT222" s="1426"/>
      <c r="IU222" s="1426"/>
      <c r="IV222" s="1426"/>
      <c r="IW222" s="1426"/>
      <c r="IX222" s="1426"/>
      <c r="IY222" s="1426"/>
      <c r="IZ222" s="1426"/>
      <c r="JA222" s="1426"/>
      <c r="JB222" s="1426"/>
      <c r="JC222" s="1426"/>
      <c r="JD222" s="1426"/>
      <c r="JE222" s="1426"/>
      <c r="JF222" s="1426"/>
      <c r="JG222" s="1426"/>
      <c r="JH222" s="1426"/>
      <c r="JI222" s="1426"/>
      <c r="JJ222" s="1426"/>
      <c r="JK222" s="1426"/>
      <c r="JL222" s="1426"/>
    </row>
    <row r="223" spans="1:272" s="942" customFormat="1" ht="12.75" hidden="1" customHeight="1" outlineLevel="1">
      <c r="A223" s="1419" t="s">
        <v>403</v>
      </c>
      <c r="B223" s="1420"/>
      <c r="C223" s="1421"/>
      <c r="D223" s="1421"/>
      <c r="E223" s="1421"/>
      <c r="F223" s="1196"/>
      <c r="G223" s="943"/>
      <c r="H223" s="1421"/>
      <c r="I223" s="1421"/>
      <c r="J223" s="1421"/>
      <c r="K223" s="1196"/>
      <c r="L223" s="943"/>
      <c r="M223" s="1421"/>
      <c r="N223" s="1421"/>
      <c r="O223" s="1421"/>
      <c r="P223" s="1196"/>
      <c r="Q223" s="943"/>
      <c r="R223" s="1421"/>
      <c r="S223" s="1421"/>
      <c r="T223" s="1421"/>
      <c r="U223" s="1196"/>
      <c r="V223" s="943"/>
      <c r="W223" s="1421"/>
      <c r="X223" s="1421"/>
      <c r="Y223" s="1421"/>
      <c r="Z223" s="1196"/>
      <c r="AA223" s="943"/>
      <c r="AB223" s="1421"/>
      <c r="AC223" s="1421"/>
      <c r="AD223" s="1421"/>
      <c r="AE223" s="1196"/>
      <c r="AF223" s="938"/>
      <c r="AG223" s="938"/>
      <c r="AH223" s="938"/>
      <c r="AI223" s="938"/>
      <c r="AJ223" s="1196"/>
      <c r="AK223" s="938"/>
      <c r="AL223" s="938"/>
      <c r="AM223" s="938"/>
      <c r="AN223" s="938"/>
      <c r="AO223" s="1196"/>
      <c r="AP223" s="938"/>
      <c r="AQ223" s="1422"/>
      <c r="AR223" s="1422"/>
      <c r="AS223" s="938"/>
      <c r="AT223" s="1196"/>
      <c r="AU223" s="938"/>
      <c r="AV223" s="1422"/>
      <c r="AW223" s="938"/>
      <c r="AX223" s="938"/>
      <c r="AY223" s="1196"/>
      <c r="AZ223" s="938"/>
      <c r="BA223" s="1422"/>
      <c r="BB223" s="938"/>
      <c r="BC223" s="938"/>
      <c r="BD223" s="1196"/>
      <c r="BE223" s="938"/>
      <c r="BF223" s="1422"/>
      <c r="BG223" s="1422"/>
      <c r="BH223" s="938"/>
      <c r="BI223" s="1196"/>
      <c r="BJ223" s="938"/>
      <c r="BK223" s="1422"/>
      <c r="BL223" s="1422"/>
      <c r="BM223" s="938"/>
      <c r="BN223" s="1196"/>
      <c r="BO223" s="938">
        <v>-2.0049999999999999</v>
      </c>
      <c r="BP223" s="1422">
        <v>-2.0430000000000001</v>
      </c>
      <c r="BQ223" s="1422">
        <v>-2.0019999999999998</v>
      </c>
      <c r="BR223" s="938">
        <v>-2.2000000000000002</v>
      </c>
      <c r="BS223" s="1196">
        <f>BR223+BQ223+BP223+BO223</f>
        <v>-8.25</v>
      </c>
      <c r="BT223" s="938">
        <v>-2.0259999999999998</v>
      </c>
      <c r="BU223" s="1422">
        <v>-2.069</v>
      </c>
      <c r="BV223" s="1422">
        <v>-2.0299999999999998</v>
      </c>
      <c r="BW223" s="938">
        <v>-2.1139999999999999</v>
      </c>
      <c r="BX223" s="1196">
        <f>BW223+BV223+BU223+BT223</f>
        <v>-8.2390000000000008</v>
      </c>
      <c r="BY223" s="938">
        <v>-2.0219999999999998</v>
      </c>
      <c r="BZ223" s="1422">
        <v>-2.0219999999999998</v>
      </c>
      <c r="CA223" s="1422">
        <v>-2.0750000000000002</v>
      </c>
      <c r="CB223" s="938">
        <v>-2.12</v>
      </c>
      <c r="CC223" s="1196">
        <f>CB223+CA223+BZ223+BY223</f>
        <v>-8.2390000000000008</v>
      </c>
      <c r="CD223" s="938">
        <v>-1.9890000000000001</v>
      </c>
      <c r="CE223" s="938">
        <v>-2.036</v>
      </c>
      <c r="CF223" s="938">
        <v>-1.8160000000000001</v>
      </c>
      <c r="CG223" s="938">
        <v>-1.887</v>
      </c>
      <c r="CH223" s="1196">
        <v>-7.7279999999999998</v>
      </c>
      <c r="CI223" s="938">
        <v>-1.7629999999999999</v>
      </c>
      <c r="CJ223" s="938">
        <v>-1.8080000000000001</v>
      </c>
      <c r="CK223" s="938">
        <v>-1.748</v>
      </c>
      <c r="CL223" s="938">
        <v>-1.835</v>
      </c>
      <c r="CM223" s="1196">
        <f>CL223+CK223+CJ223+CI223</f>
        <v>-7.1539999999999999</v>
      </c>
      <c r="CN223" s="938">
        <v>-1.714</v>
      </c>
      <c r="CO223" s="938">
        <v>-1.7649999999999999</v>
      </c>
      <c r="CP223" s="938">
        <v>-1.6930000000000001</v>
      </c>
      <c r="CQ223" s="938">
        <v>-1.788</v>
      </c>
      <c r="CR223" s="1196">
        <f>CQ223+CP223+CO223+CN223</f>
        <v>-6.9599999999999991</v>
      </c>
      <c r="CS223" s="938">
        <v>-1.6559999999999999</v>
      </c>
      <c r="CT223" s="938">
        <v>-1.7170000000000001</v>
      </c>
      <c r="CU223" s="938">
        <v>-1.655</v>
      </c>
      <c r="CV223" s="938">
        <v>-1.76</v>
      </c>
      <c r="CW223" s="1196">
        <f>CV223+CU223+CT223+CS223</f>
        <v>-6.7879999999999994</v>
      </c>
      <c r="CX223" s="1423">
        <v>-1.617</v>
      </c>
      <c r="CY223" s="1423">
        <v>-1.5720000000000001</v>
      </c>
      <c r="CZ223" s="1423">
        <v>0</v>
      </c>
      <c r="DA223" s="1423">
        <v>0</v>
      </c>
      <c r="DB223" s="1427">
        <v>-3.1890000000000001</v>
      </c>
      <c r="DC223" s="1423"/>
      <c r="DD223" s="1423"/>
      <c r="DE223" s="1423"/>
      <c r="DF223" s="1423"/>
      <c r="DG223" s="1196"/>
      <c r="DH223" s="938"/>
      <c r="DI223" s="938"/>
      <c r="DJ223" s="1500"/>
      <c r="DK223" s="1500"/>
      <c r="DL223" s="1196"/>
      <c r="DM223" s="1500"/>
      <c r="DN223" s="1500"/>
      <c r="DO223" s="1500"/>
      <c r="DP223" s="1500"/>
      <c r="DQ223" s="1196"/>
      <c r="DR223" s="1500"/>
      <c r="DS223" s="1500"/>
      <c r="DT223" s="1500"/>
      <c r="DU223" s="1500"/>
      <c r="DV223" s="1196"/>
      <c r="DW223" s="1500"/>
      <c r="DX223" s="1500"/>
      <c r="DY223" s="1500"/>
      <c r="DZ223" s="1500"/>
      <c r="EA223" s="1196"/>
      <c r="EB223" s="1500"/>
      <c r="EC223" s="1500"/>
      <c r="ED223" s="1500"/>
      <c r="EE223" s="1500"/>
      <c r="EF223" s="1196"/>
      <c r="EG223" s="1424"/>
      <c r="EH223" s="938"/>
      <c r="EI223" s="938"/>
      <c r="EJ223" s="1425"/>
      <c r="EK223" s="1501"/>
      <c r="EL223" s="1424"/>
      <c r="EM223" s="938"/>
      <c r="EN223" s="938"/>
      <c r="EO223" s="1425"/>
      <c r="EP223" s="1501"/>
      <c r="EQ223" s="1424"/>
      <c r="ER223" s="938"/>
      <c r="ES223" s="938"/>
      <c r="ET223" s="1425"/>
      <c r="EU223" s="1501"/>
      <c r="EV223" s="1424"/>
      <c r="EW223" s="938"/>
      <c r="EX223" s="938"/>
      <c r="EY223" s="1425"/>
      <c r="EZ223" s="1501"/>
      <c r="FA223" s="1424"/>
      <c r="FB223" s="938"/>
      <c r="FC223" s="938"/>
      <c r="FD223" s="1425"/>
      <c r="FE223" s="1501"/>
      <c r="FF223" s="938"/>
      <c r="FG223" s="690"/>
      <c r="FH223" s="754"/>
      <c r="FI223" s="754"/>
      <c r="FJ223" s="754"/>
      <c r="FK223" s="754"/>
      <c r="FL223" s="690"/>
      <c r="FM223" s="940"/>
      <c r="FN223" s="940"/>
      <c r="FO223" s="941"/>
      <c r="FP223" s="941"/>
      <c r="FQ223" s="941"/>
      <c r="FR223" s="941"/>
      <c r="FS223" s="941"/>
      <c r="FT223" s="941"/>
      <c r="FU223" s="690"/>
      <c r="FV223"/>
      <c r="FW223"/>
      <c r="FX223"/>
      <c r="FY223"/>
      <c r="FZ223"/>
      <c r="GA223"/>
      <c r="GB223" s="943"/>
      <c r="GC223" s="1426"/>
      <c r="GD223" s="1426"/>
      <c r="GE223" s="1426"/>
      <c r="GF223" s="1426"/>
      <c r="GG223" s="1426"/>
      <c r="GH223" s="1426"/>
      <c r="GI223" s="1426"/>
      <c r="GJ223" s="1426"/>
      <c r="GK223" s="1426"/>
      <c r="GL223" s="1426"/>
      <c r="GM223" s="1426"/>
      <c r="GN223" s="1426"/>
      <c r="GO223" s="1426"/>
      <c r="GP223" s="1426"/>
      <c r="GQ223" s="1426"/>
      <c r="GR223" s="1426"/>
      <c r="GS223" s="1426"/>
      <c r="GT223" s="1426"/>
      <c r="GU223" s="1426"/>
      <c r="GV223" s="1426"/>
      <c r="GW223" s="1426"/>
      <c r="GX223" s="1426"/>
      <c r="GY223" s="1426"/>
      <c r="GZ223" s="1426"/>
      <c r="HA223" s="1426"/>
      <c r="HB223" s="1426"/>
      <c r="HC223" s="1426"/>
      <c r="HD223" s="1426"/>
      <c r="HE223" s="1426"/>
      <c r="HF223" s="1426"/>
      <c r="HG223" s="1426"/>
      <c r="HH223" s="1426"/>
      <c r="HI223" s="1426"/>
      <c r="HJ223" s="1426"/>
      <c r="HK223" s="1426"/>
      <c r="HL223" s="1426"/>
      <c r="HM223" s="1426"/>
      <c r="HN223" s="1426"/>
      <c r="HO223" s="1426"/>
      <c r="HP223" s="1426"/>
      <c r="HQ223" s="1426"/>
      <c r="HR223" s="1426"/>
      <c r="HS223" s="1426"/>
      <c r="HT223" s="1426"/>
      <c r="HU223" s="1426"/>
      <c r="HV223" s="1426"/>
      <c r="HW223" s="1426"/>
      <c r="HX223" s="1426"/>
      <c r="HY223" s="1426"/>
      <c r="HZ223" s="1426"/>
      <c r="IA223" s="1426"/>
      <c r="IB223" s="1426"/>
      <c r="IC223" s="1426"/>
      <c r="ID223" s="1426"/>
      <c r="IE223" s="1426"/>
      <c r="IF223" s="1426"/>
      <c r="IG223" s="1426"/>
      <c r="IH223" s="1426"/>
      <c r="II223" s="1426"/>
      <c r="IJ223" s="1426"/>
      <c r="IK223" s="1426"/>
      <c r="IL223" s="1426"/>
      <c r="IM223" s="1426"/>
      <c r="IN223" s="1426"/>
      <c r="IO223" s="1426"/>
      <c r="IP223" s="1426"/>
      <c r="IQ223" s="1426"/>
      <c r="IR223" s="1426"/>
      <c r="IS223" s="1426"/>
      <c r="IT223" s="1426"/>
      <c r="IU223" s="1426"/>
      <c r="IV223" s="1426"/>
      <c r="IW223" s="1426"/>
      <c r="IX223" s="1426"/>
      <c r="IY223" s="1426"/>
      <c r="IZ223" s="1426"/>
      <c r="JA223" s="1426"/>
      <c r="JB223" s="1426"/>
      <c r="JC223" s="1426"/>
      <c r="JD223" s="1426"/>
      <c r="JE223" s="1426"/>
      <c r="JF223" s="1426"/>
      <c r="JG223" s="1426"/>
      <c r="JH223" s="1426"/>
      <c r="JI223" s="1426"/>
      <c r="JJ223" s="1426"/>
      <c r="JK223" s="1426"/>
      <c r="JL223" s="1426"/>
    </row>
    <row r="224" spans="1:272" s="942" customFormat="1" ht="12.75" hidden="1" customHeight="1" outlineLevel="1">
      <c r="A224" s="962" t="s">
        <v>404</v>
      </c>
      <c r="B224" s="1487"/>
      <c r="C224" s="1488"/>
      <c r="D224" s="1488"/>
      <c r="E224" s="1488"/>
      <c r="F224" s="1074"/>
      <c r="G224" s="1489"/>
      <c r="H224" s="1488"/>
      <c r="I224" s="1488"/>
      <c r="J224" s="1488"/>
      <c r="K224" s="1074"/>
      <c r="L224" s="1489"/>
      <c r="M224" s="1488"/>
      <c r="N224" s="1488"/>
      <c r="O224" s="1488"/>
      <c r="P224" s="1074"/>
      <c r="Q224" s="1489"/>
      <c r="R224" s="1488"/>
      <c r="S224" s="1488"/>
      <c r="T224" s="1488"/>
      <c r="U224" s="1074"/>
      <c r="V224" s="1489"/>
      <c r="W224" s="1488"/>
      <c r="X224" s="1488"/>
      <c r="Y224" s="1488"/>
      <c r="Z224" s="1074"/>
      <c r="AA224" s="1489"/>
      <c r="AB224" s="1488"/>
      <c r="AC224" s="1488"/>
      <c r="AD224" s="1488"/>
      <c r="AE224" s="1074"/>
      <c r="AF224" s="778"/>
      <c r="AG224" s="778"/>
      <c r="AH224" s="778"/>
      <c r="AI224" s="778"/>
      <c r="AJ224" s="1074"/>
      <c r="AK224" s="778"/>
      <c r="AL224" s="778"/>
      <c r="AM224" s="778"/>
      <c r="AN224" s="778"/>
      <c r="AO224" s="1074"/>
      <c r="AP224" s="778"/>
      <c r="AQ224" s="1073"/>
      <c r="AR224" s="1073"/>
      <c r="AS224" s="778"/>
      <c r="AT224" s="1074"/>
      <c r="AU224" s="778"/>
      <c r="AV224" s="1073"/>
      <c r="AW224" s="778"/>
      <c r="AX224" s="778"/>
      <c r="AY224" s="1074"/>
      <c r="AZ224" s="778"/>
      <c r="BA224" s="1073"/>
      <c r="BB224" s="778"/>
      <c r="BC224" s="778"/>
      <c r="BD224" s="1074"/>
      <c r="BE224" s="778"/>
      <c r="BF224" s="1073"/>
      <c r="BG224" s="778"/>
      <c r="BH224" s="778"/>
      <c r="BI224" s="1074"/>
      <c r="BJ224" s="778"/>
      <c r="BK224" s="1073"/>
      <c r="BL224" s="778"/>
      <c r="BM224" s="778"/>
      <c r="BN224" s="1074"/>
      <c r="BO224" s="1132">
        <f t="shared" ref="BO224:DS224" si="564">BO222+BO223</f>
        <v>11.046028258729532</v>
      </c>
      <c r="BP224" s="1502">
        <f t="shared" si="564"/>
        <v>17.141497779498515</v>
      </c>
      <c r="BQ224" s="1132">
        <f t="shared" si="564"/>
        <v>21.648812589129278</v>
      </c>
      <c r="BR224" s="1132">
        <f t="shared" si="564"/>
        <v>12.876914573072309</v>
      </c>
      <c r="BS224" s="1074">
        <f t="shared" si="564"/>
        <v>62.713253200429634</v>
      </c>
      <c r="BT224" s="778">
        <f t="shared" si="564"/>
        <v>17.776518479408693</v>
      </c>
      <c r="BU224" s="1073">
        <f t="shared" si="564"/>
        <v>25.683420008003289</v>
      </c>
      <c r="BV224" s="778">
        <f t="shared" si="564"/>
        <v>31.534669441056238</v>
      </c>
      <c r="BW224" s="778">
        <f t="shared" si="564"/>
        <v>31.992982516540483</v>
      </c>
      <c r="BX224" s="1074">
        <f t="shared" si="564"/>
        <v>106.98759044500869</v>
      </c>
      <c r="BY224" s="778">
        <f t="shared" si="564"/>
        <v>27.933712376464026</v>
      </c>
      <c r="BZ224" s="1073">
        <f t="shared" si="564"/>
        <v>33.807604167240065</v>
      </c>
      <c r="CA224" s="778">
        <f t="shared" si="564"/>
        <v>40.037267906543924</v>
      </c>
      <c r="CB224" s="778">
        <f t="shared" si="564"/>
        <v>36.159613181829776</v>
      </c>
      <c r="CC224" s="1074">
        <f t="shared" si="564"/>
        <v>137.93819763207779</v>
      </c>
      <c r="CD224" s="778">
        <f t="shared" si="564"/>
        <v>40.864859309410939</v>
      </c>
      <c r="CE224" s="778">
        <f t="shared" si="564"/>
        <v>67.780775645458732</v>
      </c>
      <c r="CF224" s="778">
        <f t="shared" si="564"/>
        <v>64.353783993214876</v>
      </c>
      <c r="CG224" s="778">
        <f t="shared" si="564"/>
        <v>55.013947460438388</v>
      </c>
      <c r="CH224" s="1074">
        <f t="shared" si="564"/>
        <v>222.64699999999988</v>
      </c>
      <c r="CI224" s="778">
        <f t="shared" si="564"/>
        <v>47.801431098218394</v>
      </c>
      <c r="CJ224" s="778">
        <f t="shared" si="564"/>
        <v>75.579711909722548</v>
      </c>
      <c r="CK224" s="778">
        <f t="shared" si="564"/>
        <v>63.687717206665688</v>
      </c>
      <c r="CL224" s="778">
        <f t="shared" si="564"/>
        <v>90.406616997048431</v>
      </c>
      <c r="CM224" s="1074">
        <f t="shared" si="564"/>
        <v>277.47547721165506</v>
      </c>
      <c r="CN224" s="778">
        <f t="shared" si="564"/>
        <v>23.869433957654728</v>
      </c>
      <c r="CO224" s="778">
        <f t="shared" si="564"/>
        <v>47.685000000000045</v>
      </c>
      <c r="CP224" s="778">
        <f t="shared" si="564"/>
        <v>37.271999999999991</v>
      </c>
      <c r="CQ224" s="778">
        <f t="shared" si="564"/>
        <v>36.936000000000021</v>
      </c>
      <c r="CR224" s="1074">
        <f t="shared" si="564"/>
        <v>145.76243395765476</v>
      </c>
      <c r="CS224" s="778">
        <f t="shared" si="564"/>
        <v>22.455999999999996</v>
      </c>
      <c r="CT224" s="778">
        <f t="shared" si="564"/>
        <v>47.088999999999999</v>
      </c>
      <c r="CU224" s="778">
        <f t="shared" si="564"/>
        <v>38.828999999999965</v>
      </c>
      <c r="CV224" s="778">
        <f t="shared" si="564"/>
        <v>-49.738999999999983</v>
      </c>
      <c r="CW224" s="1074">
        <f t="shared" si="564"/>
        <v>58.634999999999977</v>
      </c>
      <c r="CX224" s="780">
        <f t="shared" si="564"/>
        <v>-19.165999999999986</v>
      </c>
      <c r="CY224" s="780">
        <f t="shared" si="564"/>
        <v>31.466999999999988</v>
      </c>
      <c r="CZ224" s="780">
        <f t="shared" si="564"/>
        <v>13.492000000000001</v>
      </c>
      <c r="DA224" s="780">
        <f t="shared" si="564"/>
        <v>-1.928999999999998</v>
      </c>
      <c r="DB224" s="1298">
        <f t="shared" si="564"/>
        <v>29.301999999999985</v>
      </c>
      <c r="DC224" s="780">
        <f t="shared" si="564"/>
        <v>-0.74399999999999711</v>
      </c>
      <c r="DD224" s="780">
        <f t="shared" si="564"/>
        <v>13.863</v>
      </c>
      <c r="DE224" s="780">
        <f t="shared" si="564"/>
        <v>11.876999999999992</v>
      </c>
      <c r="DF224" s="780">
        <f t="shared" si="564"/>
        <v>1.1079999999999999</v>
      </c>
      <c r="DG224" s="1074">
        <f t="shared" si="564"/>
        <v>25.243000000000013</v>
      </c>
      <c r="DH224" s="778">
        <f t="shared" si="564"/>
        <v>13.392999999999997</v>
      </c>
      <c r="DI224" s="778">
        <f t="shared" si="564"/>
        <v>29.422000000000004</v>
      </c>
      <c r="DJ224" s="778">
        <f t="shared" si="564"/>
        <v>29.127999999999993</v>
      </c>
      <c r="DK224" s="778">
        <f t="shared" si="564"/>
        <v>14.670000000000002</v>
      </c>
      <c r="DL224" s="1074">
        <f t="shared" si="564"/>
        <v>86.613</v>
      </c>
      <c r="DM224" s="778">
        <f t="shared" si="564"/>
        <v>25.434000000000005</v>
      </c>
      <c r="DN224" s="778">
        <f t="shared" si="564"/>
        <v>37.10799999999999</v>
      </c>
      <c r="DO224" s="778">
        <f t="shared" si="564"/>
        <v>25.304000000000002</v>
      </c>
      <c r="DP224" s="778">
        <f t="shared" si="564"/>
        <v>14.660999999999992</v>
      </c>
      <c r="DQ224" s="1074">
        <f t="shared" si="564"/>
        <v>102.50699999999998</v>
      </c>
      <c r="DR224" s="1503">
        <v>14.005000000000001</v>
      </c>
      <c r="DS224" s="778">
        <f t="shared" si="564"/>
        <v>37.972999999999999</v>
      </c>
      <c r="DT224" s="778">
        <v>30.557000000000013</v>
      </c>
      <c r="DU224" s="778">
        <v>11.694000000000001</v>
      </c>
      <c r="DV224" s="1074">
        <f>DV222+DV223</f>
        <v>94.902000000000001</v>
      </c>
      <c r="DW224" s="1503">
        <v>14.005000000000001</v>
      </c>
      <c r="DX224" s="778">
        <v>53.667000000000002</v>
      </c>
      <c r="DY224" s="778">
        <v>30.557000000000013</v>
      </c>
      <c r="DZ224" s="778">
        <v>11.694000000000001</v>
      </c>
      <c r="EA224" s="1074">
        <f t="shared" ref="EA224:EF224" si="565">EA222+EA223</f>
        <v>134.46700000000001</v>
      </c>
      <c r="EB224" s="1503">
        <v>23.148516608308313</v>
      </c>
      <c r="EC224" s="778">
        <v>53.667000000000002</v>
      </c>
      <c r="ED224" s="778">
        <f t="shared" si="565"/>
        <v>44.764251999999999</v>
      </c>
      <c r="EE224" s="778">
        <f t="shared" si="565"/>
        <v>36.783119048691987</v>
      </c>
      <c r="EF224" s="1074">
        <f t="shared" si="565"/>
        <v>147.94837104869197</v>
      </c>
      <c r="EG224" s="1039"/>
      <c r="EH224" s="778"/>
      <c r="EI224" s="778"/>
      <c r="EJ224" s="1040"/>
      <c r="EK224" s="1074">
        <f>EK222+EK223</f>
        <v>235.99819127817497</v>
      </c>
      <c r="EL224" s="1039"/>
      <c r="EM224" s="778"/>
      <c r="EN224" s="778"/>
      <c r="EO224" s="1040"/>
      <c r="EP224" s="1074">
        <f>EP222+EP223</f>
        <v>278.22414962846005</v>
      </c>
      <c r="EQ224" s="1039"/>
      <c r="ER224" s="778"/>
      <c r="ES224" s="778"/>
      <c r="ET224" s="1040"/>
      <c r="EU224" s="1074">
        <f>EU222+EU223</f>
        <v>329.28206538128052</v>
      </c>
      <c r="EV224" s="1039"/>
      <c r="EW224" s="778"/>
      <c r="EX224" s="778"/>
      <c r="EY224" s="1040"/>
      <c r="EZ224" s="1074">
        <f>EZ222+EZ223</f>
        <v>359.24214268887772</v>
      </c>
      <c r="FA224" s="1039"/>
      <c r="FB224" s="778"/>
      <c r="FC224" s="778"/>
      <c r="FD224" s="1040"/>
      <c r="FE224" s="1074">
        <f>FE222+FE223</f>
        <v>390.36979157372713</v>
      </c>
      <c r="FF224" s="938"/>
      <c r="FG224" s="690"/>
      <c r="FH224" s="754"/>
      <c r="FI224" s="754"/>
      <c r="FJ224" s="754"/>
      <c r="FK224" s="754"/>
      <c r="FL224" s="690"/>
      <c r="FM224" s="940"/>
      <c r="FN224" s="940"/>
      <c r="FO224" s="941"/>
      <c r="FP224" s="941"/>
      <c r="FQ224" s="941"/>
      <c r="FR224" s="941"/>
      <c r="FS224" s="941"/>
      <c r="FT224" s="941"/>
      <c r="FU224" s="690"/>
      <c r="FV224"/>
      <c r="FW224"/>
      <c r="FX224"/>
      <c r="FY224"/>
      <c r="FZ224"/>
      <c r="GA224"/>
      <c r="GB224" s="943"/>
      <c r="GC224" s="1426"/>
      <c r="GD224" s="1426"/>
      <c r="GE224" s="1426"/>
      <c r="GF224" s="1426"/>
      <c r="GG224" s="1426"/>
      <c r="GH224" s="1426"/>
      <c r="GI224" s="1426"/>
      <c r="GJ224" s="1426"/>
      <c r="GK224" s="1426"/>
      <c r="GL224" s="1426"/>
      <c r="GM224" s="1426"/>
      <c r="GN224" s="1426"/>
      <c r="GO224" s="1426"/>
      <c r="GP224" s="1426"/>
      <c r="GQ224" s="1426"/>
      <c r="GR224" s="1426"/>
      <c r="GS224" s="1426"/>
      <c r="GT224" s="1426"/>
      <c r="GU224" s="1426"/>
      <c r="GV224" s="1426"/>
      <c r="GW224" s="1426"/>
      <c r="GX224" s="1426"/>
      <c r="GY224" s="1426"/>
      <c r="GZ224" s="1426"/>
      <c r="HA224" s="1426"/>
      <c r="HB224" s="1426"/>
      <c r="HC224" s="1426"/>
      <c r="HD224" s="1426"/>
      <c r="HE224" s="1426"/>
      <c r="HF224" s="1426"/>
      <c r="HG224" s="1426"/>
      <c r="HH224" s="1426"/>
      <c r="HI224" s="1426"/>
      <c r="HJ224" s="1426"/>
      <c r="HK224" s="1426"/>
      <c r="HL224" s="1426"/>
      <c r="HM224" s="1426"/>
      <c r="HN224" s="1426"/>
      <c r="HO224" s="1426"/>
      <c r="HP224" s="1426"/>
      <c r="HQ224" s="1426"/>
      <c r="HR224" s="1426"/>
      <c r="HS224" s="1426"/>
      <c r="HT224" s="1426"/>
      <c r="HU224" s="1426"/>
      <c r="HV224" s="1426"/>
      <c r="HW224" s="1426"/>
      <c r="HX224" s="1426"/>
      <c r="HY224" s="1426"/>
      <c r="HZ224" s="1426"/>
      <c r="IA224" s="1426"/>
      <c r="IB224" s="1426"/>
      <c r="IC224" s="1426"/>
      <c r="ID224" s="1426"/>
      <c r="IE224" s="1426"/>
      <c r="IF224" s="1426"/>
      <c r="IG224" s="1426"/>
      <c r="IH224" s="1426"/>
      <c r="II224" s="1426"/>
      <c r="IJ224" s="1426"/>
      <c r="IK224" s="1426"/>
      <c r="IL224" s="1426"/>
      <c r="IM224" s="1426"/>
      <c r="IN224" s="1426"/>
      <c r="IO224" s="1426"/>
      <c r="IP224" s="1426"/>
      <c r="IQ224" s="1426"/>
      <c r="IR224" s="1426"/>
      <c r="IS224" s="1426"/>
      <c r="IT224" s="1426"/>
      <c r="IU224" s="1426"/>
      <c r="IV224" s="1426"/>
      <c r="IW224" s="1426"/>
      <c r="IX224" s="1426"/>
      <c r="IY224" s="1426"/>
      <c r="IZ224" s="1426"/>
      <c r="JA224" s="1426"/>
      <c r="JB224" s="1426"/>
      <c r="JC224" s="1426"/>
      <c r="JD224" s="1426"/>
      <c r="JE224" s="1426"/>
      <c r="JF224" s="1426"/>
      <c r="JG224" s="1426"/>
      <c r="JH224" s="1426"/>
      <c r="JI224" s="1426"/>
      <c r="JJ224" s="1426"/>
      <c r="JK224" s="1426"/>
      <c r="JL224" s="1426"/>
    </row>
    <row r="225" spans="1:272" s="942" customFormat="1" ht="12.75" hidden="1" customHeight="1" outlineLevel="1">
      <c r="A225" s="1504" t="s">
        <v>405</v>
      </c>
      <c r="B225" s="1420"/>
      <c r="C225" s="943"/>
      <c r="D225" s="943"/>
      <c r="E225" s="943"/>
      <c r="F225" s="1196"/>
      <c r="G225" s="943"/>
      <c r="H225" s="943"/>
      <c r="I225" s="943"/>
      <c r="J225" s="943"/>
      <c r="K225" s="1196"/>
      <c r="L225" s="943"/>
      <c r="M225" s="943"/>
      <c r="N225" s="943"/>
      <c r="O225" s="943"/>
      <c r="P225" s="1196"/>
      <c r="Q225" s="943"/>
      <c r="R225" s="943"/>
      <c r="S225" s="943"/>
      <c r="T225" s="943"/>
      <c r="U225" s="1196"/>
      <c r="V225" s="943"/>
      <c r="W225" s="943"/>
      <c r="X225" s="943"/>
      <c r="Y225" s="943"/>
      <c r="Z225" s="1196"/>
      <c r="AA225" s="943"/>
      <c r="AB225" s="943"/>
      <c r="AC225" s="943"/>
      <c r="AD225" s="943"/>
      <c r="AE225" s="1196"/>
      <c r="AF225" s="938"/>
      <c r="AG225" s="938"/>
      <c r="AH225" s="938"/>
      <c r="AI225" s="943"/>
      <c r="AJ225" s="1196"/>
      <c r="AK225" s="938"/>
      <c r="AL225" s="938"/>
      <c r="AM225" s="938"/>
      <c r="AN225" s="943"/>
      <c r="AO225" s="1196"/>
      <c r="AP225" s="943"/>
      <c r="AQ225" s="1422"/>
      <c r="AR225" s="1422"/>
      <c r="AS225" s="943"/>
      <c r="AT225" s="1196"/>
      <c r="AU225" s="943"/>
      <c r="AV225" s="1422"/>
      <c r="AW225" s="938"/>
      <c r="AX225" s="943"/>
      <c r="AY225" s="1196"/>
      <c r="AZ225" s="943"/>
      <c r="BA225" s="1422"/>
      <c r="BB225" s="938"/>
      <c r="BC225" s="943"/>
      <c r="BD225" s="1196"/>
      <c r="BE225" s="943"/>
      <c r="BF225" s="1422"/>
      <c r="BG225" s="938"/>
      <c r="BH225" s="943"/>
      <c r="BI225" s="1196"/>
      <c r="BJ225" s="943"/>
      <c r="BK225" s="1422"/>
      <c r="BL225" s="938"/>
      <c r="BM225" s="943"/>
      <c r="BN225" s="1196"/>
      <c r="BO225" s="1505"/>
      <c r="BP225" s="1505"/>
      <c r="BQ225" s="1505"/>
      <c r="BR225" s="1505"/>
      <c r="BS225" s="1196"/>
      <c r="BT225" s="943"/>
      <c r="BU225" s="1422"/>
      <c r="BV225" s="938"/>
      <c r="BW225" s="943"/>
      <c r="BX225" s="1196"/>
      <c r="BY225" s="943"/>
      <c r="BZ225" s="1422"/>
      <c r="CA225" s="938"/>
      <c r="CB225" s="943"/>
      <c r="CC225" s="1196"/>
      <c r="CD225" s="943"/>
      <c r="CE225" s="943"/>
      <c r="CF225" s="943"/>
      <c r="CG225" s="943"/>
      <c r="CH225" s="1196"/>
      <c r="CI225" s="943"/>
      <c r="CJ225" s="943"/>
      <c r="CK225" s="943"/>
      <c r="CL225" s="943"/>
      <c r="CM225" s="1196"/>
      <c r="CN225" s="943"/>
      <c r="CO225" s="943"/>
      <c r="CP225" s="938"/>
      <c r="CQ225" s="938"/>
      <c r="CR225" s="1196"/>
      <c r="CS225" s="943"/>
      <c r="CT225" s="1422"/>
      <c r="CU225" s="938"/>
      <c r="CV225" s="938"/>
      <c r="CW225" s="1196"/>
      <c r="CX225" s="1423"/>
      <c r="CY225" s="1423"/>
      <c r="CZ225" s="1423"/>
      <c r="DA225" s="1423"/>
      <c r="DB225" s="1427"/>
      <c r="DC225" s="1423"/>
      <c r="DD225" s="1423"/>
      <c r="DE225" s="1423"/>
      <c r="DF225" s="1423"/>
      <c r="DG225" s="1196"/>
      <c r="DH225" s="938"/>
      <c r="DI225" s="938"/>
      <c r="DJ225" s="938"/>
      <c r="DK225" s="938"/>
      <c r="DL225" s="1196"/>
      <c r="DM225" s="938"/>
      <c r="DN225" s="938"/>
      <c r="DO225" s="938"/>
      <c r="DP225" s="938"/>
      <c r="DQ225" s="1196"/>
      <c r="DR225" s="938"/>
      <c r="DS225" s="938"/>
      <c r="DT225" s="938"/>
      <c r="DU225" s="938"/>
      <c r="DV225" s="1196"/>
      <c r="DW225" s="938"/>
      <c r="DX225" s="938"/>
      <c r="DY225" s="938"/>
      <c r="DZ225" s="938"/>
      <c r="EA225" s="1196"/>
      <c r="EB225" s="938"/>
      <c r="EC225" s="938"/>
      <c r="ED225" s="938"/>
      <c r="EE225" s="938"/>
      <c r="EF225" s="1196"/>
      <c r="EG225" s="1424"/>
      <c r="EH225" s="938"/>
      <c r="EI225" s="938"/>
      <c r="EJ225" s="1425"/>
      <c r="EK225" s="1196"/>
      <c r="EL225" s="1424"/>
      <c r="EM225" s="938"/>
      <c r="EN225" s="938"/>
      <c r="EO225" s="1425"/>
      <c r="EP225" s="1196"/>
      <c r="EQ225" s="1424"/>
      <c r="ER225" s="938"/>
      <c r="ES225" s="938"/>
      <c r="ET225" s="1425"/>
      <c r="EU225" s="1196"/>
      <c r="EV225" s="1424"/>
      <c r="EW225" s="938"/>
      <c r="EX225" s="938"/>
      <c r="EY225" s="1425"/>
      <c r="EZ225" s="1196"/>
      <c r="FA225" s="1424"/>
      <c r="FB225" s="938"/>
      <c r="FC225" s="938"/>
      <c r="FD225" s="1425"/>
      <c r="FE225" s="1196"/>
      <c r="FF225" s="938"/>
      <c r="FG225" s="690"/>
      <c r="FH225" s="754"/>
      <c r="FI225" s="754"/>
      <c r="FJ225" s="754"/>
      <c r="FK225" s="754"/>
      <c r="FL225" s="690"/>
      <c r="FM225" s="940"/>
      <c r="FN225" s="940"/>
      <c r="FO225" s="941"/>
      <c r="FP225" s="941"/>
      <c r="FQ225" s="941"/>
      <c r="FR225" s="941"/>
      <c r="FS225" s="941"/>
      <c r="FT225" s="941"/>
      <c r="FU225" s="690"/>
      <c r="FV225"/>
      <c r="FW225"/>
      <c r="FX225"/>
      <c r="FY225"/>
      <c r="FZ225"/>
      <c r="GA225"/>
      <c r="GB225" s="943"/>
      <c r="GC225" s="1426"/>
      <c r="GD225" s="1426"/>
      <c r="GE225" s="1426"/>
      <c r="GF225" s="1426"/>
      <c r="GG225" s="1426"/>
      <c r="GH225" s="1426"/>
      <c r="GI225" s="1426"/>
      <c r="GJ225" s="1426"/>
      <c r="GK225" s="1426"/>
      <c r="GL225" s="1426"/>
      <c r="GM225" s="1426"/>
      <c r="GN225" s="1426"/>
      <c r="GO225" s="1426"/>
      <c r="GP225" s="1426"/>
      <c r="GQ225" s="1426"/>
      <c r="GR225" s="1426"/>
      <c r="GS225" s="1426"/>
      <c r="GT225" s="1426"/>
      <c r="GU225" s="1426"/>
      <c r="GV225" s="1426"/>
      <c r="GW225" s="1426"/>
      <c r="GX225" s="1426"/>
      <c r="GY225" s="1426"/>
      <c r="GZ225" s="1426"/>
      <c r="HA225" s="1426"/>
      <c r="HB225" s="1426"/>
      <c r="HC225" s="1426"/>
      <c r="HD225" s="1426"/>
      <c r="HE225" s="1426"/>
      <c r="HF225" s="1426"/>
      <c r="HG225" s="1426"/>
      <c r="HH225" s="1426"/>
      <c r="HI225" s="1426"/>
      <c r="HJ225" s="1426"/>
      <c r="HK225" s="1426"/>
      <c r="HL225" s="1426"/>
      <c r="HM225" s="1426"/>
      <c r="HN225" s="1426"/>
      <c r="HO225" s="1426"/>
      <c r="HP225" s="1426"/>
      <c r="HQ225" s="1426"/>
      <c r="HR225" s="1426"/>
      <c r="HS225" s="1426"/>
      <c r="HT225" s="1426"/>
      <c r="HU225" s="1426"/>
      <c r="HV225" s="1426"/>
      <c r="HW225" s="1426"/>
      <c r="HX225" s="1426"/>
      <c r="HY225" s="1426"/>
      <c r="HZ225" s="1426"/>
      <c r="IA225" s="1426"/>
      <c r="IB225" s="1426"/>
      <c r="IC225" s="1426"/>
      <c r="ID225" s="1426"/>
      <c r="IE225" s="1426"/>
      <c r="IF225" s="1426"/>
      <c r="IG225" s="1426"/>
      <c r="IH225" s="1426"/>
      <c r="II225" s="1426"/>
      <c r="IJ225" s="1426"/>
      <c r="IK225" s="1426"/>
      <c r="IL225" s="1426"/>
      <c r="IM225" s="1426"/>
      <c r="IN225" s="1426"/>
      <c r="IO225" s="1426"/>
      <c r="IP225" s="1426"/>
      <c r="IQ225" s="1426"/>
      <c r="IR225" s="1426"/>
      <c r="IS225" s="1426"/>
      <c r="IT225" s="1426"/>
      <c r="IU225" s="1426"/>
      <c r="IV225" s="1426"/>
      <c r="IW225" s="1426"/>
      <c r="IX225" s="1426"/>
      <c r="IY225" s="1426"/>
      <c r="IZ225" s="1426"/>
      <c r="JA225" s="1426"/>
      <c r="JB225" s="1426"/>
      <c r="JC225" s="1426"/>
      <c r="JD225" s="1426"/>
      <c r="JE225" s="1426"/>
      <c r="JF225" s="1426"/>
      <c r="JG225" s="1426"/>
      <c r="JH225" s="1426"/>
      <c r="JI225" s="1426"/>
      <c r="JJ225" s="1426"/>
      <c r="JK225" s="1426"/>
      <c r="JL225" s="1426"/>
    </row>
    <row r="226" spans="1:272" s="942" customFormat="1" ht="12.75" hidden="1" customHeight="1" outlineLevel="1">
      <c r="A226" s="1506" t="s">
        <v>406</v>
      </c>
      <c r="B226" s="1420"/>
      <c r="C226" s="1421"/>
      <c r="D226" s="1421"/>
      <c r="E226" s="1421"/>
      <c r="F226" s="1196"/>
      <c r="G226" s="943"/>
      <c r="H226" s="1421"/>
      <c r="I226" s="1421"/>
      <c r="J226" s="1421"/>
      <c r="K226" s="1196"/>
      <c r="L226" s="943"/>
      <c r="M226" s="1421"/>
      <c r="N226" s="1421"/>
      <c r="O226" s="1421"/>
      <c r="P226" s="1196"/>
      <c r="Q226" s="943"/>
      <c r="R226" s="1421"/>
      <c r="S226" s="1421"/>
      <c r="T226" s="1421"/>
      <c r="U226" s="1196"/>
      <c r="V226" s="943"/>
      <c r="W226" s="1421"/>
      <c r="X226" s="1421"/>
      <c r="Y226" s="1421"/>
      <c r="Z226" s="1196"/>
      <c r="AA226" s="943"/>
      <c r="AB226" s="1421"/>
      <c r="AC226" s="1421"/>
      <c r="AD226" s="1421"/>
      <c r="AE226" s="1196"/>
      <c r="AF226" s="938"/>
      <c r="AG226" s="938"/>
      <c r="AH226" s="938"/>
      <c r="AI226" s="938"/>
      <c r="AJ226" s="1196"/>
      <c r="AK226" s="938"/>
      <c r="AL226" s="938"/>
      <c r="AM226" s="938"/>
      <c r="AN226" s="938"/>
      <c r="AO226" s="1196"/>
      <c r="AP226" s="938"/>
      <c r="AQ226" s="1422"/>
      <c r="AR226" s="1422"/>
      <c r="AS226" s="1422"/>
      <c r="AT226" s="1196"/>
      <c r="AU226" s="938"/>
      <c r="AV226" s="1422"/>
      <c r="AW226" s="1422"/>
      <c r="AX226" s="1422"/>
      <c r="AY226" s="1196"/>
      <c r="AZ226" s="938"/>
      <c r="BA226" s="1422"/>
      <c r="BB226" s="1422"/>
      <c r="BC226" s="1422"/>
      <c r="BD226" s="1196"/>
      <c r="BE226" s="938"/>
      <c r="BF226" s="1422"/>
      <c r="BG226" s="1422"/>
      <c r="BH226" s="1422"/>
      <c r="BI226" s="1196"/>
      <c r="BJ226" s="938"/>
      <c r="BK226" s="1422"/>
      <c r="BL226" s="1422"/>
      <c r="BM226" s="1422"/>
      <c r="BN226" s="1196"/>
      <c r="BO226" s="938">
        <f>-BO223</f>
        <v>2.0049999999999999</v>
      </c>
      <c r="BP226" s="1422">
        <f>-BP223</f>
        <v>2.0430000000000001</v>
      </c>
      <c r="BQ226" s="1422">
        <v>2.0019999999999998</v>
      </c>
      <c r="BR226" s="1422">
        <f>-BR223</f>
        <v>2.2000000000000002</v>
      </c>
      <c r="BS226" s="1196">
        <f>BR226+BQ226+BP226+BO226</f>
        <v>8.25</v>
      </c>
      <c r="BT226" s="938">
        <v>2.0259999999999998</v>
      </c>
      <c r="BU226" s="1422">
        <v>2.069</v>
      </c>
      <c r="BV226" s="1422">
        <v>2.0299999999999998</v>
      </c>
      <c r="BW226" s="1422">
        <v>2.113</v>
      </c>
      <c r="BX226" s="1196">
        <f>BW226+BV226+BU226+BT226</f>
        <v>8.2379999999999995</v>
      </c>
      <c r="BY226" s="938">
        <v>2.0219999999999998</v>
      </c>
      <c r="BZ226" s="1422">
        <v>2.0699999999999998</v>
      </c>
      <c r="CA226" s="1422">
        <v>2.0270000000000001</v>
      </c>
      <c r="CB226" s="938">
        <v>2.12</v>
      </c>
      <c r="CC226" s="1196">
        <f>CB226+CA226+BZ226+BY226</f>
        <v>8.2390000000000008</v>
      </c>
      <c r="CD226" s="938">
        <v>1.99</v>
      </c>
      <c r="CE226" s="938">
        <v>2.036</v>
      </c>
      <c r="CF226" s="938">
        <v>1.8160000000000001</v>
      </c>
      <c r="CG226" s="938">
        <v>1.887</v>
      </c>
      <c r="CH226" s="1196">
        <f>CG226+CF226+CE226+CD226</f>
        <v>7.729000000000001</v>
      </c>
      <c r="CI226" s="938">
        <v>1.7629999999999999</v>
      </c>
      <c r="CJ226" s="938">
        <v>1.8080000000000001</v>
      </c>
      <c r="CK226" s="938">
        <v>1.748</v>
      </c>
      <c r="CL226" s="938">
        <v>1.835</v>
      </c>
      <c r="CM226" s="1196">
        <f>CL226+CK226+CJ226+CI226</f>
        <v>7.1539999999999999</v>
      </c>
      <c r="CN226" s="938">
        <v>1.714</v>
      </c>
      <c r="CO226" s="938">
        <v>1.7649999999999999</v>
      </c>
      <c r="CP226" s="938">
        <v>1.6930000000000001</v>
      </c>
      <c r="CQ226" s="938">
        <v>1.788</v>
      </c>
      <c r="CR226" s="1196">
        <f>CQ226+CP226+CO226+CN226</f>
        <v>6.9599999999999991</v>
      </c>
      <c r="CS226" s="938">
        <v>1.6559999999999999</v>
      </c>
      <c r="CT226" s="938">
        <v>1.7170000000000001</v>
      </c>
      <c r="CU226" s="938">
        <v>1.655</v>
      </c>
      <c r="CV226" s="938">
        <v>0</v>
      </c>
      <c r="CW226" s="1196">
        <f>CV226+CU226+CT226+CS226</f>
        <v>5.0279999999999996</v>
      </c>
      <c r="CX226" s="1423">
        <v>0</v>
      </c>
      <c r="CY226" s="1423">
        <v>1.5720000000000001</v>
      </c>
      <c r="CZ226" s="1423">
        <v>0</v>
      </c>
      <c r="DA226" s="1423">
        <v>0</v>
      </c>
      <c r="DB226" s="1427">
        <v>0</v>
      </c>
      <c r="DC226" s="1423"/>
      <c r="DD226" s="1423"/>
      <c r="DE226" s="1423"/>
      <c r="DF226" s="1423"/>
      <c r="DG226" s="1196"/>
      <c r="DH226" s="938"/>
      <c r="DI226" s="1423"/>
      <c r="DJ226" s="938"/>
      <c r="DK226" s="938"/>
      <c r="DL226" s="1196"/>
      <c r="DM226" s="938"/>
      <c r="DN226" s="938"/>
      <c r="DO226" s="938"/>
      <c r="DP226" s="938"/>
      <c r="DQ226" s="1196"/>
      <c r="DR226" s="938"/>
      <c r="DS226" s="938"/>
      <c r="DT226" s="938"/>
      <c r="DU226" s="938"/>
      <c r="DV226" s="1196"/>
      <c r="DW226" s="938"/>
      <c r="DX226" s="938"/>
      <c r="DY226" s="938"/>
      <c r="DZ226" s="938"/>
      <c r="EA226" s="1196"/>
      <c r="EB226" s="938"/>
      <c r="EC226" s="938"/>
      <c r="ED226" s="938"/>
      <c r="EE226" s="938"/>
      <c r="EF226" s="1196"/>
      <c r="EG226" s="1424"/>
      <c r="EH226" s="938"/>
      <c r="EI226" s="938"/>
      <c r="EJ226" s="1425"/>
      <c r="EK226" s="1196"/>
      <c r="EL226" s="1424"/>
      <c r="EM226" s="938"/>
      <c r="EN226" s="938"/>
      <c r="EO226" s="1425"/>
      <c r="EP226" s="1196"/>
      <c r="EQ226" s="1424"/>
      <c r="ER226" s="938"/>
      <c r="ES226" s="938"/>
      <c r="ET226" s="1425"/>
      <c r="EU226" s="1196"/>
      <c r="EV226" s="1424"/>
      <c r="EW226" s="938"/>
      <c r="EX226" s="938"/>
      <c r="EY226" s="1425"/>
      <c r="EZ226" s="1196"/>
      <c r="FA226" s="1424"/>
      <c r="FB226" s="938"/>
      <c r="FC226" s="938"/>
      <c r="FD226" s="1425"/>
      <c r="FE226" s="1196"/>
      <c r="FF226" s="938"/>
      <c r="FG226" s="690"/>
      <c r="FH226" s="754"/>
      <c r="FI226" s="754"/>
      <c r="FJ226" s="754"/>
      <c r="FK226" s="754"/>
      <c r="FL226" s="690"/>
      <c r="FM226" s="940"/>
      <c r="FN226" s="940"/>
      <c r="FO226" s="941"/>
      <c r="FP226" s="941"/>
      <c r="FQ226" s="941"/>
      <c r="FR226" s="941"/>
      <c r="FS226" s="941"/>
      <c r="FT226" s="941"/>
      <c r="FU226" s="690"/>
      <c r="FV226"/>
      <c r="FW226"/>
      <c r="FX226"/>
      <c r="FY226"/>
      <c r="FZ226"/>
      <c r="GA226"/>
      <c r="GB226" s="943"/>
      <c r="GC226" s="1426"/>
      <c r="GD226" s="1426"/>
      <c r="GE226" s="1426"/>
      <c r="GF226" s="1426"/>
      <c r="GG226" s="1426"/>
      <c r="GH226" s="1426"/>
      <c r="GI226" s="1426"/>
      <c r="GJ226" s="1426"/>
      <c r="GK226" s="1426"/>
      <c r="GL226" s="1426"/>
      <c r="GM226" s="1426"/>
      <c r="GN226" s="1426"/>
      <c r="GO226" s="1426"/>
      <c r="GP226" s="1426"/>
      <c r="GQ226" s="1426"/>
      <c r="GR226" s="1426"/>
      <c r="GS226" s="1426"/>
      <c r="GT226" s="1426"/>
      <c r="GU226" s="1426"/>
      <c r="GV226" s="1426"/>
      <c r="GW226" s="1426"/>
      <c r="GX226" s="1426"/>
      <c r="GY226" s="1426"/>
      <c r="GZ226" s="1426"/>
      <c r="HA226" s="1426"/>
      <c r="HB226" s="1426"/>
      <c r="HC226" s="1426"/>
      <c r="HD226" s="1426"/>
      <c r="HE226" s="1426"/>
      <c r="HF226" s="1426"/>
      <c r="HG226" s="1426"/>
      <c r="HH226" s="1426"/>
      <c r="HI226" s="1426"/>
      <c r="HJ226" s="1426"/>
      <c r="HK226" s="1426"/>
      <c r="HL226" s="1426"/>
      <c r="HM226" s="1426"/>
      <c r="HN226" s="1426"/>
      <c r="HO226" s="1426"/>
      <c r="HP226" s="1426"/>
      <c r="HQ226" s="1426"/>
      <c r="HR226" s="1426"/>
      <c r="HS226" s="1426"/>
      <c r="HT226" s="1426"/>
      <c r="HU226" s="1426"/>
      <c r="HV226" s="1426"/>
      <c r="HW226" s="1426"/>
      <c r="HX226" s="1426"/>
      <c r="HY226" s="1426"/>
      <c r="HZ226" s="1426"/>
      <c r="IA226" s="1426"/>
      <c r="IB226" s="1426"/>
      <c r="IC226" s="1426"/>
      <c r="ID226" s="1426"/>
      <c r="IE226" s="1426"/>
      <c r="IF226" s="1426"/>
      <c r="IG226" s="1426"/>
      <c r="IH226" s="1426"/>
      <c r="II226" s="1426"/>
      <c r="IJ226" s="1426"/>
      <c r="IK226" s="1426"/>
      <c r="IL226" s="1426"/>
      <c r="IM226" s="1426"/>
      <c r="IN226" s="1426"/>
      <c r="IO226" s="1426"/>
      <c r="IP226" s="1426"/>
      <c r="IQ226" s="1426"/>
      <c r="IR226" s="1426"/>
      <c r="IS226" s="1426"/>
      <c r="IT226" s="1426"/>
      <c r="IU226" s="1426"/>
      <c r="IV226" s="1426"/>
      <c r="IW226" s="1426"/>
      <c r="IX226" s="1426"/>
      <c r="IY226" s="1426"/>
      <c r="IZ226" s="1426"/>
      <c r="JA226" s="1426"/>
      <c r="JB226" s="1426"/>
      <c r="JC226" s="1426"/>
      <c r="JD226" s="1426"/>
      <c r="JE226" s="1426"/>
      <c r="JF226" s="1426"/>
      <c r="JG226" s="1426"/>
      <c r="JH226" s="1426"/>
      <c r="JI226" s="1426"/>
      <c r="JJ226" s="1426"/>
      <c r="JK226" s="1426"/>
      <c r="JL226" s="1426"/>
    </row>
    <row r="227" spans="1:272" s="942" customFormat="1" ht="12.75" hidden="1" customHeight="1" outlineLevel="1">
      <c r="A227" s="1506" t="s">
        <v>407</v>
      </c>
      <c r="B227" s="1420"/>
      <c r="C227" s="1421"/>
      <c r="D227" s="1421"/>
      <c r="E227" s="1421"/>
      <c r="F227" s="1196"/>
      <c r="G227" s="943"/>
      <c r="H227" s="1421"/>
      <c r="I227" s="1421"/>
      <c r="J227" s="1421"/>
      <c r="K227" s="1196"/>
      <c r="L227" s="943"/>
      <c r="M227" s="1421"/>
      <c r="N227" s="1421"/>
      <c r="O227" s="1421"/>
      <c r="P227" s="1196"/>
      <c r="Q227" s="943"/>
      <c r="R227" s="1421"/>
      <c r="S227" s="1421"/>
      <c r="T227" s="1421"/>
      <c r="U227" s="1196"/>
      <c r="V227" s="943"/>
      <c r="W227" s="1421"/>
      <c r="X227" s="1421"/>
      <c r="Y227" s="1421"/>
      <c r="Z227" s="1196"/>
      <c r="AA227" s="943"/>
      <c r="AB227" s="1421"/>
      <c r="AC227" s="1421"/>
      <c r="AD227" s="1421"/>
      <c r="AE227" s="1196"/>
      <c r="AF227" s="938"/>
      <c r="AG227" s="938"/>
      <c r="AH227" s="938"/>
      <c r="AI227" s="938"/>
      <c r="AJ227" s="1196"/>
      <c r="AK227" s="938"/>
      <c r="AL227" s="938"/>
      <c r="AM227" s="938"/>
      <c r="AN227" s="1507"/>
      <c r="AO227" s="1196"/>
      <c r="AP227" s="938"/>
      <c r="AQ227" s="1422"/>
      <c r="AR227" s="1422"/>
      <c r="AS227" s="1422"/>
      <c r="AT227" s="1196"/>
      <c r="AU227" s="938"/>
      <c r="AV227" s="1422"/>
      <c r="AW227" s="938"/>
      <c r="AX227" s="1422"/>
      <c r="AY227" s="1196"/>
      <c r="AZ227" s="938"/>
      <c r="BA227" s="1422"/>
      <c r="BB227" s="938"/>
      <c r="BC227" s="1422"/>
      <c r="BD227" s="1196"/>
      <c r="BE227" s="938"/>
      <c r="BF227" s="1422"/>
      <c r="BG227" s="938"/>
      <c r="BH227" s="1422"/>
      <c r="BI227" s="1196"/>
      <c r="BJ227" s="938"/>
      <c r="BK227" s="1422"/>
      <c r="BL227" s="938"/>
      <c r="BM227" s="1422"/>
      <c r="BN227" s="1196"/>
      <c r="BO227" s="938">
        <v>0.95399999999999996</v>
      </c>
      <c r="BP227" s="1422">
        <v>0.95399999999999996</v>
      </c>
      <c r="BQ227" s="938">
        <v>0.95399999999999996</v>
      </c>
      <c r="BR227" s="1422">
        <v>0.95399999999999996</v>
      </c>
      <c r="BS227" s="1196">
        <f>BR227+BQ227+BP227+BO227</f>
        <v>3.8159999999999998</v>
      </c>
      <c r="BT227" s="938"/>
      <c r="BU227" s="1422">
        <v>0.95399999999999996</v>
      </c>
      <c r="BV227" s="938">
        <v>0.95399999999999996</v>
      </c>
      <c r="BW227" s="1422">
        <v>0.95399999999999996</v>
      </c>
      <c r="BX227" s="1196">
        <f>BW227+BV227+BU227+BT227</f>
        <v>2.8620000000000001</v>
      </c>
      <c r="BY227" s="938">
        <v>0.95399999999999996</v>
      </c>
      <c r="BZ227" s="1422">
        <v>0.63600000000000001</v>
      </c>
      <c r="CA227" s="938"/>
      <c r="CB227" s="1422"/>
      <c r="CC227" s="1196">
        <f>CB227+CA227+BZ227+BY227</f>
        <v>1.5899999999999999</v>
      </c>
      <c r="CD227" s="938"/>
      <c r="CE227" s="938"/>
      <c r="CF227" s="938"/>
      <c r="CG227" s="938"/>
      <c r="CH227" s="1196">
        <f>CG227+CF227+CE227+CD227</f>
        <v>0</v>
      </c>
      <c r="CI227" s="938"/>
      <c r="CJ227" s="938"/>
      <c r="CK227" s="938"/>
      <c r="CL227" s="938"/>
      <c r="CM227" s="1196">
        <f>CL227+CK227+CJ227+CI227</f>
        <v>0</v>
      </c>
      <c r="CN227" s="938"/>
      <c r="CO227" s="938"/>
      <c r="CP227" s="938"/>
      <c r="CQ227" s="938"/>
      <c r="CR227" s="1196">
        <f>CQ227+CP227+CO227+CN227</f>
        <v>0</v>
      </c>
      <c r="CS227" s="938"/>
      <c r="CT227" s="938"/>
      <c r="CU227" s="938"/>
      <c r="CV227" s="938"/>
      <c r="CW227" s="1196">
        <f>CV227+CU227+CT227+CS227</f>
        <v>0</v>
      </c>
      <c r="CX227" s="1423"/>
      <c r="CY227" s="1423"/>
      <c r="CZ227" s="1423"/>
      <c r="DA227" s="1423"/>
      <c r="DB227" s="1427">
        <v>0</v>
      </c>
      <c r="DC227" s="1423"/>
      <c r="DD227" s="1423"/>
      <c r="DE227" s="1423"/>
      <c r="DF227" s="1423"/>
      <c r="DG227" s="1196"/>
      <c r="DH227" s="938"/>
      <c r="DI227" s="1423"/>
      <c r="DJ227" s="938"/>
      <c r="DK227" s="938"/>
      <c r="DL227" s="1196"/>
      <c r="DM227" s="938"/>
      <c r="DN227" s="938"/>
      <c r="DO227" s="938"/>
      <c r="DP227" s="938"/>
      <c r="DQ227" s="1196"/>
      <c r="DR227" s="938"/>
      <c r="DS227" s="938"/>
      <c r="DT227" s="938"/>
      <c r="DU227" s="938"/>
      <c r="DV227" s="1196"/>
      <c r="DW227" s="938"/>
      <c r="DX227" s="938"/>
      <c r="DY227" s="938"/>
      <c r="DZ227" s="938"/>
      <c r="EA227" s="1196"/>
      <c r="EB227" s="938"/>
      <c r="EC227" s="938"/>
      <c r="ED227" s="938"/>
      <c r="EE227" s="938"/>
      <c r="EF227" s="1196"/>
      <c r="EG227" s="1424"/>
      <c r="EH227" s="938"/>
      <c r="EI227" s="938"/>
      <c r="EJ227" s="1425"/>
      <c r="EK227" s="1196"/>
      <c r="EL227" s="1424"/>
      <c r="EM227" s="938"/>
      <c r="EN227" s="938"/>
      <c r="EO227" s="1425"/>
      <c r="EP227" s="1196"/>
      <c r="EQ227" s="1424"/>
      <c r="ER227" s="938"/>
      <c r="ES227" s="938"/>
      <c r="ET227" s="1425"/>
      <c r="EU227" s="1196"/>
      <c r="EV227" s="1424"/>
      <c r="EW227" s="938"/>
      <c r="EX227" s="938"/>
      <c r="EY227" s="1425"/>
      <c r="EZ227" s="1196"/>
      <c r="FA227" s="1424"/>
      <c r="FB227" s="938"/>
      <c r="FC227" s="938"/>
      <c r="FD227" s="1425"/>
      <c r="FE227" s="1196"/>
      <c r="FF227" s="938"/>
      <c r="FG227" s="690"/>
      <c r="FH227" s="754"/>
      <c r="FI227" s="754"/>
      <c r="FJ227" s="754"/>
      <c r="FK227" s="754"/>
      <c r="FL227" s="690"/>
      <c r="FM227" s="940"/>
      <c r="FN227" s="940"/>
      <c r="FO227" s="941"/>
      <c r="FP227" s="941"/>
      <c r="FQ227" s="941"/>
      <c r="FR227" s="941"/>
      <c r="FS227" s="941"/>
      <c r="FT227" s="941"/>
      <c r="FU227" s="690"/>
      <c r="FV227"/>
      <c r="FW227"/>
      <c r="FX227"/>
      <c r="FY227"/>
      <c r="FZ227"/>
      <c r="GA227"/>
      <c r="GB227" s="943"/>
      <c r="GC227" s="1426"/>
      <c r="GD227" s="1426"/>
      <c r="GE227" s="1426"/>
      <c r="GF227" s="1426"/>
      <c r="GG227" s="1426"/>
      <c r="GH227" s="1426"/>
      <c r="GI227" s="1426"/>
      <c r="GJ227" s="1426"/>
      <c r="GK227" s="1426"/>
      <c r="GL227" s="1426"/>
      <c r="GM227" s="1426"/>
      <c r="GN227" s="1426"/>
      <c r="GO227" s="1426"/>
      <c r="GP227" s="1426"/>
      <c r="GQ227" s="1426"/>
      <c r="GR227" s="1426"/>
      <c r="GS227" s="1426"/>
      <c r="GT227" s="1426"/>
      <c r="GU227" s="1426"/>
      <c r="GV227" s="1426"/>
      <c r="GW227" s="1426"/>
      <c r="GX227" s="1426"/>
      <c r="GY227" s="1426"/>
      <c r="GZ227" s="1426"/>
      <c r="HA227" s="1426"/>
      <c r="HB227" s="1426"/>
      <c r="HC227" s="1426"/>
      <c r="HD227" s="1426"/>
      <c r="HE227" s="1426"/>
      <c r="HF227" s="1426"/>
      <c r="HG227" s="1426"/>
      <c r="HH227" s="1426"/>
      <c r="HI227" s="1426"/>
      <c r="HJ227" s="1426"/>
      <c r="HK227" s="1426"/>
      <c r="HL227" s="1426"/>
      <c r="HM227" s="1426"/>
      <c r="HN227" s="1426"/>
      <c r="HO227" s="1426"/>
      <c r="HP227" s="1426"/>
      <c r="HQ227" s="1426"/>
      <c r="HR227" s="1426"/>
      <c r="HS227" s="1426"/>
      <c r="HT227" s="1426"/>
      <c r="HU227" s="1426"/>
      <c r="HV227" s="1426"/>
      <c r="HW227" s="1426"/>
      <c r="HX227" s="1426"/>
      <c r="HY227" s="1426"/>
      <c r="HZ227" s="1426"/>
      <c r="IA227" s="1426"/>
      <c r="IB227" s="1426"/>
      <c r="IC227" s="1426"/>
      <c r="ID227" s="1426"/>
      <c r="IE227" s="1426"/>
      <c r="IF227" s="1426"/>
      <c r="IG227" s="1426"/>
      <c r="IH227" s="1426"/>
      <c r="II227" s="1426"/>
      <c r="IJ227" s="1426"/>
      <c r="IK227" s="1426"/>
      <c r="IL227" s="1426"/>
      <c r="IM227" s="1426"/>
      <c r="IN227" s="1426"/>
      <c r="IO227" s="1426"/>
      <c r="IP227" s="1426"/>
      <c r="IQ227" s="1426"/>
      <c r="IR227" s="1426"/>
      <c r="IS227" s="1426"/>
      <c r="IT227" s="1426"/>
      <c r="IU227" s="1426"/>
      <c r="IV227" s="1426"/>
      <c r="IW227" s="1426"/>
      <c r="IX227" s="1426"/>
      <c r="IY227" s="1426"/>
      <c r="IZ227" s="1426"/>
      <c r="JA227" s="1426"/>
      <c r="JB227" s="1426"/>
      <c r="JC227" s="1426"/>
      <c r="JD227" s="1426"/>
      <c r="JE227" s="1426"/>
      <c r="JF227" s="1426"/>
      <c r="JG227" s="1426"/>
      <c r="JH227" s="1426"/>
      <c r="JI227" s="1426"/>
      <c r="JJ227" s="1426"/>
      <c r="JK227" s="1426"/>
      <c r="JL227" s="1426"/>
    </row>
    <row r="228" spans="1:272" s="942" customFormat="1" ht="12.75" hidden="1" customHeight="1" outlineLevel="1">
      <c r="A228" s="1508" t="s">
        <v>408</v>
      </c>
      <c r="B228" s="1420"/>
      <c r="C228" s="943"/>
      <c r="D228" s="943"/>
      <c r="E228" s="943"/>
      <c r="F228" s="1509"/>
      <c r="G228" s="943"/>
      <c r="H228" s="943"/>
      <c r="I228" s="943"/>
      <c r="J228" s="943"/>
      <c r="K228" s="1509"/>
      <c r="L228" s="943"/>
      <c r="M228" s="943"/>
      <c r="N228" s="943"/>
      <c r="O228" s="943"/>
      <c r="P228" s="1509"/>
      <c r="Q228" s="943"/>
      <c r="R228" s="943"/>
      <c r="S228" s="943"/>
      <c r="T228" s="943"/>
      <c r="U228" s="1509"/>
      <c r="V228" s="943"/>
      <c r="W228" s="943"/>
      <c r="X228" s="943"/>
      <c r="Y228" s="943"/>
      <c r="Z228" s="1509"/>
      <c r="AA228" s="943"/>
      <c r="AB228" s="943"/>
      <c r="AC228" s="943"/>
      <c r="AD228" s="943"/>
      <c r="AE228" s="1509"/>
      <c r="AF228" s="1510"/>
      <c r="AG228" s="1510"/>
      <c r="AH228" s="1510"/>
      <c r="AI228" s="1510"/>
      <c r="AJ228" s="1509"/>
      <c r="AK228" s="1510"/>
      <c r="AL228" s="1510"/>
      <c r="AM228" s="1510"/>
      <c r="AN228" s="1510"/>
      <c r="AO228" s="1509"/>
      <c r="AP228" s="1510"/>
      <c r="AQ228" s="1511"/>
      <c r="AR228" s="1511"/>
      <c r="AS228" s="1511"/>
      <c r="AT228" s="1509"/>
      <c r="AU228" s="1510"/>
      <c r="AV228" s="1511"/>
      <c r="AW228" s="1511"/>
      <c r="AX228" s="1511"/>
      <c r="AY228" s="1509"/>
      <c r="AZ228" s="1510"/>
      <c r="BA228" s="1511"/>
      <c r="BB228" s="1511"/>
      <c r="BC228" s="1511"/>
      <c r="BD228" s="1509"/>
      <c r="BE228" s="1510"/>
      <c r="BF228" s="1511"/>
      <c r="BG228" s="1511"/>
      <c r="BH228" s="1511"/>
      <c r="BI228" s="1509"/>
      <c r="BJ228" s="1510"/>
      <c r="BK228" s="1511"/>
      <c r="BL228" s="1511"/>
      <c r="BM228" s="1511"/>
      <c r="BN228" s="1509"/>
      <c r="BO228" s="1510">
        <v>-1.706</v>
      </c>
      <c r="BP228" s="1511">
        <v>-1.706</v>
      </c>
      <c r="BQ228" s="1511">
        <v>-1.724</v>
      </c>
      <c r="BR228" s="1511">
        <v>-1.736</v>
      </c>
      <c r="BS228" s="1509">
        <f>BR228+BQ228+BP228+BO228</f>
        <v>-6.8719999999999999</v>
      </c>
      <c r="BT228" s="1510">
        <v>-1.702</v>
      </c>
      <c r="BU228" s="1511">
        <v>-1.702</v>
      </c>
      <c r="BV228" s="1511">
        <v>-1.7150000000000001</v>
      </c>
      <c r="BW228" s="1511">
        <v>-1.74</v>
      </c>
      <c r="BX228" s="1509">
        <f>BW228+BV228+BU228+BT228</f>
        <v>-6.859</v>
      </c>
      <c r="BY228" s="1510">
        <v>-1.714</v>
      </c>
      <c r="BZ228" s="1511">
        <v>-1.7270000000000001</v>
      </c>
      <c r="CA228" s="1511">
        <v>-1.724</v>
      </c>
      <c r="CB228" s="1511">
        <v>-1.7370000000000001</v>
      </c>
      <c r="CC228" s="1509">
        <f>CB228+CA228+BZ228+BY228</f>
        <v>-6.902000000000001</v>
      </c>
      <c r="CD228" s="1510">
        <v>-1.726</v>
      </c>
      <c r="CE228" s="1510">
        <v>-1.7390000000000001</v>
      </c>
      <c r="CF228" s="1510">
        <v>-1.5469999999999999</v>
      </c>
      <c r="CG228" s="1510">
        <v>-1.5609999999999999</v>
      </c>
      <c r="CH228" s="1509">
        <f>CG228+CF228+CE228+CD228</f>
        <v>-6.5729999999999995</v>
      </c>
      <c r="CI228" s="1510">
        <v>-1.508</v>
      </c>
      <c r="CJ228" s="1510">
        <v>-1.518</v>
      </c>
      <c r="CK228" s="1510">
        <v>-1.486</v>
      </c>
      <c r="CL228" s="1510">
        <v>-1.5009999999999999</v>
      </c>
      <c r="CM228" s="1509">
        <f>CL228+CK228+CJ228+CI228</f>
        <v>-6.0129999999999999</v>
      </c>
      <c r="CN228" s="1510">
        <v>-1.4650000000000001</v>
      </c>
      <c r="CO228" s="1510">
        <v>-1.4810000000000001</v>
      </c>
      <c r="CP228" s="1510">
        <v>-1.431</v>
      </c>
      <c r="CQ228" s="1510">
        <v>-1.4490000000000001</v>
      </c>
      <c r="CR228" s="1509">
        <f>CQ228+CP228+CO228+CN228</f>
        <v>-5.8259999999999996</v>
      </c>
      <c r="CS228" s="1510">
        <v>-1.415</v>
      </c>
      <c r="CT228" s="1510">
        <v>-1.4339999999999999</v>
      </c>
      <c r="CU228" s="1510">
        <v>-1.399</v>
      </c>
      <c r="CV228" s="1510">
        <v>0</v>
      </c>
      <c r="CW228" s="1509">
        <f>CV228+CU228+CT228+CS228</f>
        <v>-4.2480000000000002</v>
      </c>
      <c r="CX228" s="1512">
        <v>0</v>
      </c>
      <c r="CY228" s="1512">
        <v>-0.69399999999999995</v>
      </c>
      <c r="CZ228" s="1512">
        <v>0</v>
      </c>
      <c r="DA228" s="1512">
        <v>0</v>
      </c>
      <c r="DB228" s="1513">
        <v>0</v>
      </c>
      <c r="DC228" s="1512"/>
      <c r="DD228" s="1512"/>
      <c r="DE228" s="1512"/>
      <c r="DF228" s="1512"/>
      <c r="DG228" s="1509"/>
      <c r="DH228" s="1510"/>
      <c r="DI228" s="1512"/>
      <c r="DJ228" s="1510"/>
      <c r="DK228" s="1510"/>
      <c r="DL228" s="1509"/>
      <c r="DM228" s="1510"/>
      <c r="DN228" s="1510"/>
      <c r="DO228" s="1510"/>
      <c r="DP228" s="1510"/>
      <c r="DQ228" s="1509"/>
      <c r="DR228" s="1510"/>
      <c r="DS228" s="1510"/>
      <c r="DT228" s="1510"/>
      <c r="DU228" s="1510"/>
      <c r="DV228" s="1509"/>
      <c r="DW228" s="1510"/>
      <c r="DX228" s="1510"/>
      <c r="DY228" s="1510"/>
      <c r="DZ228" s="1510"/>
      <c r="EA228" s="1509"/>
      <c r="EB228" s="1510"/>
      <c r="EC228" s="1510"/>
      <c r="ED228" s="1510"/>
      <c r="EE228" s="1510"/>
      <c r="EF228" s="1509"/>
      <c r="EG228" s="1424"/>
      <c r="EH228" s="938"/>
      <c r="EI228" s="938"/>
      <c r="EJ228" s="1425"/>
      <c r="EK228" s="1509"/>
      <c r="EL228" s="1424"/>
      <c r="EM228" s="938"/>
      <c r="EN228" s="938"/>
      <c r="EO228" s="1425"/>
      <c r="EP228" s="1509"/>
      <c r="EQ228" s="1424"/>
      <c r="ER228" s="938"/>
      <c r="ES228" s="938"/>
      <c r="ET228" s="1425"/>
      <c r="EU228" s="1509"/>
      <c r="EV228" s="1424"/>
      <c r="EW228" s="938"/>
      <c r="EX228" s="938"/>
      <c r="EY228" s="1425"/>
      <c r="EZ228" s="1509"/>
      <c r="FA228" s="1424"/>
      <c r="FB228" s="938"/>
      <c r="FC228" s="938"/>
      <c r="FD228" s="1425"/>
      <c r="FE228" s="1509"/>
      <c r="FF228" s="938"/>
      <c r="FG228" s="690"/>
      <c r="FH228" s="754"/>
      <c r="FI228" s="754"/>
      <c r="FJ228" s="754"/>
      <c r="FK228" s="754"/>
      <c r="FL228" s="690"/>
      <c r="FM228" s="940"/>
      <c r="FN228" s="940"/>
      <c r="FO228" s="941"/>
      <c r="FP228" s="941"/>
      <c r="FQ228" s="941"/>
      <c r="FR228" s="941"/>
      <c r="FS228" s="941"/>
      <c r="FT228" s="941"/>
      <c r="FU228" s="690"/>
      <c r="FV228"/>
      <c r="FW228"/>
      <c r="FX228"/>
      <c r="FY228"/>
      <c r="FZ228"/>
      <c r="GA228"/>
      <c r="GB228" s="943"/>
      <c r="GC228" s="1426"/>
      <c r="GD228" s="1426"/>
      <c r="GE228" s="1426"/>
      <c r="GF228" s="1426"/>
      <c r="GG228" s="1426"/>
      <c r="GH228" s="1426"/>
      <c r="GI228" s="1426"/>
      <c r="GJ228" s="1426"/>
      <c r="GK228" s="1426"/>
      <c r="GL228" s="1426"/>
      <c r="GM228" s="1426"/>
      <c r="GN228" s="1426"/>
      <c r="GO228" s="1426"/>
      <c r="GP228" s="1426"/>
      <c r="GQ228" s="1426"/>
      <c r="GR228" s="1426"/>
      <c r="GS228" s="1426"/>
      <c r="GT228" s="1426"/>
      <c r="GU228" s="1426"/>
      <c r="GV228" s="1426"/>
      <c r="GW228" s="1426"/>
      <c r="GX228" s="1426"/>
      <c r="GY228" s="1426"/>
      <c r="GZ228" s="1426"/>
      <c r="HA228" s="1426"/>
      <c r="HB228" s="1426"/>
      <c r="HC228" s="1426"/>
      <c r="HD228" s="1426"/>
      <c r="HE228" s="1426"/>
      <c r="HF228" s="1426"/>
      <c r="HG228" s="1426"/>
      <c r="HH228" s="1426"/>
      <c r="HI228" s="1426"/>
      <c r="HJ228" s="1426"/>
      <c r="HK228" s="1426"/>
      <c r="HL228" s="1426"/>
      <c r="HM228" s="1426"/>
      <c r="HN228" s="1426"/>
      <c r="HO228" s="1426"/>
      <c r="HP228" s="1426"/>
      <c r="HQ228" s="1426"/>
      <c r="HR228" s="1426"/>
      <c r="HS228" s="1426"/>
      <c r="HT228" s="1426"/>
      <c r="HU228" s="1426"/>
      <c r="HV228" s="1426"/>
      <c r="HW228" s="1426"/>
      <c r="HX228" s="1426"/>
      <c r="HY228" s="1426"/>
      <c r="HZ228" s="1426"/>
      <c r="IA228" s="1426"/>
      <c r="IB228" s="1426"/>
      <c r="IC228" s="1426"/>
      <c r="ID228" s="1426"/>
      <c r="IE228" s="1426"/>
      <c r="IF228" s="1426"/>
      <c r="IG228" s="1426"/>
      <c r="IH228" s="1426"/>
      <c r="II228" s="1426"/>
      <c r="IJ228" s="1426"/>
      <c r="IK228" s="1426"/>
      <c r="IL228" s="1426"/>
      <c r="IM228" s="1426"/>
      <c r="IN228" s="1426"/>
      <c r="IO228" s="1426"/>
      <c r="IP228" s="1426"/>
      <c r="IQ228" s="1426"/>
      <c r="IR228" s="1426"/>
      <c r="IS228" s="1426"/>
      <c r="IT228" s="1426"/>
      <c r="IU228" s="1426"/>
      <c r="IV228" s="1426"/>
      <c r="IW228" s="1426"/>
      <c r="IX228" s="1426"/>
      <c r="IY228" s="1426"/>
      <c r="IZ228" s="1426"/>
      <c r="JA228" s="1426"/>
      <c r="JB228" s="1426"/>
      <c r="JC228" s="1426"/>
      <c r="JD228" s="1426"/>
      <c r="JE228" s="1426"/>
      <c r="JF228" s="1426"/>
      <c r="JG228" s="1426"/>
      <c r="JH228" s="1426"/>
      <c r="JI228" s="1426"/>
      <c r="JJ228" s="1426"/>
      <c r="JK228" s="1426"/>
      <c r="JL228" s="1426"/>
    </row>
    <row r="229" spans="1:272" s="811" customFormat="1" ht="12.75" hidden="1" customHeight="1" outlineLevel="1">
      <c r="A229" s="1514" t="s">
        <v>409</v>
      </c>
      <c r="B229" s="1515"/>
      <c r="C229" s="1421"/>
      <c r="D229" s="1421"/>
      <c r="E229" s="1421"/>
      <c r="F229" s="1509"/>
      <c r="G229" s="1421"/>
      <c r="H229" s="1421"/>
      <c r="I229" s="1421"/>
      <c r="J229" s="1421"/>
      <c r="K229" s="1509"/>
      <c r="L229" s="1421"/>
      <c r="M229" s="1421"/>
      <c r="N229" s="1421"/>
      <c r="O229" s="1421"/>
      <c r="P229" s="1509"/>
      <c r="Q229" s="1421"/>
      <c r="R229" s="1421"/>
      <c r="S229" s="1421"/>
      <c r="T229" s="1421"/>
      <c r="U229" s="1509"/>
      <c r="V229" s="1421"/>
      <c r="W229" s="1421"/>
      <c r="X229" s="1421"/>
      <c r="Y229" s="1421"/>
      <c r="Z229" s="1509"/>
      <c r="AA229" s="1421"/>
      <c r="AB229" s="1421"/>
      <c r="AC229" s="1421"/>
      <c r="AD229" s="1421"/>
      <c r="AE229" s="1509"/>
      <c r="AF229" s="1510"/>
      <c r="AG229" s="1510"/>
      <c r="AH229" s="1510"/>
      <c r="AI229" s="1510"/>
      <c r="AJ229" s="1509"/>
      <c r="AK229" s="1510"/>
      <c r="AL229" s="1510"/>
      <c r="AM229" s="1510"/>
      <c r="AN229" s="1510"/>
      <c r="AO229" s="1509"/>
      <c r="AP229" s="1510"/>
      <c r="AQ229" s="1511"/>
      <c r="AR229" s="1511"/>
      <c r="AS229" s="1511"/>
      <c r="AT229" s="1509"/>
      <c r="AU229" s="1510"/>
      <c r="AV229" s="1511"/>
      <c r="AW229" s="1511"/>
      <c r="AX229" s="1511"/>
      <c r="AY229" s="1509"/>
      <c r="AZ229" s="1510"/>
      <c r="BA229" s="1511"/>
      <c r="BB229" s="1511"/>
      <c r="BC229" s="1511"/>
      <c r="BD229" s="1509"/>
      <c r="BE229" s="1510"/>
      <c r="BF229" s="1511"/>
      <c r="BG229" s="1511"/>
      <c r="BH229" s="1511"/>
      <c r="BI229" s="1509"/>
      <c r="BJ229" s="1510"/>
      <c r="BK229" s="1511"/>
      <c r="BL229" s="1511"/>
      <c r="BM229" s="1511"/>
      <c r="BN229" s="1509"/>
      <c r="BO229" s="1510">
        <f>+BO226+BO227+BO228</f>
        <v>1.2529999999999997</v>
      </c>
      <c r="BP229" s="1511">
        <f>+BP226+BP227+BP228</f>
        <v>1.2909999999999999</v>
      </c>
      <c r="BQ229" s="1511">
        <f>+BQ226+BQ227+BQ228</f>
        <v>1.2319999999999995</v>
      </c>
      <c r="BR229" s="1511">
        <f>+BR226+BR227+BR228</f>
        <v>1.4179999999999999</v>
      </c>
      <c r="BS229" s="1509">
        <f>BR229+BQ229+BP229+BO229</f>
        <v>5.1939999999999991</v>
      </c>
      <c r="BT229" s="1510">
        <f>+BT226+BT227+BT228</f>
        <v>0.32399999999999984</v>
      </c>
      <c r="BU229" s="1511">
        <f>+BU226+BU227+BU228</f>
        <v>1.3209999999999997</v>
      </c>
      <c r="BV229" s="1511">
        <f>+BV226+BV227+BV228</f>
        <v>1.2689999999999999</v>
      </c>
      <c r="BW229" s="1511">
        <f>+BW226+BW227+BW228</f>
        <v>1.3270000000000002</v>
      </c>
      <c r="BX229" s="1509">
        <f>BW229+BV229+BU229+BT229</f>
        <v>4.2409999999999997</v>
      </c>
      <c r="BY229" s="1510">
        <f>+BY226+BY227+BY228</f>
        <v>1.262</v>
      </c>
      <c r="BZ229" s="1511">
        <f>+BZ226+BZ227+BZ228</f>
        <v>0.97899999999999987</v>
      </c>
      <c r="CA229" s="1511">
        <f>+CA226+CA227+CA228</f>
        <v>0.30300000000000016</v>
      </c>
      <c r="CB229" s="1511">
        <f>+CB226+CB227+CB228</f>
        <v>0.38300000000000001</v>
      </c>
      <c r="CC229" s="1509">
        <f>CB229+CA229+BZ229+BY229</f>
        <v>2.927</v>
      </c>
      <c r="CD229" s="1510">
        <f>+CD226+CD227+CD228</f>
        <v>0.26400000000000001</v>
      </c>
      <c r="CE229" s="1510">
        <f>+CE226+CE227+CE228</f>
        <v>0.29699999999999993</v>
      </c>
      <c r="CF229" s="1510">
        <f>+CF226+CF227+CF228</f>
        <v>0.26900000000000013</v>
      </c>
      <c r="CG229" s="1510">
        <f>+CG226+CG227+CG228</f>
        <v>0.32600000000000007</v>
      </c>
      <c r="CH229" s="1509">
        <f>CG229+CF229+CE229+CD229</f>
        <v>1.1560000000000001</v>
      </c>
      <c r="CI229" s="1510">
        <f>+CI226+CI227+CI228</f>
        <v>0.25499999999999989</v>
      </c>
      <c r="CJ229" s="1510">
        <f>+CJ226+CJ227+CJ228</f>
        <v>0.29000000000000004</v>
      </c>
      <c r="CK229" s="1510">
        <f>+CK226+CK227+CK228</f>
        <v>0.26200000000000001</v>
      </c>
      <c r="CL229" s="1510">
        <f>+CL226+CL227+CL228</f>
        <v>0.33400000000000007</v>
      </c>
      <c r="CM229" s="1509">
        <f>CL229+CK229+CJ229+CI229</f>
        <v>1.141</v>
      </c>
      <c r="CN229" s="1510">
        <f>+CN226+CN227+CN228</f>
        <v>0.24899999999999989</v>
      </c>
      <c r="CO229" s="1510">
        <f>+CO226+CO227+CO228</f>
        <v>0.28399999999999981</v>
      </c>
      <c r="CP229" s="1510">
        <f>+CP226+CP227+CP228</f>
        <v>0.26200000000000001</v>
      </c>
      <c r="CQ229" s="1510">
        <f>+CQ226+CQ227+CQ228</f>
        <v>0.33899999999999997</v>
      </c>
      <c r="CR229" s="1509">
        <f>CQ229+CP229+CO229+CN229</f>
        <v>1.1339999999999997</v>
      </c>
      <c r="CS229" s="1510">
        <f>+CS226+CS227+CS228</f>
        <v>0.24099999999999988</v>
      </c>
      <c r="CT229" s="1510">
        <f>+CT226+CT227+CT228</f>
        <v>0.28300000000000014</v>
      </c>
      <c r="CU229" s="1510">
        <f>+CU226+CU227+CU228</f>
        <v>0.25600000000000001</v>
      </c>
      <c r="CV229" s="1510">
        <f>+CV226+CV227+CV228</f>
        <v>0</v>
      </c>
      <c r="CW229" s="1509">
        <f>CV229+CU229+CT229+CS229</f>
        <v>0.78</v>
      </c>
      <c r="CX229" s="1512">
        <f>+CX226+CX227+CX228</f>
        <v>0</v>
      </c>
      <c r="CY229" s="1512">
        <f>+CY226+CY227+CY228</f>
        <v>0.87800000000000011</v>
      </c>
      <c r="CZ229" s="1512">
        <f>+CZ226+CZ227+CZ228</f>
        <v>0</v>
      </c>
      <c r="DA229" s="1512">
        <f>+DA226+DA227+DA228</f>
        <v>0</v>
      </c>
      <c r="DB229" s="1513">
        <f>+DB226+DB227+DB228</f>
        <v>0</v>
      </c>
      <c r="DC229" s="1512"/>
      <c r="DD229" s="1512"/>
      <c r="DE229" s="1512"/>
      <c r="DF229" s="1512"/>
      <c r="DG229" s="1509"/>
      <c r="DH229" s="1510"/>
      <c r="DI229" s="1510"/>
      <c r="DJ229" s="1510"/>
      <c r="DK229" s="1510"/>
      <c r="DL229" s="1509"/>
      <c r="DM229" s="1510"/>
      <c r="DN229" s="1510"/>
      <c r="DO229" s="1510"/>
      <c r="DP229" s="1510"/>
      <c r="DQ229" s="1509"/>
      <c r="DR229" s="1510"/>
      <c r="DS229" s="1510"/>
      <c r="DT229" s="1510"/>
      <c r="DU229" s="1510"/>
      <c r="DV229" s="1509"/>
      <c r="DW229" s="1510"/>
      <c r="DX229" s="1510"/>
      <c r="DY229" s="1510"/>
      <c r="DZ229" s="1510"/>
      <c r="EA229" s="1509"/>
      <c r="EB229" s="1510"/>
      <c r="EC229" s="1510"/>
      <c r="ED229" s="1510"/>
      <c r="EE229" s="1510"/>
      <c r="EF229" s="1509"/>
      <c r="EG229" s="1424"/>
      <c r="EH229" s="938"/>
      <c r="EI229" s="938"/>
      <c r="EJ229" s="1425"/>
      <c r="EK229" s="1509"/>
      <c r="EL229" s="1424"/>
      <c r="EM229" s="938"/>
      <c r="EN229" s="938"/>
      <c r="EO229" s="1425"/>
      <c r="EP229" s="1509"/>
      <c r="EQ229" s="1424"/>
      <c r="ER229" s="938"/>
      <c r="ES229" s="938"/>
      <c r="ET229" s="1425"/>
      <c r="EU229" s="1509"/>
      <c r="EV229" s="1424"/>
      <c r="EW229" s="938"/>
      <c r="EX229" s="938"/>
      <c r="EY229" s="1425"/>
      <c r="EZ229" s="1509"/>
      <c r="FA229" s="1424"/>
      <c r="FB229" s="938"/>
      <c r="FC229" s="938"/>
      <c r="FD229" s="1425"/>
      <c r="FE229" s="1509"/>
      <c r="FF229" s="938"/>
      <c r="FG229" s="690"/>
      <c r="FH229" s="754"/>
      <c r="FI229" s="754"/>
      <c r="FJ229" s="754"/>
      <c r="FK229" s="754"/>
      <c r="FL229" s="690"/>
      <c r="FM229" s="940"/>
      <c r="FN229" s="940"/>
      <c r="FO229" s="941"/>
      <c r="FP229" s="941"/>
      <c r="FQ229" s="941"/>
      <c r="FR229" s="941"/>
      <c r="FS229" s="941"/>
      <c r="FT229" s="941"/>
      <c r="FU229" s="690"/>
      <c r="FV229"/>
      <c r="FW229"/>
      <c r="FX229"/>
      <c r="FY229"/>
      <c r="FZ229"/>
      <c r="GA229"/>
      <c r="GB229" s="1421"/>
      <c r="GC229" s="965"/>
      <c r="GD229" s="965"/>
      <c r="GE229" s="965"/>
      <c r="GF229" s="965"/>
      <c r="GG229" s="965"/>
      <c r="GH229" s="965"/>
      <c r="GI229" s="965"/>
      <c r="GJ229" s="965"/>
      <c r="GK229" s="965"/>
      <c r="GL229" s="965"/>
      <c r="GM229" s="965"/>
      <c r="GN229" s="965"/>
      <c r="GO229" s="965"/>
      <c r="GP229" s="965"/>
      <c r="GQ229" s="965"/>
      <c r="GR229" s="965"/>
      <c r="GS229" s="965"/>
      <c r="GT229" s="965"/>
      <c r="GU229" s="965"/>
      <c r="GV229" s="965"/>
      <c r="GW229" s="965"/>
      <c r="GX229" s="965"/>
      <c r="GY229" s="965"/>
      <c r="GZ229" s="965"/>
      <c r="HA229" s="965"/>
      <c r="HB229" s="965"/>
      <c r="HC229" s="965"/>
      <c r="HD229" s="965"/>
      <c r="HE229" s="965"/>
      <c r="HF229" s="965"/>
      <c r="HG229" s="965"/>
      <c r="HH229" s="965"/>
      <c r="HI229" s="965"/>
      <c r="HJ229" s="965"/>
      <c r="HK229" s="965"/>
      <c r="HL229" s="965"/>
      <c r="HM229" s="965"/>
      <c r="HN229" s="965"/>
      <c r="HO229" s="965"/>
      <c r="HP229" s="965"/>
      <c r="HQ229" s="965"/>
      <c r="HR229" s="965"/>
      <c r="HS229" s="965"/>
      <c r="HT229" s="965"/>
      <c r="HU229" s="965"/>
      <c r="HV229" s="965"/>
      <c r="HW229" s="965"/>
      <c r="HX229" s="965"/>
      <c r="HY229" s="965"/>
      <c r="HZ229" s="965"/>
      <c r="IA229" s="965"/>
      <c r="IB229" s="965"/>
      <c r="IC229" s="965"/>
      <c r="ID229" s="965"/>
      <c r="IE229" s="965"/>
      <c r="IF229" s="965"/>
      <c r="IG229" s="965"/>
      <c r="IH229" s="965"/>
      <c r="II229" s="965"/>
      <c r="IJ229" s="965"/>
      <c r="IK229" s="965"/>
      <c r="IL229" s="965"/>
      <c r="IM229" s="965"/>
      <c r="IN229" s="965"/>
      <c r="IO229" s="965"/>
      <c r="IP229" s="965"/>
      <c r="IQ229" s="965"/>
      <c r="IR229" s="965"/>
      <c r="IS229" s="965"/>
      <c r="IT229" s="965"/>
      <c r="IU229" s="965"/>
      <c r="IV229" s="965"/>
      <c r="IW229" s="965"/>
      <c r="IX229" s="965"/>
      <c r="IY229" s="965"/>
      <c r="IZ229" s="965"/>
      <c r="JA229" s="965"/>
      <c r="JB229" s="965"/>
      <c r="JC229" s="965"/>
      <c r="JD229" s="965"/>
      <c r="JE229" s="965"/>
      <c r="JF229" s="965"/>
      <c r="JG229" s="965"/>
      <c r="JH229" s="965"/>
      <c r="JI229" s="965"/>
      <c r="JJ229" s="965"/>
      <c r="JK229" s="965"/>
      <c r="JL229" s="965"/>
    </row>
    <row r="230" spans="1:272" s="811" customFormat="1" ht="12.75" hidden="1" customHeight="1" outlineLevel="1">
      <c r="A230" s="962" t="s">
        <v>410</v>
      </c>
      <c r="B230" s="1487"/>
      <c r="C230" s="1489"/>
      <c r="D230" s="1489"/>
      <c r="E230" s="1489"/>
      <c r="F230" s="1074"/>
      <c r="G230" s="1489"/>
      <c r="H230" s="1489"/>
      <c r="I230" s="1489"/>
      <c r="J230" s="1489"/>
      <c r="K230" s="1074"/>
      <c r="L230" s="1489"/>
      <c r="M230" s="1489"/>
      <c r="N230" s="1489"/>
      <c r="O230" s="1489"/>
      <c r="P230" s="1074"/>
      <c r="Q230" s="1489"/>
      <c r="R230" s="1489"/>
      <c r="S230" s="1489"/>
      <c r="T230" s="1489"/>
      <c r="U230" s="1074"/>
      <c r="V230" s="1489"/>
      <c r="W230" s="1489"/>
      <c r="X230" s="1489"/>
      <c r="Y230" s="1489"/>
      <c r="Z230" s="1074"/>
      <c r="AA230" s="1489"/>
      <c r="AB230" s="1489"/>
      <c r="AC230" s="1489"/>
      <c r="AD230" s="1489"/>
      <c r="AE230" s="1074"/>
      <c r="AF230" s="1516"/>
      <c r="AG230" s="1516"/>
      <c r="AH230" s="1516"/>
      <c r="AI230" s="1516"/>
      <c r="AJ230" s="1074"/>
      <c r="AK230" s="1516"/>
      <c r="AL230" s="1516"/>
      <c r="AM230" s="1516"/>
      <c r="AN230" s="1516"/>
      <c r="AO230" s="1074"/>
      <c r="AP230" s="1516"/>
      <c r="AQ230" s="1517"/>
      <c r="AR230" s="1517"/>
      <c r="AS230" s="1517"/>
      <c r="AT230" s="1074"/>
      <c r="AU230" s="1516"/>
      <c r="AV230" s="1517"/>
      <c r="AW230" s="1517"/>
      <c r="AX230" s="1517"/>
      <c r="AY230" s="1074"/>
      <c r="AZ230" s="1516"/>
      <c r="BA230" s="1517"/>
      <c r="BB230" s="1517"/>
      <c r="BC230" s="1517"/>
      <c r="BD230" s="1074"/>
      <c r="BE230" s="1516"/>
      <c r="BF230" s="1517"/>
      <c r="BG230" s="1517"/>
      <c r="BH230" s="1517"/>
      <c r="BI230" s="1074"/>
      <c r="BJ230" s="1516"/>
      <c r="BK230" s="1517"/>
      <c r="BL230" s="1517"/>
      <c r="BM230" s="1517"/>
      <c r="BN230" s="1074"/>
      <c r="BO230" s="1516">
        <f>BO224+BO229</f>
        <v>12.299028258729532</v>
      </c>
      <c r="BP230" s="1516">
        <f>BP224+BP229</f>
        <v>18.432497779498515</v>
      </c>
      <c r="BQ230" s="1516">
        <f>BQ224+BQ229</f>
        <v>22.880812589129278</v>
      </c>
      <c r="BR230" s="1516">
        <f>BR224+BR229</f>
        <v>14.294914573072308</v>
      </c>
      <c r="BS230" s="1074">
        <f>SUM(BO230:BR230)</f>
        <v>67.907253200429636</v>
      </c>
      <c r="BT230" s="1516">
        <f>BT224+BT229</f>
        <v>18.100518479408692</v>
      </c>
      <c r="BU230" s="1516">
        <f>BU224+BU229</f>
        <v>27.004420008003287</v>
      </c>
      <c r="BV230" s="1516">
        <f>BV224+BV229</f>
        <v>32.803669441056236</v>
      </c>
      <c r="BW230" s="1516">
        <f>BW224+BW229</f>
        <v>33.319982516540485</v>
      </c>
      <c r="BX230" s="1074">
        <f>SUM(BT230:BW230)</f>
        <v>111.22859044500871</v>
      </c>
      <c r="BY230" s="1516">
        <f>BY224+BY229</f>
        <v>29.195712376464027</v>
      </c>
      <c r="BZ230" s="1516">
        <f>BZ224+BZ229</f>
        <v>34.786604167240064</v>
      </c>
      <c r="CA230" s="1516">
        <f>CA224+CA229</f>
        <v>40.340267906543922</v>
      </c>
      <c r="CB230" s="1516">
        <f>CB224+CB229</f>
        <v>36.542613181829779</v>
      </c>
      <c r="CC230" s="1074">
        <f>SUM(BY230:CB230)</f>
        <v>140.86519763207778</v>
      </c>
      <c r="CD230" s="1516">
        <f t="shared" ref="CD230:CL230" si="566">CD224+CD229</f>
        <v>41.128859309410942</v>
      </c>
      <c r="CE230" s="1516">
        <f t="shared" si="566"/>
        <v>68.077775645458729</v>
      </c>
      <c r="CF230" s="1516">
        <f t="shared" si="566"/>
        <v>64.622783993214881</v>
      </c>
      <c r="CG230" s="1516">
        <f t="shared" si="566"/>
        <v>55.339947460438388</v>
      </c>
      <c r="CH230" s="1074">
        <f t="shared" si="566"/>
        <v>223.80299999999988</v>
      </c>
      <c r="CI230" s="1516">
        <f t="shared" si="566"/>
        <v>48.056431098218397</v>
      </c>
      <c r="CJ230" s="1516">
        <f t="shared" si="566"/>
        <v>75.869711909722554</v>
      </c>
      <c r="CK230" s="1516">
        <f t="shared" si="566"/>
        <v>63.949717206665689</v>
      </c>
      <c r="CL230" s="1516">
        <f t="shared" si="566"/>
        <v>90.740616997048434</v>
      </c>
      <c r="CM230" s="1074">
        <f>SUM(CI230:CL230)</f>
        <v>278.61647721165508</v>
      </c>
      <c r="CN230" s="1516">
        <f>CN224+CN229</f>
        <v>24.118433957654727</v>
      </c>
      <c r="CO230" s="1516">
        <f>CO224+CO229</f>
        <v>47.969000000000044</v>
      </c>
      <c r="CP230" s="1516">
        <f>CP224+CP229</f>
        <v>37.533999999999992</v>
      </c>
      <c r="CQ230" s="1516">
        <f>CQ224+CQ229</f>
        <v>37.27500000000002</v>
      </c>
      <c r="CR230" s="1074">
        <f>SUM(CN230:CQ230)</f>
        <v>146.89643395765478</v>
      </c>
      <c r="CS230" s="1516">
        <f>CS224+CS229</f>
        <v>22.696999999999996</v>
      </c>
      <c r="CT230" s="1516">
        <f>CT224+CT229</f>
        <v>47.372</v>
      </c>
      <c r="CU230" s="1516">
        <f>CU224+CU229</f>
        <v>39.084999999999965</v>
      </c>
      <c r="CV230" s="1516">
        <f>CV224+CV229</f>
        <v>-49.738999999999983</v>
      </c>
      <c r="CW230" s="1074">
        <f>SUM(CS230:CV230)</f>
        <v>59.414999999999971</v>
      </c>
      <c r="CX230" s="1516">
        <f>CX224+CX229</f>
        <v>-19.165999999999986</v>
      </c>
      <c r="CY230" s="1516">
        <f>CY224+CY229</f>
        <v>32.344999999999985</v>
      </c>
      <c r="CZ230" s="1516">
        <f>CZ224+CZ229</f>
        <v>13.492000000000001</v>
      </c>
      <c r="DA230" s="1516">
        <f>DA224+DA229</f>
        <v>-1.928999999999998</v>
      </c>
      <c r="DB230" s="1074">
        <f>DB224+DB229</f>
        <v>29.301999999999985</v>
      </c>
      <c r="DC230" s="1516">
        <f t="shared" ref="DC230:EF230" si="567">DC219-DC221</f>
        <v>-0.74399999999999711</v>
      </c>
      <c r="DD230" s="1516">
        <f t="shared" si="567"/>
        <v>13.863</v>
      </c>
      <c r="DE230" s="1516">
        <f t="shared" si="567"/>
        <v>11.876999999999992</v>
      </c>
      <c r="DF230" s="1516">
        <f t="shared" si="567"/>
        <v>1.1079999999999999</v>
      </c>
      <c r="DG230" s="1518">
        <f t="shared" si="567"/>
        <v>25.243000000000013</v>
      </c>
      <c r="DH230" s="1516">
        <f t="shared" si="567"/>
        <v>13.392999999999997</v>
      </c>
      <c r="DI230" s="1516">
        <f t="shared" si="567"/>
        <v>29.422000000000004</v>
      </c>
      <c r="DJ230" s="1516">
        <f t="shared" si="567"/>
        <v>29.127999999999993</v>
      </c>
      <c r="DK230" s="1516">
        <f t="shared" si="567"/>
        <v>14.670000000000002</v>
      </c>
      <c r="DL230" s="1074">
        <f t="shared" si="567"/>
        <v>86.613</v>
      </c>
      <c r="DM230" s="1516">
        <f t="shared" si="567"/>
        <v>25.434000000000005</v>
      </c>
      <c r="DN230" s="1516">
        <f t="shared" si="567"/>
        <v>37.10799999999999</v>
      </c>
      <c r="DO230" s="1516">
        <f t="shared" si="567"/>
        <v>25.304000000000002</v>
      </c>
      <c r="DP230" s="1516">
        <f t="shared" si="567"/>
        <v>14.660999999999992</v>
      </c>
      <c r="DQ230" s="1074">
        <f t="shared" si="567"/>
        <v>102.50699999999996</v>
      </c>
      <c r="DR230" s="1516">
        <f>DR219-DR221</f>
        <v>10.567999999999998</v>
      </c>
      <c r="DS230" s="1516">
        <f>DS219-DS221</f>
        <v>37.972999999999999</v>
      </c>
      <c r="DT230" s="1516">
        <f>DT219-DT221</f>
        <v>33.308</v>
      </c>
      <c r="DU230" s="1516">
        <f>DU219-DU221</f>
        <v>13.052999999999995</v>
      </c>
      <c r="DV230" s="1074">
        <f t="shared" si="567"/>
        <v>94.902000000000001</v>
      </c>
      <c r="DW230" s="1516">
        <f t="shared" si="567"/>
        <v>11.532999999999998</v>
      </c>
      <c r="DX230" s="1516">
        <f t="shared" si="567"/>
        <v>52.7</v>
      </c>
      <c r="DY230" s="1516">
        <f>DY219-DY221</f>
        <v>46.433999999999997</v>
      </c>
      <c r="DZ230" s="1516">
        <f>DZ219-DZ221</f>
        <v>23.800000000000004</v>
      </c>
      <c r="EA230" s="1074">
        <f>EA219-EA221</f>
        <v>134.85900000000001</v>
      </c>
      <c r="EB230" s="1516">
        <f>EB219-EB221</f>
        <v>22.710999999999995</v>
      </c>
      <c r="EC230" s="1516">
        <f>EC219-EC221</f>
        <v>43.69</v>
      </c>
      <c r="ED230" s="1516">
        <f t="shared" si="567"/>
        <v>44.764251999999999</v>
      </c>
      <c r="EE230" s="1516">
        <f t="shared" si="567"/>
        <v>36.783119048691987</v>
      </c>
      <c r="EF230" s="1074">
        <f t="shared" si="567"/>
        <v>147.94837104869191</v>
      </c>
      <c r="EG230" s="1039"/>
      <c r="EH230" s="778"/>
      <c r="EI230" s="778"/>
      <c r="EJ230" s="1040"/>
      <c r="EK230" s="1074">
        <f>EK219-EK221</f>
        <v>235.99819127817497</v>
      </c>
      <c r="EL230" s="1039"/>
      <c r="EM230" s="778"/>
      <c r="EN230" s="778"/>
      <c r="EO230" s="1040"/>
      <c r="EP230" s="1074">
        <f>EP219-EP221</f>
        <v>278.22414962846005</v>
      </c>
      <c r="EQ230" s="1039"/>
      <c r="ER230" s="778"/>
      <c r="ES230" s="778"/>
      <c r="ET230" s="1040"/>
      <c r="EU230" s="1074">
        <f>EU219-EU221</f>
        <v>329.28206538128052</v>
      </c>
      <c r="EV230" s="1039"/>
      <c r="EW230" s="778"/>
      <c r="EX230" s="778"/>
      <c r="EY230" s="1040"/>
      <c r="EZ230" s="1074">
        <f>EZ219-EZ221</f>
        <v>359.24214268887772</v>
      </c>
      <c r="FA230" s="1039"/>
      <c r="FB230" s="778"/>
      <c r="FC230" s="778"/>
      <c r="FD230" s="1040"/>
      <c r="FE230" s="1074">
        <f>FE219-FE221</f>
        <v>390.36979157372713</v>
      </c>
      <c r="FF230" s="938"/>
      <c r="FG230" s="690"/>
      <c r="FH230" s="754"/>
      <c r="FI230" s="754"/>
      <c r="FJ230" s="754"/>
      <c r="FK230" s="754"/>
      <c r="FL230" s="690"/>
      <c r="FM230" s="940"/>
      <c r="FN230" s="940"/>
      <c r="FO230" s="941"/>
      <c r="FP230" s="941"/>
      <c r="FQ230" s="941"/>
      <c r="FR230" s="941"/>
      <c r="FS230" s="941"/>
      <c r="FT230" s="941"/>
      <c r="FU230" s="690"/>
      <c r="FV230"/>
      <c r="FW230"/>
      <c r="FX230"/>
      <c r="FY230"/>
      <c r="FZ230"/>
      <c r="GA230"/>
      <c r="GB230" s="1421"/>
      <c r="GC230" s="965"/>
      <c r="GD230" s="965"/>
      <c r="GE230" s="965"/>
      <c r="GF230" s="965"/>
      <c r="GG230" s="965"/>
      <c r="GH230" s="965"/>
      <c r="GI230" s="965"/>
      <c r="GJ230" s="965"/>
      <c r="GK230" s="965"/>
      <c r="GL230" s="965"/>
      <c r="GM230" s="965"/>
      <c r="GN230" s="965"/>
      <c r="GO230" s="965"/>
      <c r="GP230" s="965"/>
      <c r="GQ230" s="965"/>
      <c r="GR230" s="965"/>
      <c r="GS230" s="965"/>
      <c r="GT230" s="965"/>
      <c r="GU230" s="965"/>
      <c r="GV230" s="965"/>
      <c r="GW230" s="965"/>
      <c r="GX230" s="965"/>
      <c r="GY230" s="965"/>
      <c r="GZ230" s="965"/>
      <c r="HA230" s="965"/>
      <c r="HB230" s="965"/>
      <c r="HC230" s="965"/>
      <c r="HD230" s="965"/>
      <c r="HE230" s="965"/>
      <c r="HF230" s="965"/>
      <c r="HG230" s="965"/>
      <c r="HH230" s="965"/>
      <c r="HI230" s="965"/>
      <c r="HJ230" s="965"/>
      <c r="HK230" s="965"/>
      <c r="HL230" s="965"/>
      <c r="HM230" s="965"/>
      <c r="HN230" s="965"/>
      <c r="HO230" s="965"/>
      <c r="HP230" s="965"/>
      <c r="HQ230" s="965"/>
      <c r="HR230" s="965"/>
      <c r="HS230" s="965"/>
      <c r="HT230" s="965"/>
      <c r="HU230" s="965"/>
      <c r="HV230" s="965"/>
      <c r="HW230" s="965"/>
      <c r="HX230" s="965"/>
      <c r="HY230" s="965"/>
      <c r="HZ230" s="965"/>
      <c r="IA230" s="965"/>
      <c r="IB230" s="965"/>
      <c r="IC230" s="965"/>
      <c r="ID230" s="965"/>
      <c r="IE230" s="965"/>
      <c r="IF230" s="965"/>
      <c r="IG230" s="965"/>
      <c r="IH230" s="965"/>
      <c r="II230" s="965"/>
      <c r="IJ230" s="965"/>
      <c r="IK230" s="965"/>
      <c r="IL230" s="965"/>
      <c r="IM230" s="965"/>
      <c r="IN230" s="965"/>
      <c r="IO230" s="965"/>
      <c r="IP230" s="965"/>
      <c r="IQ230" s="965"/>
      <c r="IR230" s="965"/>
      <c r="IS230" s="965"/>
      <c r="IT230" s="965"/>
      <c r="IU230" s="965"/>
      <c r="IV230" s="965"/>
      <c r="IW230" s="965"/>
      <c r="IX230" s="965"/>
      <c r="IY230" s="965"/>
      <c r="IZ230" s="965"/>
      <c r="JA230" s="965"/>
      <c r="JB230" s="965"/>
      <c r="JC230" s="965"/>
      <c r="JD230" s="965"/>
      <c r="JE230" s="965"/>
      <c r="JF230" s="965"/>
      <c r="JG230" s="965"/>
      <c r="JH230" s="965"/>
      <c r="JI230" s="965"/>
      <c r="JJ230" s="965"/>
      <c r="JK230" s="965"/>
      <c r="JL230" s="965"/>
    </row>
    <row r="231" spans="1:272" s="1529" customFormat="1" ht="12.75" hidden="1" customHeight="1" outlineLevel="1">
      <c r="A231" s="1519" t="s">
        <v>411</v>
      </c>
      <c r="B231" s="1519"/>
      <c r="C231" s="1519"/>
      <c r="D231" s="1519"/>
      <c r="E231" s="1519"/>
      <c r="F231" s="1520"/>
      <c r="G231" s="1519"/>
      <c r="H231" s="1519"/>
      <c r="I231" s="1519"/>
      <c r="J231" s="1519"/>
      <c r="K231" s="1520"/>
      <c r="L231" s="1519"/>
      <c r="M231" s="1519"/>
      <c r="N231" s="1519"/>
      <c r="O231" s="1519"/>
      <c r="P231" s="1520"/>
      <c r="Q231" s="1519"/>
      <c r="R231" s="1519"/>
      <c r="S231" s="1519"/>
      <c r="T231" s="1519"/>
      <c r="U231" s="1520"/>
      <c r="V231" s="1519"/>
      <c r="W231" s="1519"/>
      <c r="X231" s="1519"/>
      <c r="Y231" s="1519"/>
      <c r="Z231" s="1520"/>
      <c r="AA231" s="1519"/>
      <c r="AB231" s="1519"/>
      <c r="AC231" s="1519"/>
      <c r="AD231" s="1519"/>
      <c r="AE231" s="1520"/>
      <c r="AF231" s="1519"/>
      <c r="AG231" s="1519"/>
      <c r="AH231" s="1519"/>
      <c r="AI231" s="1519"/>
      <c r="AJ231" s="1520"/>
      <c r="AK231" s="1519"/>
      <c r="AL231" s="1519"/>
      <c r="AM231" s="1519"/>
      <c r="AN231" s="1519"/>
      <c r="AO231" s="1520"/>
      <c r="AP231" s="1519"/>
      <c r="AQ231" s="1519"/>
      <c r="AR231" s="1519"/>
      <c r="AS231" s="1519"/>
      <c r="AT231" s="1520"/>
      <c r="AU231" s="1519"/>
      <c r="AV231" s="1519"/>
      <c r="AW231" s="1519"/>
      <c r="AX231" s="1519"/>
      <c r="AY231" s="1520"/>
      <c r="AZ231" s="1519"/>
      <c r="BA231" s="1519"/>
      <c r="BB231" s="1519"/>
      <c r="BC231" s="1519"/>
      <c r="BD231" s="1520"/>
      <c r="BE231" s="1519"/>
      <c r="BF231" s="1519"/>
      <c r="BG231" s="1519"/>
      <c r="BH231" s="1519"/>
      <c r="BI231" s="1520"/>
      <c r="BJ231" s="1519"/>
      <c r="BK231" s="1519"/>
      <c r="BL231" s="1519"/>
      <c r="BM231" s="1519"/>
      <c r="BN231" s="1520"/>
      <c r="BO231" s="1519">
        <f>(BO230)/BO239</f>
        <v>0.21774878615784346</v>
      </c>
      <c r="BP231" s="1519">
        <f>BP230/BP239</f>
        <v>0.32501350006526747</v>
      </c>
      <c r="BQ231" s="1519">
        <f>BQ230/BQ239</f>
        <v>0.40314704629475961</v>
      </c>
      <c r="BR231" s="1519">
        <f>BR230/BR239</f>
        <v>0.25192889463289569</v>
      </c>
      <c r="BS231" s="1520">
        <f>BS230/BS239</f>
        <v>1.1982239066142568</v>
      </c>
      <c r="BT231" s="1519">
        <f>(BT230)/BT239</f>
        <v>0.33736476052790093</v>
      </c>
      <c r="BU231" s="1519">
        <f>BU230/BU239</f>
        <v>0.47270697939324907</v>
      </c>
      <c r="BV231" s="1519">
        <f>BV230/BV239</f>
        <v>0.5791463007444011</v>
      </c>
      <c r="BW231" s="1519">
        <f>BW230/BW239</f>
        <v>0.58343859163839407</v>
      </c>
      <c r="BX231" s="1520">
        <f>BX230/BX239</f>
        <v>1.9815280947164384</v>
      </c>
      <c r="BY231" s="1519">
        <f>(BY230)/BY239</f>
        <v>0.51108302540226391</v>
      </c>
      <c r="BZ231" s="1519">
        <f>BZ230/BZ239</f>
        <v>0.61153864690186255</v>
      </c>
      <c r="CA231" s="1519">
        <f>CA230/CA239</f>
        <v>0.72805018890094897</v>
      </c>
      <c r="CB231" s="1519">
        <f>CB230/CB239</f>
        <v>0.65012184877713208</v>
      </c>
      <c r="CC231" s="1520">
        <f>CC230/CC239</f>
        <v>2.4973173489482732</v>
      </c>
      <c r="CD231" s="1519">
        <f>(CD230)/CD239</f>
        <v>0.72652070201424113</v>
      </c>
      <c r="CE231" s="1519">
        <f>(CE230)/CE239</f>
        <v>1.2153161987333758</v>
      </c>
      <c r="CF231" s="1519">
        <f>(CF230)/CF239</f>
        <v>1.1546733783477208</v>
      </c>
      <c r="CG231" s="1519">
        <f>(CG230)/CG239</f>
        <v>0.99034467535755588</v>
      </c>
      <c r="CH231" s="1520">
        <f>CH230/CH239</f>
        <v>3.9880608716229431</v>
      </c>
      <c r="CI231" s="1519">
        <f>(CI230)/CI239</f>
        <v>0.86772791625934464</v>
      </c>
      <c r="CJ231" s="1521">
        <f>(CJ230)/CJ239</f>
        <v>1.4287003759833661</v>
      </c>
      <c r="CK231" s="1521">
        <f>(CK230)/CK239</f>
        <v>1.2574295283170389</v>
      </c>
      <c r="CL231" s="1521">
        <f>(CL230)/CL239</f>
        <v>1.8182901107041081</v>
      </c>
      <c r="CM231" s="1520">
        <f>CM230/CM239</f>
        <v>5.3260584597199561</v>
      </c>
      <c r="CN231" s="1519">
        <f>(CN230)/CN239</f>
        <v>0.49075615330880301</v>
      </c>
      <c r="CO231" s="1521">
        <f>(CO230)/CO239</f>
        <v>0.99076898825527093</v>
      </c>
      <c r="CP231" s="1522">
        <f>(CP230)/CP239</f>
        <v>0.78183306087351689</v>
      </c>
      <c r="CQ231" s="1522">
        <f>(CQ230)/CQ239</f>
        <v>0.77726506665514561</v>
      </c>
      <c r="CR231" s="1520">
        <f>CR230/CR239</f>
        <v>3.0362157498339477</v>
      </c>
      <c r="CS231" s="1519">
        <f>(CS230)/CS239</f>
        <v>0.47141937234322923</v>
      </c>
      <c r="CT231" s="1519">
        <f>(CT230)/CT239</f>
        <v>0.98228219786450455</v>
      </c>
      <c r="CU231" s="1519">
        <f>(CU230)/CU239</f>
        <v>0.80860721364112131</v>
      </c>
      <c r="CV231" s="1519">
        <f>(CV230)/CV239</f>
        <v>-1.0906337977149816</v>
      </c>
      <c r="CW231" s="1520">
        <f>CW230/CW239</f>
        <v>1.2487760381705315</v>
      </c>
      <c r="CX231" s="1523">
        <f>(CX230)/CX239</f>
        <v>-0.41698886522678785</v>
      </c>
      <c r="CY231" s="1522">
        <f>(CY230)/CY239</f>
        <v>0.63697670551866781</v>
      </c>
      <c r="CZ231" s="1522">
        <f>(CZ230)/CZ239</f>
        <v>0.27257810154564632</v>
      </c>
      <c r="DA231" s="1522">
        <f>(DA230)/DA239</f>
        <v>-3.9321052418081613E-2</v>
      </c>
      <c r="DB231" s="1520">
        <f>DB230/DB239</f>
        <v>0.60953988371604872</v>
      </c>
      <c r="DC231" s="1523">
        <f>(DC230)/DC239</f>
        <v>-1.5080357020155448E-2</v>
      </c>
      <c r="DD231" s="1522">
        <f>(DD230)/DD239</f>
        <v>0.26475100734005602</v>
      </c>
      <c r="DE231" s="1519">
        <f>(DE230)/DE239</f>
        <v>0.21878296216215246</v>
      </c>
      <c r="DF231" s="1523">
        <f>(DF230)/DF239</f>
        <v>2.0016375490728631E-2</v>
      </c>
      <c r="DG231" s="1520">
        <f>DG230/DG239</f>
        <v>0.4747664625031075</v>
      </c>
      <c r="DH231" s="1522">
        <f>(DH230)/DH239</f>
        <v>0.24033996808985797</v>
      </c>
      <c r="DI231" s="1522">
        <f>(DI230)/DI239</f>
        <v>0.52411938742054687</v>
      </c>
      <c r="DJ231" s="1519">
        <f>(DJ230)/DJ239</f>
        <v>0.51905530651188803</v>
      </c>
      <c r="DK231" s="1519">
        <f>(DK230)/DK239</f>
        <v>0.26117720488796253</v>
      </c>
      <c r="DL231" s="1524">
        <f>DL230/DL239</f>
        <v>1.5456436945351002</v>
      </c>
      <c r="DM231" s="1519">
        <f>(DM230)/DM239</f>
        <v>0.45209744578807881</v>
      </c>
      <c r="DN231" s="1519">
        <f>(DN230)/DN239</f>
        <v>0.65747877231059004</v>
      </c>
      <c r="DO231" s="1519">
        <f>(DO230)/DO239</f>
        <v>0.4481476407738198</v>
      </c>
      <c r="DP231" s="1519">
        <f>(DP230)/DP239</f>
        <v>0.25948050731669181</v>
      </c>
      <c r="DQ231" s="1524">
        <f>DQ230/DQ239</f>
        <v>1.8169964841790709</v>
      </c>
      <c r="DR231" s="1519">
        <f>(DR230)/DR239</f>
        <v>0.18627944045378853</v>
      </c>
      <c r="DS231" s="1519">
        <f>(DS230)/DS239</f>
        <v>0.66665217715402492</v>
      </c>
      <c r="DT231" s="1519">
        <f>(DT230)/DT239</f>
        <v>0.58065471451427941</v>
      </c>
      <c r="DU231" s="1519">
        <f>(DU230)/DU239</f>
        <v>0.22702935729785625</v>
      </c>
      <c r="DV231" s="1524">
        <f>DV230/DV239</f>
        <v>1.6609384530655922</v>
      </c>
      <c r="DW231" s="1519">
        <f>(DW230)/DW239</f>
        <v>0.20043424349098785</v>
      </c>
      <c r="DX231" s="1519">
        <f>(DX230)/DX239</f>
        <v>0.9134289323085204</v>
      </c>
      <c r="DY231" s="1519">
        <f>(DY230)/DY239</f>
        <v>0.79710145798292198</v>
      </c>
      <c r="DZ231" s="1519">
        <f>(DZ230)/DZ239</f>
        <v>0.40673696551152522</v>
      </c>
      <c r="EA231" s="1524">
        <f>EA230/EA239</f>
        <v>2.3251271406008094</v>
      </c>
      <c r="EB231" s="1519">
        <f>(EB230)/EB239</f>
        <v>0.39007480415620394</v>
      </c>
      <c r="EC231" s="1519">
        <f>(EC230)/EC239</f>
        <v>0.75581234222698468</v>
      </c>
      <c r="ED231" s="1519">
        <f>(ED230)/ED239</f>
        <v>0.77153178859741245</v>
      </c>
      <c r="EE231" s="1519">
        <f>(EE230)/EE239</f>
        <v>0.63397341320098188</v>
      </c>
      <c r="EF231" s="1524">
        <f>EF230/EF239</f>
        <v>2.5500924562822496</v>
      </c>
      <c r="EG231" s="1525"/>
      <c r="EH231" s="1519"/>
      <c r="EI231" s="1519"/>
      <c r="EJ231" s="1526"/>
      <c r="EK231" s="1524">
        <f>EK230/EK239</f>
        <v>4.1084512752910127</v>
      </c>
      <c r="EL231" s="1525"/>
      <c r="EM231" s="1519"/>
      <c r="EN231" s="1519"/>
      <c r="EO231" s="1526"/>
      <c r="EP231" s="1524">
        <f>EP230/EP239</f>
        <v>4.8920130463319502</v>
      </c>
      <c r="EQ231" s="1525"/>
      <c r="ER231" s="1519"/>
      <c r="ES231" s="1519"/>
      <c r="ET231" s="1526"/>
      <c r="EU231" s="1524">
        <f>EU230/EU239</f>
        <v>5.8476821902631944</v>
      </c>
      <c r="EV231" s="1525"/>
      <c r="EW231" s="1519"/>
      <c r="EX231" s="1519"/>
      <c r="EY231" s="1526"/>
      <c r="EZ231" s="1524">
        <f>EZ230/EZ239</f>
        <v>6.4435535902846963</v>
      </c>
      <c r="FA231" s="1525"/>
      <c r="FB231" s="1519"/>
      <c r="FC231" s="1519"/>
      <c r="FD231" s="1526"/>
      <c r="FE231" s="1524">
        <f>FE230/FE239</f>
        <v>7.0719051735450416</v>
      </c>
      <c r="FF231" s="721"/>
      <c r="FG231" s="690"/>
      <c r="FH231" s="1519">
        <f>+EB231</f>
        <v>0.39007480415620394</v>
      </c>
      <c r="FI231" s="1519">
        <f>+EC231</f>
        <v>0.75581234222698468</v>
      </c>
      <c r="FJ231" s="1519">
        <f>+FI231*(1+FJ233)</f>
        <v>0.66310711016306223</v>
      </c>
      <c r="FK231" s="1519">
        <f>+FJ231*(1+FK233)</f>
        <v>0.42974945591254909</v>
      </c>
      <c r="FL231" s="690"/>
      <c r="FM231" s="940"/>
      <c r="FN231" s="940"/>
      <c r="FO231" s="723"/>
      <c r="FP231" s="723"/>
      <c r="FQ231" s="723"/>
      <c r="FR231" s="723"/>
      <c r="FS231" s="723"/>
      <c r="FT231" s="723"/>
      <c r="FU231" s="690"/>
      <c r="FV231"/>
      <c r="FW231"/>
      <c r="FX231"/>
      <c r="FY231"/>
      <c r="FZ231"/>
      <c r="GA231"/>
      <c r="GB231" s="1527"/>
      <c r="GC231" s="1528"/>
      <c r="GD231" s="1528"/>
      <c r="GE231" s="1528"/>
      <c r="GF231" s="1528"/>
      <c r="GG231" s="1528"/>
      <c r="GH231" s="1528"/>
      <c r="GI231" s="1528"/>
      <c r="GJ231" s="1528"/>
      <c r="GK231" s="1528"/>
      <c r="GL231" s="1528"/>
      <c r="GM231" s="1528"/>
      <c r="GN231" s="1528"/>
      <c r="GO231" s="1528"/>
      <c r="GP231" s="1528"/>
      <c r="GQ231" s="1528"/>
      <c r="GR231" s="1528"/>
      <c r="GS231" s="1528"/>
      <c r="GT231" s="1528"/>
      <c r="GU231" s="1528"/>
      <c r="GV231" s="1528"/>
      <c r="GW231" s="1528"/>
      <c r="GX231" s="1528"/>
      <c r="GY231" s="1528"/>
      <c r="GZ231" s="1528"/>
      <c r="HA231" s="1528"/>
      <c r="HB231" s="1528"/>
      <c r="HC231" s="1528"/>
      <c r="HD231" s="1528"/>
      <c r="HE231" s="1528"/>
      <c r="HF231" s="1528"/>
      <c r="HG231" s="1528"/>
      <c r="HH231" s="1528"/>
      <c r="HI231" s="1528"/>
      <c r="HJ231" s="1528"/>
      <c r="HK231" s="1528"/>
      <c r="HL231" s="1528"/>
      <c r="HM231" s="1528"/>
      <c r="HN231" s="1528"/>
      <c r="HO231" s="1528"/>
      <c r="HP231" s="1528"/>
      <c r="HQ231" s="1528"/>
      <c r="HR231" s="1528"/>
      <c r="HS231" s="1528"/>
      <c r="HT231" s="1528"/>
      <c r="HU231" s="1528"/>
      <c r="HV231" s="1528"/>
      <c r="HW231" s="1528"/>
      <c r="HX231" s="1528"/>
      <c r="HY231" s="1528"/>
      <c r="HZ231" s="1528"/>
      <c r="IA231" s="1528"/>
      <c r="IB231" s="1528"/>
      <c r="IC231" s="1528"/>
      <c r="ID231" s="1528"/>
      <c r="IE231" s="1528"/>
      <c r="IF231" s="1528"/>
      <c r="IG231" s="1528"/>
      <c r="IH231" s="1528"/>
      <c r="II231" s="1528"/>
      <c r="IJ231" s="1528"/>
      <c r="IK231" s="1528"/>
      <c r="IL231" s="1528"/>
      <c r="IM231" s="1528"/>
      <c r="IN231" s="1528"/>
      <c r="IO231" s="1528"/>
      <c r="IP231" s="1528"/>
      <c r="IQ231" s="1528"/>
      <c r="IR231" s="1528"/>
      <c r="IS231" s="1528"/>
      <c r="IT231" s="1528"/>
      <c r="IU231" s="1528"/>
      <c r="IV231" s="1528"/>
      <c r="IW231" s="1528"/>
      <c r="IX231" s="1528"/>
      <c r="IY231" s="1528"/>
      <c r="IZ231" s="1528"/>
      <c r="JA231" s="1528"/>
      <c r="JB231" s="1528"/>
      <c r="JC231" s="1528"/>
      <c r="JD231" s="1528"/>
      <c r="JE231" s="1528"/>
      <c r="JF231" s="1528"/>
      <c r="JG231" s="1528"/>
      <c r="JH231" s="1528"/>
      <c r="JI231" s="1528"/>
      <c r="JJ231" s="1528"/>
      <c r="JK231" s="1528"/>
      <c r="JL231" s="1528"/>
    </row>
    <row r="232" spans="1:272" s="1537" customFormat="1" ht="12.75" hidden="1" customHeight="1" outlineLevel="1">
      <c r="A232" s="58" t="s">
        <v>85</v>
      </c>
      <c r="B232" s="1530"/>
      <c r="C232" s="1530"/>
      <c r="D232" s="1530"/>
      <c r="E232" s="1530"/>
      <c r="F232" s="1531"/>
      <c r="G232" s="1530"/>
      <c r="H232" s="1530"/>
      <c r="I232" s="1530"/>
      <c r="J232" s="1530"/>
      <c r="K232" s="1531"/>
      <c r="L232" s="1530"/>
      <c r="M232" s="1530"/>
      <c r="N232" s="1530"/>
      <c r="O232" s="1530"/>
      <c r="P232" s="1531"/>
      <c r="Q232" s="1530"/>
      <c r="R232" s="1530"/>
      <c r="S232" s="1530"/>
      <c r="T232" s="1530"/>
      <c r="U232" s="1531"/>
      <c r="V232" s="1530"/>
      <c r="W232" s="1530"/>
      <c r="X232" s="1530"/>
      <c r="Y232" s="1530"/>
      <c r="Z232" s="1531"/>
      <c r="AA232" s="1530"/>
      <c r="AB232" s="1530"/>
      <c r="AC232" s="1530"/>
      <c r="AD232" s="1530"/>
      <c r="AE232" s="1531"/>
      <c r="AF232" s="1530"/>
      <c r="AG232" s="1530"/>
      <c r="AH232" s="1530"/>
      <c r="AI232" s="1530"/>
      <c r="AJ232" s="1531"/>
      <c r="AK232" s="1530"/>
      <c r="AL232" s="1530"/>
      <c r="AM232" s="1530"/>
      <c r="AN232" s="1530"/>
      <c r="AO232" s="1531"/>
      <c r="AP232" s="1530"/>
      <c r="AQ232" s="1530"/>
      <c r="AR232" s="1530"/>
      <c r="AS232" s="1530"/>
      <c r="AT232" s="1531"/>
      <c r="AU232" s="1530"/>
      <c r="AV232" s="1530"/>
      <c r="AW232" s="1530"/>
      <c r="AX232" s="1530"/>
      <c r="AY232" s="1531"/>
      <c r="AZ232" s="1530"/>
      <c r="BA232" s="1530"/>
      <c r="BB232" s="1530"/>
      <c r="BC232" s="1530"/>
      <c r="BD232" s="1531"/>
      <c r="BE232" s="1530"/>
      <c r="BF232" s="1530"/>
      <c r="BG232" s="1530"/>
      <c r="BH232" s="1530"/>
      <c r="BI232" s="1531"/>
      <c r="BJ232" s="1530"/>
      <c r="BK232" s="1530"/>
      <c r="BL232" s="1530"/>
      <c r="BM232" s="1530"/>
      <c r="BN232" s="1531"/>
      <c r="BO232" s="1530"/>
      <c r="BP232" s="1530"/>
      <c r="BQ232" s="1530"/>
      <c r="BR232" s="1530"/>
      <c r="BS232" s="1531"/>
      <c r="BT232" s="1530">
        <f t="shared" ref="BT232:EE232" si="568">BT231/BO231-1</f>
        <v>0.54933015462758683</v>
      </c>
      <c r="BU232" s="1530">
        <f t="shared" si="568"/>
        <v>0.45442259874842916</v>
      </c>
      <c r="BV232" s="1530">
        <f t="shared" si="568"/>
        <v>0.43656342286819139</v>
      </c>
      <c r="BW232" s="1530">
        <f t="shared" si="568"/>
        <v>1.3158859665087874</v>
      </c>
      <c r="BX232" s="1531">
        <f t="shared" si="568"/>
        <v>0.65372104810987564</v>
      </c>
      <c r="BY232" s="1530">
        <f t="shared" si="568"/>
        <v>0.51492712102631133</v>
      </c>
      <c r="BZ232" s="1530">
        <f t="shared" si="568"/>
        <v>0.29369498137474759</v>
      </c>
      <c r="CA232" s="1530">
        <f t="shared" si="568"/>
        <v>0.2571092795812655</v>
      </c>
      <c r="CB232" s="1530">
        <f t="shared" si="568"/>
        <v>0.11429353164911515</v>
      </c>
      <c r="CC232" s="1531">
        <f t="shared" si="568"/>
        <v>0.26029873389488611</v>
      </c>
      <c r="CD232" s="1530">
        <f t="shared" si="568"/>
        <v>0.4215316610102835</v>
      </c>
      <c r="CE232" s="1530">
        <f t="shared" si="568"/>
        <v>0.98730890498962243</v>
      </c>
      <c r="CF232" s="1530">
        <f t="shared" si="568"/>
        <v>0.5859804666636983</v>
      </c>
      <c r="CG232" s="1530">
        <f t="shared" si="568"/>
        <v>0.52332163150704303</v>
      </c>
      <c r="CH232" s="1531">
        <f t="shared" si="568"/>
        <v>0.59693795956788809</v>
      </c>
      <c r="CI232" s="1530">
        <f t="shared" si="568"/>
        <v>0.19436089550320279</v>
      </c>
      <c r="CJ232" s="1530">
        <f t="shared" si="568"/>
        <v>0.17557914349564596</v>
      </c>
      <c r="CK232" s="1530">
        <f t="shared" si="568"/>
        <v>8.8991529462952634E-2</v>
      </c>
      <c r="CL232" s="1530">
        <f t="shared" si="568"/>
        <v>0.83601745528406979</v>
      </c>
      <c r="CM232" s="1531">
        <f t="shared" si="568"/>
        <v>0.3355007937861576</v>
      </c>
      <c r="CN232" s="1530">
        <f t="shared" si="568"/>
        <v>-0.43443544443702453</v>
      </c>
      <c r="CO232" s="1530">
        <f t="shared" si="568"/>
        <v>-0.30652430354871962</v>
      </c>
      <c r="CP232" s="1530">
        <f t="shared" si="568"/>
        <v>-0.37822912277244425</v>
      </c>
      <c r="CQ232" s="1530">
        <f t="shared" si="568"/>
        <v>-0.57252967385157238</v>
      </c>
      <c r="CR232" s="1531">
        <f t="shared" si="568"/>
        <v>-0.42993195196854983</v>
      </c>
      <c r="CS232" s="1530">
        <f>CS231/CN231-1</f>
        <v>-3.9402014289989573E-2</v>
      </c>
      <c r="CT232" s="1530">
        <f>CT231/CO231-1</f>
        <v>-8.5658619631520105E-3</v>
      </c>
      <c r="CU232" s="1530">
        <f>CU231/CP231-1</f>
        <v>3.4245357618531092E-2</v>
      </c>
      <c r="CV232" s="1530">
        <f>CV231/CQ231-1</f>
        <v>-2.4031684228501042</v>
      </c>
      <c r="CW232" s="1531">
        <f t="shared" si="568"/>
        <v>-0.58870642238160187</v>
      </c>
      <c r="CX232" s="1530">
        <f>CX231/CS231-1</f>
        <v>-1.8845390955278525</v>
      </c>
      <c r="CY232" s="1530">
        <f>CY231/CT231-1</f>
        <v>-0.35153390043771104</v>
      </c>
      <c r="CZ232" s="1530">
        <f>CZ231/CU231-1</f>
        <v>-0.66290419260763256</v>
      </c>
      <c r="DA232" s="1530">
        <f>DA231/CV231-1</f>
        <v>-0.96394660380004338</v>
      </c>
      <c r="DB232" s="1531">
        <f t="shared" si="568"/>
        <v>-0.51189015076792288</v>
      </c>
      <c r="DC232" s="1530">
        <f t="shared" si="568"/>
        <v>-0.96383510861386268</v>
      </c>
      <c r="DD232" s="1530">
        <f t="shared" si="568"/>
        <v>-0.58436312498354459</v>
      </c>
      <c r="DE232" s="1530">
        <f t="shared" si="568"/>
        <v>-0.19735679087369851</v>
      </c>
      <c r="DF232" s="1530">
        <f t="shared" si="568"/>
        <v>-1.5090498412378248</v>
      </c>
      <c r="DG232" s="1531">
        <f t="shared" si="568"/>
        <v>-0.22110681321015047</v>
      </c>
      <c r="DH232" s="1111">
        <f t="shared" si="568"/>
        <v>-16.937286349960736</v>
      </c>
      <c r="DI232" s="1111">
        <f t="shared" si="568"/>
        <v>0.97966909620611364</v>
      </c>
      <c r="DJ232" s="1111">
        <f t="shared" si="568"/>
        <v>1.3724667651550795</v>
      </c>
      <c r="DK232" s="1111">
        <f t="shared" si="568"/>
        <v>12.048176729545117</v>
      </c>
      <c r="DL232" s="1108">
        <f t="shared" si="568"/>
        <v>2.2555873605435712</v>
      </c>
      <c r="DM232" s="1111">
        <f t="shared" si="568"/>
        <v>0.88107475165782345</v>
      </c>
      <c r="DN232" s="1111">
        <f t="shared" si="568"/>
        <v>0.25444467060524367</v>
      </c>
      <c r="DO232" s="1111">
        <f t="shared" si="568"/>
        <v>-0.13660907585084903</v>
      </c>
      <c r="DP232" s="1111">
        <f t="shared" si="568"/>
        <v>-6.4963463101558316E-3</v>
      </c>
      <c r="DQ232" s="1108">
        <f t="shared" si="568"/>
        <v>0.17555972997100633</v>
      </c>
      <c r="DR232" s="1111">
        <f t="shared" si="568"/>
        <v>-0.58796617368834414</v>
      </c>
      <c r="DS232" s="1111">
        <f t="shared" si="568"/>
        <v>1.3952396989482363E-2</v>
      </c>
      <c r="DT232" s="1111">
        <f t="shared" si="568"/>
        <v>0.29567727615760431</v>
      </c>
      <c r="DU232" s="1111">
        <f t="shared" si="568"/>
        <v>-0.12506199542468699</v>
      </c>
      <c r="DV232" s="1108">
        <f>DV231/DQ231-1</f>
        <v>-8.5887910335713524E-2</v>
      </c>
      <c r="DW232" s="1111">
        <f t="shared" si="568"/>
        <v>7.5986931261535551E-2</v>
      </c>
      <c r="DX232" s="1111">
        <f t="shared" si="568"/>
        <v>0.37017317817516049</v>
      </c>
      <c r="DY232" s="1111">
        <f t="shared" si="568"/>
        <v>0.3727632585394598</v>
      </c>
      <c r="DZ232" s="1111">
        <f t="shared" si="568"/>
        <v>0.79156110184418815</v>
      </c>
      <c r="EA232" s="1108">
        <f t="shared" si="568"/>
        <v>0.3998875974659537</v>
      </c>
      <c r="EB232" s="1111">
        <f t="shared" si="568"/>
        <v>0.94614850916801019</v>
      </c>
      <c r="EC232" s="1111">
        <f t="shared" si="568"/>
        <v>-0.17255484746162941</v>
      </c>
      <c r="ED232" s="1111">
        <f t="shared" si="568"/>
        <v>-3.2078312151396671E-2</v>
      </c>
      <c r="EE232" s="1111">
        <f t="shared" si="568"/>
        <v>0.55868157300056787</v>
      </c>
      <c r="EF232" s="1108">
        <f t="shared" ref="EF232" si="569">EF231/EA231-1</f>
        <v>9.6753984654494918E-2</v>
      </c>
      <c r="EG232" s="1532"/>
      <c r="EH232" s="1530"/>
      <c r="EI232" s="1530"/>
      <c r="EJ232" s="1533"/>
      <c r="EK232" s="1531">
        <f>EK231/EF231-1</f>
        <v>0.61109894865564063</v>
      </c>
      <c r="EL232" s="1532"/>
      <c r="EM232" s="1530"/>
      <c r="EN232" s="1530"/>
      <c r="EO232" s="1533"/>
      <c r="EP232" s="1531">
        <f>EP231/EK231-1</f>
        <v>0.1907194995236825</v>
      </c>
      <c r="EQ232" s="1532"/>
      <c r="ER232" s="1530"/>
      <c r="ES232" s="1530"/>
      <c r="ET232" s="1533"/>
      <c r="EU232" s="1531">
        <f>EU231/EP231-1</f>
        <v>0.19535294261895086</v>
      </c>
      <c r="EV232" s="1532"/>
      <c r="EW232" s="1530"/>
      <c r="EX232" s="1530"/>
      <c r="EY232" s="1533"/>
      <c r="EZ232" s="1531">
        <f>EZ231/EU231-1</f>
        <v>0.10189873194779131</v>
      </c>
      <c r="FA232" s="1532"/>
      <c r="FB232" s="1530"/>
      <c r="FC232" s="1530"/>
      <c r="FD232" s="1533"/>
      <c r="FE232" s="1531">
        <f>FE231/EZ231-1</f>
        <v>9.7516312149206863E-2</v>
      </c>
      <c r="FF232" s="721"/>
      <c r="FG232" s="690"/>
      <c r="FH232" s="754"/>
      <c r="FI232" s="754"/>
      <c r="FJ232" s="754"/>
      <c r="FK232" s="754"/>
      <c r="FL232" s="690"/>
      <c r="FM232" s="940"/>
      <c r="FN232" s="940"/>
      <c r="FO232" s="1454"/>
      <c r="FP232" s="723"/>
      <c r="FQ232" s="723"/>
      <c r="FR232" s="723"/>
      <c r="FS232" s="723"/>
      <c r="FT232" s="723"/>
      <c r="FU232" s="690"/>
      <c r="FV232"/>
      <c r="FW232"/>
      <c r="FX232"/>
      <c r="FY232"/>
      <c r="FZ232"/>
      <c r="GA232"/>
      <c r="GB232" s="1535"/>
      <c r="GC232" s="1536"/>
      <c r="GD232" s="1536"/>
      <c r="GE232" s="1536"/>
      <c r="GF232" s="1536"/>
      <c r="GG232" s="1536"/>
      <c r="GH232" s="1536"/>
      <c r="GI232" s="1536"/>
      <c r="GJ232" s="1536"/>
      <c r="GK232" s="1536"/>
      <c r="GL232" s="1536"/>
      <c r="GM232" s="1536"/>
      <c r="GN232" s="1536"/>
      <c r="GO232" s="1536"/>
      <c r="GP232" s="1536"/>
      <c r="GQ232" s="1536"/>
      <c r="GR232" s="1536"/>
      <c r="GS232" s="1536"/>
      <c r="GT232" s="1536"/>
      <c r="GU232" s="1536"/>
      <c r="GV232" s="1536"/>
      <c r="GW232" s="1536"/>
      <c r="GX232" s="1536"/>
      <c r="GY232" s="1536"/>
      <c r="GZ232" s="1536"/>
      <c r="HA232" s="1536"/>
      <c r="HB232" s="1536"/>
      <c r="HC232" s="1536"/>
      <c r="HD232" s="1536"/>
      <c r="HE232" s="1536"/>
      <c r="HF232" s="1536"/>
      <c r="HG232" s="1536"/>
      <c r="HH232" s="1536"/>
      <c r="HI232" s="1536"/>
      <c r="HJ232" s="1536"/>
      <c r="HK232" s="1536"/>
      <c r="HL232" s="1536"/>
      <c r="HM232" s="1536"/>
      <c r="HN232" s="1536"/>
      <c r="HO232" s="1536"/>
      <c r="HP232" s="1536"/>
      <c r="HQ232" s="1536"/>
      <c r="HR232" s="1536"/>
      <c r="HS232" s="1536"/>
      <c r="HT232" s="1536"/>
      <c r="HU232" s="1536"/>
      <c r="HV232" s="1536"/>
      <c r="HW232" s="1536"/>
      <c r="HX232" s="1536"/>
      <c r="HY232" s="1536"/>
      <c r="HZ232" s="1536"/>
      <c r="IA232" s="1536"/>
      <c r="IB232" s="1536"/>
      <c r="IC232" s="1536"/>
      <c r="ID232" s="1536"/>
      <c r="IE232" s="1536"/>
      <c r="IF232" s="1536"/>
      <c r="IG232" s="1536"/>
      <c r="IH232" s="1536"/>
      <c r="II232" s="1536"/>
      <c r="IJ232" s="1536"/>
      <c r="IK232" s="1536"/>
      <c r="IL232" s="1536"/>
      <c r="IM232" s="1536"/>
      <c r="IN232" s="1536"/>
      <c r="IO232" s="1536"/>
      <c r="IP232" s="1536"/>
      <c r="IQ232" s="1536"/>
      <c r="IR232" s="1536"/>
      <c r="IS232" s="1536"/>
      <c r="IT232" s="1536"/>
      <c r="IU232" s="1536"/>
      <c r="IV232" s="1536"/>
      <c r="IW232" s="1536"/>
      <c r="IX232" s="1536"/>
      <c r="IY232" s="1536"/>
      <c r="IZ232" s="1536"/>
      <c r="JA232" s="1536"/>
      <c r="JB232" s="1536"/>
      <c r="JC232" s="1536"/>
      <c r="JD232" s="1536"/>
      <c r="JE232" s="1536"/>
      <c r="JF232" s="1536"/>
      <c r="JG232" s="1536"/>
      <c r="JH232" s="1536"/>
      <c r="JI232" s="1536"/>
      <c r="JJ232" s="1536"/>
      <c r="JK232" s="1536"/>
      <c r="JL232" s="1536"/>
    </row>
    <row r="233" spans="1:272" s="532" customFormat="1" ht="12.75" hidden="1" customHeight="1" outlineLevel="1">
      <c r="A233" s="951" t="s">
        <v>290</v>
      </c>
      <c r="B233" s="952"/>
      <c r="C233" s="953"/>
      <c r="D233" s="953"/>
      <c r="E233" s="953"/>
      <c r="F233" s="754"/>
      <c r="G233" s="954"/>
      <c r="H233" s="954"/>
      <c r="I233" s="954"/>
      <c r="J233" s="954"/>
      <c r="K233" s="754"/>
      <c r="L233" s="743"/>
      <c r="M233" s="743"/>
      <c r="N233" s="743"/>
      <c r="O233" s="743"/>
      <c r="P233" s="754"/>
      <c r="Q233" s="743"/>
      <c r="R233" s="743"/>
      <c r="S233" s="743"/>
      <c r="T233" s="743"/>
      <c r="U233" s="754"/>
      <c r="V233" s="743"/>
      <c r="W233" s="743"/>
      <c r="X233" s="743"/>
      <c r="Y233" s="743"/>
      <c r="Z233" s="754"/>
      <c r="AA233" s="743"/>
      <c r="AB233" s="743"/>
      <c r="AC233" s="743"/>
      <c r="AD233" s="743"/>
      <c r="AE233" s="754"/>
      <c r="AF233" s="743"/>
      <c r="AG233" s="954"/>
      <c r="AH233" s="743"/>
      <c r="AI233" s="743"/>
      <c r="AJ233" s="754"/>
      <c r="AK233" s="743"/>
      <c r="AL233" s="954"/>
      <c r="AM233" s="743"/>
      <c r="AN233" s="743"/>
      <c r="AO233" s="754"/>
      <c r="AP233" s="743"/>
      <c r="AQ233" s="954"/>
      <c r="AR233" s="743"/>
      <c r="AS233" s="743"/>
      <c r="AT233" s="754"/>
      <c r="AU233" s="743"/>
      <c r="AV233" s="954"/>
      <c r="AW233" s="743"/>
      <c r="AX233" s="743"/>
      <c r="AY233" s="754"/>
      <c r="AZ233" s="743"/>
      <c r="BA233" s="954"/>
      <c r="BB233" s="743"/>
      <c r="BC233" s="743"/>
      <c r="BD233" s="754"/>
      <c r="BE233" s="743" t="str">
        <f>IF(ISERROR(BE231/BC231-1)," ",(BE231/BC231-1))</f>
        <v xml:space="preserve"> </v>
      </c>
      <c r="BF233" s="954" t="str">
        <f>IF(ISERROR(BF231/BE231-1)," ",(BF231/BE231-1))</f>
        <v xml:space="preserve"> </v>
      </c>
      <c r="BG233" s="743" t="str">
        <f>IF(ISERROR(BG231/BF231-1)," ",(BG231/BF231-1))</f>
        <v xml:space="preserve"> </v>
      </c>
      <c r="BH233" s="743" t="str">
        <f>IF(ISERROR(BH231/BG231-1)," ",(BH231/BG231-1))</f>
        <v xml:space="preserve"> </v>
      </c>
      <c r="BI233" s="754">
        <f>BI232</f>
        <v>0</v>
      </c>
      <c r="BJ233" s="743" t="str">
        <f>IF(ISERROR(BJ231/BH231-1)," ",(BJ231/BH231-1))</f>
        <v xml:space="preserve"> </v>
      </c>
      <c r="BK233" s="954" t="str">
        <f>IF(ISERROR(BK231/BJ231-1)," ",(BK231/BJ231-1))</f>
        <v xml:space="preserve"> </v>
      </c>
      <c r="BL233" s="743" t="str">
        <f>IF(ISERROR(BL231/BK231-1)," ",(BL231/BK231-1))</f>
        <v xml:space="preserve"> </v>
      </c>
      <c r="BM233" s="743" t="str">
        <f>IF(ISERROR(BM231/BL231-1)," ",(BM231/BL231-1))</f>
        <v xml:space="preserve"> </v>
      </c>
      <c r="BN233" s="754">
        <f>BN232</f>
        <v>0</v>
      </c>
      <c r="BO233" s="743" t="str">
        <f>IF(ISERROR(BO231/BM231-1)," ",(BO231/BM231-1))</f>
        <v xml:space="preserve"> </v>
      </c>
      <c r="BP233" s="954">
        <f>IF(ISERROR(BP231/BO231-1)," ",(BP231/BO231-1))</f>
        <v>0.49260763194183377</v>
      </c>
      <c r="BQ233" s="743">
        <f>IF(ISERROR(BQ231/BP231-1)," ",(BQ231/BP231-1))</f>
        <v>0.24040092554248305</v>
      </c>
      <c r="BR233" s="743">
        <f>IF(ISERROR(BR231/BQ231-1)," ",(BR231/BQ231-1))</f>
        <v>-0.37509428148284452</v>
      </c>
      <c r="BS233" s="754">
        <f>BS232</f>
        <v>0</v>
      </c>
      <c r="BT233" s="743">
        <f>IF(ISERROR(BT231/BR231-1)," ",(BT231/BR231-1))</f>
        <v>0.33912690332524265</v>
      </c>
      <c r="BU233" s="954">
        <f>IF(ISERROR(BU231/BT231-1)," ",(BU231/BT231-1))</f>
        <v>0.40117473637011658</v>
      </c>
      <c r="BV233" s="743">
        <f>IF(ISERROR(BV231/BU231-1)," ",(BV231/BU231-1))</f>
        <v>0.22516976899256691</v>
      </c>
      <c r="BW233" s="743">
        <f>IF(ISERROR(BW231/BV231-1)," ",(BW231/BV231-1))</f>
        <v>7.4114103612090698E-3</v>
      </c>
      <c r="BX233" s="754">
        <f>BX232</f>
        <v>0.65372104810987564</v>
      </c>
      <c r="BY233" s="743">
        <f>IF(ISERROR(BY231/BW231-1)," ",(BY231/BW231-1))</f>
        <v>-0.12401573579996394</v>
      </c>
      <c r="BZ233" s="954">
        <f>IF(ISERROR(BZ231/BY231-1)," ",(BZ231/BY231-1))</f>
        <v>0.19655440800549351</v>
      </c>
      <c r="CA233" s="743">
        <f>IF(ISERROR(CA231/BZ231-1)," ",(CA231/BZ231-1))</f>
        <v>0.19052196061418147</v>
      </c>
      <c r="CB233" s="743">
        <f>IF(ISERROR(CB231/CA231-1)," ",(CB231/CA231-1))</f>
        <v>-0.1070370440277697</v>
      </c>
      <c r="CC233" s="754">
        <f>CC232</f>
        <v>0.26029873389488611</v>
      </c>
      <c r="CD233" s="743">
        <f>IF(ISERROR(CD231/CB231-1)," ",(CD231/CB231-1))</f>
        <v>0.1175146680284842</v>
      </c>
      <c r="CE233" s="743">
        <f>IF(ISERROR(CE231/CD231-1)," ",(CE231/CD231-1))</f>
        <v>0.67278949569361801</v>
      </c>
      <c r="CF233" s="743">
        <f>IF(ISERROR(CF231/CE231-1)," ",(CF231/CE231-1))</f>
        <v>-4.9898800368873619E-2</v>
      </c>
      <c r="CG233" s="743">
        <f>IF(ISERROR(CG231/CF231-1)," ",(CG231/CF231-1))</f>
        <v>-0.14231617881873315</v>
      </c>
      <c r="CH233" s="754">
        <f>CH232</f>
        <v>0.59693795956788809</v>
      </c>
      <c r="CI233" s="743">
        <f>IF(ISERROR(CI231/CG231-1)," ",(CI231/CG231-1))</f>
        <v>-0.1238122061432213</v>
      </c>
      <c r="CJ233" s="743">
        <f>IF(ISERROR(CJ231/CI231-1)," ",(CJ231/CI231-1))</f>
        <v>0.64648428293317606</v>
      </c>
      <c r="CK233" s="743">
        <f>IF(ISERROR(CK231/CJ231-1)," ",(CK231/CJ231-1))</f>
        <v>-0.11987877272618652</v>
      </c>
      <c r="CL233" s="743">
        <f>IF(ISERROR(CL231/CK231-1)," ",(CL231/CK231-1))</f>
        <v>0.44603738798605486</v>
      </c>
      <c r="CM233" s="754">
        <f>CM232</f>
        <v>0.3355007937861576</v>
      </c>
      <c r="CN233" s="743">
        <f>IF(ISERROR(CN231/CL231-1)," ",(CN231/CL231-1))</f>
        <v>-0.73010019115224445</v>
      </c>
      <c r="CO233" s="743">
        <f>IF(ISERROR(CO231/CN231-1)," ",(CO231/CN231-1))</f>
        <v>1.0188620796198968</v>
      </c>
      <c r="CP233" s="743">
        <f>IF(ISERROR(CP231/CO231-1)," ",(CP231/CO231-1))</f>
        <v>-0.21088258701928797</v>
      </c>
      <c r="CQ233" s="743">
        <f>IF(ISERROR(CQ231/CP231-1)," ",(CQ231/CP231-1))</f>
        <v>-5.8426721086309863E-3</v>
      </c>
      <c r="CR233" s="754">
        <f>CR232</f>
        <v>-0.42993195196854983</v>
      </c>
      <c r="CS233" s="743">
        <f>IF(ISERROR(CS231/CQ231-1)," ",(CS231/CQ231-1))</f>
        <v>-0.39348956672925195</v>
      </c>
      <c r="CT233" s="743">
        <f>IF(ISERROR(CT231/CS231-1)," ",(CT231/CS231-1))</f>
        <v>1.0836695636456115</v>
      </c>
      <c r="CU233" s="743">
        <f>IF(ISERROR(CU231/CT231-1)," ",(CU231/CT231-1))</f>
        <v>-0.1768076267705504</v>
      </c>
      <c r="CV233" s="743">
        <f>IF(ISERROR(CV231/CU231-1)," ",(CV231/CU231-1))</f>
        <v>-2.3487806926726602</v>
      </c>
      <c r="CW233" s="754">
        <f>CW232</f>
        <v>-0.58870642238160187</v>
      </c>
      <c r="CX233" s="743">
        <f>IF(ISERROR(CX231/CV231-1)," ",(CX231/CV231-1))</f>
        <v>-0.61766372351523191</v>
      </c>
      <c r="CY233" s="743">
        <f>IF(ISERROR(CY231/CX231-1)," ",(CY231/CX231-1))</f>
        <v>-2.5275628647115918</v>
      </c>
      <c r="CZ233" s="743">
        <f>IF(ISERROR(CZ231/CY231-1)," ",(CZ231/CY231-1))</f>
        <v>-0.57207524359356987</v>
      </c>
      <c r="DA233" s="743">
        <f>IF(ISERROR(DA231/CZ231-1)," ",(DA231/CZ231-1))</f>
        <v>-1.144256094657321</v>
      </c>
      <c r="DB233" s="754">
        <f>DB232</f>
        <v>-0.51189015076792288</v>
      </c>
      <c r="DC233" s="743">
        <f>IF(ISERROR(DC231/DA231-1)," ",(DC231/DA231-1))</f>
        <v>-0.6164813479605441</v>
      </c>
      <c r="DD233" s="743">
        <f>IF(ISERROR(DD231/DC231-1)," ",(DD231/DC231-1))</f>
        <v>-18.556017207431271</v>
      </c>
      <c r="DE233" s="743">
        <f>IF(ISERROR(DE231/DD231-1)," ",(DE231/DD231-1))</f>
        <v>-0.17362746091032055</v>
      </c>
      <c r="DF233" s="743">
        <f>IF(ISERROR(DF231/DE231-1)," ",(DF231/DE231-1))</f>
        <v>-0.90851035522641221</v>
      </c>
      <c r="DG233" s="754">
        <f>DG232</f>
        <v>-0.22110681321015047</v>
      </c>
      <c r="DH233" s="743">
        <f>IF(ISERROR(DH231/DF231-1)," ",(DH231/DF231-1))</f>
        <v>11.007167241700719</v>
      </c>
      <c r="DI233" s="743">
        <f>IF(ISERROR(DI231/DH231-1)," ",(DI231/DH231-1))</f>
        <v>1.1807416868116993</v>
      </c>
      <c r="DJ233" s="743">
        <f>IF(ISERROR(DJ231/DI231-1)," ",(DJ231/DI231-1))</f>
        <v>-9.6620751496747648E-3</v>
      </c>
      <c r="DK233" s="743">
        <f>IF(ISERROR(DK231/DJ231-1)," ",(DK231/DJ231-1))</f>
        <v>-0.49682201181391694</v>
      </c>
      <c r="DL233" s="754"/>
      <c r="DM233" s="743">
        <f>IF(ISERROR(DM231/DK231-1)," ",(DM231/DK231-1))</f>
        <v>0.7309988671561729</v>
      </c>
      <c r="DN233" s="743">
        <f>IF(ISERROR(DN231/DM231-1)," ",(DN231/DM231-1))</f>
        <v>0.45428552723738225</v>
      </c>
      <c r="DO233" s="743">
        <f>IF(ISERROR(DO231/DN231-1)," ",(DO231/DN231-1))</f>
        <v>-0.31838462373638909</v>
      </c>
      <c r="DP233" s="743">
        <f>IF(ISERROR(DP231/DO231-1)," ",(DP231/DO231-1))</f>
        <v>-0.42099325376644869</v>
      </c>
      <c r="DQ233" s="754"/>
      <c r="DR233" s="743">
        <f>IF(ISERROR(DR231/DP231-1)," ",(DR231/DP231-1))</f>
        <v>-0.28210622686028031</v>
      </c>
      <c r="DS233" s="743">
        <f>IF(ISERROR(DS231/DR231-1)," ",(DS231/DR231-1))</f>
        <v>2.5787748531454571</v>
      </c>
      <c r="DT233" s="743">
        <f>IF(ISERROR(DT231/DS231-1)," ",(DT231/DS231-1))</f>
        <v>-0.12899899765852929</v>
      </c>
      <c r="DU233" s="743">
        <f>IF(ISERROR(DU231/DT231-1)," ",(DU231/DT231-1))</f>
        <v>-0.60901142861163637</v>
      </c>
      <c r="DV233" s="754"/>
      <c r="DW233" s="743">
        <f>IF(ISERROR(DW231/DU231-1)," ",(DW231/DU231-1))</f>
        <v>-0.1171439417501251</v>
      </c>
      <c r="DX233" s="743">
        <f>IF(ISERROR(DX231/DW231-1)," ",(DX231/DW231-1))</f>
        <v>3.5572498810543367</v>
      </c>
      <c r="DY233" s="743">
        <f>IF(ISERROR(DY231/DX231-1)," ",(DY231/DX231-1))</f>
        <v>-0.127352517761401</v>
      </c>
      <c r="DZ233" s="743">
        <f>IF(ISERROR(DZ231/DY231-1)," ",(DZ231/DY231-1))</f>
        <v>-0.48972999429610931</v>
      </c>
      <c r="EA233" s="754"/>
      <c r="EB233" s="743">
        <f>IF(ISERROR(EB231/DZ231-1)," ",(EB231/DZ231-1))</f>
        <v>-4.0965446389576221E-2</v>
      </c>
      <c r="EC233" s="743">
        <f>IF(ISERROR(EC231/EB231-1)," ",(EC231/EB231-1))</f>
        <v>0.93760872061944966</v>
      </c>
      <c r="ED233" s="743">
        <f>IF(ISERROR(ED231/EC231-1)," ",(ED231/EC231-1))</f>
        <v>2.0798081074080876E-2</v>
      </c>
      <c r="EE233" s="743">
        <f>IF(ISERROR(EE231/ED231-1)," ",(EE231/ED231-1))</f>
        <v>-0.17829255700079638</v>
      </c>
      <c r="EF233" s="754">
        <f>+SUM(EB231:EE231)</f>
        <v>2.551392348181583</v>
      </c>
      <c r="EG233" s="946"/>
      <c r="EH233" s="743"/>
      <c r="EI233" s="743"/>
      <c r="EJ233" s="947"/>
      <c r="EK233" s="754"/>
      <c r="EL233" s="946"/>
      <c r="EM233" s="743"/>
      <c r="EN233" s="743"/>
      <c r="EO233" s="947"/>
      <c r="EP233" s="754"/>
      <c r="EQ233" s="946"/>
      <c r="ER233" s="743"/>
      <c r="ES233" s="743"/>
      <c r="ET233" s="947"/>
      <c r="EU233" s="754"/>
      <c r="EV233" s="946"/>
      <c r="EW233" s="743"/>
      <c r="EX233" s="743"/>
      <c r="EY233" s="947"/>
      <c r="EZ233" s="754"/>
      <c r="FA233" s="946"/>
      <c r="FB233" s="743"/>
      <c r="FC233" s="743"/>
      <c r="FD233" s="947"/>
      <c r="FE233" s="754"/>
      <c r="FF233" s="721"/>
      <c r="FG233" s="690"/>
      <c r="FH233" s="955">
        <f>AVERAGE(BT233,BY233,CD233,CI233,CN233,CS233,CX233,DC233,DM233,DR233,DW233)</f>
        <v>-0.16519750012736029</v>
      </c>
      <c r="FI233" s="955">
        <f>AVERAGE(BU233,BZ233,CE233,CJ233,CO233,CT233,DI233,DN233,DS233,DX233)</f>
        <v>1.179058651451679</v>
      </c>
      <c r="FJ233" s="955">
        <f>AVERAGE(BV233,CA233,CF233,CK233,CP233,CU233,CZ233,DE233,DJ233,DO233,DT233,DY233)</f>
        <v>-0.1226564146740029</v>
      </c>
      <c r="FK233" s="955">
        <f>AVERAGE(BW233,CB233,CG233,CL233,CQ233,DA233,DF233,DK233,DP233,DU233,DZ233)</f>
        <v>-0.35191547590724676</v>
      </c>
      <c r="FL233" s="690"/>
      <c r="FM233" s="940"/>
      <c r="FN233" s="708"/>
      <c r="FO233" s="1295">
        <f>+EF239*47.6+EF289+EF295-EF278</f>
        <v>3085.480713759729</v>
      </c>
      <c r="FP233" s="723"/>
      <c r="FQ233" s="723"/>
      <c r="FR233" s="723"/>
      <c r="FS233" s="723"/>
      <c r="FT233" s="723"/>
      <c r="FU233" s="690"/>
      <c r="FV233"/>
      <c r="FW233"/>
      <c r="FX233"/>
      <c r="FY233"/>
      <c r="FZ233"/>
      <c r="GA233"/>
      <c r="GB233" s="725"/>
    </row>
    <row r="234" spans="1:272" s="1529" customFormat="1" ht="12.75" hidden="1" customHeight="1" outlineLevel="1">
      <c r="A234" s="1538" t="s">
        <v>43</v>
      </c>
      <c r="B234" s="1538"/>
      <c r="C234" s="1538"/>
      <c r="D234" s="1538"/>
      <c r="E234" s="1538"/>
      <c r="F234" s="1539"/>
      <c r="G234" s="1538"/>
      <c r="H234" s="1538"/>
      <c r="I234" s="1538"/>
      <c r="J234" s="1538"/>
      <c r="K234" s="1539"/>
      <c r="L234" s="1538"/>
      <c r="M234" s="1538"/>
      <c r="N234" s="1538"/>
      <c r="O234" s="1538"/>
      <c r="P234" s="1539"/>
      <c r="Q234" s="1538"/>
      <c r="R234" s="1538"/>
      <c r="S234" s="1538"/>
      <c r="T234" s="1538"/>
      <c r="U234" s="1539"/>
      <c r="V234" s="1538"/>
      <c r="W234" s="1538"/>
      <c r="X234" s="1538"/>
      <c r="Y234" s="1538"/>
      <c r="Z234" s="1539"/>
      <c r="AA234" s="1538"/>
      <c r="AB234" s="1538"/>
      <c r="AC234" s="1538"/>
      <c r="AD234" s="1538"/>
      <c r="AE234" s="1539"/>
      <c r="AF234" s="1538"/>
      <c r="AG234" s="1538"/>
      <c r="AH234" s="1538"/>
      <c r="AI234" s="1538"/>
      <c r="AJ234" s="1539"/>
      <c r="AK234" s="1538"/>
      <c r="AL234" s="1538"/>
      <c r="AM234" s="1538"/>
      <c r="AN234" s="1538"/>
      <c r="AO234" s="1539"/>
      <c r="AP234" s="1538"/>
      <c r="AQ234" s="1538"/>
      <c r="AR234" s="1538"/>
      <c r="AS234" s="1538"/>
      <c r="AT234" s="1539"/>
      <c r="AU234" s="1538"/>
      <c r="AV234" s="1538"/>
      <c r="AW234" s="1538"/>
      <c r="AX234" s="1538"/>
      <c r="AY234" s="1539"/>
      <c r="AZ234" s="1538"/>
      <c r="BA234" s="1538"/>
      <c r="BB234" s="1538"/>
      <c r="BC234" s="1538"/>
      <c r="BD234" s="1539"/>
      <c r="BE234" s="1538"/>
      <c r="BF234" s="1538"/>
      <c r="BG234" s="1538"/>
      <c r="BH234" s="1538"/>
      <c r="BI234" s="1539"/>
      <c r="BJ234" s="1538"/>
      <c r="BK234" s="1538"/>
      <c r="BL234" s="1538"/>
      <c r="BM234" s="1538"/>
      <c r="BN234" s="1539"/>
      <c r="BO234" s="1538">
        <f t="shared" ref="BO234:DZ234" si="570">BO230/BO237</f>
        <v>0.25136720346994129</v>
      </c>
      <c r="BP234" s="1538">
        <f t="shared" si="570"/>
        <v>0.37560138316483821</v>
      </c>
      <c r="BQ234" s="1538">
        <f t="shared" si="570"/>
        <v>0.46480925872705325</v>
      </c>
      <c r="BR234" s="1538">
        <f t="shared" si="570"/>
        <v>0.289795525442614</v>
      </c>
      <c r="BS234" s="1539">
        <f t="shared" si="570"/>
        <v>1.3819351536857261</v>
      </c>
      <c r="BT234" s="1538">
        <f t="shared" si="570"/>
        <v>0.36643640097222896</v>
      </c>
      <c r="BU234" s="1538">
        <f t="shared" si="570"/>
        <v>0.54560837464720902</v>
      </c>
      <c r="BV234" s="1538">
        <f t="shared" si="570"/>
        <v>0.66204051890776494</v>
      </c>
      <c r="BW234" s="1538">
        <f t="shared" si="570"/>
        <v>0.67029883226198428</v>
      </c>
      <c r="BX234" s="1539">
        <f t="shared" si="570"/>
        <v>2.2453559462163253</v>
      </c>
      <c r="BY234" s="1538">
        <f t="shared" si="570"/>
        <v>0.58583975047074277</v>
      </c>
      <c r="BZ234" s="1538">
        <f t="shared" si="570"/>
        <v>0.69131239874340289</v>
      </c>
      <c r="CA234" s="1538">
        <f t="shared" si="570"/>
        <v>0.79613086730725746</v>
      </c>
      <c r="CB234" s="1538">
        <f t="shared" si="570"/>
        <v>0.71145602305851718</v>
      </c>
      <c r="CC234" s="1539">
        <f t="shared" si="570"/>
        <v>2.7868043713621229</v>
      </c>
      <c r="CD234" s="1538">
        <f t="shared" si="570"/>
        <v>0.78566681082885848</v>
      </c>
      <c r="CE234" s="1538">
        <f t="shared" si="570"/>
        <v>1.3050015982470911</v>
      </c>
      <c r="CF234" s="1538">
        <f t="shared" si="570"/>
        <v>1.2407918136692633</v>
      </c>
      <c r="CG234" s="1538">
        <f t="shared" si="570"/>
        <v>1.0606483166367962</v>
      </c>
      <c r="CH234" s="1539">
        <f t="shared" si="570"/>
        <v>4.2879626235685553</v>
      </c>
      <c r="CI234" s="1538">
        <f t="shared" si="570"/>
        <v>0.92555679039480354</v>
      </c>
      <c r="CJ234" s="1540">
        <f t="shared" si="570"/>
        <v>1.5272630454510245</v>
      </c>
      <c r="CK234" s="1540">
        <f t="shared" si="570"/>
        <v>1.3434482910698253</v>
      </c>
      <c r="CL234" s="1540">
        <f t="shared" si="570"/>
        <v>1.9421433770867345</v>
      </c>
      <c r="CM234" s="1539">
        <f t="shared" si="570"/>
        <v>5.6883251308184857</v>
      </c>
      <c r="CN234" s="1538">
        <f t="shared" si="570"/>
        <v>0.52441853999171106</v>
      </c>
      <c r="CO234" s="1540">
        <f t="shared" si="570"/>
        <v>1.0592383151510572</v>
      </c>
      <c r="CP234" s="1541">
        <f t="shared" si="570"/>
        <v>0.83452503021467961</v>
      </c>
      <c r="CQ234" s="1541">
        <f t="shared" si="570"/>
        <v>0.82767836385473681</v>
      </c>
      <c r="CR234" s="1539">
        <f t="shared" si="570"/>
        <v>3.2411510310040561</v>
      </c>
      <c r="CS234" s="1538">
        <f t="shared" si="570"/>
        <v>0.50180534515881536</v>
      </c>
      <c r="CT234" s="1538">
        <f t="shared" si="570"/>
        <v>1.0441023020128284</v>
      </c>
      <c r="CU234" s="1538">
        <f t="shared" si="570"/>
        <v>0.85902594172628155</v>
      </c>
      <c r="CV234" s="1538">
        <f t="shared" si="570"/>
        <v>-1.0906337977149816</v>
      </c>
      <c r="CW234" s="1539">
        <f t="shared" si="570"/>
        <v>1.3079332613267434</v>
      </c>
      <c r="CX234" s="1538">
        <f t="shared" si="570"/>
        <v>-0.41698886522678785</v>
      </c>
      <c r="CY234" s="1541">
        <f t="shared" si="570"/>
        <v>0.70054020974102371</v>
      </c>
      <c r="CZ234" s="1538">
        <f t="shared" si="570"/>
        <v>0.27612068528684419</v>
      </c>
      <c r="DA234" s="1538">
        <f t="shared" si="570"/>
        <v>-3.9321052418081613E-2</v>
      </c>
      <c r="DB234" s="1539">
        <f t="shared" si="570"/>
        <v>0.61654852257072135</v>
      </c>
      <c r="DC234" s="1538">
        <f t="shared" si="570"/>
        <v>-1.5080357020155448E-2</v>
      </c>
      <c r="DD234" s="1541">
        <f t="shared" si="570"/>
        <v>0.26832454057382354</v>
      </c>
      <c r="DE234" s="1538">
        <f t="shared" si="570"/>
        <v>0.21878296216215246</v>
      </c>
      <c r="DF234" s="1538">
        <f t="shared" si="570"/>
        <v>2.0269374128192814E-2</v>
      </c>
      <c r="DG234" s="1539">
        <f t="shared" si="570"/>
        <v>0.48075201705209886</v>
      </c>
      <c r="DH234" s="1541">
        <f t="shared" si="570"/>
        <v>0.24333322292827952</v>
      </c>
      <c r="DI234" s="1541">
        <f t="shared" si="570"/>
        <v>0.53095611097874207</v>
      </c>
      <c r="DJ234" s="1538">
        <f t="shared" si="570"/>
        <v>0.52449736539470515</v>
      </c>
      <c r="DK234" s="1538">
        <f t="shared" si="570"/>
        <v>0.26404925636385707</v>
      </c>
      <c r="DL234" s="1542">
        <f t="shared" si="570"/>
        <v>1.5637934397372961</v>
      </c>
      <c r="DM234" s="1538">
        <f t="shared" si="570"/>
        <v>0.45659426492183064</v>
      </c>
      <c r="DN234" s="1538">
        <f t="shared" si="570"/>
        <v>0.66490641229021108</v>
      </c>
      <c r="DO234" s="1538">
        <f t="shared" si="570"/>
        <v>0.45261174362199152</v>
      </c>
      <c r="DP234" s="1538">
        <f>DP230/DP237</f>
        <v>0.262136775356132</v>
      </c>
      <c r="DQ234" s="1542">
        <f t="shared" si="570"/>
        <v>1.8358213177257741</v>
      </c>
      <c r="DR234" s="1538">
        <f t="shared" si="570"/>
        <v>0.18838918989029588</v>
      </c>
      <c r="DS234" s="1538">
        <f t="shared" si="570"/>
        <v>0.67382951600415641</v>
      </c>
      <c r="DT234" s="1538">
        <f t="shared" si="570"/>
        <v>0.58729328869307196</v>
      </c>
      <c r="DU234" s="1538">
        <f t="shared" si="570"/>
        <v>0.22952167861531586</v>
      </c>
      <c r="DV234" s="1542">
        <f t="shared" si="570"/>
        <v>1.6794174501475039</v>
      </c>
      <c r="DW234" s="1538">
        <f t="shared" si="570"/>
        <v>0.2024845466613637</v>
      </c>
      <c r="DX234" s="1538">
        <f t="shared" si="570"/>
        <v>0.92248372739580098</v>
      </c>
      <c r="DY234" s="1538">
        <f t="shared" si="570"/>
        <v>0.80485320554967033</v>
      </c>
      <c r="DZ234" s="1538">
        <f t="shared" si="570"/>
        <v>0.41195583771107097</v>
      </c>
      <c r="EA234" s="1542">
        <f t="shared" ref="EA234:EF234" si="571">EA230/EA237</f>
        <v>2.3499562971713583</v>
      </c>
      <c r="EB234" s="1538">
        <f t="shared" si="571"/>
        <v>0.3940529803893793</v>
      </c>
      <c r="EC234" s="1538">
        <f>EC230/EC237</f>
        <v>0.76088509344597199</v>
      </c>
      <c r="ED234" s="1538">
        <f t="shared" si="571"/>
        <v>0.7795937758310606</v>
      </c>
      <c r="EE234" s="1538">
        <f t="shared" si="571"/>
        <v>0.64059800811623513</v>
      </c>
      <c r="EF234" s="1542">
        <f t="shared" si="571"/>
        <v>2.5741982165967521</v>
      </c>
      <c r="EG234" s="1543"/>
      <c r="EH234" s="1538"/>
      <c r="EI234" s="1538"/>
      <c r="EJ234" s="1544"/>
      <c r="EK234" s="1542">
        <f>EK230/EK237</f>
        <v>4.1476803309468107</v>
      </c>
      <c r="EL234" s="1543"/>
      <c r="EM234" s="1538"/>
      <c r="EN234" s="1538"/>
      <c r="EO234" s="1544"/>
      <c r="EP234" s="1542">
        <f>EP230/EP237</f>
        <v>4.939195674127161</v>
      </c>
      <c r="EQ234" s="1543"/>
      <c r="ER234" s="1538"/>
      <c r="ES234" s="1538"/>
      <c r="ET234" s="1544"/>
      <c r="EU234" s="1542">
        <f>EU230/EU237</f>
        <v>5.9046517791273354</v>
      </c>
      <c r="EV234" s="1543"/>
      <c r="EW234" s="1538"/>
      <c r="EX234" s="1538"/>
      <c r="EY234" s="1544"/>
      <c r="EZ234" s="1542">
        <f>EZ230/EZ237</f>
        <v>6.5069623960715486</v>
      </c>
      <c r="FA234" s="1543"/>
      <c r="FB234" s="1538"/>
      <c r="FC234" s="1538"/>
      <c r="FD234" s="1544"/>
      <c r="FE234" s="1542">
        <f>FE230/FE237</f>
        <v>7.1422003237318812</v>
      </c>
      <c r="FF234" s="721"/>
      <c r="FG234" s="690"/>
      <c r="FH234" s="754"/>
      <c r="FI234" s="754"/>
      <c r="FJ234" s="754"/>
      <c r="FK234" s="754"/>
      <c r="FL234" s="690"/>
      <c r="FM234" s="708"/>
      <c r="FN234" s="708"/>
      <c r="FO234" s="723"/>
      <c r="FP234" s="723"/>
      <c r="FQ234" s="723"/>
      <c r="FR234" s="723"/>
      <c r="FS234" s="723"/>
      <c r="FT234" s="723"/>
      <c r="FU234" s="690"/>
      <c r="FV234"/>
      <c r="FW234"/>
      <c r="FX234"/>
      <c r="FY234"/>
      <c r="FZ234"/>
      <c r="GA234"/>
      <c r="GB234" s="1527"/>
      <c r="GC234" s="1528"/>
      <c r="GD234" s="1528"/>
      <c r="GE234" s="1528"/>
      <c r="GF234" s="1528"/>
      <c r="GG234" s="1528"/>
      <c r="GH234" s="1528"/>
      <c r="GI234" s="1528"/>
      <c r="GJ234" s="1528"/>
      <c r="GK234" s="1528"/>
      <c r="GL234" s="1528"/>
      <c r="GM234" s="1528"/>
      <c r="GN234" s="1528"/>
      <c r="GO234" s="1528"/>
      <c r="GP234" s="1528"/>
      <c r="GQ234" s="1528"/>
      <c r="GR234" s="1528"/>
      <c r="GS234" s="1528"/>
      <c r="GT234" s="1528"/>
      <c r="GU234" s="1528"/>
      <c r="GV234" s="1528"/>
      <c r="GW234" s="1528"/>
      <c r="GX234" s="1528"/>
      <c r="GY234" s="1528"/>
      <c r="GZ234" s="1528"/>
      <c r="HA234" s="1528"/>
      <c r="HB234" s="1528"/>
      <c r="HC234" s="1528"/>
      <c r="HD234" s="1528"/>
      <c r="HE234" s="1528"/>
      <c r="HF234" s="1528"/>
      <c r="HG234" s="1528"/>
      <c r="HH234" s="1528"/>
      <c r="HI234" s="1528"/>
      <c r="HJ234" s="1528"/>
      <c r="HK234" s="1528"/>
      <c r="HL234" s="1528"/>
      <c r="HM234" s="1528"/>
      <c r="HN234" s="1528"/>
      <c r="HO234" s="1528"/>
      <c r="HP234" s="1528"/>
      <c r="HQ234" s="1528"/>
      <c r="HR234" s="1528"/>
      <c r="HS234" s="1528"/>
      <c r="HT234" s="1528"/>
      <c r="HU234" s="1528"/>
      <c r="HV234" s="1528"/>
      <c r="HW234" s="1528"/>
      <c r="HX234" s="1528"/>
      <c r="HY234" s="1528"/>
      <c r="HZ234" s="1528"/>
      <c r="IA234" s="1528"/>
      <c r="IB234" s="1528"/>
      <c r="IC234" s="1528"/>
      <c r="ID234" s="1528"/>
      <c r="IE234" s="1528"/>
      <c r="IF234" s="1528"/>
      <c r="IG234" s="1528"/>
      <c r="IH234" s="1528"/>
      <c r="II234" s="1528"/>
      <c r="IJ234" s="1528"/>
      <c r="IK234" s="1528"/>
      <c r="IL234" s="1528"/>
      <c r="IM234" s="1528"/>
      <c r="IN234" s="1528"/>
      <c r="IO234" s="1528"/>
      <c r="IP234" s="1528"/>
      <c r="IQ234" s="1528"/>
      <c r="IR234" s="1528"/>
      <c r="IS234" s="1528"/>
      <c r="IT234" s="1528"/>
      <c r="IU234" s="1528"/>
      <c r="IV234" s="1528"/>
      <c r="IW234" s="1528"/>
      <c r="IX234" s="1528"/>
      <c r="IY234" s="1528"/>
      <c r="IZ234" s="1528"/>
      <c r="JA234" s="1528"/>
      <c r="JB234" s="1528"/>
      <c r="JC234" s="1528"/>
      <c r="JD234" s="1528"/>
      <c r="JE234" s="1528"/>
      <c r="JF234" s="1528"/>
      <c r="JG234" s="1528"/>
      <c r="JH234" s="1528"/>
      <c r="JI234" s="1528"/>
      <c r="JJ234" s="1528"/>
      <c r="JK234" s="1528"/>
      <c r="JL234" s="1528"/>
    </row>
    <row r="235" spans="1:272" s="1537" customFormat="1" ht="12.75" hidden="1" customHeight="1" outlineLevel="1">
      <c r="A235" s="58" t="s">
        <v>85</v>
      </c>
      <c r="B235" s="1530"/>
      <c r="C235" s="1530"/>
      <c r="D235" s="1530"/>
      <c r="E235" s="1530"/>
      <c r="F235" s="1531"/>
      <c r="G235" s="1530"/>
      <c r="H235" s="1530"/>
      <c r="I235" s="1530"/>
      <c r="J235" s="1530"/>
      <c r="K235" s="1531"/>
      <c r="L235" s="1530"/>
      <c r="M235" s="1530"/>
      <c r="N235" s="1530"/>
      <c r="O235" s="1530"/>
      <c r="P235" s="1531"/>
      <c r="Q235" s="1530"/>
      <c r="R235" s="1530"/>
      <c r="S235" s="1530"/>
      <c r="T235" s="1530"/>
      <c r="U235" s="1531"/>
      <c r="V235" s="1530"/>
      <c r="W235" s="1530"/>
      <c r="X235" s="1530"/>
      <c r="Y235" s="1530"/>
      <c r="Z235" s="1531"/>
      <c r="AA235" s="1530"/>
      <c r="AB235" s="1530"/>
      <c r="AC235" s="1530"/>
      <c r="AD235" s="1530"/>
      <c r="AE235" s="1531"/>
      <c r="AF235" s="1530"/>
      <c r="AG235" s="1530"/>
      <c r="AH235" s="1530"/>
      <c r="AI235" s="1530"/>
      <c r="AJ235" s="1531"/>
      <c r="AK235" s="1530"/>
      <c r="AL235" s="1530"/>
      <c r="AM235" s="1530"/>
      <c r="AN235" s="1530"/>
      <c r="AO235" s="1531"/>
      <c r="AP235" s="1530"/>
      <c r="AQ235" s="1530"/>
      <c r="AR235" s="1530"/>
      <c r="AS235" s="1530"/>
      <c r="AT235" s="1531"/>
      <c r="AU235" s="1530"/>
      <c r="AV235" s="1530"/>
      <c r="AW235" s="1530"/>
      <c r="AX235" s="1530"/>
      <c r="AY235" s="1531"/>
      <c r="AZ235" s="1530"/>
      <c r="BA235" s="1530"/>
      <c r="BB235" s="1530"/>
      <c r="BC235" s="1530"/>
      <c r="BD235" s="1531"/>
      <c r="BE235" s="1530"/>
      <c r="BF235" s="1530"/>
      <c r="BG235" s="1530"/>
      <c r="BH235" s="1530"/>
      <c r="BI235" s="1531"/>
      <c r="BJ235" s="1530"/>
      <c r="BK235" s="1530"/>
      <c r="BL235" s="1530"/>
      <c r="BM235" s="1530"/>
      <c r="BN235" s="1531"/>
      <c r="BO235" s="1530"/>
      <c r="BP235" s="1530"/>
      <c r="BQ235" s="1530"/>
      <c r="BR235" s="1530"/>
      <c r="BS235" s="1531"/>
      <c r="BT235" s="1530">
        <f t="shared" ref="BT235:DG235" si="572">BT234/BO234-1</f>
        <v>0.45777331296144097</v>
      </c>
      <c r="BU235" s="1530">
        <f t="shared" si="572"/>
        <v>0.45262610603263065</v>
      </c>
      <c r="BV235" s="1530">
        <f t="shared" si="572"/>
        <v>0.42432730518505113</v>
      </c>
      <c r="BW235" s="1530">
        <f t="shared" si="572"/>
        <v>1.3130061488638081</v>
      </c>
      <c r="BX235" s="1531">
        <f t="shared" si="572"/>
        <v>0.62479110559405804</v>
      </c>
      <c r="BY235" s="1530">
        <f t="shared" si="572"/>
        <v>0.59874878400833786</v>
      </c>
      <c r="BZ235" s="1530">
        <f t="shared" si="572"/>
        <v>0.26704873104340865</v>
      </c>
      <c r="CA235" s="1530">
        <f t="shared" si="572"/>
        <v>0.20254099948552229</v>
      </c>
      <c r="CB235" s="1530">
        <f t="shared" si="572"/>
        <v>6.1401256895591283E-2</v>
      </c>
      <c r="CC235" s="1531">
        <f t="shared" si="572"/>
        <v>0.24114146625981436</v>
      </c>
      <c r="CD235" s="1530">
        <f t="shared" si="572"/>
        <v>0.34109508649344411</v>
      </c>
      <c r="CE235" s="1530">
        <f t="shared" si="572"/>
        <v>0.88771617667958758</v>
      </c>
      <c r="CF235" s="1530">
        <f t="shared" si="572"/>
        <v>0.55852745399255332</v>
      </c>
      <c r="CG235" s="1530">
        <f t="shared" si="572"/>
        <v>0.4908136023321823</v>
      </c>
      <c r="CH235" s="1531">
        <f t="shared" si="572"/>
        <v>0.53866653419690969</v>
      </c>
      <c r="CI235" s="1530">
        <f t="shared" si="572"/>
        <v>0.17805255056957892</v>
      </c>
      <c r="CJ235" s="1530">
        <f t="shared" si="572"/>
        <v>0.170315076627094</v>
      </c>
      <c r="CK235" s="1530">
        <f t="shared" si="572"/>
        <v>8.273465078479747E-2</v>
      </c>
      <c r="CL235" s="1530">
        <f t="shared" si="572"/>
        <v>0.83109080231708288</v>
      </c>
      <c r="CM235" s="1531">
        <f t="shared" si="572"/>
        <v>0.32657992389040746</v>
      </c>
      <c r="CN235" s="1530">
        <f t="shared" si="572"/>
        <v>-0.43340209327618218</v>
      </c>
      <c r="CO235" s="1530">
        <f t="shared" si="572"/>
        <v>-0.30644670654081885</v>
      </c>
      <c r="CP235" s="1530">
        <f t="shared" si="572"/>
        <v>-0.37881864470561488</v>
      </c>
      <c r="CQ235" s="1530">
        <f t="shared" si="572"/>
        <v>-0.57383251225443721</v>
      </c>
      <c r="CR235" s="1531">
        <f t="shared" si="572"/>
        <v>-0.43020995522144301</v>
      </c>
      <c r="CS235" s="1530"/>
      <c r="CT235" s="1530"/>
      <c r="CU235" s="1530"/>
      <c r="CV235" s="1530"/>
      <c r="CW235" s="1531">
        <f t="shared" si="572"/>
        <v>-0.59646025476277575</v>
      </c>
      <c r="CX235" s="1530"/>
      <c r="CY235" s="1530"/>
      <c r="CZ235" s="1530"/>
      <c r="DA235" s="1530"/>
      <c r="DB235" s="1531">
        <f t="shared" si="572"/>
        <v>-0.52860857598704547</v>
      </c>
      <c r="DC235" s="1530"/>
      <c r="DD235" s="1530"/>
      <c r="DE235" s="1530"/>
      <c r="DF235" s="1530"/>
      <c r="DG235" s="1531">
        <f t="shared" si="572"/>
        <v>-0.2202527466166232</v>
      </c>
      <c r="DH235" s="1111" t="s">
        <v>169</v>
      </c>
      <c r="DI235" s="1111" t="s">
        <v>169</v>
      </c>
      <c r="DJ235" s="1111" t="s">
        <v>169</v>
      </c>
      <c r="DK235" s="1111" t="s">
        <v>169</v>
      </c>
      <c r="DL235" s="1108">
        <f t="shared" ref="DL235:EF235" si="573">DL234/DG234-1</f>
        <v>2.2528068198782587</v>
      </c>
      <c r="DM235" s="1111">
        <f t="shared" si="573"/>
        <v>0.87641563871616524</v>
      </c>
      <c r="DN235" s="1111">
        <f t="shared" si="573"/>
        <v>0.2522813063862297</v>
      </c>
      <c r="DO235" s="1111">
        <f t="shared" si="573"/>
        <v>-0.1370562113665087</v>
      </c>
      <c r="DP235" s="1111">
        <f t="shared" si="573"/>
        <v>-7.2428948828004991E-3</v>
      </c>
      <c r="DQ235" s="1108">
        <f t="shared" si="573"/>
        <v>0.1739538426725824</v>
      </c>
      <c r="DR235" s="1111">
        <f t="shared" si="573"/>
        <v>-0.58740351256372381</v>
      </c>
      <c r="DS235" s="1111">
        <f t="shared" si="573"/>
        <v>1.3420089728433338E-2</v>
      </c>
      <c r="DT235" s="1111">
        <f t="shared" si="573"/>
        <v>0.29756529071318716</v>
      </c>
      <c r="DU235" s="1111">
        <f t="shared" si="573"/>
        <v>-0.12442014935335244</v>
      </c>
      <c r="DV235" s="1108">
        <f>DV234/DQ234-1</f>
        <v>-8.5195583071245862E-2</v>
      </c>
      <c r="DW235" s="1111">
        <f t="shared" si="573"/>
        <v>7.4820411825518907E-2</v>
      </c>
      <c r="DX235" s="1111">
        <f t="shared" si="573"/>
        <v>0.36901650266995834</v>
      </c>
      <c r="DY235" s="1111">
        <f t="shared" si="573"/>
        <v>0.37044509284405991</v>
      </c>
      <c r="DZ235" s="1111">
        <f t="shared" si="573"/>
        <v>0.7948450019900708</v>
      </c>
      <c r="EA235" s="1108">
        <f t="shared" si="573"/>
        <v>0.39926871485404702</v>
      </c>
      <c r="EB235" s="1111">
        <f t="shared" si="573"/>
        <v>0.94608915537833971</v>
      </c>
      <c r="EC235" s="1111">
        <f t="shared" si="573"/>
        <v>-0.17517776102785765</v>
      </c>
      <c r="ED235" s="1111">
        <f t="shared" si="573"/>
        <v>-3.1383896522296784E-2</v>
      </c>
      <c r="EE235" s="1111">
        <f t="shared" si="573"/>
        <v>0.5550162164846526</v>
      </c>
      <c r="EF235" s="1108">
        <f t="shared" si="573"/>
        <v>9.5423867965252596E-2</v>
      </c>
      <c r="EG235" s="1532"/>
      <c r="EH235" s="1530"/>
      <c r="EI235" s="1530"/>
      <c r="EJ235" s="1533"/>
      <c r="EK235" s="1531">
        <f>EK234/EF234-1</f>
        <v>0.61125134195388364</v>
      </c>
      <c r="EL235" s="1532"/>
      <c r="EM235" s="1530"/>
      <c r="EN235" s="1530"/>
      <c r="EO235" s="1533"/>
      <c r="EP235" s="1531">
        <f>EP234/EK234-1</f>
        <v>0.1908332561877224</v>
      </c>
      <c r="EQ235" s="1532"/>
      <c r="ER235" s="1530"/>
      <c r="ES235" s="1530"/>
      <c r="ET235" s="1533"/>
      <c r="EU235" s="1531">
        <f>EU234/EP234-1</f>
        <v>0.1954682844531741</v>
      </c>
      <c r="EV235" s="1532"/>
      <c r="EW235" s="1530"/>
      <c r="EX235" s="1530"/>
      <c r="EY235" s="1533"/>
      <c r="EZ235" s="1531">
        <f>EZ234/EU234-1</f>
        <v>0.10200611983137642</v>
      </c>
      <c r="FA235" s="1532"/>
      <c r="FB235" s="1530"/>
      <c r="FC235" s="1530"/>
      <c r="FD235" s="1533"/>
      <c r="FE235" s="1531">
        <f>FE234/EZ234-1</f>
        <v>9.7624342818370291E-2</v>
      </c>
      <c r="FF235" s="721"/>
      <c r="FG235" s="690"/>
      <c r="FH235" s="754"/>
      <c r="FI235" s="754"/>
      <c r="FJ235" s="754"/>
      <c r="FK235" s="754"/>
      <c r="FL235" s="690"/>
      <c r="FM235" s="1545" t="s">
        <v>412</v>
      </c>
      <c r="FN235" s="1545"/>
      <c r="FO235" s="1546">
        <f>FP235*AVERAGE(EP231,EK231)</f>
        <v>58.503018090549261</v>
      </c>
      <c r="FP235" s="1547">
        <v>13</v>
      </c>
      <c r="FQ235" s="723"/>
      <c r="FR235" s="723"/>
      <c r="FS235" s="723"/>
      <c r="FT235" s="723"/>
      <c r="FU235" s="690"/>
      <c r="FV235"/>
      <c r="FW235"/>
      <c r="FX235"/>
      <c r="FY235"/>
      <c r="FZ235"/>
      <c r="GA235"/>
      <c r="GB235" s="1535"/>
      <c r="GC235" s="1536"/>
      <c r="GD235" s="1536"/>
      <c r="GE235" s="1536"/>
      <c r="GF235" s="1536"/>
      <c r="GG235" s="1536"/>
      <c r="GH235" s="1536"/>
      <c r="GI235" s="1536"/>
      <c r="GJ235" s="1536"/>
      <c r="GK235" s="1536"/>
      <c r="GL235" s="1536"/>
      <c r="GM235" s="1536"/>
      <c r="GN235" s="1536"/>
      <c r="GO235" s="1536"/>
      <c r="GP235" s="1536"/>
      <c r="GQ235" s="1536"/>
      <c r="GR235" s="1536"/>
      <c r="GS235" s="1536"/>
      <c r="GT235" s="1536"/>
      <c r="GU235" s="1536"/>
      <c r="GV235" s="1536"/>
      <c r="GW235" s="1536"/>
      <c r="GX235" s="1536"/>
      <c r="GY235" s="1536"/>
      <c r="GZ235" s="1536"/>
      <c r="HA235" s="1536"/>
      <c r="HB235" s="1536"/>
      <c r="HC235" s="1536"/>
      <c r="HD235" s="1536"/>
      <c r="HE235" s="1536"/>
      <c r="HF235" s="1536"/>
      <c r="HG235" s="1536"/>
      <c r="HH235" s="1536"/>
      <c r="HI235" s="1536"/>
      <c r="HJ235" s="1536"/>
      <c r="HK235" s="1536"/>
      <c r="HL235" s="1536"/>
      <c r="HM235" s="1536"/>
      <c r="HN235" s="1536"/>
      <c r="HO235" s="1536"/>
      <c r="HP235" s="1536"/>
      <c r="HQ235" s="1536"/>
      <c r="HR235" s="1536"/>
      <c r="HS235" s="1536"/>
      <c r="HT235" s="1536"/>
      <c r="HU235" s="1536"/>
      <c r="HV235" s="1536"/>
      <c r="HW235" s="1536"/>
      <c r="HX235" s="1536"/>
      <c r="HY235" s="1536"/>
      <c r="HZ235" s="1536"/>
      <c r="IA235" s="1536"/>
      <c r="IB235" s="1536"/>
      <c r="IC235" s="1536"/>
      <c r="ID235" s="1536"/>
      <c r="IE235" s="1536"/>
      <c r="IF235" s="1536"/>
      <c r="IG235" s="1536"/>
      <c r="IH235" s="1536"/>
      <c r="II235" s="1536"/>
      <c r="IJ235" s="1536"/>
      <c r="IK235" s="1536"/>
      <c r="IL235" s="1536"/>
      <c r="IM235" s="1536"/>
      <c r="IN235" s="1536"/>
      <c r="IO235" s="1536"/>
      <c r="IP235" s="1536"/>
      <c r="IQ235" s="1536"/>
      <c r="IR235" s="1536"/>
      <c r="IS235" s="1536"/>
      <c r="IT235" s="1536"/>
      <c r="IU235" s="1536"/>
      <c r="IV235" s="1536"/>
      <c r="IW235" s="1536"/>
      <c r="IX235" s="1536"/>
      <c r="IY235" s="1536"/>
      <c r="IZ235" s="1536"/>
      <c r="JA235" s="1536"/>
      <c r="JB235" s="1536"/>
      <c r="JC235" s="1536"/>
      <c r="JD235" s="1536"/>
      <c r="JE235" s="1536"/>
      <c r="JF235" s="1536"/>
      <c r="JG235" s="1536"/>
      <c r="JH235" s="1536"/>
      <c r="JI235" s="1536"/>
      <c r="JJ235" s="1536"/>
      <c r="JK235" s="1536"/>
      <c r="JL235" s="1536"/>
    </row>
    <row r="236" spans="1:272" s="533" customFormat="1" ht="12.75" hidden="1" customHeight="1" outlineLevel="1">
      <c r="A236" s="1486" t="s">
        <v>92</v>
      </c>
      <c r="B236" s="723"/>
      <c r="C236" s="1548"/>
      <c r="D236" s="723"/>
      <c r="E236" s="723"/>
      <c r="F236" s="722"/>
      <c r="G236" s="723"/>
      <c r="H236" s="1548"/>
      <c r="I236" s="723"/>
      <c r="J236" s="723"/>
      <c r="K236" s="722"/>
      <c r="L236" s="723"/>
      <c r="M236" s="1548"/>
      <c r="N236" s="723"/>
      <c r="O236" s="723"/>
      <c r="P236" s="722"/>
      <c r="Q236" s="723"/>
      <c r="R236" s="1548"/>
      <c r="S236" s="723"/>
      <c r="T236" s="723"/>
      <c r="U236" s="722"/>
      <c r="V236" s="723"/>
      <c r="W236" s="1548"/>
      <c r="X236" s="723"/>
      <c r="Y236" s="723"/>
      <c r="Z236" s="722"/>
      <c r="AA236" s="723"/>
      <c r="AB236" s="1548"/>
      <c r="AC236" s="723"/>
      <c r="AD236" s="723"/>
      <c r="AE236" s="722"/>
      <c r="AF236" s="723"/>
      <c r="AG236" s="1548"/>
      <c r="AH236" s="723"/>
      <c r="AI236" s="723"/>
      <c r="AJ236" s="722"/>
      <c r="AK236" s="723"/>
      <c r="AL236" s="1548"/>
      <c r="AM236" s="723"/>
      <c r="AN236" s="723"/>
      <c r="AO236" s="722"/>
      <c r="AP236" s="723"/>
      <c r="AQ236" s="1548"/>
      <c r="AR236" s="1548"/>
      <c r="AS236" s="723"/>
      <c r="AT236" s="722"/>
      <c r="AU236" s="723"/>
      <c r="AV236" s="1548"/>
      <c r="AW236" s="723"/>
      <c r="AX236" s="723"/>
      <c r="AY236" s="722"/>
      <c r="AZ236" s="723"/>
      <c r="BA236" s="1548"/>
      <c r="BB236" s="723"/>
      <c r="BC236" s="723"/>
      <c r="BD236" s="722"/>
      <c r="BE236" s="723"/>
      <c r="BF236" s="1548"/>
      <c r="BG236" s="723"/>
      <c r="BH236" s="723"/>
      <c r="BI236" s="722"/>
      <c r="BJ236" s="723"/>
      <c r="BK236" s="1548"/>
      <c r="BL236" s="723"/>
      <c r="BM236" s="723"/>
      <c r="BN236" s="722"/>
      <c r="BO236" s="723"/>
      <c r="BP236" s="1548"/>
      <c r="BQ236" s="723"/>
      <c r="BR236" s="723"/>
      <c r="BS236" s="722"/>
      <c r="BT236" s="723"/>
      <c r="BU236" s="1548"/>
      <c r="BV236" s="723"/>
      <c r="BW236" s="723"/>
      <c r="BX236" s="722"/>
      <c r="BY236" s="723"/>
      <c r="BZ236" s="1548"/>
      <c r="CA236" s="723"/>
      <c r="CB236" s="723"/>
      <c r="CC236" s="722"/>
      <c r="CD236" s="723"/>
      <c r="CE236" s="723"/>
      <c r="CF236" s="723"/>
      <c r="CG236" s="723"/>
      <c r="CH236" s="722"/>
      <c r="CI236" s="723"/>
      <c r="CJ236" s="723"/>
      <c r="CK236" s="723"/>
      <c r="CL236" s="723"/>
      <c r="CM236" s="722"/>
      <c r="CN236" s="723"/>
      <c r="CO236" s="723"/>
      <c r="CP236" s="723"/>
      <c r="CQ236" s="723"/>
      <c r="CR236" s="722"/>
      <c r="CS236" s="723"/>
      <c r="CT236" s="723"/>
      <c r="CU236" s="723"/>
      <c r="CV236" s="723"/>
      <c r="CW236" s="722"/>
      <c r="CX236" s="723"/>
      <c r="CY236" s="723"/>
      <c r="CZ236" s="723"/>
      <c r="DA236" s="723"/>
      <c r="DB236" s="722"/>
      <c r="DC236" s="723"/>
      <c r="DD236" s="723"/>
      <c r="DE236" s="723"/>
      <c r="DF236" s="723"/>
      <c r="DG236" s="722"/>
      <c r="DH236" s="723"/>
      <c r="DI236" s="723"/>
      <c r="DJ236" s="723"/>
      <c r="DK236" s="723"/>
      <c r="DL236" s="722"/>
      <c r="DM236" s="723"/>
      <c r="DN236" s="723"/>
      <c r="DO236" s="723"/>
      <c r="DP236" s="723"/>
      <c r="DQ236" s="722"/>
      <c r="DR236" s="723"/>
      <c r="DS236" s="723"/>
      <c r="DT236" s="723"/>
      <c r="DU236" s="723"/>
      <c r="DV236" s="722"/>
      <c r="DW236" s="723"/>
      <c r="DX236" s="723"/>
      <c r="DY236" s="723"/>
      <c r="DZ236" s="723"/>
      <c r="EA236" s="722"/>
      <c r="EB236" s="723"/>
      <c r="EC236" s="723"/>
      <c r="ED236" s="723"/>
      <c r="EE236" s="723"/>
      <c r="EF236" s="722"/>
      <c r="EG236" s="1549"/>
      <c r="EH236" s="1155"/>
      <c r="EI236" s="1155"/>
      <c r="EJ236" s="1550"/>
      <c r="EK236" s="722"/>
      <c r="EL236" s="1549"/>
      <c r="EM236" s="1155"/>
      <c r="EN236" s="1155"/>
      <c r="EO236" s="1550"/>
      <c r="EP236" s="722"/>
      <c r="EQ236" s="1549"/>
      <c r="ER236" s="1155"/>
      <c r="ES236" s="1155"/>
      <c r="ET236" s="1550"/>
      <c r="EU236" s="722"/>
      <c r="EV236" s="1549"/>
      <c r="EW236" s="1155"/>
      <c r="EX236" s="1155"/>
      <c r="EY236" s="1550"/>
      <c r="EZ236" s="722"/>
      <c r="FA236" s="1549"/>
      <c r="FB236" s="1155"/>
      <c r="FC236" s="1155"/>
      <c r="FD236" s="1550"/>
      <c r="FE236" s="722"/>
      <c r="FF236" s="721"/>
      <c r="FG236" s="690"/>
      <c r="FH236" s="754"/>
      <c r="FI236" s="754"/>
      <c r="FJ236" s="754"/>
      <c r="FK236" s="754"/>
      <c r="FL236" s="690"/>
      <c r="FM236" s="708" t="s">
        <v>413</v>
      </c>
      <c r="FN236" s="708"/>
      <c r="FO236" s="941">
        <v>39.4</v>
      </c>
      <c r="FP236" s="723">
        <f>+FO235/FO236-1</f>
        <v>0.48484817488703724</v>
      </c>
      <c r="FQ236" s="723"/>
      <c r="FR236" s="723"/>
      <c r="FS236" s="723"/>
      <c r="FT236" s="723"/>
      <c r="FU236" s="690"/>
      <c r="FV236"/>
      <c r="FW236"/>
      <c r="FX236"/>
      <c r="FY236"/>
      <c r="FZ236"/>
      <c r="GA236"/>
      <c r="GB236" s="961"/>
      <c r="GC236" s="532"/>
      <c r="GD236" s="532"/>
      <c r="GE236" s="532"/>
      <c r="GF236" s="532"/>
      <c r="GG236" s="532"/>
      <c r="GH236" s="532"/>
      <c r="GI236" s="532"/>
      <c r="GJ236" s="532"/>
      <c r="GK236" s="532"/>
      <c r="GL236" s="532"/>
      <c r="GM236" s="532"/>
      <c r="GN236" s="532"/>
      <c r="GO236" s="532"/>
      <c r="GP236" s="532"/>
      <c r="GQ236" s="532"/>
      <c r="GR236" s="532"/>
      <c r="GS236" s="532"/>
      <c r="GT236" s="532"/>
      <c r="GU236" s="532"/>
      <c r="GV236" s="532"/>
      <c r="GW236" s="532"/>
      <c r="GX236" s="532"/>
      <c r="GY236" s="532"/>
      <c r="GZ236" s="532"/>
      <c r="HA236" s="532"/>
      <c r="HB236" s="532"/>
      <c r="HC236" s="532"/>
      <c r="HD236" s="532"/>
      <c r="HE236" s="532"/>
      <c r="HF236" s="532"/>
      <c r="HG236" s="532"/>
      <c r="HH236" s="532"/>
      <c r="HI236" s="532"/>
      <c r="HJ236" s="532"/>
      <c r="HK236" s="532"/>
      <c r="HL236" s="532"/>
      <c r="HM236" s="532"/>
      <c r="HN236" s="532"/>
      <c r="HO236" s="532"/>
      <c r="HP236" s="532"/>
      <c r="HQ236" s="532"/>
      <c r="HR236" s="532"/>
      <c r="HS236" s="532"/>
      <c r="HT236" s="532"/>
      <c r="HU236" s="532"/>
      <c r="HV236" s="532"/>
      <c r="HW236" s="532"/>
      <c r="HX236" s="532"/>
      <c r="HY236" s="532"/>
      <c r="HZ236" s="532"/>
      <c r="IA236" s="532"/>
      <c r="IB236" s="532"/>
      <c r="IC236" s="532"/>
      <c r="ID236" s="532"/>
      <c r="IE236" s="532"/>
      <c r="IF236" s="532"/>
      <c r="IG236" s="532"/>
      <c r="IH236" s="532"/>
      <c r="II236" s="532"/>
      <c r="IJ236" s="532"/>
      <c r="IK236" s="532"/>
      <c r="IL236" s="532"/>
      <c r="IM236" s="532"/>
      <c r="IN236" s="532"/>
      <c r="IO236" s="532"/>
      <c r="IP236" s="532"/>
      <c r="IQ236" s="532"/>
      <c r="IR236" s="532"/>
      <c r="IS236" s="532"/>
      <c r="IT236" s="532"/>
      <c r="IU236" s="532"/>
      <c r="IV236" s="532"/>
      <c r="IW236" s="532"/>
      <c r="IX236" s="532"/>
      <c r="IY236" s="532"/>
      <c r="IZ236" s="532"/>
      <c r="JA236" s="532"/>
      <c r="JB236" s="532"/>
      <c r="JC236" s="532"/>
      <c r="JD236" s="532"/>
      <c r="JE236" s="532"/>
      <c r="JF236" s="532"/>
      <c r="JG236" s="532"/>
      <c r="JH236" s="532"/>
      <c r="JI236" s="532"/>
      <c r="JJ236" s="532"/>
      <c r="JK236" s="532"/>
      <c r="JL236" s="532"/>
    </row>
    <row r="237" spans="1:272" s="749" customFormat="1" ht="12.75" hidden="1" customHeight="1" outlineLevel="1">
      <c r="A237" s="710" t="s">
        <v>414</v>
      </c>
      <c r="B237" s="711"/>
      <c r="C237" s="1551"/>
      <c r="D237" s="711"/>
      <c r="E237" s="711"/>
      <c r="F237" s="1552"/>
      <c r="G237" s="711"/>
      <c r="H237" s="1551"/>
      <c r="I237" s="711"/>
      <c r="J237" s="711"/>
      <c r="K237" s="1552"/>
      <c r="L237" s="711"/>
      <c r="M237" s="1551"/>
      <c r="N237" s="711"/>
      <c r="O237" s="711"/>
      <c r="P237" s="1552"/>
      <c r="Q237" s="711"/>
      <c r="R237" s="1551"/>
      <c r="S237" s="711"/>
      <c r="T237" s="711"/>
      <c r="U237" s="1552"/>
      <c r="V237" s="711"/>
      <c r="W237" s="1551"/>
      <c r="X237" s="711"/>
      <c r="Y237" s="711"/>
      <c r="Z237" s="1552"/>
      <c r="AA237" s="711"/>
      <c r="AB237" s="1551"/>
      <c r="AC237" s="711"/>
      <c r="AD237" s="711"/>
      <c r="AE237" s="1552"/>
      <c r="AF237" s="711"/>
      <c r="AG237" s="1551"/>
      <c r="AH237" s="711"/>
      <c r="AI237" s="711"/>
      <c r="AJ237" s="1552"/>
      <c r="AK237" s="711"/>
      <c r="AL237" s="1551"/>
      <c r="AM237" s="711"/>
      <c r="AN237" s="711"/>
      <c r="AO237" s="1552"/>
      <c r="AP237" s="711"/>
      <c r="AQ237" s="1551"/>
      <c r="AR237" s="1551"/>
      <c r="AS237" s="711"/>
      <c r="AT237" s="1552"/>
      <c r="AU237" s="711"/>
      <c r="AV237" s="1551"/>
      <c r="AW237" s="711"/>
      <c r="AX237" s="711"/>
      <c r="AY237" s="1552"/>
      <c r="AZ237" s="711"/>
      <c r="BA237" s="1551"/>
      <c r="BB237" s="711"/>
      <c r="BC237" s="711"/>
      <c r="BD237" s="1552"/>
      <c r="BE237" s="711"/>
      <c r="BF237" s="1551"/>
      <c r="BG237" s="711"/>
      <c r="BH237" s="711"/>
      <c r="BI237" s="1552"/>
      <c r="BJ237" s="711"/>
      <c r="BK237" s="1551"/>
      <c r="BL237" s="711"/>
      <c r="BM237" s="711"/>
      <c r="BN237" s="1552"/>
      <c r="BO237" s="711">
        <v>48.928531999999997</v>
      </c>
      <c r="BP237" s="1551">
        <v>49.074627</v>
      </c>
      <c r="BQ237" s="711">
        <v>49.226241000000002</v>
      </c>
      <c r="BR237" s="711">
        <v>49.327589000000003</v>
      </c>
      <c r="BS237" s="1552">
        <f>AVERAGE(BO237:BR237)</f>
        <v>49.139247249999997</v>
      </c>
      <c r="BT237" s="711">
        <v>49.396070999999999</v>
      </c>
      <c r="BU237" s="1551">
        <v>49.494145000000003</v>
      </c>
      <c r="BV237" s="711">
        <v>49.549337999999999</v>
      </c>
      <c r="BW237" s="711">
        <v>49.709145999999997</v>
      </c>
      <c r="BX237" s="1552">
        <f>AVERAGE(BT237:BW237)</f>
        <v>49.537175000000005</v>
      </c>
      <c r="BY237" s="711">
        <v>49.835662999999997</v>
      </c>
      <c r="BZ237" s="1551">
        <v>50.319659000000001</v>
      </c>
      <c r="CA237" s="1551">
        <v>50.670397999999999</v>
      </c>
      <c r="CB237" s="711">
        <v>51.363137000000002</v>
      </c>
      <c r="CC237" s="1552">
        <f>AVERAGE(BY237:CB237)</f>
        <v>50.547214249999996</v>
      </c>
      <c r="CD237" s="711">
        <v>52.348984000000002</v>
      </c>
      <c r="CE237" s="711">
        <v>52.166814000000002</v>
      </c>
      <c r="CF237" s="711">
        <v>52.081890999999999</v>
      </c>
      <c r="CG237" s="711">
        <v>52.175586000000003</v>
      </c>
      <c r="CH237" s="1552">
        <f>AVERAGE(CD237:CG237)</f>
        <v>52.193318750000003</v>
      </c>
      <c r="CI237" s="711">
        <v>51.921644999999998</v>
      </c>
      <c r="CJ237" s="711">
        <v>49.676912000000002</v>
      </c>
      <c r="CK237" s="711">
        <v>47.601174999999998</v>
      </c>
      <c r="CL237" s="711">
        <v>46.721893999999999</v>
      </c>
      <c r="CM237" s="1552">
        <f>AVERAGE(CI237:CL237)</f>
        <v>48.980406499999994</v>
      </c>
      <c r="CN237" s="711">
        <v>45.990811000000001</v>
      </c>
      <c r="CO237" s="711">
        <v>45.286315000000002</v>
      </c>
      <c r="CP237" s="711">
        <v>44.976481999999997</v>
      </c>
      <c r="CQ237" s="711">
        <v>45.035609999999998</v>
      </c>
      <c r="CR237" s="1552">
        <f>AVERAGE(CN237:CQ237)</f>
        <v>45.322304500000001</v>
      </c>
      <c r="CS237" s="711">
        <v>45.230685999999999</v>
      </c>
      <c r="CT237" s="711">
        <v>45.371032999999997</v>
      </c>
      <c r="CU237" s="711">
        <v>45.499208000000003</v>
      </c>
      <c r="CV237" s="711">
        <v>45.605592000000001</v>
      </c>
      <c r="CW237" s="1552">
        <f>AVERAGE(CS237:CV237)</f>
        <v>45.426629750000004</v>
      </c>
      <c r="CX237" s="711">
        <v>45.962857999999997</v>
      </c>
      <c r="CY237" s="711">
        <v>46.171511000000002</v>
      </c>
      <c r="CZ237" s="711">
        <v>48.862692000000003</v>
      </c>
      <c r="DA237" s="711">
        <v>49.057690000000001</v>
      </c>
      <c r="DB237" s="1552">
        <v>47.525861999999996</v>
      </c>
      <c r="DC237" s="711">
        <v>49.335701999999998</v>
      </c>
      <c r="DD237" s="711">
        <v>51.665047000000001</v>
      </c>
      <c r="DE237" s="711">
        <v>54.286676999999997</v>
      </c>
      <c r="DF237" s="711">
        <v>54.66375</v>
      </c>
      <c r="DG237" s="1552">
        <v>52.50732</v>
      </c>
      <c r="DH237" s="711">
        <v>55.039751000000003</v>
      </c>
      <c r="DI237" s="711">
        <v>55.413243000000001</v>
      </c>
      <c r="DJ237" s="711">
        <v>55.535074000000002</v>
      </c>
      <c r="DK237" s="711">
        <v>55.557816000000003</v>
      </c>
      <c r="DL237" s="1552">
        <f>AVERAGE(DH237:DK237)</f>
        <v>55.386471</v>
      </c>
      <c r="DM237" s="711">
        <v>55.703721999999999</v>
      </c>
      <c r="DN237" s="711">
        <v>55.809358000000003</v>
      </c>
      <c r="DO237" s="711">
        <v>55.906635999999999</v>
      </c>
      <c r="DP237" s="711">
        <v>55.928818</v>
      </c>
      <c r="DQ237" s="1552">
        <f>AVERAGE(DM237:DP237)</f>
        <v>55.8371335</v>
      </c>
      <c r="DR237" s="1553">
        <v>56.096637000000001</v>
      </c>
      <c r="DS237" s="1553">
        <v>56.354016999999999</v>
      </c>
      <c r="DT237" s="711">
        <v>56.714422999999996</v>
      </c>
      <c r="DU237" s="711">
        <v>56.870444999999997</v>
      </c>
      <c r="DV237" s="1552">
        <f>AVERAGE(DR237:DU237)</f>
        <v>56.508880499999997</v>
      </c>
      <c r="DW237" s="1553">
        <v>56.957433000000002</v>
      </c>
      <c r="DX237" s="1553">
        <v>57.128379000000002</v>
      </c>
      <c r="DY237" s="711">
        <v>57.692507999999997</v>
      </c>
      <c r="DZ237" s="711">
        <v>57.773183000000003</v>
      </c>
      <c r="EA237" s="1552">
        <f>AVERAGE(DW237:DZ237)</f>
        <v>57.387875750000006</v>
      </c>
      <c r="EB237" s="1553">
        <v>57.634382000000002</v>
      </c>
      <c r="EC237" s="1553">
        <v>57.419970999999997</v>
      </c>
      <c r="ED237" s="711">
        <f>EC237*(1+ED240/4)</f>
        <v>57.419970999999997</v>
      </c>
      <c r="EE237" s="711">
        <f>ED237*(1+EE240/4)</f>
        <v>57.419970999999997</v>
      </c>
      <c r="EF237" s="1552">
        <f>AVERAGE(EB237:EE237)</f>
        <v>57.47357375</v>
      </c>
      <c r="EG237" s="1554"/>
      <c r="EH237" s="1466"/>
      <c r="EI237" s="1466"/>
      <c r="EJ237" s="1555"/>
      <c r="EK237" s="1552">
        <f>EF237*(1+EK240)</f>
        <v>56.898838012500001</v>
      </c>
      <c r="EL237" s="1554"/>
      <c r="EM237" s="1466"/>
      <c r="EN237" s="1466"/>
      <c r="EO237" s="1555"/>
      <c r="EP237" s="1552">
        <f>EK237*(1+EP240)</f>
        <v>56.329849632375002</v>
      </c>
      <c r="EQ237" s="1554"/>
      <c r="ER237" s="1466"/>
      <c r="ES237" s="1466"/>
      <c r="ET237" s="1555"/>
      <c r="EU237" s="1552">
        <f>EP237*(1+EU240)</f>
        <v>55.766551136051248</v>
      </c>
      <c r="EV237" s="1554"/>
      <c r="EW237" s="1466"/>
      <c r="EX237" s="1466"/>
      <c r="EY237" s="1555"/>
      <c r="EZ237" s="1552">
        <f>EU237*(1+EZ240)</f>
        <v>55.208885624690737</v>
      </c>
      <c r="FA237" s="1554"/>
      <c r="FB237" s="1466"/>
      <c r="FC237" s="1466"/>
      <c r="FD237" s="1555"/>
      <c r="FE237" s="1552">
        <f>EZ237*(1+FE240)</f>
        <v>54.656796768443826</v>
      </c>
      <c r="FF237" s="721"/>
      <c r="FG237" s="690"/>
      <c r="FH237" s="754"/>
      <c r="FI237" s="754"/>
      <c r="FJ237" s="754"/>
      <c r="FK237" s="754"/>
      <c r="FL237" s="690"/>
      <c r="FM237" s="708"/>
      <c r="FN237" s="708"/>
      <c r="FO237" s="723"/>
      <c r="FP237" s="723"/>
      <c r="FQ237" s="723"/>
      <c r="FR237" s="723"/>
      <c r="FS237" s="723"/>
      <c r="FT237" s="723"/>
      <c r="FU237" s="690"/>
      <c r="FV237"/>
      <c r="FW237"/>
      <c r="FX237"/>
      <c r="FY237"/>
      <c r="FZ237"/>
      <c r="GA237"/>
      <c r="GB237" s="961"/>
      <c r="GC237" s="532"/>
      <c r="GD237" s="532"/>
      <c r="GE237" s="532"/>
      <c r="GF237" s="532"/>
      <c r="GG237" s="532"/>
      <c r="GH237" s="532"/>
      <c r="GI237" s="532"/>
      <c r="GJ237" s="532"/>
      <c r="GK237" s="532"/>
      <c r="GL237" s="532"/>
      <c r="GM237" s="532"/>
      <c r="GN237" s="532"/>
      <c r="GO237" s="532"/>
      <c r="GP237" s="532"/>
      <c r="GQ237" s="532"/>
      <c r="GR237" s="532"/>
      <c r="GS237" s="532"/>
      <c r="GT237" s="532"/>
      <c r="GU237" s="532"/>
      <c r="GV237" s="532"/>
      <c r="GW237" s="532"/>
      <c r="GX237" s="532"/>
      <c r="GY237" s="532"/>
      <c r="GZ237" s="532"/>
      <c r="HA237" s="532"/>
      <c r="HB237" s="532"/>
      <c r="HC237" s="532"/>
      <c r="HD237" s="532"/>
      <c r="HE237" s="532"/>
      <c r="HF237" s="532"/>
      <c r="HG237" s="532"/>
      <c r="HH237" s="532"/>
      <c r="HI237" s="532"/>
      <c r="HJ237" s="532"/>
      <c r="HK237" s="532"/>
      <c r="HL237" s="532"/>
      <c r="HM237" s="532"/>
      <c r="HN237" s="532"/>
      <c r="HO237" s="532"/>
      <c r="HP237" s="532"/>
      <c r="HQ237" s="532"/>
      <c r="HR237" s="532"/>
      <c r="HS237" s="532"/>
      <c r="HT237" s="532"/>
      <c r="HU237" s="532"/>
      <c r="HV237" s="532"/>
      <c r="HW237" s="532"/>
      <c r="HX237" s="532"/>
      <c r="HY237" s="532"/>
      <c r="HZ237" s="532"/>
      <c r="IA237" s="532"/>
      <c r="IB237" s="532"/>
      <c r="IC237" s="532"/>
      <c r="ID237" s="532"/>
      <c r="IE237" s="532"/>
      <c r="IF237" s="532"/>
      <c r="IG237" s="532"/>
      <c r="IH237" s="532"/>
      <c r="II237" s="532"/>
      <c r="IJ237" s="532"/>
      <c r="IK237" s="532"/>
      <c r="IL237" s="532"/>
      <c r="IM237" s="532"/>
      <c r="IN237" s="532"/>
      <c r="IO237" s="532"/>
      <c r="IP237" s="532"/>
      <c r="IQ237" s="532"/>
      <c r="IR237" s="532"/>
      <c r="IS237" s="532"/>
      <c r="IT237" s="532"/>
      <c r="IU237" s="532"/>
      <c r="IV237" s="532"/>
      <c r="IW237" s="532"/>
      <c r="IX237" s="532"/>
      <c r="IY237" s="532"/>
      <c r="IZ237" s="532"/>
      <c r="JA237" s="532"/>
      <c r="JB237" s="532"/>
      <c r="JC237" s="532"/>
      <c r="JD237" s="532"/>
      <c r="JE237" s="532"/>
      <c r="JF237" s="532"/>
      <c r="JG237" s="532"/>
      <c r="JH237" s="532"/>
      <c r="JI237" s="532"/>
      <c r="JJ237" s="532"/>
      <c r="JK237" s="532"/>
      <c r="JL237" s="532"/>
    </row>
    <row r="238" spans="1:272" s="726" customFormat="1" ht="12.75" hidden="1" customHeight="1" outlineLevel="1">
      <c r="A238" s="1556" t="s">
        <v>46</v>
      </c>
      <c r="B238" s="711"/>
      <c r="C238" s="1551"/>
      <c r="D238" s="711"/>
      <c r="E238" s="711"/>
      <c r="F238" s="1552"/>
      <c r="G238" s="711"/>
      <c r="H238" s="1551"/>
      <c r="I238" s="711"/>
      <c r="J238" s="711"/>
      <c r="K238" s="1552"/>
      <c r="L238" s="711"/>
      <c r="M238" s="1551"/>
      <c r="N238" s="711"/>
      <c r="O238" s="711"/>
      <c r="P238" s="1552"/>
      <c r="Q238" s="711"/>
      <c r="R238" s="1551"/>
      <c r="S238" s="711"/>
      <c r="T238" s="711"/>
      <c r="U238" s="1552"/>
      <c r="V238" s="711"/>
      <c r="W238" s="1551"/>
      <c r="X238" s="711"/>
      <c r="Y238" s="711"/>
      <c r="Z238" s="1552"/>
      <c r="AA238" s="711"/>
      <c r="AB238" s="1551"/>
      <c r="AC238" s="711"/>
      <c r="AD238" s="711"/>
      <c r="AE238" s="1552"/>
      <c r="AF238" s="711"/>
      <c r="AG238" s="1551"/>
      <c r="AH238" s="711"/>
      <c r="AI238" s="711"/>
      <c r="AJ238" s="1552"/>
      <c r="AK238" s="711"/>
      <c r="AL238" s="1551"/>
      <c r="AM238" s="711"/>
      <c r="AN238" s="711"/>
      <c r="AO238" s="1552"/>
      <c r="AP238" s="711"/>
      <c r="AQ238" s="1551"/>
      <c r="AR238" s="1551"/>
      <c r="AS238" s="711"/>
      <c r="AT238" s="1552"/>
      <c r="AU238" s="711"/>
      <c r="AV238" s="1551"/>
      <c r="AW238" s="711"/>
      <c r="AX238" s="711"/>
      <c r="AY238" s="1552"/>
      <c r="AZ238" s="711"/>
      <c r="BA238" s="1551"/>
      <c r="BB238" s="711"/>
      <c r="BC238" s="711"/>
      <c r="BD238" s="1552"/>
      <c r="BE238" s="711"/>
      <c r="BF238" s="1551"/>
      <c r="BG238" s="711"/>
      <c r="BH238" s="711"/>
      <c r="BI238" s="1552"/>
      <c r="BJ238" s="711"/>
      <c r="BK238" s="1551"/>
      <c r="BL238" s="711"/>
      <c r="BM238" s="711"/>
      <c r="BN238" s="1552"/>
      <c r="BO238" s="711">
        <f t="shared" ref="BO238:DX238" si="574">BO239-BO237</f>
        <v>7.5541170000000051</v>
      </c>
      <c r="BP238" s="1551">
        <f t="shared" si="574"/>
        <v>7.6383950000000027</v>
      </c>
      <c r="BQ238" s="711">
        <f t="shared" si="574"/>
        <v>7.5292600000000007</v>
      </c>
      <c r="BR238" s="711">
        <f t="shared" si="574"/>
        <v>7.4142729999999943</v>
      </c>
      <c r="BS238" s="1552">
        <f t="shared" si="574"/>
        <v>7.534011250000006</v>
      </c>
      <c r="BT238" s="711">
        <f t="shared" si="574"/>
        <v>4.2565939999999998</v>
      </c>
      <c r="BU238" s="1551">
        <f t="shared" si="574"/>
        <v>7.6330419999999961</v>
      </c>
      <c r="BV238" s="711">
        <f t="shared" si="574"/>
        <v>7.0920830000000024</v>
      </c>
      <c r="BW238" s="711">
        <f t="shared" si="574"/>
        <v>7.4005190000000027</v>
      </c>
      <c r="BX238" s="1552">
        <f t="shared" si="574"/>
        <v>6.5955595000000002</v>
      </c>
      <c r="BY238" s="711">
        <f t="shared" si="574"/>
        <v>7.2895220000000052</v>
      </c>
      <c r="BZ238" s="1551">
        <f t="shared" si="574"/>
        <v>6.5640789999999996</v>
      </c>
      <c r="CA238" s="711">
        <f t="shared" si="574"/>
        <v>4.7382380000000026</v>
      </c>
      <c r="CB238" s="711">
        <f t="shared" si="574"/>
        <v>4.8457310000000007</v>
      </c>
      <c r="CC238" s="1552">
        <f t="shared" si="574"/>
        <v>5.8593925000000056</v>
      </c>
      <c r="CD238" s="711">
        <f t="shared" si="574"/>
        <v>4.2617350000000016</v>
      </c>
      <c r="CE238" s="1466">
        <f t="shared" si="574"/>
        <v>3.8496990000000011</v>
      </c>
      <c r="CF238" s="1466">
        <f t="shared" si="574"/>
        <v>3.8843980000000045</v>
      </c>
      <c r="CG238" s="1466">
        <f t="shared" si="574"/>
        <v>3.7038960000000003</v>
      </c>
      <c r="CH238" s="1552">
        <f t="shared" si="574"/>
        <v>3.9249319999999983</v>
      </c>
      <c r="CI238" s="711">
        <f t="shared" si="574"/>
        <v>3.4602670000000018</v>
      </c>
      <c r="CJ238" s="711">
        <f t="shared" si="574"/>
        <v>3.4270929999999993</v>
      </c>
      <c r="CK238" s="711">
        <f t="shared" si="574"/>
        <v>3.2563209999999998</v>
      </c>
      <c r="CL238" s="711">
        <f t="shared" si="574"/>
        <v>3.1824730000000017</v>
      </c>
      <c r="CM238" s="1552">
        <f t="shared" si="574"/>
        <v>3.3315385000000077</v>
      </c>
      <c r="CN238" s="711">
        <f t="shared" si="574"/>
        <v>3.1546430000000001</v>
      </c>
      <c r="CO238" s="711">
        <f t="shared" si="574"/>
        <v>3.1296129999999991</v>
      </c>
      <c r="CP238" s="711">
        <f t="shared" si="574"/>
        <v>3.031209000000004</v>
      </c>
      <c r="CQ238" s="711">
        <f t="shared" si="574"/>
        <v>2.9210029999999989</v>
      </c>
      <c r="CR238" s="1552">
        <f t="shared" si="574"/>
        <v>3.0591170000000005</v>
      </c>
      <c r="CS238" s="711">
        <f t="shared" si="574"/>
        <v>2.9154049999999998</v>
      </c>
      <c r="CT238" s="711">
        <f t="shared" si="574"/>
        <v>2.8554340000000025</v>
      </c>
      <c r="CU238" s="711">
        <f t="shared" si="574"/>
        <v>2.8369919999999951</v>
      </c>
      <c r="CV238" s="711">
        <f t="shared" si="574"/>
        <v>0</v>
      </c>
      <c r="CW238" s="1552">
        <f t="shared" si="574"/>
        <v>2.151957749999994</v>
      </c>
      <c r="CX238" s="711">
        <f t="shared" si="574"/>
        <v>0</v>
      </c>
      <c r="CY238" s="711">
        <f t="shared" si="574"/>
        <v>4.6074259999999967</v>
      </c>
      <c r="CZ238" s="711">
        <f t="shared" si="574"/>
        <v>0.63504799999999761</v>
      </c>
      <c r="DA238" s="711">
        <f t="shared" si="574"/>
        <v>0</v>
      </c>
      <c r="DB238" s="1552">
        <f t="shared" si="574"/>
        <v>0.54646400000000028</v>
      </c>
      <c r="DC238" s="711">
        <f t="shared" si="574"/>
        <v>0</v>
      </c>
      <c r="DD238" s="711">
        <f t="shared" si="574"/>
        <v>0.69735999999999621</v>
      </c>
      <c r="DE238" s="711">
        <f t="shared" si="574"/>
        <v>0</v>
      </c>
      <c r="DF238" s="711">
        <f t="shared" si="574"/>
        <v>0.69092700000000207</v>
      </c>
      <c r="DG238" s="1552">
        <f t="shared" si="574"/>
        <v>0.66197900000000232</v>
      </c>
      <c r="DH238" s="711">
        <f t="shared" si="574"/>
        <v>0.68547900000000084</v>
      </c>
      <c r="DI238" s="711">
        <f t="shared" si="574"/>
        <v>0.72282200000000074</v>
      </c>
      <c r="DJ238" s="711">
        <f t="shared" si="574"/>
        <v>0.582259999999998</v>
      </c>
      <c r="DK238" s="711">
        <f t="shared" si="574"/>
        <v>0.61094500000000096</v>
      </c>
      <c r="DL238" s="1552">
        <f>DL239-DL237</f>
        <v>0.65037650000000724</v>
      </c>
      <c r="DM238" s="711">
        <f t="shared" si="574"/>
        <v>0.55406100000000436</v>
      </c>
      <c r="DN238" s="711">
        <f t="shared" si="574"/>
        <v>0.63048699999999513</v>
      </c>
      <c r="DO238" s="711">
        <f t="shared" si="574"/>
        <v>0.55689900000000137</v>
      </c>
      <c r="DP238" s="711">
        <f t="shared" si="574"/>
        <v>0.57253599999999949</v>
      </c>
      <c r="DQ238" s="1552">
        <f>DQ239-DQ237</f>
        <v>0.57849575000000186</v>
      </c>
      <c r="DR238" s="1553">
        <f t="shared" si="574"/>
        <v>0.63533499999999776</v>
      </c>
      <c r="DS238" s="1553">
        <f t="shared" si="574"/>
        <v>0.60672100000000029</v>
      </c>
      <c r="DT238" s="711">
        <f t="shared" si="574"/>
        <v>0.64841100000000296</v>
      </c>
      <c r="DU238" s="711">
        <f t="shared" si="574"/>
        <v>0.62432200000000648</v>
      </c>
      <c r="DV238" s="1552">
        <f>DV239-DV237</f>
        <v>0.62869725000000187</v>
      </c>
      <c r="DW238" s="1553">
        <f t="shared" si="574"/>
        <v>0.58263499999999624</v>
      </c>
      <c r="DX238" s="1553">
        <f t="shared" si="574"/>
        <v>0.56631199999999637</v>
      </c>
      <c r="DY238" s="711">
        <f>DY239-DY237</f>
        <v>0.56105500000000319</v>
      </c>
      <c r="DZ238" s="711">
        <f>DZ239-DZ237</f>
        <v>0.74129199999999429</v>
      </c>
      <c r="EA238" s="1552">
        <f>EA239-EA237</f>
        <v>0.61282349999999042</v>
      </c>
      <c r="EB238" s="1553">
        <f>EB239-EB237</f>
        <v>0.5877839999999992</v>
      </c>
      <c r="EC238" s="1553">
        <f>EC239-EC237</f>
        <v>0.38538300000000447</v>
      </c>
      <c r="ED238" s="1724">
        <v>0.6</v>
      </c>
      <c r="EE238" s="1557">
        <f>+ED238</f>
        <v>0.6</v>
      </c>
      <c r="EF238" s="1552">
        <f>EF239-EF237</f>
        <v>0.54329175000000163</v>
      </c>
      <c r="EG238" s="1557"/>
      <c r="EH238" s="1557"/>
      <c r="EI238" s="1557"/>
      <c r="EJ238" s="1557"/>
      <c r="EK238" s="1558">
        <f>EF238</f>
        <v>0.54329175000000163</v>
      </c>
      <c r="EL238" s="1557"/>
      <c r="EM238" s="1557"/>
      <c r="EN238" s="1557"/>
      <c r="EO238" s="1557"/>
      <c r="EP238" s="1558">
        <f>EK238</f>
        <v>0.54329175000000163</v>
      </c>
      <c r="EQ238" s="1557"/>
      <c r="ER238" s="1557"/>
      <c r="ES238" s="1557"/>
      <c r="ET238" s="1557"/>
      <c r="EU238" s="1558">
        <f>EP238</f>
        <v>0.54329175000000163</v>
      </c>
      <c r="EV238" s="1557"/>
      <c r="EW238" s="1557"/>
      <c r="EX238" s="1557"/>
      <c r="EY238" s="1557"/>
      <c r="EZ238" s="1558">
        <f>EU238</f>
        <v>0.54329175000000163</v>
      </c>
      <c r="FA238" s="1557"/>
      <c r="FB238" s="1557"/>
      <c r="FC238" s="1557"/>
      <c r="FD238" s="1557"/>
      <c r="FE238" s="1558">
        <f>EZ238</f>
        <v>0.54329175000000163</v>
      </c>
      <c r="FF238" s="721"/>
      <c r="FG238" s="690"/>
      <c r="FH238" s="754"/>
      <c r="FI238" s="754"/>
      <c r="FJ238" s="754"/>
      <c r="FK238" s="754"/>
      <c r="FL238" s="690"/>
      <c r="FM238" s="708"/>
      <c r="FN238" s="708"/>
      <c r="FO238" s="723"/>
      <c r="FP238" s="723"/>
      <c r="FQ238" s="723"/>
      <c r="FR238" s="723"/>
      <c r="FS238" s="723"/>
      <c r="FT238" s="723"/>
      <c r="FU238" s="690"/>
      <c r="FV238"/>
      <c r="FW238"/>
      <c r="FX238"/>
      <c r="FY238"/>
      <c r="FZ238"/>
      <c r="GA238"/>
      <c r="GB238" s="961"/>
      <c r="GC238" s="535"/>
      <c r="GD238" s="535"/>
      <c r="GE238" s="535"/>
      <c r="GF238" s="535"/>
      <c r="GG238" s="535"/>
      <c r="GH238" s="535"/>
      <c r="GI238" s="535"/>
      <c r="GJ238" s="535"/>
      <c r="GK238" s="535"/>
      <c r="GL238" s="535"/>
      <c r="GM238" s="535"/>
      <c r="GN238" s="535"/>
      <c r="GO238" s="535"/>
      <c r="GP238" s="535"/>
      <c r="GQ238" s="535"/>
      <c r="GR238" s="535"/>
      <c r="GS238" s="535"/>
      <c r="GT238" s="535"/>
      <c r="GU238" s="535"/>
      <c r="GV238" s="535"/>
      <c r="GW238" s="535"/>
      <c r="GX238" s="535"/>
      <c r="GY238" s="535"/>
      <c r="GZ238" s="535"/>
      <c r="HA238" s="535"/>
      <c r="HB238" s="535"/>
      <c r="HC238" s="535"/>
      <c r="HD238" s="535"/>
      <c r="HE238" s="535"/>
      <c r="HF238" s="535"/>
      <c r="HG238" s="535"/>
      <c r="HH238" s="535"/>
      <c r="HI238" s="535"/>
      <c r="HJ238" s="535"/>
      <c r="HK238" s="535"/>
      <c r="HL238" s="535"/>
      <c r="HM238" s="535"/>
      <c r="HN238" s="535"/>
      <c r="HO238" s="535"/>
      <c r="HP238" s="535"/>
      <c r="HQ238" s="535"/>
      <c r="HR238" s="535"/>
      <c r="HS238" s="535"/>
      <c r="HT238" s="535"/>
      <c r="HU238" s="535"/>
      <c r="HV238" s="535"/>
      <c r="HW238" s="535"/>
      <c r="HX238" s="535"/>
      <c r="HY238" s="535"/>
      <c r="HZ238" s="535"/>
      <c r="IA238" s="535"/>
      <c r="IB238" s="535"/>
      <c r="IC238" s="535"/>
      <c r="ID238" s="535"/>
      <c r="IE238" s="535"/>
      <c r="IF238" s="535"/>
      <c r="IG238" s="535"/>
      <c r="IH238" s="535"/>
      <c r="II238" s="535"/>
      <c r="IJ238" s="535"/>
      <c r="IK238" s="535"/>
      <c r="IL238" s="535"/>
      <c r="IM238" s="535"/>
      <c r="IN238" s="535"/>
      <c r="IO238" s="535"/>
      <c r="IP238" s="535"/>
      <c r="IQ238" s="535"/>
      <c r="IR238" s="535"/>
      <c r="IS238" s="535"/>
      <c r="IT238" s="535"/>
      <c r="IU238" s="535"/>
      <c r="IV238" s="535"/>
      <c r="IW238" s="535"/>
      <c r="IX238" s="535"/>
      <c r="IY238" s="535"/>
      <c r="IZ238" s="535"/>
      <c r="JA238" s="535"/>
      <c r="JB238" s="535"/>
      <c r="JC238" s="535"/>
      <c r="JD238" s="535"/>
      <c r="JE238" s="535"/>
      <c r="JF238" s="535"/>
      <c r="JG238" s="535"/>
      <c r="JH238" s="535"/>
      <c r="JI238" s="535"/>
      <c r="JJ238" s="535"/>
      <c r="JK238" s="535"/>
      <c r="JL238" s="535"/>
    </row>
    <row r="239" spans="1:272" s="726" customFormat="1" ht="12.75" hidden="1" customHeight="1" outlineLevel="1">
      <c r="A239" s="874" t="s">
        <v>415</v>
      </c>
      <c r="B239" s="875"/>
      <c r="C239" s="1559"/>
      <c r="D239" s="875"/>
      <c r="E239" s="875"/>
      <c r="F239" s="1560"/>
      <c r="G239" s="875"/>
      <c r="H239" s="1559"/>
      <c r="I239" s="875"/>
      <c r="J239" s="875"/>
      <c r="K239" s="1560"/>
      <c r="L239" s="875"/>
      <c r="M239" s="1559"/>
      <c r="N239" s="875"/>
      <c r="O239" s="875"/>
      <c r="P239" s="1560"/>
      <c r="Q239" s="875"/>
      <c r="R239" s="1559"/>
      <c r="S239" s="875"/>
      <c r="T239" s="875"/>
      <c r="U239" s="1560"/>
      <c r="V239" s="875"/>
      <c r="W239" s="1559"/>
      <c r="X239" s="875"/>
      <c r="Y239" s="875"/>
      <c r="Z239" s="1560"/>
      <c r="AA239" s="875"/>
      <c r="AB239" s="1559"/>
      <c r="AC239" s="875"/>
      <c r="AD239" s="875"/>
      <c r="AE239" s="1560"/>
      <c r="AF239" s="875"/>
      <c r="AG239" s="1559"/>
      <c r="AH239" s="875"/>
      <c r="AI239" s="875"/>
      <c r="AJ239" s="1560"/>
      <c r="AK239" s="875"/>
      <c r="AL239" s="1559"/>
      <c r="AM239" s="875"/>
      <c r="AN239" s="875"/>
      <c r="AO239" s="1560"/>
      <c r="AP239" s="875"/>
      <c r="AQ239" s="1559"/>
      <c r="AR239" s="1559"/>
      <c r="AS239" s="875"/>
      <c r="AT239" s="1560"/>
      <c r="AU239" s="875"/>
      <c r="AV239" s="1559"/>
      <c r="AW239" s="875"/>
      <c r="AX239" s="875"/>
      <c r="AY239" s="1560"/>
      <c r="AZ239" s="875"/>
      <c r="BA239" s="1559"/>
      <c r="BB239" s="875"/>
      <c r="BC239" s="875"/>
      <c r="BD239" s="1560"/>
      <c r="BE239" s="875"/>
      <c r="BF239" s="1559"/>
      <c r="BG239" s="875"/>
      <c r="BH239" s="875"/>
      <c r="BI239" s="1560"/>
      <c r="BJ239" s="875"/>
      <c r="BK239" s="1559"/>
      <c r="BL239" s="875"/>
      <c r="BM239" s="875"/>
      <c r="BN239" s="1560"/>
      <c r="BO239" s="875">
        <v>56.482649000000002</v>
      </c>
      <c r="BP239" s="1559">
        <v>56.713022000000002</v>
      </c>
      <c r="BQ239" s="875">
        <v>56.755501000000002</v>
      </c>
      <c r="BR239" s="875">
        <v>56.741861999999998</v>
      </c>
      <c r="BS239" s="1560">
        <f>AVERAGE(BO239:BR239)</f>
        <v>56.673258500000003</v>
      </c>
      <c r="BT239" s="875">
        <v>53.652664999999999</v>
      </c>
      <c r="BU239" s="1559">
        <v>57.127186999999999</v>
      </c>
      <c r="BV239" s="875">
        <v>56.641421000000001</v>
      </c>
      <c r="BW239" s="875">
        <v>57.109665</v>
      </c>
      <c r="BX239" s="1560">
        <f>AVERAGE(BT239:BW239)</f>
        <v>56.132734500000005</v>
      </c>
      <c r="BY239" s="875">
        <v>57.125185000000002</v>
      </c>
      <c r="BZ239" s="1559">
        <v>56.883738000000001</v>
      </c>
      <c r="CA239" s="875">
        <v>55.408636000000001</v>
      </c>
      <c r="CB239" s="875">
        <v>56.208868000000002</v>
      </c>
      <c r="CC239" s="1560">
        <f>AVERAGE(BY239:CB239)</f>
        <v>56.406606750000002</v>
      </c>
      <c r="CD239" s="875">
        <v>56.610719000000003</v>
      </c>
      <c r="CE239" s="875">
        <v>56.016513000000003</v>
      </c>
      <c r="CF239" s="875">
        <v>55.966289000000003</v>
      </c>
      <c r="CG239" s="875">
        <v>55.879482000000003</v>
      </c>
      <c r="CH239" s="1560">
        <f>AVERAGE(CD239:CG239)</f>
        <v>56.118250750000001</v>
      </c>
      <c r="CI239" s="875">
        <v>55.381912</v>
      </c>
      <c r="CJ239" s="875">
        <v>53.104005000000001</v>
      </c>
      <c r="CK239" s="875">
        <v>50.857495999999998</v>
      </c>
      <c r="CL239" s="875">
        <v>49.904367000000001</v>
      </c>
      <c r="CM239" s="1560">
        <f>AVERAGE(CI239:CL239)</f>
        <v>52.311945000000001</v>
      </c>
      <c r="CN239" s="875">
        <v>49.145454000000001</v>
      </c>
      <c r="CO239" s="875">
        <v>48.415928000000001</v>
      </c>
      <c r="CP239" s="875">
        <v>48.007691000000001</v>
      </c>
      <c r="CQ239" s="875">
        <v>47.956612999999997</v>
      </c>
      <c r="CR239" s="1560">
        <f>AVERAGE(CN239:CQ239)</f>
        <v>48.381421500000002</v>
      </c>
      <c r="CS239" s="875">
        <v>48.146090999999998</v>
      </c>
      <c r="CT239" s="875">
        <v>48.226467</v>
      </c>
      <c r="CU239" s="875">
        <v>48.336199999999998</v>
      </c>
      <c r="CV239" s="875">
        <v>45.605592000000001</v>
      </c>
      <c r="CW239" s="1560">
        <f>AVERAGE(CS239:CV239)</f>
        <v>47.578587499999998</v>
      </c>
      <c r="CX239" s="875">
        <v>45.962857999999997</v>
      </c>
      <c r="CY239" s="875">
        <v>50.778936999999999</v>
      </c>
      <c r="CZ239" s="875">
        <v>49.49774</v>
      </c>
      <c r="DA239" s="875">
        <v>49.057690000000001</v>
      </c>
      <c r="DB239" s="1560">
        <v>48.072325999999997</v>
      </c>
      <c r="DC239" s="875">
        <v>49.335701999999998</v>
      </c>
      <c r="DD239" s="875">
        <v>52.362406999999997</v>
      </c>
      <c r="DE239" s="875">
        <v>54.286676999999997</v>
      </c>
      <c r="DF239" s="875">
        <v>55.354677000000002</v>
      </c>
      <c r="DG239" s="1560">
        <v>53.169299000000002</v>
      </c>
      <c r="DH239" s="875">
        <v>55.725230000000003</v>
      </c>
      <c r="DI239" s="875">
        <v>56.136065000000002</v>
      </c>
      <c r="DJ239" s="875">
        <v>56.117334</v>
      </c>
      <c r="DK239" s="875">
        <v>56.168761000000003</v>
      </c>
      <c r="DL239" s="1560">
        <f>AVERAGE(DH239:DK239)</f>
        <v>56.036847500000007</v>
      </c>
      <c r="DM239" s="875">
        <v>56.257783000000003</v>
      </c>
      <c r="DN239" s="875">
        <v>56.439844999999998</v>
      </c>
      <c r="DO239" s="875">
        <v>56.463535</v>
      </c>
      <c r="DP239" s="875">
        <v>56.501353999999999</v>
      </c>
      <c r="DQ239" s="1560">
        <f>AVERAGE(DM239:DP239)</f>
        <v>56.415629250000002</v>
      </c>
      <c r="DR239" s="1561">
        <v>56.731971999999999</v>
      </c>
      <c r="DS239" s="1561">
        <v>56.960737999999999</v>
      </c>
      <c r="DT239" s="875">
        <v>57.362833999999999</v>
      </c>
      <c r="DU239" s="875">
        <v>57.494767000000003</v>
      </c>
      <c r="DV239" s="1560">
        <f>AVERAGE(DR239:DU239)</f>
        <v>57.137577749999998</v>
      </c>
      <c r="DW239" s="1561">
        <v>57.540067999999998</v>
      </c>
      <c r="DX239" s="1561">
        <v>57.694690999999999</v>
      </c>
      <c r="DY239" s="875">
        <v>58.253563</v>
      </c>
      <c r="DZ239" s="875">
        <v>58.514474999999997</v>
      </c>
      <c r="EA239" s="1560">
        <f>AVERAGE(DW239:DZ239)</f>
        <v>58.000699249999997</v>
      </c>
      <c r="EB239" s="1561">
        <v>58.222166000000001</v>
      </c>
      <c r="EC239" s="1561">
        <v>57.805354000000001</v>
      </c>
      <c r="ED239" s="875">
        <f>ED237+ED238</f>
        <v>58.019970999999998</v>
      </c>
      <c r="EE239" s="875">
        <f>EE237+EE238</f>
        <v>58.019970999999998</v>
      </c>
      <c r="EF239" s="1560">
        <f>AVERAGE(EB239:EE239)</f>
        <v>58.016865500000002</v>
      </c>
      <c r="EG239" s="1562"/>
      <c r="EH239" s="1562"/>
      <c r="EI239" s="1562"/>
      <c r="EJ239" s="1562"/>
      <c r="EK239" s="1560">
        <f>EK237+EK238</f>
        <v>57.442129762500002</v>
      </c>
      <c r="EL239" s="1562"/>
      <c r="EM239" s="1562"/>
      <c r="EN239" s="1562"/>
      <c r="EO239" s="1562"/>
      <c r="EP239" s="1560">
        <f>EP237+EP238</f>
        <v>56.873141382375003</v>
      </c>
      <c r="EQ239" s="1562"/>
      <c r="ER239" s="1562"/>
      <c r="ES239" s="1562"/>
      <c r="ET239" s="1562"/>
      <c r="EU239" s="1560">
        <f>EU237+EU238</f>
        <v>56.30984288605125</v>
      </c>
      <c r="EV239" s="1562"/>
      <c r="EW239" s="1562"/>
      <c r="EX239" s="1562"/>
      <c r="EY239" s="1562"/>
      <c r="EZ239" s="1560">
        <f>EZ237+EZ238</f>
        <v>55.752177374690739</v>
      </c>
      <c r="FA239" s="1562"/>
      <c r="FB239" s="1562"/>
      <c r="FC239" s="1562"/>
      <c r="FD239" s="1562"/>
      <c r="FE239" s="1560">
        <f>FE237+FE238</f>
        <v>55.200088518443827</v>
      </c>
      <c r="FF239" s="721"/>
      <c r="FG239" s="690"/>
      <c r="FH239" s="754"/>
      <c r="FI239" s="754"/>
      <c r="FJ239" s="754"/>
      <c r="FK239" s="754"/>
      <c r="FL239" s="690"/>
      <c r="FM239" s="752"/>
      <c r="FN239" s="708"/>
      <c r="FO239" s="723"/>
      <c r="FP239" s="723"/>
      <c r="FQ239" s="723"/>
      <c r="FR239" s="723"/>
      <c r="FS239" s="723"/>
      <c r="FT239" s="723"/>
      <c r="FU239" s="690"/>
      <c r="FV239"/>
      <c r="FW239"/>
      <c r="FX239"/>
      <c r="FY239"/>
      <c r="FZ239"/>
      <c r="GA239"/>
      <c r="GB239" s="961"/>
      <c r="GC239" s="535"/>
      <c r="GD239" s="535"/>
      <c r="GE239" s="535"/>
      <c r="GF239" s="535"/>
      <c r="GG239" s="535"/>
      <c r="GH239" s="535"/>
      <c r="GI239" s="535"/>
      <c r="GJ239" s="535"/>
      <c r="GK239" s="535"/>
      <c r="GL239" s="535"/>
      <c r="GM239" s="535"/>
      <c r="GN239" s="535"/>
      <c r="GO239" s="535"/>
      <c r="GP239" s="535"/>
      <c r="GQ239" s="535"/>
      <c r="GR239" s="535"/>
      <c r="GS239" s="535"/>
      <c r="GT239" s="535"/>
      <c r="GU239" s="535"/>
      <c r="GV239" s="535"/>
      <c r="GW239" s="535"/>
      <c r="GX239" s="535"/>
      <c r="GY239" s="535"/>
      <c r="GZ239" s="535"/>
      <c r="HA239" s="535"/>
      <c r="HB239" s="535"/>
      <c r="HC239" s="535"/>
      <c r="HD239" s="535"/>
      <c r="HE239" s="535"/>
      <c r="HF239" s="535"/>
      <c r="HG239" s="535"/>
      <c r="HH239" s="535"/>
      <c r="HI239" s="535"/>
      <c r="HJ239" s="535"/>
      <c r="HK239" s="535"/>
      <c r="HL239" s="535"/>
      <c r="HM239" s="535"/>
      <c r="HN239" s="535"/>
      <c r="HO239" s="535"/>
      <c r="HP239" s="535"/>
      <c r="HQ239" s="535"/>
      <c r="HR239" s="535"/>
      <c r="HS239" s="535"/>
      <c r="HT239" s="535"/>
      <c r="HU239" s="535"/>
      <c r="HV239" s="535"/>
      <c r="HW239" s="535"/>
      <c r="HX239" s="535"/>
      <c r="HY239" s="535"/>
      <c r="HZ239" s="535"/>
      <c r="IA239" s="535"/>
      <c r="IB239" s="535"/>
      <c r="IC239" s="535"/>
      <c r="ID239" s="535"/>
      <c r="IE239" s="535"/>
      <c r="IF239" s="535"/>
      <c r="IG239" s="535"/>
      <c r="IH239" s="535"/>
      <c r="II239" s="535"/>
      <c r="IJ239" s="535"/>
      <c r="IK239" s="535"/>
      <c r="IL239" s="535"/>
      <c r="IM239" s="535"/>
      <c r="IN239" s="535"/>
      <c r="IO239" s="535"/>
      <c r="IP239" s="535"/>
      <c r="IQ239" s="535"/>
      <c r="IR239" s="535"/>
      <c r="IS239" s="535"/>
      <c r="IT239" s="535"/>
      <c r="IU239" s="535"/>
      <c r="IV239" s="535"/>
      <c r="IW239" s="535"/>
      <c r="IX239" s="535"/>
      <c r="IY239" s="535"/>
      <c r="IZ239" s="535"/>
      <c r="JA239" s="535"/>
      <c r="JB239" s="535"/>
      <c r="JC239" s="535"/>
      <c r="JD239" s="535"/>
      <c r="JE239" s="535"/>
      <c r="JF239" s="535"/>
      <c r="JG239" s="535"/>
      <c r="JH239" s="535"/>
      <c r="JI239" s="535"/>
      <c r="JJ239" s="535"/>
      <c r="JK239" s="535"/>
      <c r="JL239" s="535"/>
    </row>
    <row r="240" spans="1:272" s="799" customFormat="1" ht="12.75" hidden="1" customHeight="1" outlineLevel="1">
      <c r="A240" s="948" t="s">
        <v>47</v>
      </c>
      <c r="B240" s="1111"/>
      <c r="C240" s="1111"/>
      <c r="D240" s="1563"/>
      <c r="E240" s="1563"/>
      <c r="F240" s="1431"/>
      <c r="G240" s="1111"/>
      <c r="H240" s="1111"/>
      <c r="I240" s="1563"/>
      <c r="J240" s="1563"/>
      <c r="K240" s="1431"/>
      <c r="L240" s="1111"/>
      <c r="M240" s="1111"/>
      <c r="N240" s="1563"/>
      <c r="O240" s="1563"/>
      <c r="P240" s="1431"/>
      <c r="Q240" s="1111"/>
      <c r="R240" s="1111"/>
      <c r="S240" s="1563"/>
      <c r="T240" s="1563"/>
      <c r="U240" s="1431"/>
      <c r="V240" s="1111"/>
      <c r="W240" s="1111"/>
      <c r="X240" s="1563"/>
      <c r="Y240" s="1563"/>
      <c r="Z240" s="1431"/>
      <c r="AA240" s="1111"/>
      <c r="AB240" s="1111"/>
      <c r="AC240" s="1563"/>
      <c r="AD240" s="1563"/>
      <c r="AE240" s="1431"/>
      <c r="AF240" s="1111"/>
      <c r="AG240" s="1111"/>
      <c r="AH240" s="1563"/>
      <c r="AI240" s="1563"/>
      <c r="AJ240" s="1431"/>
      <c r="AK240" s="1111"/>
      <c r="AL240" s="1111"/>
      <c r="AM240" s="1563"/>
      <c r="AN240" s="1563"/>
      <c r="AO240" s="1431"/>
      <c r="AP240" s="1264"/>
      <c r="AQ240" s="1264"/>
      <c r="AR240" s="1264"/>
      <c r="AS240" s="1264"/>
      <c r="AT240" s="1431"/>
      <c r="AU240" s="1111"/>
      <c r="AV240" s="1111"/>
      <c r="AW240" s="1563"/>
      <c r="AX240" s="1563"/>
      <c r="AY240" s="1431"/>
      <c r="AZ240" s="1264"/>
      <c r="BA240" s="1264"/>
      <c r="BB240" s="1264"/>
      <c r="BC240" s="1264"/>
      <c r="BD240" s="1431"/>
      <c r="BE240" s="1111"/>
      <c r="BF240" s="1111"/>
      <c r="BG240" s="1563"/>
      <c r="BH240" s="1563"/>
      <c r="BI240" s="1431"/>
      <c r="BJ240" s="1111"/>
      <c r="BK240" s="1111"/>
      <c r="BL240" s="1563"/>
      <c r="BM240" s="1563"/>
      <c r="BN240" s="1431"/>
      <c r="BO240" s="1111"/>
      <c r="BP240" s="1111">
        <f>((BP237/BO237)-1)*4</f>
        <v>1.1943542471293256E-2</v>
      </c>
      <c r="BQ240" s="1563">
        <f>((BQ237/BP237)-1)*4</f>
        <v>1.2357832082962261E-2</v>
      </c>
      <c r="BR240" s="1563">
        <f>((BR237/BQ237)-1)*4</f>
        <v>8.2352824787088608E-3</v>
      </c>
      <c r="BS240" s="1431"/>
      <c r="BT240" s="1111">
        <f>((BT237/BR237)-1)*4</f>
        <v>5.553241209497628E-3</v>
      </c>
      <c r="BU240" s="1111">
        <f>((BU237/BT237)-1)*4</f>
        <v>7.941846224976068E-3</v>
      </c>
      <c r="BV240" s="1563">
        <f>((BV237/BU237)-1)*4</f>
        <v>4.4605680126403868E-3</v>
      </c>
      <c r="BW240" s="1563">
        <f>((BW237/BV237)-1)*4</f>
        <v>1.2900919079887885E-2</v>
      </c>
      <c r="BX240" s="1431">
        <f>BX237/BS237-1</f>
        <v>8.0979618587870839E-3</v>
      </c>
      <c r="BY240" s="1111">
        <f>((BY237/BW237)-1)*4</f>
        <v>1.0180581255609944E-2</v>
      </c>
      <c r="BZ240" s="1111">
        <f>((BZ237/BY237)-1)*4</f>
        <v>3.8847361175871953E-2</v>
      </c>
      <c r="CA240" s="1563">
        <f>((CA237/BZ237)-1)*4</f>
        <v>2.7880872563146752E-2</v>
      </c>
      <c r="CB240" s="1563">
        <f>((CB237/CA237)-1)*4</f>
        <v>5.468589372437993E-2</v>
      </c>
      <c r="CC240" s="1431">
        <f>CC237/BX237-1</f>
        <v>2.0389520597409838E-2</v>
      </c>
      <c r="CD240" s="1111">
        <f>((CD237/CB237)-1)*4</f>
        <v>7.6774672076590278E-2</v>
      </c>
      <c r="CE240" s="1111">
        <f>((CE237/CD237)-1)*4</f>
        <v>-1.391965888010338E-2</v>
      </c>
      <c r="CF240" s="1563">
        <f>((CF237/CE237)-1)*4</f>
        <v>-6.5116493409012044E-3</v>
      </c>
      <c r="CG240" s="1563">
        <f>((CG237/CF237)-1)*4</f>
        <v>7.1959752767041252E-3</v>
      </c>
      <c r="CH240" s="1431">
        <f>CH237/CC237-1</f>
        <v>3.2565681896109755E-2</v>
      </c>
      <c r="CI240" s="1111">
        <f>((CI237/CG237)-1)*4</f>
        <v>-1.9468185752624212E-2</v>
      </c>
      <c r="CJ240" s="1111">
        <f>((CJ237/CI237)-1)*4</f>
        <v>-0.17293234834913251</v>
      </c>
      <c r="CK240" s="1563">
        <f>((CK237/CJ237)-1)*4</f>
        <v>-0.16713897192321481</v>
      </c>
      <c r="CL240" s="1563">
        <f>((CL237/CK237)-1)*4</f>
        <v>-7.3887335764295514E-2</v>
      </c>
      <c r="CM240" s="1431">
        <f>CM237/CH237-1</f>
        <v>-6.1557922104733209E-2</v>
      </c>
      <c r="CN240" s="1111">
        <f>((CN237/CL237)-1)*4</f>
        <v>-6.2590185235213092E-2</v>
      </c>
      <c r="CO240" s="1111">
        <f>((CO237/CN237)-1)*4</f>
        <v>-6.1272761639275863E-2</v>
      </c>
      <c r="CP240" s="1563">
        <f>((CP237/CO237)-1)*4</f>
        <v>-2.7366589664008067E-2</v>
      </c>
      <c r="CQ240" s="1563">
        <f>((CQ237/CP237)-1)*4</f>
        <v>5.2585704680057077E-3</v>
      </c>
      <c r="CR240" s="1431">
        <f>CR237/CM237-1</f>
        <v>-7.468500695272895E-2</v>
      </c>
      <c r="CS240" s="1111">
        <f>((CS237/CQ237)-1)*4</f>
        <v>1.7326377948472249E-2</v>
      </c>
      <c r="CT240" s="1111">
        <f>((CT237/CS237)-1)*4</f>
        <v>1.2411662294929293E-2</v>
      </c>
      <c r="CU240" s="1563">
        <f>((CU237/CT237)-1)*4</f>
        <v>1.1300161492907357E-2</v>
      </c>
      <c r="CV240" s="1563">
        <f>((CV237/CU237)-1)*4</f>
        <v>9.3526023573859973E-3</v>
      </c>
      <c r="CW240" s="1431">
        <f>CW237/CR237-1</f>
        <v>2.301852281143324E-3</v>
      </c>
      <c r="CX240" s="1111">
        <f>((CX237/CV237)-1)*4</f>
        <v>3.133528011214004E-2</v>
      </c>
      <c r="CY240" s="1111">
        <f>((CY237/CX237)-1)*4</f>
        <v>1.8158400854882295E-2</v>
      </c>
      <c r="CZ240" s="1563">
        <f>((CZ237/CY237)-1)*4</f>
        <v>0.23314645258198308</v>
      </c>
      <c r="DA240" s="1563">
        <f>((DA237/CZ237)-1)*4</f>
        <v>1.5962935484602703E-2</v>
      </c>
      <c r="DB240" s="1431">
        <f>DB237/CW237-1</f>
        <v>4.6211490078679862E-2</v>
      </c>
      <c r="DC240" s="1111">
        <f>((DC237/DA237)-1)*4</f>
        <v>2.2668168843661185E-2</v>
      </c>
      <c r="DD240" s="1111">
        <f>((DD237/DC237)-1)*4</f>
        <v>0.18885674313502232</v>
      </c>
      <c r="DE240" s="1563">
        <f>((DE237/DD237)-1)*4</f>
        <v>0.20297126604762372</v>
      </c>
      <c r="DF240" s="1563">
        <f>((DF237/DE237)-1)*4</f>
        <v>2.7783833591435325E-2</v>
      </c>
      <c r="DG240" s="1431">
        <f>DG237/DB237-1</f>
        <v>0.10481573169572389</v>
      </c>
      <c r="DH240" s="1111">
        <f>((DH237/DF237)-1)*4</f>
        <v>2.7513736251171927E-2</v>
      </c>
      <c r="DI240" s="1111">
        <f>((DI237/DH237)-1)*4</f>
        <v>2.7143436749923033E-2</v>
      </c>
      <c r="DJ240" s="1111">
        <f>((DJ237/DI237)-1)*4</f>
        <v>8.7943598608726248E-3</v>
      </c>
      <c r="DK240" s="1111">
        <f>((DK237/DJ237)-1)*4</f>
        <v>1.6380278884655652E-3</v>
      </c>
      <c r="DL240" s="1431">
        <f>DL237/DG237-1</f>
        <v>5.4833326096247248E-2</v>
      </c>
      <c r="DM240" s="1111">
        <f>((DM237/DK237)-1)*4</f>
        <v>1.0504804580510729E-2</v>
      </c>
      <c r="DN240" s="1111">
        <f>((DN237/DM237)-1)*4</f>
        <v>7.5855613382538323E-3</v>
      </c>
      <c r="DO240" s="1111">
        <f>((DO237/DN237)-1)*4</f>
        <v>6.9721640589373024E-3</v>
      </c>
      <c r="DP240" s="1111">
        <f>((DP237/DO237)-1)*4</f>
        <v>1.5870745648154383E-3</v>
      </c>
      <c r="DQ240" s="1431">
        <f>DQ237/DL237-1</f>
        <v>8.1366891925647167E-3</v>
      </c>
      <c r="DR240" s="1111">
        <f>((DR237/DP237)-1)*4</f>
        <v>1.2002327673007684E-2</v>
      </c>
      <c r="DS240" s="1111">
        <f>((DS237/DR237)-1)*4</f>
        <v>1.8352615327011712E-2</v>
      </c>
      <c r="DT240" s="1111">
        <f>((DT237/DS237)-1)*4</f>
        <v>2.5581565906827919E-2</v>
      </c>
      <c r="DU240" s="1111">
        <f>((DU237/DT237)-1)*4</f>
        <v>1.1004043891974291E-2</v>
      </c>
      <c r="DV240" s="1431">
        <f>DV237/DQ237-1</f>
        <v>1.2030470726080544E-2</v>
      </c>
      <c r="DW240" s="1111">
        <f>((DW237/DU237)-1)*4</f>
        <v>6.1183273667015925E-3</v>
      </c>
      <c r="DX240" s="1111">
        <f>((DX237/DW237)-1)*4</f>
        <v>1.2005175865281714E-2</v>
      </c>
      <c r="DY240" s="1111">
        <f>((DY237/DX237)-1)*4</f>
        <v>3.9499037772452006E-2</v>
      </c>
      <c r="DZ240" s="1111">
        <f>((DZ237/DY237)-1)*4</f>
        <v>5.5934472462180196E-3</v>
      </c>
      <c r="EA240" s="1431">
        <f>EA237/DV237-1</f>
        <v>1.5554993166074338E-2</v>
      </c>
      <c r="EB240" s="1111">
        <f>((EB237/DZ237)-1)*4</f>
        <v>-9.6100642403587067E-3</v>
      </c>
      <c r="EC240" s="1111">
        <f>((EC237/EB237)-1)*4</f>
        <v>-1.4880770301310964E-2</v>
      </c>
      <c r="ED240" s="1725">
        <v>0</v>
      </c>
      <c r="EE240" s="1564">
        <f>+ED240</f>
        <v>0</v>
      </c>
      <c r="EF240" s="1431">
        <f>EF237/EA237-1</f>
        <v>1.4933119388025329E-3</v>
      </c>
      <c r="EG240" s="1493"/>
      <c r="EH240" s="1493"/>
      <c r="EI240" s="1493"/>
      <c r="EJ240" s="1493"/>
      <c r="EK240" s="1565">
        <v>-0.01</v>
      </c>
      <c r="EL240" s="1493"/>
      <c r="EM240" s="1493"/>
      <c r="EN240" s="1493"/>
      <c r="EO240" s="1493"/>
      <c r="EP240" s="1565">
        <v>-0.01</v>
      </c>
      <c r="EQ240" s="1493"/>
      <c r="ER240" s="1493"/>
      <c r="ES240" s="1493"/>
      <c r="ET240" s="1493"/>
      <c r="EU240" s="1565">
        <v>-0.01</v>
      </c>
      <c r="EV240" s="1493"/>
      <c r="EW240" s="1493"/>
      <c r="EX240" s="1493"/>
      <c r="EY240" s="1493"/>
      <c r="EZ240" s="1565">
        <v>-0.01</v>
      </c>
      <c r="FA240" s="1493"/>
      <c r="FB240" s="1493"/>
      <c r="FC240" s="1493"/>
      <c r="FD240" s="1493"/>
      <c r="FE240" s="1565">
        <v>-0.01</v>
      </c>
      <c r="FF240" s="721"/>
      <c r="FG240" s="690"/>
      <c r="FH240" s="754"/>
      <c r="FI240" s="754"/>
      <c r="FJ240" s="754"/>
      <c r="FK240" s="754"/>
      <c r="FL240" s="690"/>
      <c r="FM240" s="708" t="s">
        <v>416</v>
      </c>
      <c r="FN240" s="708"/>
      <c r="FO240" s="723"/>
      <c r="FP240" s="723"/>
      <c r="FQ240" s="723"/>
      <c r="FR240" s="723"/>
      <c r="FS240" s="723"/>
      <c r="FT240" s="723"/>
      <c r="FU240" s="690"/>
      <c r="FV240"/>
      <c r="FW240"/>
      <c r="FX240"/>
      <c r="FY240"/>
      <c r="FZ240"/>
      <c r="GA240"/>
      <c r="GB240" s="1302"/>
      <c r="GC240" s="950"/>
      <c r="GD240" s="950"/>
      <c r="GE240" s="950"/>
      <c r="GF240" s="950"/>
      <c r="GG240" s="950"/>
      <c r="GH240" s="950"/>
      <c r="GI240" s="950"/>
      <c r="GJ240" s="950"/>
      <c r="GK240" s="950"/>
      <c r="GL240" s="950"/>
      <c r="GM240" s="950"/>
      <c r="GN240" s="950"/>
      <c r="GO240" s="950"/>
      <c r="GP240" s="950"/>
      <c r="GQ240" s="950"/>
      <c r="GR240" s="950"/>
      <c r="GS240" s="950"/>
      <c r="GT240" s="950"/>
      <c r="GU240" s="950"/>
      <c r="GV240" s="950"/>
      <c r="GW240" s="950"/>
      <c r="GX240" s="950"/>
      <c r="GY240" s="950"/>
      <c r="GZ240" s="950"/>
      <c r="HA240" s="950"/>
      <c r="HB240" s="950"/>
      <c r="HC240" s="950"/>
      <c r="HD240" s="950"/>
      <c r="HE240" s="950"/>
      <c r="HF240" s="950"/>
      <c r="HG240" s="950"/>
      <c r="HH240" s="950"/>
      <c r="HI240" s="950"/>
      <c r="HJ240" s="950"/>
      <c r="HK240" s="950"/>
      <c r="HL240" s="950"/>
      <c r="HM240" s="950"/>
      <c r="HN240" s="950"/>
      <c r="HO240" s="950"/>
      <c r="HP240" s="950"/>
      <c r="HQ240" s="950"/>
      <c r="HR240" s="950"/>
      <c r="HS240" s="950"/>
      <c r="HT240" s="950"/>
      <c r="HU240" s="950"/>
      <c r="HV240" s="950"/>
      <c r="HW240" s="950"/>
      <c r="HX240" s="950"/>
      <c r="HY240" s="950"/>
      <c r="HZ240" s="950"/>
      <c r="IA240" s="950"/>
      <c r="IB240" s="950"/>
      <c r="IC240" s="950"/>
      <c r="ID240" s="950"/>
      <c r="IE240" s="950"/>
      <c r="IF240" s="950"/>
      <c r="IG240" s="950"/>
      <c r="IH240" s="950"/>
      <c r="II240" s="950"/>
      <c r="IJ240" s="950"/>
      <c r="IK240" s="950"/>
      <c r="IL240" s="950"/>
      <c r="IM240" s="950"/>
      <c r="IN240" s="950"/>
      <c r="IO240" s="950"/>
      <c r="IP240" s="950"/>
      <c r="IQ240" s="950"/>
      <c r="IR240" s="950"/>
      <c r="IS240" s="950"/>
      <c r="IT240" s="950"/>
      <c r="IU240" s="950"/>
      <c r="IV240" s="950"/>
      <c r="IW240" s="950"/>
      <c r="IX240" s="950"/>
      <c r="IY240" s="950"/>
      <c r="IZ240" s="950"/>
      <c r="JA240" s="950"/>
      <c r="JB240" s="950"/>
      <c r="JC240" s="950"/>
      <c r="JD240" s="950"/>
      <c r="JE240" s="950"/>
      <c r="JF240" s="950"/>
      <c r="JG240" s="950"/>
      <c r="JH240" s="950"/>
      <c r="JI240" s="950"/>
      <c r="JJ240" s="950"/>
      <c r="JK240" s="950"/>
      <c r="JL240" s="950"/>
    </row>
    <row r="241" spans="1:272" s="1574" customFormat="1" ht="12.75" hidden="1" customHeight="1" outlineLevel="1">
      <c r="A241" s="976" t="s">
        <v>56</v>
      </c>
      <c r="B241" s="976"/>
      <c r="C241" s="976"/>
      <c r="D241" s="976"/>
      <c r="E241" s="976"/>
      <c r="F241" s="1566"/>
      <c r="G241" s="976"/>
      <c r="H241" s="976"/>
      <c r="I241" s="976"/>
      <c r="J241" s="976"/>
      <c r="K241" s="1566"/>
      <c r="L241" s="976"/>
      <c r="M241" s="976"/>
      <c r="N241" s="976"/>
      <c r="O241" s="976"/>
      <c r="P241" s="1566"/>
      <c r="Q241" s="976"/>
      <c r="R241" s="976"/>
      <c r="S241" s="976"/>
      <c r="T241" s="976"/>
      <c r="U241" s="1566"/>
      <c r="V241" s="976"/>
      <c r="W241" s="976"/>
      <c r="X241" s="976"/>
      <c r="Y241" s="976"/>
      <c r="Z241" s="1566"/>
      <c r="AA241" s="976"/>
      <c r="AB241" s="976"/>
      <c r="AC241" s="976"/>
      <c r="AD241" s="976"/>
      <c r="AE241" s="1566"/>
      <c r="AF241" s="976"/>
      <c r="AG241" s="976"/>
      <c r="AH241" s="976"/>
      <c r="AI241" s="976"/>
      <c r="AJ241" s="1566"/>
      <c r="AK241" s="976"/>
      <c r="AL241" s="976"/>
      <c r="AM241" s="976"/>
      <c r="AN241" s="976"/>
      <c r="AO241" s="1566"/>
      <c r="AP241" s="1567"/>
      <c r="AQ241" s="976"/>
      <c r="AR241" s="976"/>
      <c r="AS241" s="976"/>
      <c r="AT241" s="1566"/>
      <c r="AU241" s="976"/>
      <c r="AV241" s="976"/>
      <c r="AW241" s="976"/>
      <c r="AX241" s="976"/>
      <c r="AY241" s="1566"/>
      <c r="AZ241" s="976"/>
      <c r="BA241" s="976"/>
      <c r="BB241" s="976"/>
      <c r="BC241" s="976"/>
      <c r="BD241" s="1566"/>
      <c r="BE241" s="976"/>
      <c r="BF241" s="976"/>
      <c r="BG241" s="976"/>
      <c r="BH241" s="976"/>
      <c r="BI241" s="1566"/>
      <c r="BJ241" s="976"/>
      <c r="BK241" s="976"/>
      <c r="BL241" s="976"/>
      <c r="BM241" s="976"/>
      <c r="BN241" s="1566"/>
      <c r="BO241" s="976">
        <v>32.317031249999999</v>
      </c>
      <c r="BP241" s="976">
        <v>33.705384615384617</v>
      </c>
      <c r="BQ241" s="976">
        <v>32.027424242424246</v>
      </c>
      <c r="BR241" s="976">
        <v>31.724545454545449</v>
      </c>
      <c r="BS241" s="1566">
        <v>32.443596390588581</v>
      </c>
      <c r="BT241" s="976">
        <v>30.7578125</v>
      </c>
      <c r="BU241" s="976">
        <v>29.19861538461538</v>
      </c>
      <c r="BV241" s="976">
        <v>28.651818181818179</v>
      </c>
      <c r="BW241" s="976">
        <v>33.605151515151519</v>
      </c>
      <c r="BX241" s="1566">
        <v>30.553349395396271</v>
      </c>
      <c r="BY241" s="976">
        <v>32.902000000000008</v>
      </c>
      <c r="BZ241" s="976">
        <v>37.670615384615388</v>
      </c>
      <c r="CA241" s="976">
        <v>41.116212121212108</v>
      </c>
      <c r="CB241" s="976">
        <v>46.327424242424236</v>
      </c>
      <c r="CC241" s="1566">
        <v>39.504062937062933</v>
      </c>
      <c r="CD241" s="976">
        <v>47.056249999999999</v>
      </c>
      <c r="CE241" s="976">
        <v>44.24</v>
      </c>
      <c r="CF241" s="976">
        <v>49.820303030303037</v>
      </c>
      <c r="CG241" s="976">
        <v>55.623384615384587</v>
      </c>
      <c r="CH241" s="1566">
        <v>49.184984411421901</v>
      </c>
      <c r="CI241" s="976">
        <v>52.4593846153846</v>
      </c>
      <c r="CJ241" s="976">
        <v>56.254615384615377</v>
      </c>
      <c r="CK241" s="976">
        <v>49.548769230769253</v>
      </c>
      <c r="CL241" s="976">
        <v>45.928461538461541</v>
      </c>
      <c r="CM241" s="1566">
        <v>51.047807692307686</v>
      </c>
      <c r="CN241" s="976">
        <v>48.394615384615378</v>
      </c>
      <c r="CO241" s="976">
        <v>54.295538461538477</v>
      </c>
      <c r="CP241" s="976">
        <v>49.00492307692307</v>
      </c>
      <c r="CQ241" s="976">
        <v>42.743939393939399</v>
      </c>
      <c r="CR241" s="1566">
        <v>48.609754079254081</v>
      </c>
      <c r="CS241" s="976">
        <v>45.792000000000009</v>
      </c>
      <c r="CT241" s="976">
        <v>47.783076923076933</v>
      </c>
      <c r="CU241" s="976">
        <v>48.516212121212106</v>
      </c>
      <c r="CV241" s="976">
        <v>29.167575757575758</v>
      </c>
      <c r="CW241" s="1566">
        <v>42.814716200466201</v>
      </c>
      <c r="CX241" s="976">
        <v>20.14015625</v>
      </c>
      <c r="CY241" s="976">
        <v>27.736923076923077</v>
      </c>
      <c r="CZ241" s="976">
        <v>41.119090909090893</v>
      </c>
      <c r="DA241" s="976">
        <v>34.406212121212121</v>
      </c>
      <c r="DB241" s="1566">
        <v>30.850595589306522</v>
      </c>
      <c r="DC241" s="976">
        <v>32.425312499999997</v>
      </c>
      <c r="DD241" s="976">
        <v>34.769692307692324</v>
      </c>
      <c r="DE241" s="976">
        <v>30.504999999999999</v>
      </c>
      <c r="DF241" s="976">
        <v>33.78</v>
      </c>
      <c r="DG241" s="1566">
        <v>32.870001201923074</v>
      </c>
      <c r="DH241" s="976">
        <v>37.93</v>
      </c>
      <c r="DI241" s="976">
        <v>39.049999999999997</v>
      </c>
      <c r="DJ241" s="976">
        <v>29.791560000000004</v>
      </c>
      <c r="DK241" s="976">
        <v>27.316977365079371</v>
      </c>
      <c r="DL241" s="1566">
        <f>AVERAGE(DH241:DK241)</f>
        <v>33.52213434126984</v>
      </c>
      <c r="DM241" s="1568">
        <v>31.093379854838716</v>
      </c>
      <c r="DN241" s="1569">
        <v>33.99205647619047</v>
      </c>
      <c r="DO241" s="1569">
        <v>34.601812000000002</v>
      </c>
      <c r="DP241" s="976">
        <v>28.006928725806461</v>
      </c>
      <c r="DQ241" s="1570">
        <f>AVERAGE(DM241:DP241)</f>
        <v>31.923544264208914</v>
      </c>
      <c r="DR241" s="1568">
        <v>33.473993649999997</v>
      </c>
      <c r="DS241" s="1568">
        <v>36.222648390624997</v>
      </c>
      <c r="DT241" s="1571">
        <v>42.33483628125002</v>
      </c>
      <c r="DU241" s="1571" t="s">
        <v>417</v>
      </c>
      <c r="DV241" s="1570">
        <f>AVERAGE(DR241:DU241)</f>
        <v>37.343826107291669</v>
      </c>
      <c r="DW241" s="1569">
        <v>39.345730131147555</v>
      </c>
      <c r="DX241" s="1571" t="s">
        <v>418</v>
      </c>
      <c r="DY241" s="1571">
        <v>50.364368359375014</v>
      </c>
      <c r="DZ241" s="1571">
        <v>46.182218523809517</v>
      </c>
      <c r="EA241" s="1570">
        <f>AVERAGE(DW241:DZ241)</f>
        <v>45.297439004777367</v>
      </c>
      <c r="EB241" s="1569">
        <v>44.127333516666667</v>
      </c>
      <c r="EC241" s="1571" t="str">
        <f>_xll.ThomsonONEAddinShim.SpreadsheetFormulas.TF($A$2,"TF.PR.PriceAverageOverRange(Sdate=4/1/15,Edate=6/30/15)")</f>
        <v>$41.52</v>
      </c>
      <c r="ED241" s="1569">
        <f>DY241*(1+ED242)</f>
        <v>55.400805195312522</v>
      </c>
      <c r="EE241" s="1572">
        <f>DZ241*(1+EE242)</f>
        <v>50.800440376190473</v>
      </c>
      <c r="EF241" s="1570">
        <f>AVERAGE(EB241:EE241)</f>
        <v>50.109526362723216</v>
      </c>
      <c r="EG241" s="1569"/>
      <c r="EH241" s="1569"/>
      <c r="EI241" s="1569"/>
      <c r="EJ241" s="1569"/>
      <c r="EK241" s="1570">
        <f>EF241*(1+EK242)</f>
        <v>56.787887865320364</v>
      </c>
      <c r="EL241" s="1569"/>
      <c r="EM241" s="1569"/>
      <c r="EN241" s="1569"/>
      <c r="EO241" s="1569"/>
      <c r="EP241" s="1570">
        <f>EK241*(1+EP242)</f>
        <v>66.419790536863772</v>
      </c>
      <c r="EQ241" s="1569"/>
      <c r="ER241" s="1569"/>
      <c r="ES241" s="1569"/>
      <c r="ET241" s="1569"/>
      <c r="EU241" s="1570">
        <f>EP241*(1+EU242)</f>
        <v>75.279500037003416</v>
      </c>
      <c r="EV241" s="1569"/>
      <c r="EW241" s="1569"/>
      <c r="EX241" s="1569"/>
      <c r="EY241" s="1569"/>
      <c r="EZ241" s="1570">
        <f>EU241*(1+EZ242)</f>
        <v>81.039952547472794</v>
      </c>
      <c r="FA241" s="1569"/>
      <c r="FB241" s="1569"/>
      <c r="FC241" s="1569"/>
      <c r="FD241" s="1569"/>
      <c r="FE241" s="1570">
        <f>EZ241*(1+FE242)</f>
        <v>87.019715772656596</v>
      </c>
      <c r="FF241" s="721"/>
      <c r="FG241" s="690"/>
      <c r="FH241" s="754"/>
      <c r="FI241" s="754"/>
      <c r="FJ241" s="754"/>
      <c r="FK241" s="754"/>
      <c r="FL241" s="690"/>
      <c r="FM241" s="1116" t="s">
        <v>419</v>
      </c>
      <c r="FN241" s="708"/>
      <c r="FO241" s="723"/>
      <c r="FP241" s="723"/>
      <c r="FQ241" s="723"/>
      <c r="FR241" s="723"/>
      <c r="FS241" s="723"/>
      <c r="FT241" s="723"/>
      <c r="FU241" s="690"/>
      <c r="FV241"/>
      <c r="FW241"/>
      <c r="FX241"/>
      <c r="FY241"/>
      <c r="FZ241"/>
      <c r="GA241"/>
      <c r="GB241" s="1527"/>
      <c r="GC241" s="1573"/>
      <c r="GD241" s="1573"/>
      <c r="GE241" s="1573"/>
      <c r="GF241" s="1573"/>
      <c r="GG241" s="1573"/>
      <c r="GH241" s="1573"/>
      <c r="GI241" s="1573"/>
      <c r="GJ241" s="1573"/>
      <c r="GK241" s="1573"/>
      <c r="GL241" s="1573"/>
      <c r="GM241" s="1573"/>
      <c r="GN241" s="1573"/>
      <c r="GO241" s="1573"/>
      <c r="GP241" s="1573"/>
      <c r="GQ241" s="1573"/>
      <c r="GR241" s="1573"/>
      <c r="GS241" s="1573"/>
      <c r="GT241" s="1573"/>
      <c r="GU241" s="1573"/>
      <c r="GV241" s="1573"/>
      <c r="GW241" s="1573"/>
      <c r="GX241" s="1573"/>
      <c r="GY241" s="1573"/>
      <c r="GZ241" s="1573"/>
      <c r="HA241" s="1573"/>
      <c r="HB241" s="1573"/>
      <c r="HC241" s="1573"/>
      <c r="HD241" s="1573"/>
      <c r="HE241" s="1573"/>
      <c r="HF241" s="1573"/>
      <c r="HG241" s="1573"/>
      <c r="HH241" s="1573"/>
      <c r="HI241" s="1573"/>
      <c r="HJ241" s="1573"/>
      <c r="HK241" s="1573"/>
      <c r="HL241" s="1573"/>
      <c r="HM241" s="1573"/>
      <c r="HN241" s="1573"/>
      <c r="HO241" s="1573"/>
      <c r="HP241" s="1573"/>
      <c r="HQ241" s="1573"/>
      <c r="HR241" s="1573"/>
      <c r="HS241" s="1573"/>
      <c r="HT241" s="1573"/>
      <c r="HU241" s="1573"/>
      <c r="HV241" s="1573"/>
      <c r="HW241" s="1573"/>
      <c r="HX241" s="1573"/>
      <c r="HY241" s="1573"/>
      <c r="HZ241" s="1573"/>
      <c r="IA241" s="1573"/>
      <c r="IB241" s="1573"/>
      <c r="IC241" s="1573"/>
      <c r="ID241" s="1573"/>
      <c r="IE241" s="1573"/>
      <c r="IF241" s="1573"/>
      <c r="IG241" s="1573"/>
      <c r="IH241" s="1573"/>
      <c r="II241" s="1573"/>
      <c r="IJ241" s="1573"/>
      <c r="IK241" s="1573"/>
      <c r="IL241" s="1573"/>
      <c r="IM241" s="1573"/>
      <c r="IN241" s="1573"/>
      <c r="IO241" s="1573"/>
      <c r="IP241" s="1573"/>
      <c r="IQ241" s="1573"/>
      <c r="IR241" s="1573"/>
      <c r="IS241" s="1573"/>
      <c r="IT241" s="1573"/>
      <c r="IU241" s="1573"/>
      <c r="IV241" s="1573"/>
      <c r="IW241" s="1573"/>
      <c r="IX241" s="1573"/>
      <c r="IY241" s="1573"/>
      <c r="IZ241" s="1573"/>
      <c r="JA241" s="1573"/>
      <c r="JB241" s="1573"/>
      <c r="JC241" s="1573"/>
      <c r="JD241" s="1573"/>
      <c r="JE241" s="1573"/>
      <c r="JF241" s="1573"/>
      <c r="JG241" s="1573"/>
      <c r="JH241" s="1573"/>
      <c r="JI241" s="1573"/>
      <c r="JJ241" s="1573"/>
      <c r="JK241" s="1573"/>
      <c r="JL241" s="1573"/>
    </row>
    <row r="242" spans="1:272" s="1537" customFormat="1" ht="12.75" hidden="1" customHeight="1" outlineLevel="1">
      <c r="A242" s="58" t="s">
        <v>85</v>
      </c>
      <c r="B242" s="1530"/>
      <c r="C242" s="1530"/>
      <c r="D242" s="1530"/>
      <c r="E242" s="1530"/>
      <c r="F242" s="1531"/>
      <c r="G242" s="1530"/>
      <c r="H242" s="1530"/>
      <c r="I242" s="1530"/>
      <c r="J242" s="1530"/>
      <c r="K242" s="1531"/>
      <c r="L242" s="1530"/>
      <c r="M242" s="1530"/>
      <c r="N242" s="1530"/>
      <c r="O242" s="1530"/>
      <c r="P242" s="1531"/>
      <c r="Q242" s="1530"/>
      <c r="R242" s="1530"/>
      <c r="S242" s="1530"/>
      <c r="T242" s="1530"/>
      <c r="U242" s="1531"/>
      <c r="V242" s="1530"/>
      <c r="W242" s="1530"/>
      <c r="X242" s="1530"/>
      <c r="Y242" s="1530"/>
      <c r="Z242" s="1531"/>
      <c r="AA242" s="1530"/>
      <c r="AB242" s="1530"/>
      <c r="AC242" s="1530"/>
      <c r="AD242" s="1530"/>
      <c r="AE242" s="1531"/>
      <c r="AF242" s="1530"/>
      <c r="AG242" s="1530"/>
      <c r="AH242" s="1530"/>
      <c r="AI242" s="1530"/>
      <c r="AJ242" s="1531"/>
      <c r="AK242" s="1530"/>
      <c r="AL242" s="1530"/>
      <c r="AM242" s="1530"/>
      <c r="AN242" s="1530"/>
      <c r="AO242" s="1531"/>
      <c r="AP242" s="1530"/>
      <c r="AQ242" s="1530"/>
      <c r="AR242" s="1530"/>
      <c r="AS242" s="1530"/>
      <c r="AT242" s="1531"/>
      <c r="AU242" s="1530"/>
      <c r="AV242" s="1530"/>
      <c r="AW242" s="1530"/>
      <c r="AX242" s="1530"/>
      <c r="AY242" s="1531"/>
      <c r="AZ242" s="1530"/>
      <c r="BA242" s="1530"/>
      <c r="BB242" s="1530"/>
      <c r="BC242" s="1530"/>
      <c r="BD242" s="1531"/>
      <c r="BE242" s="1530"/>
      <c r="BF242" s="1530"/>
      <c r="BG242" s="1530"/>
      <c r="BH242" s="1530"/>
      <c r="BI242" s="1531"/>
      <c r="BJ242" s="1530"/>
      <c r="BK242" s="1530"/>
      <c r="BL242" s="1530"/>
      <c r="BM242" s="1530"/>
      <c r="BN242" s="1531"/>
      <c r="BO242" s="1530"/>
      <c r="BP242" s="1530"/>
      <c r="BQ242" s="1530"/>
      <c r="BR242" s="1530"/>
      <c r="BS242" s="1531"/>
      <c r="BT242" s="1530">
        <f t="shared" ref="BT242:EC242" si="575">BT241/BO241-1</f>
        <v>-4.8247586170217849E-2</v>
      </c>
      <c r="BU242" s="1530">
        <f t="shared" si="575"/>
        <v>-0.13371066024602341</v>
      </c>
      <c r="BV242" s="1530">
        <f t="shared" si="575"/>
        <v>-0.10539736305533631</v>
      </c>
      <c r="BW242" s="1530">
        <f t="shared" si="575"/>
        <v>5.9279212157683281E-2</v>
      </c>
      <c r="BX242" s="1531">
        <f t="shared" si="575"/>
        <v>-5.8262560427506882E-2</v>
      </c>
      <c r="BY242" s="1530">
        <f t="shared" si="575"/>
        <v>6.9711963423927159E-2</v>
      </c>
      <c r="BZ242" s="1530">
        <f t="shared" si="575"/>
        <v>0.29015074476661207</v>
      </c>
      <c r="CA242" s="1530">
        <f t="shared" si="575"/>
        <v>0.43502977229220186</v>
      </c>
      <c r="CB242" s="1530">
        <f t="shared" si="575"/>
        <v>0.37858102563640106</v>
      </c>
      <c r="CC242" s="1531">
        <f t="shared" si="575"/>
        <v>0.29295359490162287</v>
      </c>
      <c r="CD242" s="1530">
        <f t="shared" si="575"/>
        <v>0.4301942131177432</v>
      </c>
      <c r="CE242" s="1530">
        <f t="shared" si="575"/>
        <v>0.17439015923449808</v>
      </c>
      <c r="CF242" s="1530">
        <f t="shared" si="575"/>
        <v>0.21169486341375388</v>
      </c>
      <c r="CG242" s="1530">
        <f t="shared" si="575"/>
        <v>0.20065782902835338</v>
      </c>
      <c r="CH242" s="1531">
        <f t="shared" si="575"/>
        <v>0.24506141279144922</v>
      </c>
      <c r="CI242" s="1530">
        <f t="shared" si="575"/>
        <v>0.11482288995371714</v>
      </c>
      <c r="CJ242" s="1530">
        <f t="shared" si="575"/>
        <v>0.27157810543886463</v>
      </c>
      <c r="CK242" s="1530">
        <f t="shared" si="575"/>
        <v>-5.4502639088450655E-3</v>
      </c>
      <c r="CL242" s="1530">
        <f t="shared" si="575"/>
        <v>-0.17429581360357527</v>
      </c>
      <c r="CM242" s="1531">
        <f t="shared" si="575"/>
        <v>3.7873820703157479E-2</v>
      </c>
      <c r="CN242" s="1530">
        <f t="shared" si="575"/>
        <v>-7.7484119582622024E-2</v>
      </c>
      <c r="CO242" s="1530">
        <f t="shared" si="575"/>
        <v>-3.4825176737634744E-2</v>
      </c>
      <c r="CP242" s="1530">
        <f t="shared" si="575"/>
        <v>-1.0975977048254482E-2</v>
      </c>
      <c r="CQ242" s="1530">
        <f t="shared" si="575"/>
        <v>-6.9336573398073642E-2</v>
      </c>
      <c r="CR242" s="1531">
        <f t="shared" si="575"/>
        <v>-4.7760202117768769E-2</v>
      </c>
      <c r="CS242" s="1530">
        <f t="shared" si="575"/>
        <v>-5.3779028181774491E-2</v>
      </c>
      <c r="CT242" s="1530">
        <f t="shared" si="575"/>
        <v>-0.11994469017145482</v>
      </c>
      <c r="CU242" s="1530">
        <f t="shared" si="575"/>
        <v>-9.9726910078775655E-3</v>
      </c>
      <c r="CV242" s="1530">
        <f t="shared" si="575"/>
        <v>-0.31762078621814194</v>
      </c>
      <c r="CW242" s="1531">
        <f t="shared" si="575"/>
        <v>-0.11921553582310995</v>
      </c>
      <c r="CX242" s="1530">
        <f t="shared" si="575"/>
        <v>-0.56018177301712102</v>
      </c>
      <c r="CY242" s="1530">
        <f t="shared" si="575"/>
        <v>-0.41952413149167722</v>
      </c>
      <c r="CZ242" s="1530">
        <f t="shared" si="575"/>
        <v>-0.1524669979107266</v>
      </c>
      <c r="DA242" s="1530">
        <f t="shared" si="575"/>
        <v>0.17960479153896491</v>
      </c>
      <c r="DB242" s="1531">
        <f t="shared" si="575"/>
        <v>-0.27943944682808397</v>
      </c>
      <c r="DC242" s="1530">
        <f t="shared" si="575"/>
        <v>0.60998316485255644</v>
      </c>
      <c r="DD242" s="1530">
        <f t="shared" si="575"/>
        <v>0.25355260968439786</v>
      </c>
      <c r="DE242" s="1530">
        <f t="shared" si="575"/>
        <v>-0.25813048572881403</v>
      </c>
      <c r="DF242" s="1530">
        <f t="shared" si="575"/>
        <v>-1.8200553987343659E-2</v>
      </c>
      <c r="DG242" s="1531">
        <f t="shared" si="575"/>
        <v>6.5457589198586463E-2</v>
      </c>
      <c r="DH242" s="1530">
        <f t="shared" si="575"/>
        <v>0.169765133335261</v>
      </c>
      <c r="DI242" s="1530">
        <f t="shared" si="575"/>
        <v>0.12310456055893004</v>
      </c>
      <c r="DJ242" s="1530">
        <f t="shared" si="575"/>
        <v>-2.3387641370267054E-2</v>
      </c>
      <c r="DK242" s="1530">
        <f t="shared" si="575"/>
        <v>-0.19132689860629459</v>
      </c>
      <c r="DL242" s="1531">
        <f t="shared" si="575"/>
        <v>1.9839766215421051E-2</v>
      </c>
      <c r="DM242" s="1575">
        <f t="shared" si="575"/>
        <v>-0.18024308318379345</v>
      </c>
      <c r="DN242" s="1530">
        <f t="shared" si="575"/>
        <v>-0.12952480214621065</v>
      </c>
      <c r="DO242" s="1530">
        <f t="shared" si="575"/>
        <v>0.16146358230317581</v>
      </c>
      <c r="DP242" s="1530">
        <f t="shared" si="575"/>
        <v>2.5257236608069444E-2</v>
      </c>
      <c r="DQ242" s="1576">
        <f t="shared" si="575"/>
        <v>-4.7687598313000845E-2</v>
      </c>
      <c r="DR242" s="1575">
        <f t="shared" si="575"/>
        <v>7.6563365136737005E-2</v>
      </c>
      <c r="DS242" s="1530">
        <f t="shared" si="575"/>
        <v>6.5620975771116807E-2</v>
      </c>
      <c r="DT242" s="1530">
        <f t="shared" si="575"/>
        <v>0.22348610764228227</v>
      </c>
      <c r="DU242" s="1530">
        <f t="shared" si="575"/>
        <v>0.58282260914789097</v>
      </c>
      <c r="DV242" s="1576">
        <f>DV241/DQ241-1</f>
        <v>0.16978947569927882</v>
      </c>
      <c r="DW242" s="1575">
        <f t="shared" si="575"/>
        <v>0.17541188967595911</v>
      </c>
      <c r="DX242" s="1530">
        <f t="shared" si="575"/>
        <v>0.23955596829360615</v>
      </c>
      <c r="DY242" s="1530">
        <f t="shared" si="575"/>
        <v>0.18966725239660964</v>
      </c>
      <c r="DZ242" s="1530">
        <f t="shared" si="575"/>
        <v>4.1782506740571046E-2</v>
      </c>
      <c r="EA242" s="1576">
        <f>EA241/DV241-1</f>
        <v>0.21298334227013482</v>
      </c>
      <c r="EB242" s="1575">
        <f t="shared" si="575"/>
        <v>0.12152788548035653</v>
      </c>
      <c r="EC242" s="1530">
        <f t="shared" si="575"/>
        <v>-7.5278396436525563E-2</v>
      </c>
      <c r="ED242" s="1726">
        <v>0.1</v>
      </c>
      <c r="EE242" s="1577">
        <v>0.1</v>
      </c>
      <c r="EF242" s="1576">
        <f>EF241/EA241-1</f>
        <v>0.1062330997882317</v>
      </c>
      <c r="EG242" s="1530"/>
      <c r="EH242" s="1530"/>
      <c r="EI242" s="1530"/>
      <c r="EJ242" s="1530"/>
      <c r="EK242" s="1576">
        <f>+EK208</f>
        <v>0.13327528690363399</v>
      </c>
      <c r="EL242" s="1530"/>
      <c r="EM242" s="1530"/>
      <c r="EN242" s="1530"/>
      <c r="EO242" s="1530"/>
      <c r="EP242" s="1576">
        <f>+EP208</f>
        <v>0.16961191961191946</v>
      </c>
      <c r="EQ242" s="1530"/>
      <c r="ER242" s="1530"/>
      <c r="ES242" s="1530"/>
      <c r="ET242" s="1530"/>
      <c r="EU242" s="1576">
        <f>+EU208</f>
        <v>0.13338960313676984</v>
      </c>
      <c r="EV242" s="1530"/>
      <c r="EW242" s="1530"/>
      <c r="EX242" s="1530"/>
      <c r="EY242" s="1530"/>
      <c r="EZ242" s="1576">
        <f>+EZ208</f>
        <v>7.6520865675753003E-2</v>
      </c>
      <c r="FA242" s="1530"/>
      <c r="FB242" s="1530"/>
      <c r="FC242" s="1530"/>
      <c r="FD242" s="1530"/>
      <c r="FE242" s="1576">
        <f>+FE208</f>
        <v>7.3787842134790171E-2</v>
      </c>
      <c r="FF242" s="721"/>
      <c r="FG242" s="690"/>
      <c r="FH242" s="754"/>
      <c r="FI242" s="754"/>
      <c r="FJ242" s="754"/>
      <c r="FK242" s="754"/>
      <c r="FL242" s="690"/>
      <c r="FM242" s="708"/>
      <c r="FN242" s="708"/>
      <c r="FO242" s="723"/>
      <c r="FP242" s="723"/>
      <c r="FQ242" s="723"/>
      <c r="FR242" s="723"/>
      <c r="FS242" s="723"/>
      <c r="FT242" s="723"/>
      <c r="FU242" s="690"/>
      <c r="FV242"/>
      <c r="FW242"/>
      <c r="FX242"/>
      <c r="FY242"/>
      <c r="FZ242"/>
      <c r="GA242"/>
      <c r="GB242" s="1535"/>
      <c r="GC242" s="1536"/>
      <c r="GD242" s="1536"/>
      <c r="GE242" s="1536"/>
      <c r="GF242" s="1536"/>
      <c r="GG242" s="1536"/>
      <c r="GH242" s="1536"/>
      <c r="GI242" s="1536"/>
      <c r="GJ242" s="1536"/>
      <c r="GK242" s="1536"/>
      <c r="GL242" s="1536"/>
      <c r="GM242" s="1536"/>
      <c r="GN242" s="1536"/>
      <c r="GO242" s="1536"/>
      <c r="GP242" s="1536"/>
      <c r="GQ242" s="1536"/>
      <c r="GR242" s="1536"/>
      <c r="GS242" s="1536"/>
      <c r="GT242" s="1536"/>
      <c r="GU242" s="1536"/>
      <c r="GV242" s="1536"/>
      <c r="GW242" s="1536"/>
      <c r="GX242" s="1536"/>
      <c r="GY242" s="1536"/>
      <c r="GZ242" s="1536"/>
      <c r="HA242" s="1536"/>
      <c r="HB242" s="1536"/>
      <c r="HC242" s="1536"/>
      <c r="HD242" s="1536"/>
      <c r="HE242" s="1536"/>
      <c r="HF242" s="1536"/>
      <c r="HG242" s="1536"/>
      <c r="HH242" s="1536"/>
      <c r="HI242" s="1536"/>
      <c r="HJ242" s="1536"/>
      <c r="HK242" s="1536"/>
      <c r="HL242" s="1536"/>
      <c r="HM242" s="1536"/>
      <c r="HN242" s="1536"/>
      <c r="HO242" s="1536"/>
      <c r="HP242" s="1536"/>
      <c r="HQ242" s="1536"/>
      <c r="HR242" s="1536"/>
      <c r="HS242" s="1536"/>
      <c r="HT242" s="1536"/>
      <c r="HU242" s="1536"/>
      <c r="HV242" s="1536"/>
      <c r="HW242" s="1536"/>
      <c r="HX242" s="1536"/>
      <c r="HY242" s="1536"/>
      <c r="HZ242" s="1536"/>
      <c r="IA242" s="1536"/>
      <c r="IB242" s="1536"/>
      <c r="IC242" s="1536"/>
      <c r="ID242" s="1536"/>
      <c r="IE242" s="1536"/>
      <c r="IF242" s="1536"/>
      <c r="IG242" s="1536"/>
      <c r="IH242" s="1536"/>
      <c r="II242" s="1536"/>
      <c r="IJ242" s="1536"/>
      <c r="IK242" s="1536"/>
      <c r="IL242" s="1536"/>
      <c r="IM242" s="1536"/>
      <c r="IN242" s="1536"/>
      <c r="IO242" s="1536"/>
      <c r="IP242" s="1536"/>
      <c r="IQ242" s="1536"/>
      <c r="IR242" s="1536"/>
      <c r="IS242" s="1536"/>
      <c r="IT242" s="1536"/>
      <c r="IU242" s="1536"/>
      <c r="IV242" s="1536"/>
      <c r="IW242" s="1536"/>
      <c r="IX242" s="1536"/>
      <c r="IY242" s="1536"/>
      <c r="IZ242" s="1536"/>
      <c r="JA242" s="1536"/>
      <c r="JB242" s="1536"/>
      <c r="JC242" s="1536"/>
      <c r="JD242" s="1536"/>
      <c r="JE242" s="1536"/>
      <c r="JF242" s="1536"/>
      <c r="JG242" s="1536"/>
      <c r="JH242" s="1536"/>
      <c r="JI242" s="1536"/>
      <c r="JJ242" s="1536"/>
      <c r="JK242" s="1536"/>
      <c r="JL242" s="1536"/>
    </row>
    <row r="243" spans="1:272" s="1486" customFormat="1" ht="12.75" hidden="1" customHeight="1" outlineLevel="1">
      <c r="A243" s="1578" t="s">
        <v>48</v>
      </c>
      <c r="B243" s="1579"/>
      <c r="C243" s="1579"/>
      <c r="D243" s="1579"/>
      <c r="E243" s="1579"/>
      <c r="F243" s="1580"/>
      <c r="G243" s="1579"/>
      <c r="H243" s="1579"/>
      <c r="I243" s="1579"/>
      <c r="J243" s="1579"/>
      <c r="K243" s="1580"/>
      <c r="L243" s="1579"/>
      <c r="M243" s="1579"/>
      <c r="N243" s="1579"/>
      <c r="O243" s="1579"/>
      <c r="P243" s="1580"/>
      <c r="Q243" s="1579"/>
      <c r="R243" s="1579"/>
      <c r="S243" s="1579"/>
      <c r="T243" s="1579"/>
      <c r="U243" s="1580"/>
      <c r="V243" s="1579"/>
      <c r="W243" s="1579"/>
      <c r="X243" s="1579"/>
      <c r="Y243" s="1579"/>
      <c r="Z243" s="1580"/>
      <c r="AA243" s="1579"/>
      <c r="AB243" s="1579"/>
      <c r="AC243" s="1579"/>
      <c r="AD243" s="1579"/>
      <c r="AE243" s="1580"/>
      <c r="AF243" s="1579"/>
      <c r="AG243" s="1579"/>
      <c r="AH243" s="1579"/>
      <c r="AI243" s="1579"/>
      <c r="AJ243" s="1580"/>
      <c r="AK243" s="1579"/>
      <c r="AL243" s="1579"/>
      <c r="AM243" s="1579"/>
      <c r="AN243" s="1579"/>
      <c r="AO243" s="1580"/>
      <c r="AP243" s="1579"/>
      <c r="AQ243" s="1579"/>
      <c r="AR243" s="1579"/>
      <c r="AS243" s="1579"/>
      <c r="AT243" s="1580"/>
      <c r="AU243" s="1579"/>
      <c r="AV243" s="1579"/>
      <c r="AW243" s="1579"/>
      <c r="AX243" s="1579"/>
      <c r="AY243" s="1580"/>
      <c r="AZ243" s="1579"/>
      <c r="BA243" s="1579"/>
      <c r="BB243" s="1579"/>
      <c r="BC243" s="1579"/>
      <c r="BD243" s="1580"/>
      <c r="BE243" s="1579"/>
      <c r="BF243" s="1579"/>
      <c r="BG243" s="1579"/>
      <c r="BH243" s="1579"/>
      <c r="BI243" s="1580"/>
      <c r="BJ243" s="1579"/>
      <c r="BK243" s="1579"/>
      <c r="BL243" s="1579"/>
      <c r="BM243" s="1579"/>
      <c r="BN243" s="1580"/>
      <c r="BO243" s="1579"/>
      <c r="BP243" s="1579"/>
      <c r="BQ243" s="1579"/>
      <c r="BR243" s="1579"/>
      <c r="BS243" s="1580"/>
      <c r="BT243" s="1579"/>
      <c r="BU243" s="1579"/>
      <c r="BV243" s="1579"/>
      <c r="BW243" s="1579"/>
      <c r="BX243" s="1580"/>
      <c r="BY243" s="1579"/>
      <c r="BZ243" s="1579"/>
      <c r="CA243" s="1579"/>
      <c r="CB243" s="1579"/>
      <c r="CC243" s="1580"/>
      <c r="CD243" s="1579"/>
      <c r="CE243" s="1579"/>
      <c r="CF243" s="1579"/>
      <c r="CG243" s="1579"/>
      <c r="CH243" s="1580"/>
      <c r="CI243" s="1579"/>
      <c r="CJ243" s="1579"/>
      <c r="CK243" s="1579"/>
      <c r="CL243" s="1579"/>
      <c r="CM243" s="1580"/>
      <c r="CN243" s="1579"/>
      <c r="CO243" s="1579"/>
      <c r="CP243" s="1579"/>
      <c r="CQ243" s="1579"/>
      <c r="CR243" s="1580"/>
      <c r="CS243" s="1579"/>
      <c r="CT243" s="1579"/>
      <c r="CU243" s="1579"/>
      <c r="CV243" s="1579"/>
      <c r="CW243" s="1580"/>
      <c r="CX243" s="1579"/>
      <c r="DB243" s="1581"/>
      <c r="DC243" s="1579"/>
      <c r="DG243" s="1581"/>
      <c r="DK243" s="1582"/>
      <c r="DL243" s="1581"/>
      <c r="DP243" s="1582"/>
      <c r="DQ243" s="1581"/>
      <c r="DU243" s="1582"/>
      <c r="DV243" s="1581"/>
      <c r="DZ243" s="1582"/>
      <c r="EA243" s="1581"/>
      <c r="EE243" s="1582"/>
      <c r="EF243" s="1581"/>
      <c r="EK243" s="1581"/>
      <c r="EP243" s="1581"/>
      <c r="EU243" s="1581"/>
      <c r="EZ243" s="1581"/>
      <c r="FE243" s="1581"/>
      <c r="FF243" s="812"/>
      <c r="FG243" s="690"/>
      <c r="FH243" s="754"/>
      <c r="FI243" s="754"/>
      <c r="FJ243" s="754"/>
      <c r="FK243" s="754"/>
      <c r="FL243" s="690"/>
      <c r="FM243" s="1583"/>
      <c r="FN243" s="1583"/>
      <c r="FO243" s="1584"/>
      <c r="FP243" s="1584"/>
      <c r="FQ243" s="1584"/>
      <c r="FR243" s="1584"/>
      <c r="FS243" s="1584"/>
      <c r="FT243" s="1584"/>
      <c r="FU243" s="690"/>
      <c r="FV243"/>
      <c r="FW243"/>
      <c r="FX243"/>
      <c r="FY243"/>
      <c r="FZ243"/>
      <c r="GA243"/>
      <c r="GB243" s="1534"/>
      <c r="GC243" s="535"/>
      <c r="GD243" s="535"/>
      <c r="GE243" s="535"/>
      <c r="GF243" s="535"/>
      <c r="GG243" s="535"/>
      <c r="GH243" s="535"/>
      <c r="GI243" s="535"/>
      <c r="GJ243" s="535"/>
      <c r="GK243" s="535"/>
      <c r="GL243" s="535"/>
      <c r="GM243" s="535"/>
      <c r="GN243" s="535"/>
      <c r="GO243" s="535"/>
      <c r="GP243" s="535"/>
      <c r="GQ243" s="535"/>
      <c r="GR243" s="535"/>
      <c r="GS243" s="535"/>
      <c r="GT243" s="535"/>
      <c r="GU243" s="535"/>
      <c r="GV243" s="535"/>
      <c r="GW243" s="535"/>
      <c r="GX243" s="535"/>
      <c r="GY243" s="535"/>
      <c r="GZ243" s="535"/>
      <c r="HA243" s="535"/>
      <c r="HB243" s="535"/>
      <c r="HC243" s="535"/>
      <c r="HD243" s="535"/>
      <c r="HE243" s="535"/>
      <c r="HF243" s="535"/>
      <c r="HG243" s="535"/>
      <c r="HH243" s="535"/>
      <c r="HI243" s="535"/>
      <c r="HJ243" s="535"/>
      <c r="HK243" s="535"/>
      <c r="HL243" s="535"/>
      <c r="HM243" s="535"/>
      <c r="HN243" s="535"/>
      <c r="HO243" s="535"/>
      <c r="HP243" s="535"/>
      <c r="HQ243" s="535"/>
      <c r="HR243" s="535"/>
      <c r="HS243" s="535"/>
      <c r="HT243" s="535"/>
      <c r="HU243" s="535"/>
      <c r="HV243" s="535"/>
      <c r="HW243" s="535"/>
      <c r="HX243" s="535"/>
      <c r="HY243" s="535"/>
      <c r="HZ243" s="535"/>
      <c r="IA243" s="535"/>
      <c r="IB243" s="535"/>
      <c r="IC243" s="535"/>
      <c r="ID243" s="535"/>
      <c r="IE243" s="535"/>
      <c r="IF243" s="535"/>
      <c r="IG243" s="535"/>
      <c r="IH243" s="535"/>
      <c r="II243" s="535"/>
      <c r="IJ243" s="535"/>
      <c r="IK243" s="535"/>
      <c r="IL243" s="535"/>
      <c r="IM243" s="535"/>
      <c r="IN243" s="535"/>
      <c r="IO243" s="535"/>
      <c r="IP243" s="535"/>
      <c r="IQ243" s="535"/>
      <c r="IR243" s="535"/>
      <c r="IS243" s="535"/>
      <c r="IT243" s="535"/>
      <c r="IU243" s="535"/>
      <c r="IV243" s="535"/>
      <c r="IW243" s="535"/>
      <c r="IX243" s="535"/>
      <c r="IY243" s="535"/>
      <c r="IZ243" s="535"/>
      <c r="JA243" s="535"/>
      <c r="JB243" s="535"/>
      <c r="JC243" s="535"/>
      <c r="JD243" s="535"/>
      <c r="JE243" s="535"/>
      <c r="JF243" s="535"/>
      <c r="JG243" s="535"/>
      <c r="JH243" s="535"/>
      <c r="JI243" s="535"/>
      <c r="JJ243" s="535"/>
      <c r="JK243" s="535"/>
      <c r="JL243" s="535"/>
    </row>
    <row r="244" spans="1:272" s="942" customFormat="1" ht="12.75" hidden="1" customHeight="1" outlineLevel="1">
      <c r="A244" s="1585" t="s">
        <v>420</v>
      </c>
      <c r="B244" s="938"/>
      <c r="C244" s="938"/>
      <c r="D244" s="938"/>
      <c r="E244" s="938"/>
      <c r="F244" s="1196"/>
      <c r="G244" s="938"/>
      <c r="H244" s="938"/>
      <c r="I244" s="938"/>
      <c r="J244" s="938"/>
      <c r="K244" s="1196"/>
      <c r="L244" s="938"/>
      <c r="M244" s="938"/>
      <c r="N244" s="938"/>
      <c r="O244" s="938"/>
      <c r="P244" s="1196"/>
      <c r="Q244" s="938"/>
      <c r="R244" s="938"/>
      <c r="S244" s="938"/>
      <c r="T244" s="938"/>
      <c r="U244" s="1196"/>
      <c r="V244" s="938"/>
      <c r="W244" s="938"/>
      <c r="X244" s="938"/>
      <c r="Y244" s="938"/>
      <c r="Z244" s="1196"/>
      <c r="AA244" s="938"/>
      <c r="AB244" s="938"/>
      <c r="AC244" s="938"/>
      <c r="AD244" s="938"/>
      <c r="AE244" s="1196"/>
      <c r="AF244" s="938"/>
      <c r="AG244" s="938"/>
      <c r="AH244" s="938"/>
      <c r="AI244" s="938"/>
      <c r="AJ244" s="1196"/>
      <c r="AK244" s="938"/>
      <c r="AL244" s="938"/>
      <c r="AM244" s="938"/>
      <c r="AN244" s="938"/>
      <c r="AO244" s="1196"/>
      <c r="AP244" s="938"/>
      <c r="AQ244" s="938"/>
      <c r="AR244" s="938"/>
      <c r="AS244" s="938"/>
      <c r="AT244" s="1196"/>
      <c r="AU244" s="938"/>
      <c r="AV244" s="938"/>
      <c r="AW244" s="938"/>
      <c r="AX244" s="938"/>
      <c r="AY244" s="1196"/>
      <c r="AZ244" s="938"/>
      <c r="BA244" s="938"/>
      <c r="BB244" s="938"/>
      <c r="BC244" s="938"/>
      <c r="BD244" s="1196"/>
      <c r="BE244" s="938"/>
      <c r="BF244" s="938"/>
      <c r="BG244" s="938"/>
      <c r="BH244" s="938"/>
      <c r="BI244" s="1196"/>
      <c r="BJ244" s="938"/>
      <c r="BK244" s="938"/>
      <c r="BL244" s="938"/>
      <c r="BM244" s="938"/>
      <c r="BN244" s="1196"/>
      <c r="BO244" s="938">
        <v>-11.107028258729516</v>
      </c>
      <c r="BP244" s="938">
        <v>2.3245022205014925</v>
      </c>
      <c r="BQ244" s="938">
        <v>-1.6418125891292832</v>
      </c>
      <c r="BR244" s="938">
        <v>2.5525854269276937</v>
      </c>
      <c r="BS244" s="1196">
        <f>SUM(BO244:BR244)</f>
        <v>-7.8717532004296142</v>
      </c>
      <c r="BT244" s="938">
        <v>2.0524815205913409</v>
      </c>
      <c r="BU244" s="938">
        <v>2.3115799919967985</v>
      </c>
      <c r="BV244" s="938">
        <v>5.7253305589438188</v>
      </c>
      <c r="BW244" s="938">
        <v>3.4320174834595694</v>
      </c>
      <c r="BX244" s="1196">
        <f>SUM(BT244:BW244)</f>
        <v>13.521409554991527</v>
      </c>
      <c r="BY244" s="938">
        <v>1.5662876235360319</v>
      </c>
      <c r="BZ244" s="938">
        <v>2.0113958327599022</v>
      </c>
      <c r="CA244" s="938">
        <v>1.7787320934560635</v>
      </c>
      <c r="CB244" s="938">
        <v>6.5623868181702365</v>
      </c>
      <c r="CC244" s="1196">
        <f>SUM(BY244:CB244)</f>
        <v>11.918802367922233</v>
      </c>
      <c r="CD244" s="1586">
        <v>2.0321406905890318</v>
      </c>
      <c r="CE244" s="938">
        <v>1.7582243545412635</v>
      </c>
      <c r="CF244" s="938">
        <v>1.6822160067851502</v>
      </c>
      <c r="CG244" s="938">
        <v>2.8280525395615723</v>
      </c>
      <c r="CH244" s="1196">
        <f>SUM(CD244:CG244)</f>
        <v>8.300633591477018</v>
      </c>
      <c r="CI244" s="938">
        <v>1.8695689017815886</v>
      </c>
      <c r="CJ244" s="938">
        <v>2.0532880902774675</v>
      </c>
      <c r="CK244" s="938">
        <v>1.3412827933343108</v>
      </c>
      <c r="CL244" s="938">
        <v>33.107383002951572</v>
      </c>
      <c r="CM244" s="1196">
        <f>SUM(CI244:CL244)</f>
        <v>38.37152278834494</v>
      </c>
      <c r="CN244" s="938">
        <v>-1.6464339576547233</v>
      </c>
      <c r="CO244" s="938">
        <v>0</v>
      </c>
      <c r="CP244" s="938">
        <v>0</v>
      </c>
      <c r="CQ244" s="938">
        <v>0</v>
      </c>
      <c r="CR244" s="1196">
        <f>SUM(CN244:CQ244)</f>
        <v>-1.6464339576547233</v>
      </c>
      <c r="CS244" s="938">
        <v>0</v>
      </c>
      <c r="CT244" s="938">
        <v>0</v>
      </c>
      <c r="CU244" s="938">
        <v>0</v>
      </c>
      <c r="CV244" s="938">
        <v>0</v>
      </c>
      <c r="CW244" s="1196">
        <f>SUM(CS244:CV244)</f>
        <v>0</v>
      </c>
      <c r="CX244" s="938">
        <v>0</v>
      </c>
      <c r="CY244" s="938">
        <v>0</v>
      </c>
      <c r="CZ244" s="938">
        <v>0</v>
      </c>
      <c r="DA244" s="938">
        <v>0</v>
      </c>
      <c r="DB244" s="1196">
        <f>SUM(CX244:DA244)</f>
        <v>0</v>
      </c>
      <c r="DC244" s="938">
        <v>0</v>
      </c>
      <c r="DD244" s="938">
        <v>0</v>
      </c>
      <c r="DE244" s="938">
        <v>0</v>
      </c>
      <c r="DF244" s="938">
        <v>0</v>
      </c>
      <c r="DG244" s="1196">
        <f>SUM(DC244:DF244)</f>
        <v>0</v>
      </c>
      <c r="DH244" s="938"/>
      <c r="DI244" s="938"/>
      <c r="DJ244" s="938"/>
      <c r="DK244" s="938"/>
      <c r="DL244" s="1196"/>
      <c r="DM244" s="938"/>
      <c r="DN244" s="938"/>
      <c r="DO244" s="938"/>
      <c r="DP244" s="938"/>
      <c r="DQ244" s="1196"/>
      <c r="DR244" s="938"/>
      <c r="DS244" s="938"/>
      <c r="DT244" s="938"/>
      <c r="DU244" s="938"/>
      <c r="DV244" s="1196"/>
      <c r="DW244" s="938"/>
      <c r="DX244" s="938"/>
      <c r="DY244" s="938"/>
      <c r="DZ244" s="938"/>
      <c r="EA244" s="1196"/>
      <c r="EB244" s="938"/>
      <c r="EC244" s="938"/>
      <c r="ED244" s="938"/>
      <c r="EE244" s="938"/>
      <c r="EF244" s="1196"/>
      <c r="EG244" s="938"/>
      <c r="EH244" s="938"/>
      <c r="EI244" s="938"/>
      <c r="EJ244" s="938"/>
      <c r="EK244" s="1196"/>
      <c r="EL244" s="938"/>
      <c r="EM244" s="938"/>
      <c r="EN244" s="938"/>
      <c r="EO244" s="938"/>
      <c r="EP244" s="1196"/>
      <c r="EQ244" s="938"/>
      <c r="ER244" s="938"/>
      <c r="ES244" s="938"/>
      <c r="ET244" s="938"/>
      <c r="EU244" s="1196"/>
      <c r="EV244" s="938"/>
      <c r="EW244" s="938"/>
      <c r="EX244" s="938"/>
      <c r="EY244" s="938"/>
      <c r="EZ244" s="1196"/>
      <c r="FA244" s="938"/>
      <c r="FB244" s="938"/>
      <c r="FC244" s="938"/>
      <c r="FD244" s="938"/>
      <c r="FE244" s="1196"/>
      <c r="FF244" s="938"/>
      <c r="FG244" s="690"/>
      <c r="FH244" s="754"/>
      <c r="FI244" s="754"/>
      <c r="FJ244" s="754"/>
      <c r="FK244" s="754"/>
      <c r="FL244" s="690"/>
      <c r="FM244" s="940"/>
      <c r="FN244" s="940"/>
      <c r="FO244" s="941"/>
      <c r="FP244" s="941"/>
      <c r="FQ244" s="941"/>
      <c r="FR244" s="941"/>
      <c r="FS244" s="941"/>
      <c r="FT244" s="941"/>
      <c r="FU244" s="690"/>
      <c r="FV244"/>
      <c r="FW244"/>
      <c r="FX244"/>
      <c r="FY244"/>
      <c r="FZ244"/>
      <c r="GA244"/>
      <c r="GB244" s="943"/>
      <c r="GC244" s="1426"/>
      <c r="GD244" s="1426"/>
      <c r="GE244" s="1426"/>
      <c r="GF244" s="1426"/>
      <c r="GG244" s="1426"/>
      <c r="GH244" s="1426"/>
      <c r="GI244" s="1426"/>
      <c r="GJ244" s="1426"/>
      <c r="GK244" s="1426"/>
      <c r="GL244" s="1426"/>
      <c r="GM244" s="1426"/>
      <c r="GN244" s="1426"/>
      <c r="GO244" s="1426"/>
      <c r="GP244" s="1426"/>
      <c r="GQ244" s="1426"/>
      <c r="GR244" s="1426"/>
      <c r="GS244" s="1426"/>
      <c r="GT244" s="1426"/>
      <c r="GU244" s="1426"/>
      <c r="GV244" s="1426"/>
      <c r="GW244" s="1426"/>
      <c r="GX244" s="1426"/>
      <c r="GY244" s="1426"/>
      <c r="GZ244" s="1426"/>
      <c r="HA244" s="1426"/>
      <c r="HB244" s="1426"/>
      <c r="HC244" s="1426"/>
      <c r="HD244" s="1426"/>
      <c r="HE244" s="1426"/>
      <c r="HF244" s="1426"/>
      <c r="HG244" s="1426"/>
      <c r="HH244" s="1426"/>
      <c r="HI244" s="1426"/>
      <c r="HJ244" s="1426"/>
      <c r="HK244" s="1426"/>
      <c r="HL244" s="1426"/>
      <c r="HM244" s="1426"/>
      <c r="HN244" s="1426"/>
      <c r="HO244" s="1426"/>
      <c r="HP244" s="1426"/>
      <c r="HQ244" s="1426"/>
      <c r="HR244" s="1426"/>
      <c r="HS244" s="1426"/>
      <c r="HT244" s="1426"/>
      <c r="HU244" s="1426"/>
      <c r="HV244" s="1426"/>
      <c r="HW244" s="1426"/>
      <c r="HX244" s="1426"/>
      <c r="HY244" s="1426"/>
      <c r="HZ244" s="1426"/>
      <c r="IA244" s="1426"/>
      <c r="IB244" s="1426"/>
      <c r="IC244" s="1426"/>
      <c r="ID244" s="1426"/>
      <c r="IE244" s="1426"/>
      <c r="IF244" s="1426"/>
      <c r="IG244" s="1426"/>
      <c r="IH244" s="1426"/>
      <c r="II244" s="1426"/>
      <c r="IJ244" s="1426"/>
      <c r="IK244" s="1426"/>
      <c r="IL244" s="1426"/>
      <c r="IM244" s="1426"/>
      <c r="IN244" s="1426"/>
      <c r="IO244" s="1426"/>
      <c r="IP244" s="1426"/>
      <c r="IQ244" s="1426"/>
      <c r="IR244" s="1426"/>
      <c r="IS244" s="1426"/>
      <c r="IT244" s="1426"/>
      <c r="IU244" s="1426"/>
      <c r="IV244" s="1426"/>
      <c r="IW244" s="1426"/>
      <c r="IX244" s="1426"/>
      <c r="IY244" s="1426"/>
      <c r="IZ244" s="1426"/>
      <c r="JA244" s="1426"/>
      <c r="JB244" s="1426"/>
      <c r="JC244" s="1426"/>
      <c r="JD244" s="1426"/>
      <c r="JE244" s="1426"/>
      <c r="JF244" s="1426"/>
      <c r="JG244" s="1426"/>
      <c r="JH244" s="1426"/>
      <c r="JI244" s="1426"/>
      <c r="JJ244" s="1426"/>
      <c r="JK244" s="1426"/>
      <c r="JL244" s="1426"/>
    </row>
    <row r="245" spans="1:272" s="942" customFormat="1" ht="12.75" hidden="1" customHeight="1" outlineLevel="1">
      <c r="A245" s="1585" t="s">
        <v>421</v>
      </c>
      <c r="B245" s="938"/>
      <c r="C245" s="938"/>
      <c r="D245" s="938"/>
      <c r="E245" s="938"/>
      <c r="F245" s="1196"/>
      <c r="G245" s="938"/>
      <c r="H245" s="938"/>
      <c r="I245" s="938"/>
      <c r="J245" s="938"/>
      <c r="K245" s="1196"/>
      <c r="L245" s="938"/>
      <c r="M245" s="938"/>
      <c r="N245" s="938"/>
      <c r="O245" s="938"/>
      <c r="P245" s="1196"/>
      <c r="Q245" s="938"/>
      <c r="R245" s="938"/>
      <c r="S245" s="938"/>
      <c r="T245" s="938"/>
      <c r="U245" s="1196"/>
      <c r="V245" s="938"/>
      <c r="W245" s="938"/>
      <c r="X245" s="938"/>
      <c r="Y245" s="938"/>
      <c r="Z245" s="1196"/>
      <c r="AA245" s="938"/>
      <c r="AB245" s="938"/>
      <c r="AC245" s="938"/>
      <c r="AD245" s="938"/>
      <c r="AE245" s="1196"/>
      <c r="AF245" s="938"/>
      <c r="AG245" s="938"/>
      <c r="AH245" s="938"/>
      <c r="AI245" s="938"/>
      <c r="AJ245" s="1196"/>
      <c r="AK245" s="938"/>
      <c r="AL245" s="938"/>
      <c r="AM245" s="938"/>
      <c r="AN245" s="938"/>
      <c r="AO245" s="1196"/>
      <c r="AP245" s="938"/>
      <c r="AQ245" s="938"/>
      <c r="AR245" s="938"/>
      <c r="AS245" s="938"/>
      <c r="AT245" s="1196"/>
      <c r="AU245" s="938"/>
      <c r="AV245" s="938"/>
      <c r="AW245" s="938"/>
      <c r="AX245" s="938"/>
      <c r="AY245" s="1196"/>
      <c r="AZ245" s="938"/>
      <c r="BA245" s="938"/>
      <c r="BB245" s="938"/>
      <c r="BC245" s="938"/>
      <c r="BD245" s="1196"/>
      <c r="BE245" s="938"/>
      <c r="BF245" s="938"/>
      <c r="BG245" s="938"/>
      <c r="BH245" s="938"/>
      <c r="BI245" s="1196"/>
      <c r="BJ245" s="938"/>
      <c r="BK245" s="938"/>
      <c r="BL245" s="938"/>
      <c r="BM245" s="938"/>
      <c r="BN245" s="1196"/>
      <c r="BO245" s="938">
        <v>14.2</v>
      </c>
      <c r="BP245" s="938">
        <v>0</v>
      </c>
      <c r="BQ245" s="938">
        <v>12.74</v>
      </c>
      <c r="BR245" s="938">
        <v>1.2</v>
      </c>
      <c r="BS245" s="1196">
        <f>SUM(BO245:BR245)</f>
        <v>28.139999999999997</v>
      </c>
      <c r="BT245" s="938">
        <v>-4.0999999999999996</v>
      </c>
      <c r="BU245" s="938">
        <v>-9.3000000000000007</v>
      </c>
      <c r="BV245" s="938">
        <v>-11.4</v>
      </c>
      <c r="BW245" s="938">
        <v>-9</v>
      </c>
      <c r="BX245" s="1196">
        <f>SUM(BT245:BW245)</f>
        <v>-33.799999999999997</v>
      </c>
      <c r="BY245" s="938">
        <v>-4</v>
      </c>
      <c r="BZ245" s="938">
        <v>0.7</v>
      </c>
      <c r="CA245" s="938">
        <v>-257.3</v>
      </c>
      <c r="CB245" s="938">
        <v>-8.9</v>
      </c>
      <c r="CC245" s="1196">
        <f>SUM(BY245:CB245)</f>
        <v>-269.5</v>
      </c>
      <c r="CD245" s="1510">
        <v>-9.7759999999999998</v>
      </c>
      <c r="CE245" s="1510">
        <v>2.9510000000000001</v>
      </c>
      <c r="CF245" s="1510">
        <v>3.335</v>
      </c>
      <c r="CG245" s="1510">
        <v>-2.7290000000000001</v>
      </c>
      <c r="CH245" s="1196">
        <f>SUM(CD245:CG245)</f>
        <v>-6.2189999999999994</v>
      </c>
      <c r="CI245" s="1510">
        <v>-0.80600000000000005</v>
      </c>
      <c r="CJ245" s="1510">
        <v>-4.0439999999999996</v>
      </c>
      <c r="CK245" s="1510">
        <v>0</v>
      </c>
      <c r="CL245" s="1510">
        <v>0.57999999999999996</v>
      </c>
      <c r="CM245" s="1196">
        <f>SUM(CI245:CL245)</f>
        <v>-4.2699999999999996</v>
      </c>
      <c r="CN245" s="1510">
        <v>2.919</v>
      </c>
      <c r="CO245" s="1510">
        <v>-1.31</v>
      </c>
      <c r="CP245" s="1510">
        <v>0</v>
      </c>
      <c r="CQ245" s="1510">
        <v>-2.472</v>
      </c>
      <c r="CR245" s="1196">
        <f>SUM(CN245:CQ245)</f>
        <v>-0.86299999999999999</v>
      </c>
      <c r="CS245" s="1510">
        <v>0</v>
      </c>
      <c r="CT245" s="1510">
        <v>1.609</v>
      </c>
      <c r="CU245" s="1510">
        <v>0</v>
      </c>
      <c r="CV245" s="1510">
        <v>6.7169999999999996</v>
      </c>
      <c r="CW245" s="1196">
        <f>SUM(CS245:CV245)</f>
        <v>8.3260000000000005</v>
      </c>
      <c r="CX245" s="1510">
        <v>-134.80000000000001</v>
      </c>
      <c r="CY245" s="1510">
        <v>0</v>
      </c>
      <c r="CZ245" s="1510">
        <f>-5.359+2.09-2.265</f>
        <v>-5.5340000000000007</v>
      </c>
      <c r="DA245" s="1510">
        <f>-3.36+1.31-1.481-1.148</f>
        <v>-4.6789999999999994</v>
      </c>
      <c r="DB245" s="1196">
        <f>-143.532+3.294</f>
        <v>-140.238</v>
      </c>
      <c r="DC245" s="1510">
        <v>0</v>
      </c>
      <c r="DD245" s="1510">
        <v>0</v>
      </c>
      <c r="DE245" s="1510">
        <f>-16.414-5.49+1.785</f>
        <v>-20.119000000000003</v>
      </c>
      <c r="DF245" s="1510">
        <f>-1.147+0.447+1.287+0.692</f>
        <v>1.2789999999999999</v>
      </c>
      <c r="DG245" s="1196">
        <f>-28.109+6.581</f>
        <v>-21.528000000000002</v>
      </c>
      <c r="DH245" s="1510">
        <v>-6.4710000000000001</v>
      </c>
      <c r="DI245" s="1510">
        <v>0</v>
      </c>
      <c r="DJ245" s="1510">
        <v>0</v>
      </c>
      <c r="DK245" s="1510">
        <v>8.3009999999999984</v>
      </c>
      <c r="DL245" s="1196">
        <f>SUM(DH245:DK245)</f>
        <v>1.8299999999999983</v>
      </c>
      <c r="DM245" s="1510">
        <v>0.21199999999999999</v>
      </c>
      <c r="DN245" s="1510">
        <v>4.6574853000000092</v>
      </c>
      <c r="DO245" s="1510">
        <v>0</v>
      </c>
      <c r="DP245" s="1510">
        <v>0</v>
      </c>
      <c r="DQ245" s="1196">
        <f>SUM(DM245:DP245)</f>
        <v>4.8694853000000089</v>
      </c>
      <c r="DR245" s="1510">
        <v>3.6149930000000028</v>
      </c>
      <c r="DS245" s="1510">
        <v>0</v>
      </c>
      <c r="DT245" s="1512">
        <v>-3</v>
      </c>
      <c r="DU245" s="1510">
        <v>-1.5</v>
      </c>
      <c r="DV245" s="1196">
        <f>SUM(DR245:DU245)</f>
        <v>-0.88500699999999721</v>
      </c>
      <c r="DW245" s="1512">
        <v>1.36</v>
      </c>
      <c r="DX245" s="1512">
        <v>1</v>
      </c>
      <c r="DY245" s="1512">
        <v>0</v>
      </c>
      <c r="DZ245" s="1512">
        <v>1.3612242499999878</v>
      </c>
      <c r="EA245" s="1196">
        <f>SUM(DW245:DZ245)</f>
        <v>3.7212242499999881</v>
      </c>
      <c r="EB245" s="1512">
        <v>-0.91899999999999138</v>
      </c>
      <c r="EC245" s="1512">
        <v>0</v>
      </c>
      <c r="ED245" s="1727">
        <v>0</v>
      </c>
      <c r="EE245" s="1587">
        <v>0</v>
      </c>
      <c r="EF245" s="1196">
        <f>SUM(EB245:EE245)</f>
        <v>-0.91899999999999138</v>
      </c>
      <c r="EG245" s="938"/>
      <c r="EH245" s="938"/>
      <c r="EI245" s="938"/>
      <c r="EJ245" s="938"/>
      <c r="EK245" s="1588">
        <v>0</v>
      </c>
      <c r="EL245" s="938"/>
      <c r="EM245" s="938"/>
      <c r="EN245" s="938"/>
      <c r="EO245" s="938"/>
      <c r="EP245" s="1588">
        <v>0</v>
      </c>
      <c r="EQ245" s="938"/>
      <c r="ER245" s="938"/>
      <c r="ES245" s="938"/>
      <c r="ET245" s="938"/>
      <c r="EU245" s="1588">
        <v>0</v>
      </c>
      <c r="EV245" s="938"/>
      <c r="EW245" s="938"/>
      <c r="EX245" s="938"/>
      <c r="EY245" s="938"/>
      <c r="EZ245" s="1588">
        <v>0</v>
      </c>
      <c r="FA245" s="938"/>
      <c r="FB245" s="938"/>
      <c r="FC245" s="938"/>
      <c r="FD245" s="938"/>
      <c r="FE245" s="1588">
        <v>0</v>
      </c>
      <c r="FF245" s="938"/>
      <c r="FG245" s="690"/>
      <c r="FH245" s="754"/>
      <c r="FI245" s="754"/>
      <c r="FJ245" s="754"/>
      <c r="FK245" s="754"/>
      <c r="FL245" s="690"/>
      <c r="FM245" s="940"/>
      <c r="FN245" s="940"/>
      <c r="FO245" s="941"/>
      <c r="FP245" s="941"/>
      <c r="FQ245" s="941"/>
      <c r="FR245" s="941"/>
      <c r="FS245" s="941"/>
      <c r="FT245" s="941"/>
      <c r="FU245" s="690"/>
      <c r="FV245"/>
      <c r="FW245"/>
      <c r="FX245"/>
      <c r="FY245"/>
      <c r="FZ245"/>
      <c r="GA245"/>
      <c r="GB245" s="943"/>
      <c r="GC245" s="1426"/>
      <c r="GD245" s="1426"/>
      <c r="GE245" s="1426"/>
      <c r="GF245" s="1426"/>
      <c r="GG245" s="1426"/>
      <c r="GH245" s="1426"/>
      <c r="GI245" s="1426"/>
      <c r="GJ245" s="1426"/>
      <c r="GK245" s="1426"/>
      <c r="GL245" s="1426"/>
      <c r="GM245" s="1426"/>
      <c r="GN245" s="1426"/>
      <c r="GO245" s="1426"/>
      <c r="GP245" s="1426"/>
      <c r="GQ245" s="1426"/>
      <c r="GR245" s="1426"/>
      <c r="GS245" s="1426"/>
      <c r="GT245" s="1426"/>
      <c r="GU245" s="1426"/>
      <c r="GV245" s="1426"/>
      <c r="GW245" s="1426"/>
      <c r="GX245" s="1426"/>
      <c r="GY245" s="1426"/>
      <c r="GZ245" s="1426"/>
      <c r="HA245" s="1426"/>
      <c r="HB245" s="1426"/>
      <c r="HC245" s="1426"/>
      <c r="HD245" s="1426"/>
      <c r="HE245" s="1426"/>
      <c r="HF245" s="1426"/>
      <c r="HG245" s="1426"/>
      <c r="HH245" s="1426"/>
      <c r="HI245" s="1426"/>
      <c r="HJ245" s="1426"/>
      <c r="HK245" s="1426"/>
      <c r="HL245" s="1426"/>
      <c r="HM245" s="1426"/>
      <c r="HN245" s="1426"/>
      <c r="HO245" s="1426"/>
      <c r="HP245" s="1426"/>
      <c r="HQ245" s="1426"/>
      <c r="HR245" s="1426"/>
      <c r="HS245" s="1426"/>
      <c r="HT245" s="1426"/>
      <c r="HU245" s="1426"/>
      <c r="HV245" s="1426"/>
      <c r="HW245" s="1426"/>
      <c r="HX245" s="1426"/>
      <c r="HY245" s="1426"/>
      <c r="HZ245" s="1426"/>
      <c r="IA245" s="1426"/>
      <c r="IB245" s="1426"/>
      <c r="IC245" s="1426"/>
      <c r="ID245" s="1426"/>
      <c r="IE245" s="1426"/>
      <c r="IF245" s="1426"/>
      <c r="IG245" s="1426"/>
      <c r="IH245" s="1426"/>
      <c r="II245" s="1426"/>
      <c r="IJ245" s="1426"/>
      <c r="IK245" s="1426"/>
      <c r="IL245" s="1426"/>
      <c r="IM245" s="1426"/>
      <c r="IN245" s="1426"/>
      <c r="IO245" s="1426"/>
      <c r="IP245" s="1426"/>
      <c r="IQ245" s="1426"/>
      <c r="IR245" s="1426"/>
      <c r="IS245" s="1426"/>
      <c r="IT245" s="1426"/>
      <c r="IU245" s="1426"/>
      <c r="IV245" s="1426"/>
      <c r="IW245" s="1426"/>
      <c r="IX245" s="1426"/>
      <c r="IY245" s="1426"/>
      <c r="IZ245" s="1426"/>
      <c r="JA245" s="1426"/>
      <c r="JB245" s="1426"/>
      <c r="JC245" s="1426"/>
      <c r="JD245" s="1426"/>
      <c r="JE245" s="1426"/>
      <c r="JF245" s="1426"/>
      <c r="JG245" s="1426"/>
      <c r="JH245" s="1426"/>
      <c r="JI245" s="1426"/>
      <c r="JJ245" s="1426"/>
      <c r="JK245" s="1426"/>
      <c r="JL245" s="1426"/>
    </row>
    <row r="246" spans="1:272" s="942" customFormat="1" ht="12.75" hidden="1" customHeight="1" outlineLevel="1">
      <c r="A246" s="1589" t="s">
        <v>422</v>
      </c>
      <c r="B246" s="938"/>
      <c r="C246" s="938"/>
      <c r="D246" s="938"/>
      <c r="E246" s="938"/>
      <c r="F246" s="1196"/>
      <c r="G246" s="938"/>
      <c r="H246" s="938"/>
      <c r="I246" s="938"/>
      <c r="J246" s="938"/>
      <c r="K246" s="1196"/>
      <c r="L246" s="938"/>
      <c r="M246" s="938"/>
      <c r="N246" s="938"/>
      <c r="O246" s="938"/>
      <c r="P246" s="1196"/>
      <c r="Q246" s="938"/>
      <c r="R246" s="938"/>
      <c r="S246" s="938"/>
      <c r="T246" s="938"/>
      <c r="U246" s="1196"/>
      <c r="V246" s="938"/>
      <c r="W246" s="938"/>
      <c r="X246" s="938"/>
      <c r="Y246" s="938"/>
      <c r="Z246" s="1196"/>
      <c r="AA246" s="938"/>
      <c r="AB246" s="938"/>
      <c r="AC246" s="938"/>
      <c r="AD246" s="938"/>
      <c r="AE246" s="1196"/>
      <c r="AF246" s="938"/>
      <c r="AG246" s="938"/>
      <c r="AH246" s="938"/>
      <c r="AI246" s="938"/>
      <c r="AJ246" s="1196"/>
      <c r="AK246" s="938"/>
      <c r="AL246" s="938"/>
      <c r="AM246" s="938"/>
      <c r="AN246" s="938"/>
      <c r="AO246" s="1196"/>
      <c r="AP246" s="938"/>
      <c r="AQ246" s="938"/>
      <c r="AR246" s="938"/>
      <c r="AS246" s="938"/>
      <c r="AT246" s="1196"/>
      <c r="AU246" s="938"/>
      <c r="AV246" s="938"/>
      <c r="AW246" s="938"/>
      <c r="AX246" s="938"/>
      <c r="AY246" s="1196"/>
      <c r="AZ246" s="938"/>
      <c r="BA246" s="938"/>
      <c r="BB246" s="938"/>
      <c r="BC246" s="938"/>
      <c r="BD246" s="1196"/>
      <c r="BE246" s="938"/>
      <c r="BF246" s="938"/>
      <c r="BG246" s="938"/>
      <c r="BH246" s="938"/>
      <c r="BI246" s="1196"/>
      <c r="BJ246" s="938"/>
      <c r="BK246" s="938"/>
      <c r="BL246" s="938"/>
      <c r="BM246" s="938"/>
      <c r="BN246" s="1196"/>
      <c r="BO246" s="938">
        <f t="shared" ref="BO246:DZ246" si="576">BO230+SUM(BO244:BO245)</f>
        <v>15.392000000000015</v>
      </c>
      <c r="BP246" s="938">
        <f t="shared" si="576"/>
        <v>20.757000000000009</v>
      </c>
      <c r="BQ246" s="938">
        <f t="shared" si="576"/>
        <v>33.978999999999992</v>
      </c>
      <c r="BR246" s="938">
        <f t="shared" si="576"/>
        <v>18.047500000000003</v>
      </c>
      <c r="BS246" s="1196">
        <f t="shared" si="576"/>
        <v>88.175500000000028</v>
      </c>
      <c r="BT246" s="938">
        <f t="shared" si="576"/>
        <v>16.053000000000033</v>
      </c>
      <c r="BU246" s="938">
        <f t="shared" si="576"/>
        <v>20.016000000000084</v>
      </c>
      <c r="BV246" s="938">
        <f t="shared" si="576"/>
        <v>27.129000000000055</v>
      </c>
      <c r="BW246" s="938">
        <f t="shared" si="576"/>
        <v>27.752000000000052</v>
      </c>
      <c r="BX246" s="1196">
        <f t="shared" si="576"/>
        <v>90.950000000000244</v>
      </c>
      <c r="BY246" s="938">
        <f t="shared" si="576"/>
        <v>26.762000000000057</v>
      </c>
      <c r="BZ246" s="938">
        <f t="shared" si="576"/>
        <v>37.497999999999969</v>
      </c>
      <c r="CA246" s="938">
        <f t="shared" si="576"/>
        <v>-215.18100000000004</v>
      </c>
      <c r="CB246" s="938">
        <f t="shared" si="576"/>
        <v>34.205000000000013</v>
      </c>
      <c r="CC246" s="1196">
        <f t="shared" si="576"/>
        <v>-116.71599999999998</v>
      </c>
      <c r="CD246" s="938">
        <f t="shared" si="576"/>
        <v>33.384999999999977</v>
      </c>
      <c r="CE246" s="1510">
        <f t="shared" si="576"/>
        <v>72.786999999999992</v>
      </c>
      <c r="CF246" s="1510">
        <f t="shared" si="576"/>
        <v>69.640000000000029</v>
      </c>
      <c r="CG246" s="1510">
        <f t="shared" si="576"/>
        <v>55.438999999999957</v>
      </c>
      <c r="CH246" s="1196">
        <f t="shared" si="576"/>
        <v>225.8846335914769</v>
      </c>
      <c r="CI246" s="1510">
        <f t="shared" si="576"/>
        <v>49.119999999999983</v>
      </c>
      <c r="CJ246" s="1510">
        <f t="shared" si="576"/>
        <v>73.879000000000019</v>
      </c>
      <c r="CK246" s="1510">
        <f t="shared" si="576"/>
        <v>65.290999999999997</v>
      </c>
      <c r="CL246" s="1510">
        <f t="shared" si="576"/>
        <v>124.428</v>
      </c>
      <c r="CM246" s="1196">
        <f t="shared" si="576"/>
        <v>312.71800000000002</v>
      </c>
      <c r="CN246" s="1510">
        <f t="shared" si="576"/>
        <v>25.391000000000002</v>
      </c>
      <c r="CO246" s="1510">
        <f t="shared" si="576"/>
        <v>46.659000000000042</v>
      </c>
      <c r="CP246" s="1510">
        <f t="shared" si="576"/>
        <v>37.533999999999992</v>
      </c>
      <c r="CQ246" s="1510">
        <f t="shared" si="576"/>
        <v>34.803000000000019</v>
      </c>
      <c r="CR246" s="1196">
        <f t="shared" si="576"/>
        <v>144.38700000000006</v>
      </c>
      <c r="CS246" s="1510">
        <f t="shared" si="576"/>
        <v>22.696999999999996</v>
      </c>
      <c r="CT246" s="1510">
        <f t="shared" si="576"/>
        <v>48.981000000000002</v>
      </c>
      <c r="CU246" s="1510">
        <f t="shared" si="576"/>
        <v>39.084999999999965</v>
      </c>
      <c r="CV246" s="1510">
        <f t="shared" si="576"/>
        <v>-43.021999999999984</v>
      </c>
      <c r="CW246" s="1196">
        <f t="shared" si="576"/>
        <v>67.740999999999971</v>
      </c>
      <c r="CX246" s="1510">
        <f t="shared" si="576"/>
        <v>-153.96600000000001</v>
      </c>
      <c r="CY246" s="1510">
        <f t="shared" si="576"/>
        <v>32.344999999999985</v>
      </c>
      <c r="CZ246" s="1510">
        <f t="shared" si="576"/>
        <v>7.9580000000000002</v>
      </c>
      <c r="DA246" s="1510">
        <f t="shared" si="576"/>
        <v>-6.607999999999997</v>
      </c>
      <c r="DB246" s="1196">
        <f t="shared" si="576"/>
        <v>-110.93600000000001</v>
      </c>
      <c r="DC246" s="1510">
        <f t="shared" si="576"/>
        <v>-0.74399999999999711</v>
      </c>
      <c r="DD246" s="1510">
        <f t="shared" si="576"/>
        <v>13.863</v>
      </c>
      <c r="DE246" s="1510">
        <f t="shared" si="576"/>
        <v>-8.2420000000000115</v>
      </c>
      <c r="DF246" s="1510">
        <f t="shared" si="576"/>
        <v>2.3869999999999996</v>
      </c>
      <c r="DG246" s="1196">
        <f t="shared" si="576"/>
        <v>3.7150000000000105</v>
      </c>
      <c r="DH246" s="1510">
        <f t="shared" si="576"/>
        <v>6.921999999999997</v>
      </c>
      <c r="DI246" s="1510">
        <f t="shared" si="576"/>
        <v>29.422000000000004</v>
      </c>
      <c r="DJ246" s="1510">
        <f t="shared" si="576"/>
        <v>29.127999999999993</v>
      </c>
      <c r="DK246" s="1510">
        <f t="shared" si="576"/>
        <v>22.971</v>
      </c>
      <c r="DL246" s="1196">
        <f t="shared" si="576"/>
        <v>88.442999999999998</v>
      </c>
      <c r="DM246" s="1510">
        <f t="shared" si="576"/>
        <v>25.646000000000004</v>
      </c>
      <c r="DN246" s="1510">
        <f t="shared" si="576"/>
        <v>41.765485300000002</v>
      </c>
      <c r="DO246" s="1510">
        <f t="shared" si="576"/>
        <v>25.304000000000002</v>
      </c>
      <c r="DP246" s="1510">
        <f t="shared" si="576"/>
        <v>14.660999999999992</v>
      </c>
      <c r="DQ246" s="1196">
        <f t="shared" si="576"/>
        <v>107.37648529999997</v>
      </c>
      <c r="DR246" s="1510">
        <f t="shared" si="576"/>
        <v>14.182993</v>
      </c>
      <c r="DS246" s="1510">
        <f t="shared" si="576"/>
        <v>37.972999999999999</v>
      </c>
      <c r="DT246" s="1510">
        <f t="shared" si="576"/>
        <v>30.308</v>
      </c>
      <c r="DU246" s="1510">
        <f t="shared" si="576"/>
        <v>11.552999999999995</v>
      </c>
      <c r="DV246" s="1196">
        <f>DV230+SUM(DV244:DV245)</f>
        <v>94.016992999999999</v>
      </c>
      <c r="DW246" s="1510">
        <f t="shared" si="576"/>
        <v>12.892999999999997</v>
      </c>
      <c r="DX246" s="1510">
        <f t="shared" si="576"/>
        <v>53.7</v>
      </c>
      <c r="DY246" s="1510">
        <f t="shared" si="576"/>
        <v>46.433999999999997</v>
      </c>
      <c r="DZ246" s="1510">
        <f t="shared" si="576"/>
        <v>25.161224249999993</v>
      </c>
      <c r="EA246" s="1196">
        <f t="shared" ref="EA246:EF246" si="577">EA230+SUM(EA244:EA245)</f>
        <v>138.58022424999999</v>
      </c>
      <c r="EB246" s="1510">
        <f t="shared" si="577"/>
        <v>21.792000000000005</v>
      </c>
      <c r="EC246" s="1510">
        <f t="shared" si="577"/>
        <v>43.69</v>
      </c>
      <c r="ED246" s="1510">
        <f t="shared" si="577"/>
        <v>44.764251999999999</v>
      </c>
      <c r="EE246" s="1510">
        <f t="shared" si="577"/>
        <v>36.783119048691987</v>
      </c>
      <c r="EF246" s="1196">
        <f t="shared" si="577"/>
        <v>147.02937104869193</v>
      </c>
      <c r="EG246" s="938"/>
      <c r="EH246" s="938"/>
      <c r="EI246" s="938"/>
      <c r="EJ246" s="938"/>
      <c r="EK246" s="1196">
        <f>EK230+SUM(EK244:EK245)</f>
        <v>235.99819127817497</v>
      </c>
      <c r="EL246" s="938"/>
      <c r="EM246" s="938"/>
      <c r="EN246" s="938"/>
      <c r="EO246" s="938"/>
      <c r="EP246" s="1196">
        <f>EP230+SUM(EP244:EP245)</f>
        <v>278.22414962846005</v>
      </c>
      <c r="EQ246" s="938"/>
      <c r="ER246" s="938"/>
      <c r="ES246" s="938"/>
      <c r="ET246" s="938"/>
      <c r="EU246" s="1196">
        <f>EU230+SUM(EU244:EU245)</f>
        <v>329.28206538128052</v>
      </c>
      <c r="EV246" s="938"/>
      <c r="EW246" s="938"/>
      <c r="EX246" s="938"/>
      <c r="EY246" s="938"/>
      <c r="EZ246" s="1196">
        <f>EZ230+SUM(EZ244:EZ245)</f>
        <v>359.24214268887772</v>
      </c>
      <c r="FA246" s="938"/>
      <c r="FB246" s="938"/>
      <c r="FC246" s="938"/>
      <c r="FD246" s="938"/>
      <c r="FE246" s="1196">
        <f>FE230+SUM(FE244:FE245)</f>
        <v>390.36979157372713</v>
      </c>
      <c r="FF246" s="938"/>
      <c r="FG246" s="690"/>
      <c r="FH246" s="754"/>
      <c r="FI246" s="754"/>
      <c r="FJ246" s="754"/>
      <c r="FK246" s="754"/>
      <c r="FL246" s="690"/>
      <c r="FM246" s="940"/>
      <c r="FN246" s="940"/>
      <c r="FO246" s="941"/>
      <c r="FP246" s="941"/>
      <c r="FQ246" s="941"/>
      <c r="FR246" s="941"/>
      <c r="FS246" s="941"/>
      <c r="FT246" s="941"/>
      <c r="FU246" s="690"/>
      <c r="FV246"/>
      <c r="FW246"/>
      <c r="FX246"/>
      <c r="FY246"/>
      <c r="FZ246"/>
      <c r="GA246"/>
      <c r="GB246" s="943"/>
      <c r="GC246" s="1426"/>
      <c r="GD246" s="1426"/>
      <c r="GE246" s="1426"/>
      <c r="GF246" s="1426"/>
      <c r="GG246" s="1426"/>
      <c r="GH246" s="1426"/>
      <c r="GI246" s="1426"/>
      <c r="GJ246" s="1426"/>
      <c r="GK246" s="1426"/>
      <c r="GL246" s="1426"/>
      <c r="GM246" s="1426"/>
      <c r="GN246" s="1426"/>
      <c r="GO246" s="1426"/>
      <c r="GP246" s="1426"/>
      <c r="GQ246" s="1426"/>
      <c r="GR246" s="1426"/>
      <c r="GS246" s="1426"/>
      <c r="GT246" s="1426"/>
      <c r="GU246" s="1426"/>
      <c r="GV246" s="1426"/>
      <c r="GW246" s="1426"/>
      <c r="GX246" s="1426"/>
      <c r="GY246" s="1426"/>
      <c r="GZ246" s="1426"/>
      <c r="HA246" s="1426"/>
      <c r="HB246" s="1426"/>
      <c r="HC246" s="1426"/>
      <c r="HD246" s="1426"/>
      <c r="HE246" s="1426"/>
      <c r="HF246" s="1426"/>
      <c r="HG246" s="1426"/>
      <c r="HH246" s="1426"/>
      <c r="HI246" s="1426"/>
      <c r="HJ246" s="1426"/>
      <c r="HK246" s="1426"/>
      <c r="HL246" s="1426"/>
      <c r="HM246" s="1426"/>
      <c r="HN246" s="1426"/>
      <c r="HO246" s="1426"/>
      <c r="HP246" s="1426"/>
      <c r="HQ246" s="1426"/>
      <c r="HR246" s="1426"/>
      <c r="HS246" s="1426"/>
      <c r="HT246" s="1426"/>
      <c r="HU246" s="1426"/>
      <c r="HV246" s="1426"/>
      <c r="HW246" s="1426"/>
      <c r="HX246" s="1426"/>
      <c r="HY246" s="1426"/>
      <c r="HZ246" s="1426"/>
      <c r="IA246" s="1426"/>
      <c r="IB246" s="1426"/>
      <c r="IC246" s="1426"/>
      <c r="ID246" s="1426"/>
      <c r="IE246" s="1426"/>
      <c r="IF246" s="1426"/>
      <c r="IG246" s="1426"/>
      <c r="IH246" s="1426"/>
      <c r="II246" s="1426"/>
      <c r="IJ246" s="1426"/>
      <c r="IK246" s="1426"/>
      <c r="IL246" s="1426"/>
      <c r="IM246" s="1426"/>
      <c r="IN246" s="1426"/>
      <c r="IO246" s="1426"/>
      <c r="IP246" s="1426"/>
      <c r="IQ246" s="1426"/>
      <c r="IR246" s="1426"/>
      <c r="IS246" s="1426"/>
      <c r="IT246" s="1426"/>
      <c r="IU246" s="1426"/>
      <c r="IV246" s="1426"/>
      <c r="IW246" s="1426"/>
      <c r="IX246" s="1426"/>
      <c r="IY246" s="1426"/>
      <c r="IZ246" s="1426"/>
      <c r="JA246" s="1426"/>
      <c r="JB246" s="1426"/>
      <c r="JC246" s="1426"/>
      <c r="JD246" s="1426"/>
      <c r="JE246" s="1426"/>
      <c r="JF246" s="1426"/>
      <c r="JG246" s="1426"/>
      <c r="JH246" s="1426"/>
      <c r="JI246" s="1426"/>
      <c r="JJ246" s="1426"/>
      <c r="JK246" s="1426"/>
      <c r="JL246" s="1426"/>
    </row>
    <row r="247" spans="1:272" s="1595" customFormat="1" ht="12.75" hidden="1" customHeight="1" outlineLevel="1">
      <c r="A247" s="1590" t="s">
        <v>423</v>
      </c>
      <c r="B247" s="1132"/>
      <c r="C247" s="1132"/>
      <c r="D247" s="1132"/>
      <c r="E247" s="1132"/>
      <c r="F247" s="1591"/>
      <c r="G247" s="1132"/>
      <c r="H247" s="1132"/>
      <c r="I247" s="1132"/>
      <c r="J247" s="1132"/>
      <c r="K247" s="1591"/>
      <c r="L247" s="1132"/>
      <c r="M247" s="1132"/>
      <c r="N247" s="1132"/>
      <c r="O247" s="1132"/>
      <c r="P247" s="1591"/>
      <c r="Q247" s="1132"/>
      <c r="R247" s="1132"/>
      <c r="S247" s="1132"/>
      <c r="T247" s="1132"/>
      <c r="U247" s="1591"/>
      <c r="V247" s="1132"/>
      <c r="W247" s="1132"/>
      <c r="X247" s="1132"/>
      <c r="Y247" s="1132"/>
      <c r="Z247" s="1591"/>
      <c r="AA247" s="1132"/>
      <c r="AB247" s="1132"/>
      <c r="AC247" s="1132"/>
      <c r="AD247" s="1132"/>
      <c r="AE247" s="1591"/>
      <c r="AF247" s="1132"/>
      <c r="AG247" s="1132"/>
      <c r="AH247" s="1132"/>
      <c r="AI247" s="1132"/>
      <c r="AJ247" s="1591"/>
      <c r="AK247" s="1132"/>
      <c r="AL247" s="1132"/>
      <c r="AM247" s="1132"/>
      <c r="AN247" s="1132"/>
      <c r="AO247" s="1591"/>
      <c r="AP247" s="1132"/>
      <c r="AQ247" s="1132"/>
      <c r="AR247" s="1132"/>
      <c r="AS247" s="1132"/>
      <c r="AT247" s="1591"/>
      <c r="AU247" s="1132"/>
      <c r="AV247" s="1132"/>
      <c r="AW247" s="1132"/>
      <c r="AX247" s="1132"/>
      <c r="AY247" s="1591"/>
      <c r="AZ247" s="1132"/>
      <c r="BA247" s="1132"/>
      <c r="BB247" s="1132"/>
      <c r="BC247" s="1132"/>
      <c r="BD247" s="1591"/>
      <c r="BE247" s="1132"/>
      <c r="BF247" s="1132"/>
      <c r="BG247" s="1132"/>
      <c r="BH247" s="1132"/>
      <c r="BI247" s="1591"/>
      <c r="BJ247" s="1132"/>
      <c r="BK247" s="1132"/>
      <c r="BL247" s="1132"/>
      <c r="BM247" s="1132"/>
      <c r="BN247" s="1591"/>
      <c r="BO247" s="1132">
        <f t="shared" ref="BO247:DZ247" si="578">BO246/BO239</f>
        <v>0.27250846538730883</v>
      </c>
      <c r="BP247" s="1132">
        <f t="shared" si="578"/>
        <v>0.36600059859268314</v>
      </c>
      <c r="BQ247" s="1132">
        <f t="shared" si="578"/>
        <v>0.59869086522555748</v>
      </c>
      <c r="BR247" s="1132">
        <f t="shared" si="578"/>
        <v>0.31806323169303125</v>
      </c>
      <c r="BS247" s="1591">
        <f t="shared" si="578"/>
        <v>1.5558572479117294</v>
      </c>
      <c r="BT247" s="1132">
        <f t="shared" si="578"/>
        <v>0.2992022856646549</v>
      </c>
      <c r="BU247" s="1132">
        <f t="shared" si="578"/>
        <v>0.35037608275723575</v>
      </c>
      <c r="BV247" s="1132">
        <f t="shared" si="578"/>
        <v>0.47896044133497384</v>
      </c>
      <c r="BW247" s="1132">
        <f t="shared" si="578"/>
        <v>0.48594226563927578</v>
      </c>
      <c r="BX247" s="1591">
        <f t="shared" si="578"/>
        <v>1.6202666912655082</v>
      </c>
      <c r="BY247" s="1132">
        <f t="shared" si="578"/>
        <v>0.46847988325989764</v>
      </c>
      <c r="BZ247" s="1132">
        <f t="shared" si="578"/>
        <v>0.65920421755686953</v>
      </c>
      <c r="CA247" s="1132">
        <f t="shared" si="578"/>
        <v>-3.8835281922478662</v>
      </c>
      <c r="CB247" s="1132">
        <f t="shared" si="578"/>
        <v>0.60853387049175245</v>
      </c>
      <c r="CC247" s="1591">
        <f t="shared" si="578"/>
        <v>-2.0691902371879509</v>
      </c>
      <c r="CD247" s="1132">
        <f t="shared" si="578"/>
        <v>0.5897293055048457</v>
      </c>
      <c r="CE247" s="1592">
        <f t="shared" si="578"/>
        <v>1.2993847010791262</v>
      </c>
      <c r="CF247" s="1592">
        <f t="shared" si="578"/>
        <v>1.2443204872847657</v>
      </c>
      <c r="CG247" s="1592">
        <f t="shared" si="578"/>
        <v>0.99211728555393475</v>
      </c>
      <c r="CH247" s="1591">
        <f t="shared" si="578"/>
        <v>4.0251545722222444</v>
      </c>
      <c r="CI247" s="1592">
        <f t="shared" si="578"/>
        <v>0.88693218103412508</v>
      </c>
      <c r="CJ247" s="1592">
        <f t="shared" si="578"/>
        <v>1.3912133369225168</v>
      </c>
      <c r="CK247" s="1592">
        <f t="shared" si="578"/>
        <v>1.2838028832563837</v>
      </c>
      <c r="CL247" s="1592">
        <f t="shared" si="578"/>
        <v>2.4933288904355804</v>
      </c>
      <c r="CM247" s="1591">
        <f t="shared" si="578"/>
        <v>5.977946337112872</v>
      </c>
      <c r="CN247" s="1592">
        <f t="shared" si="578"/>
        <v>0.51665002423214978</v>
      </c>
      <c r="CO247" s="1592">
        <f t="shared" si="578"/>
        <v>0.96371177683509524</v>
      </c>
      <c r="CP247" s="1592">
        <f t="shared" si="578"/>
        <v>0.78183306087351689</v>
      </c>
      <c r="CQ247" s="1592">
        <f t="shared" si="578"/>
        <v>0.72571847390473598</v>
      </c>
      <c r="CR247" s="1591">
        <f t="shared" si="578"/>
        <v>2.984348031196232</v>
      </c>
      <c r="CS247" s="1592">
        <f t="shared" si="578"/>
        <v>0.47141937234322923</v>
      </c>
      <c r="CT247" s="1592">
        <f t="shared" si="578"/>
        <v>1.015645620484702</v>
      </c>
      <c r="CU247" s="1592">
        <f t="shared" si="578"/>
        <v>0.80860721364112131</v>
      </c>
      <c r="CV247" s="1592">
        <f t="shared" si="578"/>
        <v>-0.94334922787538822</v>
      </c>
      <c r="CW247" s="1591">
        <f t="shared" si="578"/>
        <v>1.4237707245932842</v>
      </c>
      <c r="CX247" s="1592">
        <f t="shared" si="578"/>
        <v>-3.3497916948506559</v>
      </c>
      <c r="CY247" s="1592">
        <f t="shared" si="578"/>
        <v>0.63697670551866781</v>
      </c>
      <c r="CZ247" s="1592">
        <f t="shared" si="578"/>
        <v>0.16077501720280563</v>
      </c>
      <c r="DA247" s="1593">
        <f t="shared" si="578"/>
        <v>-0.1346985559246674</v>
      </c>
      <c r="DB247" s="1591">
        <f t="shared" si="578"/>
        <v>-2.3076894594199584</v>
      </c>
      <c r="DC247" s="1592">
        <f t="shared" si="578"/>
        <v>-1.5080357020155448E-2</v>
      </c>
      <c r="DD247" s="1592">
        <f t="shared" si="578"/>
        <v>0.26475100734005602</v>
      </c>
      <c r="DE247" s="1592">
        <f t="shared" si="578"/>
        <v>-0.15182362331737512</v>
      </c>
      <c r="DF247" s="1593">
        <f t="shared" si="578"/>
        <v>4.3121920845098589E-2</v>
      </c>
      <c r="DG247" s="1591">
        <f t="shared" si="578"/>
        <v>6.987114876199535E-2</v>
      </c>
      <c r="DH247" s="1592">
        <f t="shared" si="578"/>
        <v>0.12421662503681001</v>
      </c>
      <c r="DI247" s="1592">
        <f t="shared" si="578"/>
        <v>0.52411938742054687</v>
      </c>
      <c r="DJ247" s="1592">
        <f t="shared" si="578"/>
        <v>0.51905530651188803</v>
      </c>
      <c r="DK247" s="1592">
        <f t="shared" si="578"/>
        <v>0.40896397910575238</v>
      </c>
      <c r="DL247" s="1591">
        <f t="shared" si="578"/>
        <v>1.5783007778944023</v>
      </c>
      <c r="DM247" s="1592">
        <f t="shared" si="578"/>
        <v>0.45586581326889475</v>
      </c>
      <c r="DN247" s="1592">
        <f t="shared" si="578"/>
        <v>0.7400000000000001</v>
      </c>
      <c r="DO247" s="1592">
        <f t="shared" si="578"/>
        <v>0.4481476407738198</v>
      </c>
      <c r="DP247" s="1592">
        <f t="shared" si="578"/>
        <v>0.25948050731669181</v>
      </c>
      <c r="DQ247" s="1591">
        <f t="shared" si="578"/>
        <v>1.9033109570429894</v>
      </c>
      <c r="DR247" s="1592">
        <f t="shared" si="578"/>
        <v>0.25</v>
      </c>
      <c r="DS247" s="1592">
        <f t="shared" si="578"/>
        <v>0.66665217715402492</v>
      </c>
      <c r="DT247" s="1592">
        <f t="shared" si="578"/>
        <v>0.52835604321780893</v>
      </c>
      <c r="DU247" s="1592">
        <f t="shared" si="578"/>
        <v>0.2009400264201435</v>
      </c>
      <c r="DV247" s="1591">
        <f>DV246/DV239</f>
        <v>1.6454493995416177</v>
      </c>
      <c r="DW247" s="1592">
        <f t="shared" si="578"/>
        <v>0.22406994722355902</v>
      </c>
      <c r="DX247" s="1592">
        <f t="shared" si="578"/>
        <v>0.93076154961987756</v>
      </c>
      <c r="DY247" s="1592">
        <f t="shared" si="578"/>
        <v>0.79710145798292198</v>
      </c>
      <c r="DZ247" s="1592">
        <f t="shared" si="578"/>
        <v>0.42999999999999988</v>
      </c>
      <c r="EA247" s="1591">
        <f t="shared" ref="EA247:EF247" si="579">EA246/EA239</f>
        <v>2.389285405899654</v>
      </c>
      <c r="EB247" s="1592">
        <f t="shared" si="579"/>
        <v>0.37429043776901061</v>
      </c>
      <c r="EC247" s="1592">
        <f t="shared" si="579"/>
        <v>0.75581234222698468</v>
      </c>
      <c r="ED247" s="1592">
        <f t="shared" si="579"/>
        <v>0.77153178859741245</v>
      </c>
      <c r="EE247" s="1592">
        <f t="shared" si="579"/>
        <v>0.63397341320098188</v>
      </c>
      <c r="EF247" s="1591">
        <f t="shared" si="579"/>
        <v>2.5342522347866576</v>
      </c>
      <c r="EG247" s="1132"/>
      <c r="EH247" s="1132"/>
      <c r="EI247" s="1132"/>
      <c r="EJ247" s="1132"/>
      <c r="EK247" s="1591">
        <f>EK246/EK239</f>
        <v>4.1084512752910127</v>
      </c>
      <c r="EL247" s="1132"/>
      <c r="EM247" s="1132"/>
      <c r="EN247" s="1132"/>
      <c r="EO247" s="1132"/>
      <c r="EP247" s="1591">
        <f>EP246/EP239</f>
        <v>4.8920130463319502</v>
      </c>
      <c r="EQ247" s="1132"/>
      <c r="ER247" s="1132"/>
      <c r="ES247" s="1132"/>
      <c r="ET247" s="1132"/>
      <c r="EU247" s="1591">
        <f>EU246/EU239</f>
        <v>5.8476821902631944</v>
      </c>
      <c r="EV247" s="1132"/>
      <c r="EW247" s="1132"/>
      <c r="EX247" s="1132"/>
      <c r="EY247" s="1132"/>
      <c r="EZ247" s="1591">
        <f>EZ246/EZ239</f>
        <v>6.4435535902846963</v>
      </c>
      <c r="FA247" s="1132"/>
      <c r="FB247" s="1132"/>
      <c r="FC247" s="1132"/>
      <c r="FD247" s="1132"/>
      <c r="FE247" s="1591">
        <f>FE246/FE239</f>
        <v>7.0719051735450416</v>
      </c>
      <c r="FF247" s="972"/>
      <c r="FG247" s="690"/>
      <c r="FH247" s="754"/>
      <c r="FI247" s="754"/>
      <c r="FJ247" s="754"/>
      <c r="FK247" s="754"/>
      <c r="FL247" s="690"/>
      <c r="FM247" s="974"/>
      <c r="FN247" s="974"/>
      <c r="FO247" s="975"/>
      <c r="FP247" s="975"/>
      <c r="FQ247" s="975"/>
      <c r="FR247" s="975"/>
      <c r="FS247" s="975"/>
      <c r="FT247" s="975"/>
      <c r="FU247" s="690"/>
      <c r="FV247"/>
      <c r="FW247"/>
      <c r="FX247"/>
      <c r="FY247"/>
      <c r="FZ247"/>
      <c r="GA247"/>
      <c r="GB247" s="1594"/>
      <c r="GC247" s="990"/>
      <c r="GD247" s="990"/>
      <c r="GE247" s="990"/>
      <c r="GF247" s="990"/>
      <c r="GG247" s="990"/>
      <c r="GH247" s="990"/>
      <c r="GI247" s="990"/>
      <c r="GJ247" s="990"/>
      <c r="GK247" s="990"/>
      <c r="GL247" s="990"/>
      <c r="GM247" s="990"/>
      <c r="GN247" s="990"/>
      <c r="GO247" s="990"/>
      <c r="GP247" s="990"/>
      <c r="GQ247" s="990"/>
      <c r="GR247" s="990"/>
      <c r="GS247" s="990"/>
      <c r="GT247" s="990"/>
      <c r="GU247" s="990"/>
      <c r="GV247" s="990"/>
      <c r="GW247" s="990"/>
      <c r="GX247" s="990"/>
      <c r="GY247" s="990"/>
      <c r="GZ247" s="990"/>
      <c r="HA247" s="990"/>
      <c r="HB247" s="990"/>
      <c r="HC247" s="990"/>
      <c r="HD247" s="990"/>
      <c r="HE247" s="990"/>
      <c r="HF247" s="990"/>
      <c r="HG247" s="990"/>
      <c r="HH247" s="990"/>
      <c r="HI247" s="990"/>
      <c r="HJ247" s="990"/>
      <c r="HK247" s="990"/>
      <c r="HL247" s="990"/>
      <c r="HM247" s="990"/>
      <c r="HN247" s="990"/>
      <c r="HO247" s="990"/>
      <c r="HP247" s="990"/>
      <c r="HQ247" s="990"/>
      <c r="HR247" s="990"/>
      <c r="HS247" s="990"/>
      <c r="HT247" s="990"/>
      <c r="HU247" s="990"/>
      <c r="HV247" s="990"/>
      <c r="HW247" s="990"/>
      <c r="HX247" s="990"/>
      <c r="HY247" s="990"/>
      <c r="HZ247" s="990"/>
      <c r="IA247" s="990"/>
      <c r="IB247" s="990"/>
      <c r="IC247" s="990"/>
      <c r="ID247" s="990"/>
      <c r="IE247" s="990"/>
      <c r="IF247" s="990"/>
      <c r="IG247" s="990"/>
      <c r="IH247" s="990"/>
      <c r="II247" s="990"/>
      <c r="IJ247" s="990"/>
      <c r="IK247" s="990"/>
      <c r="IL247" s="990"/>
      <c r="IM247" s="990"/>
      <c r="IN247" s="990"/>
      <c r="IO247" s="990"/>
      <c r="IP247" s="990"/>
      <c r="IQ247" s="990"/>
      <c r="IR247" s="990"/>
      <c r="IS247" s="990"/>
      <c r="IT247" s="990"/>
      <c r="IU247" s="990"/>
      <c r="IV247" s="990"/>
      <c r="IW247" s="990"/>
      <c r="IX247" s="990"/>
      <c r="IY247" s="990"/>
      <c r="IZ247" s="990"/>
      <c r="JA247" s="990"/>
      <c r="JB247" s="990"/>
      <c r="JC247" s="990"/>
      <c r="JD247" s="990"/>
      <c r="JE247" s="990"/>
      <c r="JF247" s="990"/>
      <c r="JG247" s="990"/>
      <c r="JH247" s="990"/>
      <c r="JI247" s="990"/>
      <c r="JJ247" s="990"/>
      <c r="JK247" s="990"/>
      <c r="JL247" s="990"/>
    </row>
    <row r="248" spans="1:272" s="749" customFormat="1" ht="12.75" hidden="1" customHeight="1" outlineLevel="1">
      <c r="A248" s="58" t="s">
        <v>85</v>
      </c>
      <c r="B248" s="721"/>
      <c r="C248" s="742"/>
      <c r="D248" s="721"/>
      <c r="E248" s="721"/>
      <c r="F248" s="741"/>
      <c r="G248" s="721"/>
      <c r="H248" s="742"/>
      <c r="I248" s="721"/>
      <c r="J248" s="721"/>
      <c r="K248" s="741"/>
      <c r="L248" s="721"/>
      <c r="M248" s="742"/>
      <c r="N248" s="721"/>
      <c r="O248" s="721"/>
      <c r="P248" s="741"/>
      <c r="Q248" s="721"/>
      <c r="R248" s="742"/>
      <c r="S248" s="721"/>
      <c r="T248" s="721"/>
      <c r="U248" s="741"/>
      <c r="V248" s="721"/>
      <c r="W248" s="742"/>
      <c r="X248" s="721"/>
      <c r="Y248" s="721"/>
      <c r="Z248" s="741"/>
      <c r="AA248" s="721"/>
      <c r="AB248" s="742"/>
      <c r="AC248" s="721"/>
      <c r="AD248" s="721"/>
      <c r="AE248" s="741"/>
      <c r="AF248" s="721"/>
      <c r="AG248" s="742"/>
      <c r="AH248" s="721"/>
      <c r="AI248" s="721"/>
      <c r="AJ248" s="741"/>
      <c r="AK248" s="721"/>
      <c r="AL248" s="742"/>
      <c r="AM248" s="721"/>
      <c r="AN248" s="721"/>
      <c r="AO248" s="741"/>
      <c r="AP248" s="721"/>
      <c r="AQ248" s="742"/>
      <c r="AR248" s="742"/>
      <c r="AS248" s="721"/>
      <c r="AT248" s="741"/>
      <c r="AU248" s="721"/>
      <c r="AV248" s="742"/>
      <c r="AW248" s="721"/>
      <c r="AX248" s="721"/>
      <c r="AY248" s="741"/>
      <c r="AZ248" s="721"/>
      <c r="BA248" s="742"/>
      <c r="BB248" s="721"/>
      <c r="BC248" s="721"/>
      <c r="BD248" s="741"/>
      <c r="BE248" s="721"/>
      <c r="BF248" s="742"/>
      <c r="BG248" s="721"/>
      <c r="BH248" s="721"/>
      <c r="BI248" s="741"/>
      <c r="BJ248" s="721"/>
      <c r="BK248" s="742"/>
      <c r="BL248" s="721"/>
      <c r="BM248" s="721"/>
      <c r="BN248" s="741"/>
      <c r="BO248" s="721"/>
      <c r="BP248" s="742"/>
      <c r="BQ248" s="721"/>
      <c r="BR248" s="721"/>
      <c r="BS248" s="741"/>
      <c r="BT248" s="721"/>
      <c r="BU248" s="742"/>
      <c r="BV248" s="721"/>
      <c r="BW248" s="721"/>
      <c r="BX248" s="741"/>
      <c r="BY248" s="721">
        <f t="shared" ref="BY248:CR248" si="580">BY247/BT247-1</f>
        <v>0.56576304963448254</v>
      </c>
      <c r="BZ248" s="742">
        <f t="shared" si="580"/>
        <v>0.88141899518184519</v>
      </c>
      <c r="CA248" s="721">
        <f t="shared" si="580"/>
        <v>-9.1082441410475834</v>
      </c>
      <c r="CB248" s="721">
        <f t="shared" si="580"/>
        <v>0.25227606965037852</v>
      </c>
      <c r="CC248" s="741">
        <f t="shared" si="580"/>
        <v>-2.2770676878951397</v>
      </c>
      <c r="CD248" s="721">
        <f t="shared" si="580"/>
        <v>0.25881457577482103</v>
      </c>
      <c r="CE248" s="721">
        <f t="shared" si="580"/>
        <v>0.97114136480328006</v>
      </c>
      <c r="CF248" s="721">
        <f t="shared" si="580"/>
        <v>-1.3204097989474173</v>
      </c>
      <c r="CG248" s="721">
        <f t="shared" si="580"/>
        <v>0.63034028780059681</v>
      </c>
      <c r="CH248" s="741">
        <f t="shared" si="580"/>
        <v>-2.9452800906756971</v>
      </c>
      <c r="CI248" s="721">
        <f t="shared" si="580"/>
        <v>0.50396490856911869</v>
      </c>
      <c r="CJ248" s="721">
        <f t="shared" si="580"/>
        <v>7.0670861190783585E-2</v>
      </c>
      <c r="CK248" s="721">
        <f t="shared" si="580"/>
        <v>3.1730085918437734E-2</v>
      </c>
      <c r="CL248" s="721">
        <f t="shared" si="580"/>
        <v>1.5131392495026081</v>
      </c>
      <c r="CM248" s="741">
        <f t="shared" si="580"/>
        <v>0.48514702475450844</v>
      </c>
      <c r="CN248" s="721">
        <f t="shared" si="580"/>
        <v>-0.41748643776826555</v>
      </c>
      <c r="CO248" s="721">
        <f t="shared" si="580"/>
        <v>-0.30728684720137289</v>
      </c>
      <c r="CP248" s="721">
        <f t="shared" si="580"/>
        <v>-0.39100225504215524</v>
      </c>
      <c r="CQ248" s="721">
        <f t="shared" si="580"/>
        <v>-0.70893592229705638</v>
      </c>
      <c r="CR248" s="1531">
        <f t="shared" si="580"/>
        <v>-0.50077370004670163</v>
      </c>
      <c r="CS248" s="1530"/>
      <c r="CT248" s="1530"/>
      <c r="CU248" s="1530"/>
      <c r="CV248" s="1530"/>
      <c r="CW248" s="1531">
        <f>CW247/CR247-1</f>
        <v>-0.52292068159939553</v>
      </c>
      <c r="CX248" s="1530"/>
      <c r="CY248" s="1530"/>
      <c r="CZ248" s="1530"/>
      <c r="DA248" s="1530"/>
      <c r="DB248" s="1531"/>
      <c r="DC248" s="1530"/>
      <c r="DD248" s="1530"/>
      <c r="DE248" s="1530"/>
      <c r="DF248" s="1530"/>
      <c r="DG248" s="1531"/>
      <c r="DH248" s="1111" t="s">
        <v>169</v>
      </c>
      <c r="DI248" s="1111" t="s">
        <v>169</v>
      </c>
      <c r="DJ248" s="1111" t="s">
        <v>169</v>
      </c>
      <c r="DK248" s="1111" t="s">
        <v>169</v>
      </c>
      <c r="DL248" s="1108" t="s">
        <v>169</v>
      </c>
      <c r="DM248" s="1111">
        <f t="shared" ref="DM248:EC248" si="581">DM247/DH247-1</f>
        <v>2.6699259308792582</v>
      </c>
      <c r="DN248" s="1111">
        <f t="shared" si="581"/>
        <v>0.41189205696417663</v>
      </c>
      <c r="DO248" s="1111">
        <f t="shared" si="581"/>
        <v>-0.13660907585084903</v>
      </c>
      <c r="DP248" s="1111" t="s">
        <v>169</v>
      </c>
      <c r="DQ248" s="1108">
        <f t="shared" si="581"/>
        <v>0.20592410755963786</v>
      </c>
      <c r="DR248" s="1111">
        <f t="shared" si="581"/>
        <v>-0.45159300670669889</v>
      </c>
      <c r="DS248" s="1111">
        <f t="shared" si="581"/>
        <v>-9.9118679521588038E-2</v>
      </c>
      <c r="DT248" s="1111">
        <f t="shared" si="581"/>
        <v>0.17897762957201491</v>
      </c>
      <c r="DU248" s="1111">
        <f t="shared" si="581"/>
        <v>-0.22560646848551358</v>
      </c>
      <c r="DV248" s="1108">
        <f t="shared" si="581"/>
        <v>-0.13548051964245977</v>
      </c>
      <c r="DW248" s="1111">
        <f t="shared" si="581"/>
        <v>-0.1037202111057639</v>
      </c>
      <c r="DX248" s="1111">
        <f t="shared" si="581"/>
        <v>0.39617266922212746</v>
      </c>
      <c r="DY248" s="1111">
        <f t="shared" si="581"/>
        <v>0.50864453660526365</v>
      </c>
      <c r="DZ248" s="1111">
        <f t="shared" si="581"/>
        <v>1.1399419899593184</v>
      </c>
      <c r="EA248" s="1108">
        <f t="shared" si="581"/>
        <v>0.45205644522721333</v>
      </c>
      <c r="EB248" s="1111">
        <f t="shared" si="581"/>
        <v>0.6704178423158802</v>
      </c>
      <c r="EC248" s="1111">
        <f t="shared" si="581"/>
        <v>-0.18796350952007201</v>
      </c>
      <c r="ED248" s="1111">
        <f>ED247/DY247-1</f>
        <v>-3.2078312151396671E-2</v>
      </c>
      <c r="EE248" s="1111">
        <f>EE247/DZ247-1</f>
        <v>0.4743567748860047</v>
      </c>
      <c r="EF248" s="1108">
        <f>EF247/EA247-1</f>
        <v>6.0673717978207975E-2</v>
      </c>
      <c r="EG248" s="1063"/>
      <c r="EH248" s="1063"/>
      <c r="EI248" s="1063"/>
      <c r="EJ248" s="1063"/>
      <c r="EK248" s="741">
        <f>EK247/EF247-1</f>
        <v>0.62116904501294701</v>
      </c>
      <c r="EL248" s="1063"/>
      <c r="EM248" s="1063"/>
      <c r="EN248" s="1063"/>
      <c r="EO248" s="1063"/>
      <c r="EP248" s="741">
        <f>EP247/EK247-1</f>
        <v>0.1907194995236825</v>
      </c>
      <c r="EQ248" s="1063"/>
      <c r="ER248" s="1063"/>
      <c r="ES248" s="1063"/>
      <c r="ET248" s="1063"/>
      <c r="EU248" s="741">
        <f>EU247/EP247-1</f>
        <v>0.19535294261895086</v>
      </c>
      <c r="EV248" s="1063"/>
      <c r="EW248" s="1063"/>
      <c r="EX248" s="1063"/>
      <c r="EY248" s="1063"/>
      <c r="EZ248" s="741">
        <f>EZ247/EU247-1</f>
        <v>0.10189873194779131</v>
      </c>
      <c r="FA248" s="1063"/>
      <c r="FB248" s="1063"/>
      <c r="FC248" s="1063"/>
      <c r="FD248" s="1063"/>
      <c r="FE248" s="741">
        <f>FE247/EZ247-1</f>
        <v>9.7516312149206863E-2</v>
      </c>
      <c r="FF248" s="721"/>
      <c r="FG248" s="690"/>
      <c r="FH248" s="754"/>
      <c r="FI248" s="754"/>
      <c r="FJ248" s="754"/>
      <c r="FK248" s="754"/>
      <c r="FL248" s="690"/>
      <c r="FM248" s="708"/>
      <c r="FN248" s="708"/>
      <c r="FO248" s="723"/>
      <c r="FP248" s="723"/>
      <c r="FQ248" s="723"/>
      <c r="FR248" s="723"/>
      <c r="FS248" s="723"/>
      <c r="FT248" s="723"/>
      <c r="FU248" s="690"/>
      <c r="FV248"/>
      <c r="FW248"/>
      <c r="FX248"/>
      <c r="FY248"/>
      <c r="FZ248"/>
      <c r="GA248"/>
      <c r="GB248" s="961"/>
      <c r="GC248" s="532"/>
      <c r="GD248" s="532"/>
      <c r="GE248" s="532"/>
      <c r="GF248" s="532"/>
      <c r="GG248" s="532"/>
      <c r="GH248" s="532"/>
      <c r="GI248" s="532"/>
      <c r="GJ248" s="532"/>
      <c r="GK248" s="532"/>
      <c r="GL248" s="532"/>
      <c r="GM248" s="532"/>
      <c r="GN248" s="532"/>
      <c r="GO248" s="532"/>
      <c r="GP248" s="532"/>
      <c r="GQ248" s="532"/>
      <c r="GR248" s="532"/>
      <c r="GS248" s="532"/>
      <c r="GT248" s="532"/>
      <c r="GU248" s="532"/>
      <c r="GV248" s="532"/>
      <c r="GW248" s="532"/>
      <c r="GX248" s="532"/>
      <c r="GY248" s="532"/>
      <c r="GZ248" s="532"/>
      <c r="HA248" s="532"/>
      <c r="HB248" s="532"/>
      <c r="HC248" s="532"/>
      <c r="HD248" s="532"/>
      <c r="HE248" s="532"/>
      <c r="HF248" s="532"/>
      <c r="HG248" s="532"/>
      <c r="HH248" s="532"/>
      <c r="HI248" s="532"/>
      <c r="HJ248" s="532"/>
      <c r="HK248" s="532"/>
      <c r="HL248" s="532"/>
      <c r="HM248" s="532"/>
      <c r="HN248" s="532"/>
      <c r="HO248" s="532"/>
      <c r="HP248" s="532"/>
      <c r="HQ248" s="532"/>
      <c r="HR248" s="532"/>
      <c r="HS248" s="532"/>
      <c r="HT248" s="532"/>
      <c r="HU248" s="532"/>
      <c r="HV248" s="532"/>
      <c r="HW248" s="532"/>
      <c r="HX248" s="532"/>
      <c r="HY248" s="532"/>
      <c r="HZ248" s="532"/>
      <c r="IA248" s="532"/>
      <c r="IB248" s="532"/>
      <c r="IC248" s="532"/>
      <c r="ID248" s="532"/>
      <c r="IE248" s="532"/>
      <c r="IF248" s="532"/>
      <c r="IG248" s="532"/>
      <c r="IH248" s="532"/>
      <c r="II248" s="532"/>
      <c r="IJ248" s="532"/>
      <c r="IK248" s="532"/>
      <c r="IL248" s="532"/>
      <c r="IM248" s="532"/>
      <c r="IN248" s="532"/>
      <c r="IO248" s="532"/>
      <c r="IP248" s="532"/>
      <c r="IQ248" s="532"/>
      <c r="IR248" s="532"/>
      <c r="IS248" s="532"/>
      <c r="IT248" s="532"/>
      <c r="IU248" s="532"/>
      <c r="IV248" s="532"/>
      <c r="IW248" s="532"/>
      <c r="IX248" s="532"/>
      <c r="IY248" s="532"/>
      <c r="IZ248" s="532"/>
      <c r="JA248" s="532"/>
      <c r="JB248" s="532"/>
      <c r="JC248" s="532"/>
      <c r="JD248" s="532"/>
      <c r="JE248" s="532"/>
      <c r="JF248" s="532"/>
      <c r="JG248" s="532"/>
      <c r="JH248" s="532"/>
      <c r="JI248" s="532"/>
      <c r="JJ248" s="532"/>
      <c r="JK248" s="532"/>
      <c r="JL248" s="532"/>
    </row>
    <row r="249" spans="1:272" s="533" customFormat="1" ht="12.75" hidden="1" customHeight="1" outlineLevel="1">
      <c r="A249" s="1486" t="s">
        <v>93</v>
      </c>
      <c r="B249" s="723"/>
      <c r="C249" s="1548"/>
      <c r="D249" s="723"/>
      <c r="E249" s="723"/>
      <c r="F249" s="722"/>
      <c r="G249" s="723"/>
      <c r="H249" s="1548"/>
      <c r="I249" s="723"/>
      <c r="J249" s="723"/>
      <c r="K249" s="722"/>
      <c r="L249" s="723"/>
      <c r="M249" s="1548"/>
      <c r="N249" s="723"/>
      <c r="O249" s="723"/>
      <c r="P249" s="722"/>
      <c r="Q249" s="723"/>
      <c r="R249" s="1548"/>
      <c r="S249" s="723"/>
      <c r="T249" s="723"/>
      <c r="U249" s="722"/>
      <c r="V249" s="723"/>
      <c r="W249" s="1548"/>
      <c r="X249" s="723"/>
      <c r="Y249" s="723"/>
      <c r="Z249" s="722"/>
      <c r="AA249" s="723"/>
      <c r="AB249" s="1548"/>
      <c r="AC249" s="723"/>
      <c r="AD249" s="723"/>
      <c r="AE249" s="722"/>
      <c r="AF249" s="723"/>
      <c r="AG249" s="1548"/>
      <c r="AH249" s="723"/>
      <c r="AI249" s="723"/>
      <c r="AJ249" s="722"/>
      <c r="AK249" s="723"/>
      <c r="AL249" s="1548"/>
      <c r="AM249" s="723"/>
      <c r="AN249" s="723"/>
      <c r="AO249" s="722"/>
      <c r="AP249" s="723"/>
      <c r="AQ249" s="1548"/>
      <c r="AR249" s="1548"/>
      <c r="AS249" s="723"/>
      <c r="AT249" s="722"/>
      <c r="AU249" s="723"/>
      <c r="AV249" s="1548"/>
      <c r="AW249" s="723"/>
      <c r="AX249" s="723"/>
      <c r="AY249" s="722"/>
      <c r="AZ249" s="723"/>
      <c r="BA249" s="1548"/>
      <c r="BB249" s="723"/>
      <c r="BC249" s="723"/>
      <c r="BD249" s="722"/>
      <c r="BE249" s="723"/>
      <c r="BF249" s="1548"/>
      <c r="BG249" s="723"/>
      <c r="BH249" s="723"/>
      <c r="BI249" s="722"/>
      <c r="BJ249" s="723"/>
      <c r="BK249" s="1548"/>
      <c r="BL249" s="723"/>
      <c r="BM249" s="723"/>
      <c r="BN249" s="722"/>
      <c r="BO249" s="723"/>
      <c r="BP249" s="1548"/>
      <c r="BQ249" s="723"/>
      <c r="BR249" s="723"/>
      <c r="BS249" s="722"/>
      <c r="BT249" s="723"/>
      <c r="BU249" s="1548"/>
      <c r="BV249" s="723"/>
      <c r="BW249" s="723"/>
      <c r="BX249" s="722"/>
      <c r="BY249" s="723"/>
      <c r="BZ249" s="1548"/>
      <c r="CA249" s="723"/>
      <c r="CB249" s="723"/>
      <c r="CC249" s="722"/>
      <c r="CD249" s="723"/>
      <c r="CE249" s="723"/>
      <c r="CF249" s="723"/>
      <c r="CG249" s="723"/>
      <c r="CH249" s="722"/>
      <c r="CI249" s="723"/>
      <c r="CJ249" s="723"/>
      <c r="CK249" s="723"/>
      <c r="CL249" s="723"/>
      <c r="CM249" s="722"/>
      <c r="CN249" s="723"/>
      <c r="CO249" s="723"/>
      <c r="CP249" s="723"/>
      <c r="CQ249" s="723"/>
      <c r="CR249" s="722"/>
      <c r="CS249" s="723"/>
      <c r="CT249" s="723"/>
      <c r="CU249" s="723"/>
      <c r="CV249" s="723"/>
      <c r="CW249" s="722"/>
      <c r="CX249" s="723"/>
      <c r="CY249" s="723"/>
      <c r="CZ249" s="723"/>
      <c r="DA249" s="723"/>
      <c r="DB249" s="722"/>
      <c r="DC249" s="723"/>
      <c r="DD249" s="723"/>
      <c r="DE249" s="723"/>
      <c r="DF249" s="723"/>
      <c r="DG249" s="722"/>
      <c r="DH249" s="723"/>
      <c r="DI249" s="723"/>
      <c r="DJ249" s="723"/>
      <c r="DK249" s="723"/>
      <c r="DL249" s="722"/>
      <c r="DM249" s="723"/>
      <c r="DN249" s="723"/>
      <c r="DO249" s="723"/>
      <c r="DP249" s="723"/>
      <c r="DQ249" s="722"/>
      <c r="DR249" s="723"/>
      <c r="DS249" s="723"/>
      <c r="DT249" s="723"/>
      <c r="DU249" s="723"/>
      <c r="DV249" s="722"/>
      <c r="DW249" s="723"/>
      <c r="DX249" s="723"/>
      <c r="DY249" s="723"/>
      <c r="DZ249" s="723"/>
      <c r="EA249" s="722"/>
      <c r="EB249" s="723"/>
      <c r="EC249" s="723"/>
      <c r="ED249" s="723"/>
      <c r="EE249" s="723"/>
      <c r="EF249" s="722"/>
      <c r="EG249" s="1065"/>
      <c r="EH249" s="1065"/>
      <c r="EI249" s="1065"/>
      <c r="EJ249" s="1065"/>
      <c r="EK249" s="722"/>
      <c r="EL249" s="1065"/>
      <c r="EM249" s="1065"/>
      <c r="EN249" s="1065"/>
      <c r="EO249" s="1065"/>
      <c r="EP249" s="722"/>
      <c r="EQ249" s="1065"/>
      <c r="ER249" s="1065"/>
      <c r="ES249" s="1065"/>
      <c r="ET249" s="1065"/>
      <c r="EU249" s="722"/>
      <c r="EV249" s="1065"/>
      <c r="EW249" s="1065"/>
      <c r="EX249" s="1065"/>
      <c r="EY249" s="1065"/>
      <c r="EZ249" s="722"/>
      <c r="FA249" s="1065"/>
      <c r="FB249" s="1065"/>
      <c r="FC249" s="1065"/>
      <c r="FD249" s="1065"/>
      <c r="FE249" s="722"/>
      <c r="FF249" s="721"/>
      <c r="FG249" s="690"/>
      <c r="FH249" s="754"/>
      <c r="FI249" s="754"/>
      <c r="FJ249" s="754"/>
      <c r="FK249" s="754"/>
      <c r="FL249" s="690"/>
      <c r="FM249" s="708"/>
      <c r="FN249" s="708"/>
      <c r="FO249" s="723"/>
      <c r="FP249" s="723"/>
      <c r="FQ249" s="723"/>
      <c r="FR249" s="723"/>
      <c r="FS249" s="723"/>
      <c r="FT249" s="723"/>
      <c r="FU249" s="690"/>
      <c r="FV249"/>
      <c r="FW249"/>
      <c r="FX249"/>
      <c r="FY249"/>
      <c r="FZ249"/>
      <c r="GA249"/>
      <c r="GB249" s="961"/>
      <c r="GC249" s="532"/>
      <c r="GD249" s="532"/>
      <c r="GE249" s="532"/>
      <c r="GF249" s="532"/>
      <c r="GG249" s="532"/>
      <c r="GH249" s="532"/>
      <c r="GI249" s="532"/>
      <c r="GJ249" s="532"/>
      <c r="GK249" s="532"/>
      <c r="GL249" s="532"/>
      <c r="GM249" s="532"/>
      <c r="GN249" s="532"/>
      <c r="GO249" s="532"/>
      <c r="GP249" s="532"/>
      <c r="GQ249" s="532"/>
      <c r="GR249" s="532"/>
      <c r="GS249" s="532"/>
      <c r="GT249" s="532"/>
      <c r="GU249" s="532"/>
      <c r="GV249" s="532"/>
      <c r="GW249" s="532"/>
      <c r="GX249" s="532"/>
      <c r="GY249" s="532"/>
      <c r="GZ249" s="532"/>
      <c r="HA249" s="532"/>
      <c r="HB249" s="532"/>
      <c r="HC249" s="532"/>
      <c r="HD249" s="532"/>
      <c r="HE249" s="532"/>
      <c r="HF249" s="532"/>
      <c r="HG249" s="532"/>
      <c r="HH249" s="532"/>
      <c r="HI249" s="532"/>
      <c r="HJ249" s="532"/>
      <c r="HK249" s="532"/>
      <c r="HL249" s="532"/>
      <c r="HM249" s="532"/>
      <c r="HN249" s="532"/>
      <c r="HO249" s="532"/>
      <c r="HP249" s="532"/>
      <c r="HQ249" s="532"/>
      <c r="HR249" s="532"/>
      <c r="HS249" s="532"/>
      <c r="HT249" s="532"/>
      <c r="HU249" s="532"/>
      <c r="HV249" s="532"/>
      <c r="HW249" s="532"/>
      <c r="HX249" s="532"/>
      <c r="HY249" s="532"/>
      <c r="HZ249" s="532"/>
      <c r="IA249" s="532"/>
      <c r="IB249" s="532"/>
      <c r="IC249" s="532"/>
      <c r="ID249" s="532"/>
      <c r="IE249" s="532"/>
      <c r="IF249" s="532"/>
      <c r="IG249" s="532"/>
      <c r="IH249" s="532"/>
      <c r="II249" s="532"/>
      <c r="IJ249" s="532"/>
      <c r="IK249" s="532"/>
      <c r="IL249" s="532"/>
      <c r="IM249" s="532"/>
      <c r="IN249" s="532"/>
      <c r="IO249" s="532"/>
      <c r="IP249" s="532"/>
      <c r="IQ249" s="532"/>
      <c r="IR249" s="532"/>
      <c r="IS249" s="532"/>
      <c r="IT249" s="532"/>
      <c r="IU249" s="532"/>
      <c r="IV249" s="532"/>
      <c r="IW249" s="532"/>
      <c r="IX249" s="532"/>
      <c r="IY249" s="532"/>
      <c r="IZ249" s="532"/>
      <c r="JA249" s="532"/>
      <c r="JB249" s="532"/>
      <c r="JC249" s="532"/>
      <c r="JD249" s="532"/>
      <c r="JE249" s="532"/>
      <c r="JF249" s="532"/>
      <c r="JG249" s="532"/>
      <c r="JH249" s="532"/>
      <c r="JI249" s="532"/>
      <c r="JJ249" s="532"/>
      <c r="JK249" s="532"/>
      <c r="JL249" s="532"/>
    </row>
    <row r="250" spans="1:272" s="726" customFormat="1" ht="12.75" hidden="1" customHeight="1" outlineLevel="1">
      <c r="A250" s="1596" t="s">
        <v>164</v>
      </c>
      <c r="B250" s="1592"/>
      <c r="C250" s="1592"/>
      <c r="D250" s="1592"/>
      <c r="E250" s="1592"/>
      <c r="F250" s="1597"/>
      <c r="G250" s="1592"/>
      <c r="H250" s="1592"/>
      <c r="I250" s="1592"/>
      <c r="J250" s="1592"/>
      <c r="K250" s="1597"/>
      <c r="L250" s="1592"/>
      <c r="M250" s="1592"/>
      <c r="N250" s="1592"/>
      <c r="O250" s="1592"/>
      <c r="P250" s="1597"/>
      <c r="Q250" s="1592"/>
      <c r="R250" s="1592"/>
      <c r="S250" s="1592"/>
      <c r="T250" s="1592"/>
      <c r="U250" s="1597"/>
      <c r="V250" s="1592"/>
      <c r="W250" s="1592"/>
      <c r="X250" s="1592"/>
      <c r="Y250" s="1592"/>
      <c r="Z250" s="1597"/>
      <c r="AA250" s="1592"/>
      <c r="AB250" s="1592"/>
      <c r="AC250" s="1592"/>
      <c r="AD250" s="1592"/>
      <c r="AE250" s="1597"/>
      <c r="AF250" s="1592"/>
      <c r="AG250" s="1592"/>
      <c r="AH250" s="1592"/>
      <c r="AI250" s="1592"/>
      <c r="AJ250" s="1597"/>
      <c r="AK250" s="1592"/>
      <c r="AL250" s="1592"/>
      <c r="AM250" s="1592"/>
      <c r="AN250" s="1592"/>
      <c r="AO250" s="1597"/>
      <c r="AP250" s="1592"/>
      <c r="AQ250" s="1592"/>
      <c r="AR250" s="1592"/>
      <c r="AS250" s="1592"/>
      <c r="AT250" s="1597"/>
      <c r="AU250" s="1592"/>
      <c r="AV250" s="1592"/>
      <c r="AW250" s="1592"/>
      <c r="AX250" s="1592"/>
      <c r="AY250" s="1597"/>
      <c r="AZ250" s="1592"/>
      <c r="BA250" s="1592"/>
      <c r="BB250" s="1592"/>
      <c r="BC250" s="1592"/>
      <c r="BD250" s="1597"/>
      <c r="BE250" s="1592"/>
      <c r="BF250" s="1592"/>
      <c r="BG250" s="1592"/>
      <c r="BH250" s="1592"/>
      <c r="BI250" s="1597"/>
      <c r="BJ250" s="1592"/>
      <c r="BK250" s="1592"/>
      <c r="BL250" s="1592"/>
      <c r="BM250" s="1592"/>
      <c r="BN250" s="1597"/>
      <c r="BO250" s="1592">
        <v>9.9999959999999999E-2</v>
      </c>
      <c r="BP250" s="1592">
        <v>9.9999959999999999E-2</v>
      </c>
      <c r="BQ250" s="1592">
        <v>9.9999959999999999E-2</v>
      </c>
      <c r="BR250" s="1592">
        <v>9.9999959999999999E-2</v>
      </c>
      <c r="BS250" s="1597">
        <f>SUM(BR250,BQ250,BP250,BO250)</f>
        <v>0.39999984</v>
      </c>
      <c r="BT250" s="1592">
        <v>9.9999959999999999E-2</v>
      </c>
      <c r="BU250" s="1592">
        <v>9.9999959999999999E-2</v>
      </c>
      <c r="BV250" s="1592">
        <v>9.9999959999999999E-2</v>
      </c>
      <c r="BW250" s="1592">
        <v>9.9999959999999999E-2</v>
      </c>
      <c r="BX250" s="1597">
        <f>SUM(BW250,BV250,BU250,BT250)</f>
        <v>0.39999984</v>
      </c>
      <c r="BY250" s="1592">
        <v>0.1</v>
      </c>
      <c r="BZ250" s="1592">
        <v>9.9999959999999999E-2</v>
      </c>
      <c r="CA250" s="1592">
        <v>9.9999959999999999E-2</v>
      </c>
      <c r="CB250" s="1592">
        <v>9.9999959999999999E-2</v>
      </c>
      <c r="CC250" s="1597">
        <f>SUM(CB250,CA250,BZ250,BY250)</f>
        <v>0.39999987999999997</v>
      </c>
      <c r="CD250" s="1592">
        <v>0.1</v>
      </c>
      <c r="CE250" s="1592">
        <f>BZ250</f>
        <v>9.9999959999999999E-2</v>
      </c>
      <c r="CF250" s="1592">
        <f>CA250</f>
        <v>9.9999959999999999E-2</v>
      </c>
      <c r="CG250" s="1592">
        <f>CB250</f>
        <v>9.9999959999999999E-2</v>
      </c>
      <c r="CH250" s="1597">
        <f>SUM(CG250,CF250,CE250,CD250)</f>
        <v>0.39999987999999997</v>
      </c>
      <c r="CI250" s="1592">
        <v>0.1</v>
      </c>
      <c r="CJ250" s="1592">
        <v>0.1</v>
      </c>
      <c r="CK250" s="1592">
        <v>0.1</v>
      </c>
      <c r="CL250" s="1592">
        <f>CG250</f>
        <v>9.9999959999999999E-2</v>
      </c>
      <c r="CM250" s="1597">
        <f>SUM(CL250,CK250,CJ250,CI250)</f>
        <v>0.39999996000000004</v>
      </c>
      <c r="CN250" s="1592">
        <v>0.1</v>
      </c>
      <c r="CO250" s="1592">
        <v>9.9999959999999999E-2</v>
      </c>
      <c r="CP250" s="1592">
        <v>9.9999959999999999E-2</v>
      </c>
      <c r="CQ250" s="1592">
        <v>9.9999959999999999E-2</v>
      </c>
      <c r="CR250" s="1597">
        <f>SUM(CQ250,CP250,CO250,CN250)</f>
        <v>0.39999987999999997</v>
      </c>
      <c r="CS250" s="1592">
        <v>0.1</v>
      </c>
      <c r="CT250" s="1592">
        <v>0.1</v>
      </c>
      <c r="CU250" s="1592">
        <v>0.1</v>
      </c>
      <c r="CV250" s="1592">
        <v>0.1</v>
      </c>
      <c r="CW250" s="1597">
        <f>SUM(CV250,CU250,CT250,CS250)</f>
        <v>0.4</v>
      </c>
      <c r="CX250" s="1592">
        <v>0.1</v>
      </c>
      <c r="CY250" s="1592">
        <v>0.1</v>
      </c>
      <c r="CZ250" s="1592">
        <v>0.1</v>
      </c>
      <c r="DA250" s="1592">
        <v>0.1</v>
      </c>
      <c r="DB250" s="1597">
        <f>SUM(DA250,CZ250,CY250,CX250)</f>
        <v>0.4</v>
      </c>
      <c r="DC250" s="1592">
        <v>0.1</v>
      </c>
      <c r="DD250" s="1592">
        <v>0.1</v>
      </c>
      <c r="DE250" s="1592">
        <v>0.1</v>
      </c>
      <c r="DF250" s="1592">
        <v>0.1</v>
      </c>
      <c r="DG250" s="1597">
        <f>SUM(DF250,DE250,DD250,DC250)</f>
        <v>0.4</v>
      </c>
      <c r="DH250" s="1592">
        <v>0.1</v>
      </c>
      <c r="DI250" s="1592">
        <v>0.1</v>
      </c>
      <c r="DJ250" s="1592">
        <v>0.1</v>
      </c>
      <c r="DK250" s="1592">
        <v>0.1</v>
      </c>
      <c r="DL250" s="1597">
        <f>SUM(DK250,DJ250,DI250,DH250)</f>
        <v>0.4</v>
      </c>
      <c r="DM250" s="1592">
        <v>0.1</v>
      </c>
      <c r="DN250" s="1592">
        <v>0.1</v>
      </c>
      <c r="DO250" s="1592">
        <v>0.1</v>
      </c>
      <c r="DP250" s="1592">
        <v>0.1</v>
      </c>
      <c r="DQ250" s="1597">
        <f>SUM(DP250,DO250,DN250,DM250)</f>
        <v>0.4</v>
      </c>
      <c r="DR250" s="1592">
        <v>0.1</v>
      </c>
      <c r="DS250" s="1592">
        <v>0.1</v>
      </c>
      <c r="DT250" s="1592">
        <v>0.1</v>
      </c>
      <c r="DU250" s="1592">
        <v>0.1</v>
      </c>
      <c r="DV250" s="1597">
        <f>SUM(DU250,DT250,DS250,DR250)</f>
        <v>0.4</v>
      </c>
      <c r="DW250" s="1593">
        <v>0.1</v>
      </c>
      <c r="DX250" s="1593">
        <v>0.1</v>
      </c>
      <c r="DY250" s="1593">
        <v>0.15</v>
      </c>
      <c r="DZ250" s="1593">
        <v>0.15</v>
      </c>
      <c r="EA250" s="1597">
        <f>SUM(DZ250,DY250,DX250,DW250)</f>
        <v>0.5</v>
      </c>
      <c r="EB250" s="1593">
        <v>0.15</v>
      </c>
      <c r="EC250" s="1593">
        <v>0.15</v>
      </c>
      <c r="ED250" s="1728">
        <v>0.15</v>
      </c>
      <c r="EE250" s="1598">
        <v>0.15</v>
      </c>
      <c r="EF250" s="1597">
        <f>SUM(EE250,ED250,EC250,EB250)</f>
        <v>0.6</v>
      </c>
      <c r="EG250" s="1599"/>
      <c r="EH250" s="1599"/>
      <c r="EI250" s="1599"/>
      <c r="EJ250" s="1599"/>
      <c r="EK250" s="1597">
        <f>+EF250*(1+EK251)</f>
        <v>0.96665936919338435</v>
      </c>
      <c r="EL250" s="1599"/>
      <c r="EM250" s="1599"/>
      <c r="EN250" s="1599"/>
      <c r="EO250" s="1599"/>
      <c r="EP250" s="1597">
        <f>+EK250*(1+EP251)</f>
        <v>1.1510201602958252</v>
      </c>
      <c r="EQ250" s="1599"/>
      <c r="ER250" s="1599"/>
      <c r="ES250" s="1599"/>
      <c r="ET250" s="1599"/>
      <c r="EU250" s="1597">
        <f>+EP250*(1+EU251)</f>
        <v>1.3758753356233511</v>
      </c>
      <c r="EV250" s="1599"/>
      <c r="EW250" s="1599"/>
      <c r="EX250" s="1599"/>
      <c r="EY250" s="1599"/>
      <c r="EZ250" s="1597">
        <f>+EU250*(1+EZ251)</f>
        <v>1.5160752876416124</v>
      </c>
      <c r="FA250" s="1599"/>
      <c r="FB250" s="1599"/>
      <c r="FC250" s="1599"/>
      <c r="FD250" s="1599"/>
      <c r="FE250" s="1597">
        <f>+EZ250*(1+FE251)</f>
        <v>1.6639173586329705</v>
      </c>
      <c r="FF250" s="721"/>
      <c r="FG250" s="690"/>
      <c r="FH250" s="754"/>
      <c r="FI250" s="754"/>
      <c r="FJ250" s="754"/>
      <c r="FK250" s="754"/>
      <c r="FL250" s="690"/>
      <c r="FM250" s="708"/>
      <c r="FN250" s="708"/>
      <c r="FO250" s="723"/>
      <c r="FP250" s="723"/>
      <c r="FQ250" s="723"/>
      <c r="FR250" s="723"/>
      <c r="FS250" s="723"/>
      <c r="FT250" s="723"/>
      <c r="FU250" s="690"/>
      <c r="FV250"/>
      <c r="FW250"/>
      <c r="FX250"/>
      <c r="FY250"/>
      <c r="FZ250"/>
      <c r="GA250"/>
      <c r="GB250" s="961"/>
      <c r="GC250" s="535"/>
      <c r="GD250" s="535"/>
      <c r="GE250" s="535"/>
      <c r="GF250" s="535"/>
      <c r="GG250" s="535"/>
      <c r="GH250" s="535"/>
      <c r="GI250" s="535"/>
      <c r="GJ250" s="535"/>
      <c r="GK250" s="535"/>
      <c r="GL250" s="535"/>
      <c r="GM250" s="535"/>
      <c r="GN250" s="535"/>
      <c r="GO250" s="535"/>
      <c r="GP250" s="535"/>
      <c r="GQ250" s="535"/>
      <c r="GR250" s="535"/>
      <c r="GS250" s="535"/>
      <c r="GT250" s="535"/>
      <c r="GU250" s="535"/>
      <c r="GV250" s="535"/>
      <c r="GW250" s="535"/>
      <c r="GX250" s="535"/>
      <c r="GY250" s="535"/>
      <c r="GZ250" s="535"/>
      <c r="HA250" s="535"/>
      <c r="HB250" s="535"/>
      <c r="HC250" s="535"/>
      <c r="HD250" s="535"/>
      <c r="HE250" s="535"/>
      <c r="HF250" s="535"/>
      <c r="HG250" s="535"/>
      <c r="HH250" s="535"/>
      <c r="HI250" s="535"/>
      <c r="HJ250" s="535"/>
      <c r="HK250" s="535"/>
      <c r="HL250" s="535"/>
      <c r="HM250" s="535"/>
      <c r="HN250" s="535"/>
      <c r="HO250" s="535"/>
      <c r="HP250" s="535"/>
      <c r="HQ250" s="535"/>
      <c r="HR250" s="535"/>
      <c r="HS250" s="535"/>
      <c r="HT250" s="535"/>
      <c r="HU250" s="535"/>
      <c r="HV250" s="535"/>
      <c r="HW250" s="535"/>
      <c r="HX250" s="535"/>
      <c r="HY250" s="535"/>
      <c r="HZ250" s="535"/>
      <c r="IA250" s="535"/>
      <c r="IB250" s="535"/>
      <c r="IC250" s="535"/>
      <c r="ID250" s="535"/>
      <c r="IE250" s="535"/>
      <c r="IF250" s="535"/>
      <c r="IG250" s="535"/>
      <c r="IH250" s="535"/>
      <c r="II250" s="535"/>
      <c r="IJ250" s="535"/>
      <c r="IK250" s="535"/>
      <c r="IL250" s="535"/>
      <c r="IM250" s="535"/>
      <c r="IN250" s="535"/>
      <c r="IO250" s="535"/>
      <c r="IP250" s="535"/>
      <c r="IQ250" s="535"/>
      <c r="IR250" s="535"/>
      <c r="IS250" s="535"/>
      <c r="IT250" s="535"/>
      <c r="IU250" s="535"/>
      <c r="IV250" s="535"/>
      <c r="IW250" s="535"/>
      <c r="IX250" s="535"/>
      <c r="IY250" s="535"/>
      <c r="IZ250" s="535"/>
      <c r="JA250" s="535"/>
      <c r="JB250" s="535"/>
      <c r="JC250" s="535"/>
      <c r="JD250" s="535"/>
      <c r="JE250" s="535"/>
      <c r="JF250" s="535"/>
      <c r="JG250" s="535"/>
      <c r="JH250" s="535"/>
      <c r="JI250" s="535"/>
      <c r="JJ250" s="535"/>
      <c r="JK250" s="535"/>
      <c r="JL250" s="535"/>
    </row>
    <row r="251" spans="1:272" s="1603" customFormat="1" ht="12.75" hidden="1" customHeight="1" outlineLevel="1">
      <c r="A251" s="58" t="s">
        <v>85</v>
      </c>
      <c r="B251" s="799"/>
      <c r="C251" s="799"/>
      <c r="D251" s="799"/>
      <c r="E251" s="799"/>
      <c r="F251" s="1600"/>
      <c r="G251" s="799"/>
      <c r="H251" s="799"/>
      <c r="I251" s="799"/>
      <c r="J251" s="799"/>
      <c r="K251" s="1600"/>
      <c r="L251" s="799"/>
      <c r="M251" s="799"/>
      <c r="N251" s="799"/>
      <c r="O251" s="799"/>
      <c r="P251" s="1600"/>
      <c r="Q251" s="799"/>
      <c r="R251" s="799"/>
      <c r="S251" s="799"/>
      <c r="T251" s="799"/>
      <c r="U251" s="1600"/>
      <c r="V251" s="799"/>
      <c r="W251" s="799"/>
      <c r="X251" s="799"/>
      <c r="Y251" s="799"/>
      <c r="Z251" s="1600"/>
      <c r="AA251" s="799"/>
      <c r="AB251" s="799"/>
      <c r="AC251" s="799"/>
      <c r="AD251" s="799"/>
      <c r="AE251" s="1600"/>
      <c r="AF251" s="799"/>
      <c r="AG251" s="799"/>
      <c r="AH251" s="799"/>
      <c r="AI251" s="799"/>
      <c r="AJ251" s="1600"/>
      <c r="AK251" s="799"/>
      <c r="AL251" s="799"/>
      <c r="AM251" s="799"/>
      <c r="AN251" s="799"/>
      <c r="AO251" s="1600"/>
      <c r="AP251" s="799"/>
      <c r="AQ251" s="799"/>
      <c r="AR251" s="799"/>
      <c r="AS251" s="799"/>
      <c r="AT251" s="1600"/>
      <c r="AU251" s="799"/>
      <c r="AV251" s="799"/>
      <c r="AW251" s="799"/>
      <c r="AX251" s="799"/>
      <c r="AY251" s="1600"/>
      <c r="AZ251" s="799"/>
      <c r="BA251" s="799"/>
      <c r="BB251" s="799"/>
      <c r="BC251" s="799"/>
      <c r="BD251" s="1600"/>
      <c r="BE251" s="799"/>
      <c r="BF251" s="799"/>
      <c r="BG251" s="799"/>
      <c r="BH251" s="799"/>
      <c r="BI251" s="1600"/>
      <c r="BJ251" s="799"/>
      <c r="BK251" s="799"/>
      <c r="BL251" s="799"/>
      <c r="BM251" s="799"/>
      <c r="BN251" s="1600"/>
      <c r="BO251" s="799"/>
      <c r="BP251" s="799"/>
      <c r="BQ251" s="799"/>
      <c r="BR251" s="799"/>
      <c r="BS251" s="1600"/>
      <c r="BT251" s="799">
        <f t="shared" ref="BT251:EE251" si="582">BT250/BO250-1</f>
        <v>0</v>
      </c>
      <c r="BU251" s="799">
        <f t="shared" si="582"/>
        <v>0</v>
      </c>
      <c r="BV251" s="799">
        <f t="shared" si="582"/>
        <v>0</v>
      </c>
      <c r="BW251" s="799">
        <f t="shared" si="582"/>
        <v>0</v>
      </c>
      <c r="BX251" s="1600">
        <f t="shared" si="582"/>
        <v>0</v>
      </c>
      <c r="BY251" s="799">
        <f t="shared" si="582"/>
        <v>4.0000016010566242E-7</v>
      </c>
      <c r="BZ251" s="799">
        <f t="shared" si="582"/>
        <v>0</v>
      </c>
      <c r="CA251" s="799">
        <f t="shared" si="582"/>
        <v>0</v>
      </c>
      <c r="CB251" s="799">
        <f t="shared" si="582"/>
        <v>0</v>
      </c>
      <c r="CC251" s="1600">
        <f t="shared" si="582"/>
        <v>1.000000400264156E-7</v>
      </c>
      <c r="CD251" s="799">
        <f t="shared" si="582"/>
        <v>0</v>
      </c>
      <c r="CE251" s="799">
        <f t="shared" si="582"/>
        <v>0</v>
      </c>
      <c r="CF251" s="799">
        <f t="shared" si="582"/>
        <v>0</v>
      </c>
      <c r="CG251" s="799">
        <f t="shared" si="582"/>
        <v>0</v>
      </c>
      <c r="CH251" s="1600">
        <f t="shared" si="582"/>
        <v>0</v>
      </c>
      <c r="CI251" s="799">
        <f t="shared" si="582"/>
        <v>0</v>
      </c>
      <c r="CJ251" s="799">
        <f t="shared" si="582"/>
        <v>4.0000016010566242E-7</v>
      </c>
      <c r="CK251" s="799">
        <f t="shared" si="582"/>
        <v>4.0000016010566242E-7</v>
      </c>
      <c r="CL251" s="799">
        <f t="shared" si="582"/>
        <v>0</v>
      </c>
      <c r="CM251" s="1600">
        <f t="shared" si="582"/>
        <v>2.0000006006881677E-7</v>
      </c>
      <c r="CN251" s="799">
        <f t="shared" si="582"/>
        <v>0</v>
      </c>
      <c r="CO251" s="799">
        <f t="shared" si="582"/>
        <v>-4.0000000001150227E-7</v>
      </c>
      <c r="CP251" s="799">
        <f t="shared" si="582"/>
        <v>-4.0000000001150227E-7</v>
      </c>
      <c r="CQ251" s="799">
        <f t="shared" si="582"/>
        <v>0</v>
      </c>
      <c r="CR251" s="1600">
        <f t="shared" si="582"/>
        <v>-2.0000002021181018E-7</v>
      </c>
      <c r="CS251" s="799">
        <f t="shared" si="582"/>
        <v>0</v>
      </c>
      <c r="CT251" s="799">
        <f t="shared" si="582"/>
        <v>4.0000016010566242E-7</v>
      </c>
      <c r="CU251" s="799">
        <f t="shared" si="582"/>
        <v>4.0000016010566242E-7</v>
      </c>
      <c r="CV251" s="799">
        <f t="shared" si="582"/>
        <v>4.0000016010566242E-7</v>
      </c>
      <c r="CW251" s="1600">
        <f t="shared" si="582"/>
        <v>3.0000009010322515E-7</v>
      </c>
      <c r="CX251" s="799">
        <f t="shared" si="582"/>
        <v>0</v>
      </c>
      <c r="CY251" s="799">
        <f t="shared" si="582"/>
        <v>0</v>
      </c>
      <c r="CZ251" s="799">
        <f t="shared" si="582"/>
        <v>0</v>
      </c>
      <c r="DA251" s="799">
        <f t="shared" si="582"/>
        <v>0</v>
      </c>
      <c r="DB251" s="1600">
        <f t="shared" si="582"/>
        <v>0</v>
      </c>
      <c r="DC251" s="799">
        <f t="shared" si="582"/>
        <v>0</v>
      </c>
      <c r="DD251" s="799">
        <f t="shared" si="582"/>
        <v>0</v>
      </c>
      <c r="DE251" s="799">
        <f t="shared" si="582"/>
        <v>0</v>
      </c>
      <c r="DF251" s="799">
        <f t="shared" si="582"/>
        <v>0</v>
      </c>
      <c r="DG251" s="1600">
        <f t="shared" si="582"/>
        <v>0</v>
      </c>
      <c r="DH251" s="799">
        <f t="shared" si="582"/>
        <v>0</v>
      </c>
      <c r="DI251" s="799">
        <f t="shared" si="582"/>
        <v>0</v>
      </c>
      <c r="DJ251" s="799">
        <f t="shared" si="582"/>
        <v>0</v>
      </c>
      <c r="DK251" s="799">
        <f t="shared" si="582"/>
        <v>0</v>
      </c>
      <c r="DL251" s="1600">
        <f t="shared" si="582"/>
        <v>0</v>
      </c>
      <c r="DM251" s="799">
        <f t="shared" si="582"/>
        <v>0</v>
      </c>
      <c r="DN251" s="799">
        <f t="shared" si="582"/>
        <v>0</v>
      </c>
      <c r="DO251" s="799">
        <f t="shared" si="582"/>
        <v>0</v>
      </c>
      <c r="DP251" s="799">
        <f t="shared" si="582"/>
        <v>0</v>
      </c>
      <c r="DQ251" s="1600">
        <f t="shared" si="582"/>
        <v>0</v>
      </c>
      <c r="DR251" s="799">
        <f t="shared" si="582"/>
        <v>0</v>
      </c>
      <c r="DS251" s="799">
        <f t="shared" si="582"/>
        <v>0</v>
      </c>
      <c r="DT251" s="799">
        <f t="shared" si="582"/>
        <v>0</v>
      </c>
      <c r="DU251" s="799">
        <f t="shared" si="582"/>
        <v>0</v>
      </c>
      <c r="DV251" s="1600">
        <f>DV250/DQ250-1</f>
        <v>0</v>
      </c>
      <c r="DW251" s="799">
        <f t="shared" si="582"/>
        <v>0</v>
      </c>
      <c r="DX251" s="799">
        <f t="shared" si="582"/>
        <v>0</v>
      </c>
      <c r="DY251" s="799">
        <f>DY250/DT250-1</f>
        <v>0.49999999999999978</v>
      </c>
      <c r="DZ251" s="799">
        <f t="shared" si="582"/>
        <v>0.49999999999999978</v>
      </c>
      <c r="EA251" s="1600">
        <f t="shared" si="582"/>
        <v>0.25</v>
      </c>
      <c r="EB251" s="799">
        <f t="shared" si="582"/>
        <v>0.49999999999999978</v>
      </c>
      <c r="EC251" s="799">
        <f t="shared" si="582"/>
        <v>0.49999999999999978</v>
      </c>
      <c r="ED251" s="799">
        <f t="shared" si="582"/>
        <v>0</v>
      </c>
      <c r="EE251" s="799">
        <f t="shared" si="582"/>
        <v>0</v>
      </c>
      <c r="EF251" s="1600">
        <f t="shared" ref="EF251" si="583">EF250/EA250-1</f>
        <v>0.19999999999999996</v>
      </c>
      <c r="EG251" s="1601"/>
      <c r="EH251" s="1601"/>
      <c r="EI251" s="1601"/>
      <c r="EJ251" s="1601"/>
      <c r="EK251" s="1565">
        <f>+EK232</f>
        <v>0.61109894865564063</v>
      </c>
      <c r="EL251" s="1493"/>
      <c r="EM251" s="1493"/>
      <c r="EN251" s="1493"/>
      <c r="EO251" s="1493"/>
      <c r="EP251" s="1565">
        <f>+EP232</f>
        <v>0.1907194995236825</v>
      </c>
      <c r="EQ251" s="1493"/>
      <c r="ER251" s="1493"/>
      <c r="ES251" s="1493"/>
      <c r="ET251" s="1493"/>
      <c r="EU251" s="1565">
        <f>+EU232</f>
        <v>0.19535294261895086</v>
      </c>
      <c r="EV251" s="1493"/>
      <c r="EW251" s="1493"/>
      <c r="EX251" s="1493"/>
      <c r="EY251" s="1493"/>
      <c r="EZ251" s="1565">
        <f>+EZ232</f>
        <v>0.10189873194779131</v>
      </c>
      <c r="FA251" s="1493"/>
      <c r="FB251" s="1493"/>
      <c r="FC251" s="1493"/>
      <c r="FD251" s="1493"/>
      <c r="FE251" s="1565">
        <f>+FE232</f>
        <v>9.7516312149206863E-2</v>
      </c>
      <c r="FF251" s="721"/>
      <c r="FG251" s="690"/>
      <c r="FH251" s="754"/>
      <c r="FI251" s="754"/>
      <c r="FJ251" s="754"/>
      <c r="FK251" s="754"/>
      <c r="FL251" s="690"/>
      <c r="FM251" s="708"/>
      <c r="FN251" s="708"/>
      <c r="FO251" s="723"/>
      <c r="FP251" s="723"/>
      <c r="FQ251" s="723"/>
      <c r="FR251" s="723"/>
      <c r="FS251" s="723"/>
      <c r="FT251" s="723"/>
      <c r="FU251" s="690"/>
      <c r="FV251"/>
      <c r="FW251"/>
      <c r="FX251"/>
      <c r="FY251"/>
      <c r="FZ251"/>
      <c r="GA251"/>
      <c r="GB251" s="1602"/>
      <c r="GC251" s="532"/>
      <c r="GD251" s="532"/>
      <c r="GE251" s="532"/>
      <c r="GF251" s="532"/>
      <c r="GG251" s="532"/>
      <c r="GH251" s="532"/>
      <c r="GI251" s="532"/>
      <c r="GJ251" s="532"/>
      <c r="GK251" s="532"/>
      <c r="GL251" s="532"/>
      <c r="GM251" s="532"/>
      <c r="GN251" s="532"/>
      <c r="GO251" s="532"/>
      <c r="GP251" s="532"/>
      <c r="GQ251" s="532"/>
      <c r="GR251" s="532"/>
      <c r="GS251" s="532"/>
      <c r="GT251" s="532"/>
      <c r="GU251" s="532"/>
      <c r="GV251" s="532"/>
      <c r="GW251" s="532"/>
      <c r="GX251" s="532"/>
      <c r="GY251" s="532"/>
      <c r="GZ251" s="532"/>
      <c r="HA251" s="532"/>
      <c r="HB251" s="532"/>
      <c r="HC251" s="532"/>
      <c r="HD251" s="532"/>
      <c r="HE251" s="532"/>
      <c r="HF251" s="532"/>
      <c r="HG251" s="532"/>
      <c r="HH251" s="532"/>
      <c r="HI251" s="532"/>
      <c r="HJ251" s="532"/>
      <c r="HK251" s="532"/>
      <c r="HL251" s="532"/>
      <c r="HM251" s="532"/>
      <c r="HN251" s="532"/>
      <c r="HO251" s="532"/>
      <c r="HP251" s="532"/>
      <c r="HQ251" s="532"/>
      <c r="HR251" s="532"/>
      <c r="HS251" s="532"/>
      <c r="HT251" s="532"/>
      <c r="HU251" s="532"/>
      <c r="HV251" s="532"/>
      <c r="HW251" s="532"/>
      <c r="HX251" s="532"/>
      <c r="HY251" s="532"/>
      <c r="HZ251" s="532"/>
      <c r="IA251" s="532"/>
      <c r="IB251" s="532"/>
      <c r="IC251" s="532"/>
      <c r="ID251" s="532"/>
      <c r="IE251" s="532"/>
      <c r="IF251" s="532"/>
      <c r="IG251" s="532"/>
      <c r="IH251" s="532"/>
      <c r="II251" s="532"/>
      <c r="IJ251" s="532"/>
      <c r="IK251" s="532"/>
      <c r="IL251" s="532"/>
      <c r="IM251" s="532"/>
      <c r="IN251" s="532"/>
      <c r="IO251" s="532"/>
      <c r="IP251" s="532"/>
      <c r="IQ251" s="532"/>
      <c r="IR251" s="532"/>
      <c r="IS251" s="532"/>
      <c r="IT251" s="532"/>
      <c r="IU251" s="532"/>
      <c r="IV251" s="532"/>
      <c r="IW251" s="532"/>
      <c r="IX251" s="532"/>
      <c r="IY251" s="532"/>
      <c r="IZ251" s="532"/>
      <c r="JA251" s="532"/>
      <c r="JB251" s="532"/>
      <c r="JC251" s="532"/>
      <c r="JD251" s="532"/>
      <c r="JE251" s="532"/>
      <c r="JF251" s="532"/>
      <c r="JG251" s="532"/>
      <c r="JH251" s="532"/>
      <c r="JI251" s="532"/>
      <c r="JJ251" s="532"/>
      <c r="JK251" s="532"/>
      <c r="JL251" s="532"/>
    </row>
    <row r="252" spans="1:272" s="726" customFormat="1" ht="12.75" hidden="1" customHeight="1" outlineLevel="1">
      <c r="A252" s="1604" t="s">
        <v>424</v>
      </c>
      <c r="B252" s="1604"/>
      <c r="C252" s="1604"/>
      <c r="D252" s="1604"/>
      <c r="E252" s="1604"/>
      <c r="F252" s="1605"/>
      <c r="G252" s="1604"/>
      <c r="H252" s="1604"/>
      <c r="I252" s="1604"/>
      <c r="J252" s="1604"/>
      <c r="K252" s="1605"/>
      <c r="L252" s="1604"/>
      <c r="M252" s="1604"/>
      <c r="N252" s="1604"/>
      <c r="O252" s="1604"/>
      <c r="P252" s="1605"/>
      <c r="Q252" s="1604"/>
      <c r="R252" s="1604"/>
      <c r="S252" s="1604"/>
      <c r="T252" s="1604"/>
      <c r="U252" s="1605"/>
      <c r="V252" s="1604"/>
      <c r="W252" s="1604"/>
      <c r="X252" s="1604"/>
      <c r="Y252" s="1604"/>
      <c r="Z252" s="1605"/>
      <c r="AA252" s="1604"/>
      <c r="AB252" s="1604"/>
      <c r="AC252" s="1604"/>
      <c r="AD252" s="1604"/>
      <c r="AE252" s="1605"/>
      <c r="AF252" s="1604"/>
      <c r="AG252" s="1604"/>
      <c r="AH252" s="1604"/>
      <c r="AI252" s="1604"/>
      <c r="AJ252" s="1605"/>
      <c r="AK252" s="1604"/>
      <c r="AL252" s="1604"/>
      <c r="AM252" s="1604"/>
      <c r="AN252" s="1604"/>
      <c r="AO252" s="1605"/>
      <c r="AP252" s="1604"/>
      <c r="AQ252" s="1604"/>
      <c r="AR252" s="1604"/>
      <c r="AS252" s="1604"/>
      <c r="AT252" s="1605"/>
      <c r="AU252" s="1604"/>
      <c r="AV252" s="1604"/>
      <c r="AW252" s="1604"/>
      <c r="AX252" s="1604"/>
      <c r="AY252" s="1605"/>
      <c r="AZ252" s="1604"/>
      <c r="BA252" s="1604"/>
      <c r="BB252" s="1604"/>
      <c r="BC252" s="1604"/>
      <c r="BD252" s="1605"/>
      <c r="BE252" s="1604"/>
      <c r="BF252" s="1604"/>
      <c r="BG252" s="1604"/>
      <c r="BH252" s="1604"/>
      <c r="BI252" s="1605"/>
      <c r="BJ252" s="1604"/>
      <c r="BK252" s="1604"/>
      <c r="BL252" s="1604"/>
      <c r="BM252" s="1604"/>
      <c r="BN252" s="1605"/>
      <c r="BO252" s="1604">
        <f t="shared" ref="BO252:DZ252" si="584">BO250/BO231</f>
        <v>0.45924462663829152</v>
      </c>
      <c r="BP252" s="1604">
        <f t="shared" si="584"/>
        <v>0.30767940402450528</v>
      </c>
      <c r="BQ252" s="1604">
        <f t="shared" si="584"/>
        <v>0.24804835089101798</v>
      </c>
      <c r="BR252" s="1604">
        <f t="shared" si="584"/>
        <v>0.39693723955609528</v>
      </c>
      <c r="BS252" s="1605">
        <f t="shared" si="584"/>
        <v>0.33382729036867032</v>
      </c>
      <c r="BT252" s="1604">
        <f t="shared" si="584"/>
        <v>0.29641495407973928</v>
      </c>
      <c r="BU252" s="1604">
        <f t="shared" si="584"/>
        <v>0.21154745827606908</v>
      </c>
      <c r="BV252" s="1604">
        <f t="shared" si="584"/>
        <v>0.17266787316342319</v>
      </c>
      <c r="BW252" s="1604">
        <f t="shared" si="584"/>
        <v>0.17139757539723799</v>
      </c>
      <c r="BX252" s="1605">
        <f t="shared" si="584"/>
        <v>0.20186432938627649</v>
      </c>
      <c r="BY252" s="1604">
        <f t="shared" si="584"/>
        <v>0.19566292564949084</v>
      </c>
      <c r="BZ252" s="1604">
        <f t="shared" si="584"/>
        <v>0.16352189760469485</v>
      </c>
      <c r="CA252" s="1604">
        <f t="shared" si="584"/>
        <v>0.13735311318435076</v>
      </c>
      <c r="CB252" s="1604">
        <f t="shared" si="584"/>
        <v>0.15381725777728927</v>
      </c>
      <c r="CC252" s="1605">
        <f t="shared" si="584"/>
        <v>0.16017182604704083</v>
      </c>
      <c r="CD252" s="1604">
        <f t="shared" si="584"/>
        <v>0.13764232694643824</v>
      </c>
      <c r="CE252" s="1604">
        <f t="shared" si="584"/>
        <v>8.2283079995331035E-2</v>
      </c>
      <c r="CF252" s="1604">
        <f t="shared" si="584"/>
        <v>8.6604542786891725E-2</v>
      </c>
      <c r="CG252" s="1604">
        <f t="shared" si="584"/>
        <v>0.10097490549327771</v>
      </c>
      <c r="CH252" s="1605">
        <f t="shared" si="584"/>
        <v>0.1002993416791103</v>
      </c>
      <c r="CI252" s="1604">
        <f t="shared" si="584"/>
        <v>0.11524349755979525</v>
      </c>
      <c r="CJ252" s="1604">
        <f t="shared" si="584"/>
        <v>6.999368214708461E-2</v>
      </c>
      <c r="CK252" s="1604">
        <f t="shared" si="584"/>
        <v>7.9527319621515005E-2</v>
      </c>
      <c r="CL252" s="1604">
        <f t="shared" si="584"/>
        <v>5.499670234761183E-2</v>
      </c>
      <c r="CM252" s="1605">
        <f t="shared" si="584"/>
        <v>7.5102435135687942E-2</v>
      </c>
      <c r="CN252" s="1604">
        <f t="shared" si="584"/>
        <v>0.20376718524215037</v>
      </c>
      <c r="CO252" s="1604">
        <f t="shared" si="584"/>
        <v>0.10093166135134932</v>
      </c>
      <c r="CP252" s="1604">
        <f t="shared" si="584"/>
        <v>0.12790449138627275</v>
      </c>
      <c r="CQ252" s="1604">
        <f t="shared" si="584"/>
        <v>0.12865618730343331</v>
      </c>
      <c r="CR252" s="1605">
        <f t="shared" si="584"/>
        <v>0.13174290398232608</v>
      </c>
      <c r="CS252" s="1604">
        <f t="shared" si="584"/>
        <v>0.21212535136802224</v>
      </c>
      <c r="CT252" s="1604">
        <f t="shared" si="584"/>
        <v>0.1018037384953137</v>
      </c>
      <c r="CU252" s="1604">
        <f t="shared" si="584"/>
        <v>0.1236694384034797</v>
      </c>
      <c r="CV252" s="1604">
        <f t="shared" si="584"/>
        <v>-9.1689804780956632E-2</v>
      </c>
      <c r="CW252" s="1605">
        <f t="shared" si="584"/>
        <v>0.32031364133636303</v>
      </c>
      <c r="CX252" s="1604">
        <f t="shared" si="584"/>
        <v>-0.2398145570280707</v>
      </c>
      <c r="CY252" s="1604">
        <f t="shared" si="584"/>
        <v>0.15699161230483855</v>
      </c>
      <c r="CZ252" s="1604">
        <f t="shared" si="584"/>
        <v>0.36686732878742961</v>
      </c>
      <c r="DA252" s="1604">
        <f t="shared" si="584"/>
        <v>-2.543166925868328</v>
      </c>
      <c r="DB252" s="1605">
        <f t="shared" si="584"/>
        <v>0.65623269401406081</v>
      </c>
      <c r="DC252" s="1604">
        <f t="shared" si="584"/>
        <v>-6.63114274193551</v>
      </c>
      <c r="DD252" s="1604">
        <f t="shared" si="584"/>
        <v>0.37771338815552191</v>
      </c>
      <c r="DE252" s="1604">
        <f t="shared" si="584"/>
        <v>0.45707398332912386</v>
      </c>
      <c r="DF252" s="1604">
        <f t="shared" si="584"/>
        <v>4.9959094765342966</v>
      </c>
      <c r="DG252" s="1605">
        <f t="shared" si="584"/>
        <v>0.84251949451333008</v>
      </c>
      <c r="DH252" s="1604">
        <f t="shared" si="584"/>
        <v>0.41607727917568893</v>
      </c>
      <c r="DI252" s="1604">
        <f t="shared" si="584"/>
        <v>0.19079622391407791</v>
      </c>
      <c r="DJ252" s="1604">
        <f t="shared" si="584"/>
        <v>0.19265769706124694</v>
      </c>
      <c r="DK252" s="1604">
        <f t="shared" si="584"/>
        <v>0.38288180640763469</v>
      </c>
      <c r="DL252" s="1605">
        <f t="shared" si="584"/>
        <v>0.25879185572604579</v>
      </c>
      <c r="DM252" s="1604">
        <f t="shared" si="584"/>
        <v>0.22119125186757882</v>
      </c>
      <c r="DN252" s="1604">
        <f t="shared" si="584"/>
        <v>0.15209616524738603</v>
      </c>
      <c r="DO252" s="1604">
        <f t="shared" si="584"/>
        <v>0.22314074849826115</v>
      </c>
      <c r="DP252" s="1604">
        <f>DP250/DP231</f>
        <v>0.38538540345133365</v>
      </c>
      <c r="DQ252" s="1605">
        <f t="shared" si="584"/>
        <v>0.22014351897919177</v>
      </c>
      <c r="DR252" s="1604">
        <f t="shared" si="584"/>
        <v>0.53682789553368671</v>
      </c>
      <c r="DS252" s="1604">
        <f t="shared" si="584"/>
        <v>0.15000326021120272</v>
      </c>
      <c r="DT252" s="1604">
        <f t="shared" si="584"/>
        <v>0.17221938873543893</v>
      </c>
      <c r="DU252" s="1604">
        <f t="shared" si="584"/>
        <v>0.44047166934804277</v>
      </c>
      <c r="DV252" s="1605">
        <f t="shared" si="584"/>
        <v>0.24082770752987293</v>
      </c>
      <c r="DW252" s="1604">
        <f t="shared" si="584"/>
        <v>0.49891674325847579</v>
      </c>
      <c r="DX252" s="1604">
        <f t="shared" si="584"/>
        <v>0.10947759203036053</v>
      </c>
      <c r="DY252" s="1604">
        <f t="shared" si="584"/>
        <v>0.18818181612611448</v>
      </c>
      <c r="DZ252" s="1604">
        <f t="shared" si="584"/>
        <v>0.36878870798319319</v>
      </c>
      <c r="EA252" s="1605">
        <f t="shared" ref="EA252:EF252" si="585">EA250/EA231</f>
        <v>0.2150420040560882</v>
      </c>
      <c r="EB252" s="1604">
        <f t="shared" si="585"/>
        <v>0.38454162740522219</v>
      </c>
      <c r="EC252" s="1604">
        <f>EC250/EC231</f>
        <v>0.19846196154726484</v>
      </c>
      <c r="ED252" s="1604">
        <f t="shared" si="585"/>
        <v>0.19441843125179439</v>
      </c>
      <c r="EE252" s="1604">
        <f t="shared" si="585"/>
        <v>0.2366029818863194</v>
      </c>
      <c r="EF252" s="1605">
        <f t="shared" si="585"/>
        <v>0.23528558681152018</v>
      </c>
      <c r="EG252" s="1606"/>
      <c r="EH252" s="1606"/>
      <c r="EI252" s="1606"/>
      <c r="EJ252" s="1606"/>
      <c r="EK252" s="1605">
        <f>EK250/EK231</f>
        <v>0.23528558681152018</v>
      </c>
      <c r="EL252" s="1606"/>
      <c r="EM252" s="1606"/>
      <c r="EN252" s="1606"/>
      <c r="EO252" s="1606"/>
      <c r="EP252" s="1605">
        <f>EP250/EP231</f>
        <v>0.23528558681152015</v>
      </c>
      <c r="EQ252" s="1606"/>
      <c r="ER252" s="1606"/>
      <c r="ES252" s="1606"/>
      <c r="ET252" s="1606"/>
      <c r="EU252" s="1605">
        <f>EU250/EU231</f>
        <v>0.23528558681152015</v>
      </c>
      <c r="EV252" s="1606"/>
      <c r="EW252" s="1606"/>
      <c r="EX252" s="1606"/>
      <c r="EY252" s="1606"/>
      <c r="EZ252" s="1605">
        <f>EZ250/EZ231</f>
        <v>0.23528558681152018</v>
      </c>
      <c r="FA252" s="1606"/>
      <c r="FB252" s="1606"/>
      <c r="FC252" s="1606"/>
      <c r="FD252" s="1606"/>
      <c r="FE252" s="1605">
        <f>FE250/FE231</f>
        <v>0.23528558681152018</v>
      </c>
      <c r="FF252" s="721"/>
      <c r="FG252" s="690"/>
      <c r="FH252" s="754"/>
      <c r="FI252" s="754"/>
      <c r="FJ252" s="754"/>
      <c r="FK252" s="754"/>
      <c r="FL252" s="690"/>
      <c r="FM252" s="708"/>
      <c r="FN252" s="708"/>
      <c r="FO252" s="723"/>
      <c r="FP252" s="723"/>
      <c r="FQ252" s="723"/>
      <c r="FR252" s="723"/>
      <c r="FS252" s="723"/>
      <c r="FT252" s="723"/>
      <c r="FU252" s="690"/>
      <c r="FV252"/>
      <c r="FW252"/>
      <c r="FX252"/>
      <c r="FY252"/>
      <c r="FZ252"/>
      <c r="GA252"/>
      <c r="GB252" s="961"/>
      <c r="GC252" s="535"/>
      <c r="GD252" s="535"/>
      <c r="GE252" s="535"/>
      <c r="GF252" s="535"/>
      <c r="GG252" s="535"/>
      <c r="GH252" s="535"/>
      <c r="GI252" s="535"/>
      <c r="GJ252" s="535"/>
      <c r="GK252" s="535"/>
      <c r="GL252" s="535"/>
      <c r="GM252" s="535"/>
      <c r="GN252" s="535"/>
      <c r="GO252" s="535"/>
      <c r="GP252" s="535"/>
      <c r="GQ252" s="535"/>
      <c r="GR252" s="535"/>
      <c r="GS252" s="535"/>
      <c r="GT252" s="535"/>
      <c r="GU252" s="535"/>
      <c r="GV252" s="535"/>
      <c r="GW252" s="535"/>
      <c r="GX252" s="535"/>
      <c r="GY252" s="535"/>
      <c r="GZ252" s="535"/>
      <c r="HA252" s="535"/>
      <c r="HB252" s="535"/>
      <c r="HC252" s="535"/>
      <c r="HD252" s="535"/>
      <c r="HE252" s="535"/>
      <c r="HF252" s="535"/>
      <c r="HG252" s="535"/>
      <c r="HH252" s="535"/>
      <c r="HI252" s="535"/>
      <c r="HJ252" s="535"/>
      <c r="HK252" s="535"/>
      <c r="HL252" s="535"/>
      <c r="HM252" s="535"/>
      <c r="HN252" s="535"/>
      <c r="HO252" s="535"/>
      <c r="HP252" s="535"/>
      <c r="HQ252" s="535"/>
      <c r="HR252" s="535"/>
      <c r="HS252" s="535"/>
      <c r="HT252" s="535"/>
      <c r="HU252" s="535"/>
      <c r="HV252" s="535"/>
      <c r="HW252" s="535"/>
      <c r="HX252" s="535"/>
      <c r="HY252" s="535"/>
      <c r="HZ252" s="535"/>
      <c r="IA252" s="535"/>
      <c r="IB252" s="535"/>
      <c r="IC252" s="535"/>
      <c r="ID252" s="535"/>
      <c r="IE252" s="535"/>
      <c r="IF252" s="535"/>
      <c r="IG252" s="535"/>
      <c r="IH252" s="535"/>
      <c r="II252" s="535"/>
      <c r="IJ252" s="535"/>
      <c r="IK252" s="535"/>
      <c r="IL252" s="535"/>
      <c r="IM252" s="535"/>
      <c r="IN252" s="535"/>
      <c r="IO252" s="535"/>
      <c r="IP252" s="535"/>
      <c r="IQ252" s="535"/>
      <c r="IR252" s="535"/>
      <c r="IS252" s="535"/>
      <c r="IT252" s="535"/>
      <c r="IU252" s="535"/>
      <c r="IV252" s="535"/>
      <c r="IW252" s="535"/>
      <c r="IX252" s="535"/>
      <c r="IY252" s="535"/>
      <c r="IZ252" s="535"/>
      <c r="JA252" s="535"/>
      <c r="JB252" s="535"/>
      <c r="JC252" s="535"/>
      <c r="JD252" s="535"/>
      <c r="JE252" s="535"/>
      <c r="JF252" s="535"/>
      <c r="JG252" s="535"/>
      <c r="JH252" s="535"/>
      <c r="JI252" s="535"/>
      <c r="JJ252" s="535"/>
      <c r="JK252" s="535"/>
      <c r="JL252" s="535"/>
    </row>
    <row r="253" spans="1:272" s="532" customFormat="1" ht="12.75" hidden="1" customHeight="1" outlineLevel="1">
      <c r="A253" s="1607" t="s">
        <v>425</v>
      </c>
      <c r="B253" s="1608"/>
      <c r="C253" s="1608"/>
      <c r="D253" s="1608"/>
      <c r="E253" s="1608"/>
      <c r="F253" s="1609"/>
      <c r="G253" s="1608"/>
      <c r="H253" s="1608"/>
      <c r="I253" s="1608"/>
      <c r="J253" s="1608"/>
      <c r="K253" s="1609"/>
      <c r="L253" s="1608"/>
      <c r="M253" s="1608"/>
      <c r="N253" s="1608"/>
      <c r="O253" s="1608"/>
      <c r="P253" s="1609"/>
      <c r="Q253" s="1608"/>
      <c r="R253" s="1608"/>
      <c r="S253" s="1608"/>
      <c r="T253" s="1608"/>
      <c r="U253" s="1609"/>
      <c r="V253" s="1608"/>
      <c r="W253" s="1608"/>
      <c r="X253" s="1608"/>
      <c r="Y253" s="1608"/>
      <c r="Z253" s="1609"/>
      <c r="AA253" s="1608"/>
      <c r="AB253" s="1608"/>
      <c r="AC253" s="1608"/>
      <c r="AD253" s="1608"/>
      <c r="AE253" s="1609"/>
      <c r="AF253" s="1608"/>
      <c r="AG253" s="1608"/>
      <c r="AH253" s="1608"/>
      <c r="AI253" s="1608"/>
      <c r="AJ253" s="1609"/>
      <c r="AK253" s="1608"/>
      <c r="AL253" s="1608"/>
      <c r="AM253" s="1608"/>
      <c r="AN253" s="1608"/>
      <c r="AO253" s="1609"/>
      <c r="AP253" s="1608"/>
      <c r="AQ253" s="1608"/>
      <c r="AR253" s="1608"/>
      <c r="AS253" s="1608"/>
      <c r="AT253" s="1609"/>
      <c r="AU253" s="1608"/>
      <c r="AV253" s="1608"/>
      <c r="AW253" s="1608"/>
      <c r="AX253" s="1608"/>
      <c r="AY253" s="1609"/>
      <c r="AZ253" s="1608"/>
      <c r="BA253" s="1608"/>
      <c r="BB253" s="1608"/>
      <c r="BC253" s="1608"/>
      <c r="BD253" s="1609"/>
      <c r="BE253" s="1608"/>
      <c r="BF253" s="1608"/>
      <c r="BG253" s="1608"/>
      <c r="BH253" s="1608"/>
      <c r="BI253" s="1609"/>
      <c r="BJ253" s="1608"/>
      <c r="BK253" s="1608"/>
      <c r="BL253" s="1608"/>
      <c r="BM253" s="1608"/>
      <c r="BN253" s="1609"/>
      <c r="BO253" s="1608"/>
      <c r="BP253" s="1608"/>
      <c r="BQ253" s="1608"/>
      <c r="BR253" s="1608"/>
      <c r="BS253" s="1609"/>
      <c r="BT253" s="1608"/>
      <c r="BU253" s="1608"/>
      <c r="BV253" s="1608"/>
      <c r="BW253" s="1608"/>
      <c r="BX253" s="1609"/>
      <c r="BY253" s="1608"/>
      <c r="BZ253" s="1608"/>
      <c r="CA253" s="1608"/>
      <c r="CB253" s="1608"/>
      <c r="CC253" s="1609"/>
      <c r="CD253" s="1608"/>
      <c r="CE253" s="1608"/>
      <c r="CF253" s="1608"/>
      <c r="CG253" s="1608"/>
      <c r="CH253" s="1609"/>
      <c r="CI253" s="1608"/>
      <c r="CJ253" s="1608"/>
      <c r="CK253" s="1608"/>
      <c r="CL253" s="1608"/>
      <c r="CM253" s="1609"/>
      <c r="CN253" s="1608"/>
      <c r="CO253" s="1608"/>
      <c r="CP253" s="1608"/>
      <c r="CQ253" s="1608"/>
      <c r="CR253" s="1609"/>
      <c r="CS253" s="1608"/>
      <c r="CT253" s="1608"/>
      <c r="CU253" s="1608"/>
      <c r="CV253" s="1608"/>
      <c r="CW253" s="1609"/>
      <c r="CX253" s="1610"/>
      <c r="CY253" s="1610"/>
      <c r="CZ253" s="1610"/>
      <c r="DA253" s="1610"/>
      <c r="DB253" s="1609"/>
      <c r="DC253" s="1610"/>
      <c r="DD253" s="1610"/>
      <c r="DE253" s="1610"/>
      <c r="DF253" s="1610"/>
      <c r="DG253" s="1609"/>
      <c r="DH253" s="1610"/>
      <c r="DI253" s="1610"/>
      <c r="DJ253" s="1610"/>
      <c r="DK253" s="1610"/>
      <c r="DL253" s="1609"/>
      <c r="DM253" s="1610"/>
      <c r="DN253" s="1610"/>
      <c r="DO253" s="1610"/>
      <c r="DP253" s="1610"/>
      <c r="DQ253" s="1609"/>
      <c r="DR253" s="1610"/>
      <c r="DS253" s="1610"/>
      <c r="DT253" s="1610"/>
      <c r="DU253" s="1610"/>
      <c r="DV253" s="1609"/>
      <c r="DW253" s="1610"/>
      <c r="DX253" s="1610"/>
      <c r="DY253" s="1610"/>
      <c r="DZ253" s="1610"/>
      <c r="EA253" s="1609"/>
      <c r="EB253" s="1610"/>
      <c r="EC253" s="1610"/>
      <c r="ED253" s="1610"/>
      <c r="EE253" s="1905">
        <f>47.6*EE239%</f>
        <v>27.617506196000001</v>
      </c>
      <c r="EF253" s="1609"/>
      <c r="EG253" s="1610"/>
      <c r="EH253" s="1610"/>
      <c r="EI253" s="1610"/>
      <c r="EJ253" s="1610"/>
      <c r="EK253" s="1609"/>
      <c r="EL253" s="1610"/>
      <c r="EM253" s="1610"/>
      <c r="EN253" s="1610"/>
      <c r="EO253" s="1610"/>
      <c r="EP253" s="1609"/>
      <c r="EQ253" s="1610"/>
      <c r="ER253" s="1610"/>
      <c r="ES253" s="1610"/>
      <c r="ET253" s="1610"/>
      <c r="EU253" s="1609"/>
      <c r="EV253" s="1610"/>
      <c r="EW253" s="1610"/>
      <c r="EX253" s="1610"/>
      <c r="EY253" s="1610"/>
      <c r="EZ253" s="1609"/>
      <c r="FA253" s="1610"/>
      <c r="FB253" s="1610"/>
      <c r="FC253" s="1610"/>
      <c r="FD253" s="1610"/>
      <c r="FE253" s="1609"/>
      <c r="FF253" s="711"/>
      <c r="FG253" s="690"/>
      <c r="FH253" s="754"/>
      <c r="FI253" s="754"/>
      <c r="FJ253" s="754"/>
      <c r="FK253" s="754"/>
      <c r="FL253" s="690"/>
      <c r="FM253" s="1034"/>
      <c r="FN253" s="1034"/>
      <c r="FO253" s="1155"/>
      <c r="FP253" s="1155"/>
      <c r="FQ253" s="1155"/>
      <c r="FR253" s="1155"/>
      <c r="FS253" s="1155"/>
      <c r="FT253" s="1155"/>
      <c r="FU253" s="690"/>
      <c r="FV253"/>
      <c r="FW253"/>
      <c r="FX253"/>
      <c r="FY253"/>
      <c r="FZ253"/>
      <c r="GA253"/>
      <c r="GB253" s="1611"/>
    </row>
    <row r="254" spans="1:272" s="942" customFormat="1" ht="12.75" hidden="1" customHeight="1" outlineLevel="1">
      <c r="A254" s="1071" t="s">
        <v>426</v>
      </c>
      <c r="B254" s="938"/>
      <c r="C254" s="938"/>
      <c r="D254" s="938"/>
      <c r="E254" s="938"/>
      <c r="F254" s="1196"/>
      <c r="G254" s="938"/>
      <c r="H254" s="938"/>
      <c r="I254" s="938"/>
      <c r="J254" s="938"/>
      <c r="K254" s="1196"/>
      <c r="L254" s="938"/>
      <c r="M254" s="938"/>
      <c r="N254" s="938"/>
      <c r="O254" s="938"/>
      <c r="P254" s="1196"/>
      <c r="Q254" s="938"/>
      <c r="R254" s="938"/>
      <c r="S254" s="938"/>
      <c r="T254" s="938"/>
      <c r="U254" s="1196"/>
      <c r="V254" s="938"/>
      <c r="W254" s="938"/>
      <c r="X254" s="938"/>
      <c r="Y254" s="938"/>
      <c r="Z254" s="1196"/>
      <c r="AA254" s="938"/>
      <c r="AB254" s="938"/>
      <c r="AC254" s="938"/>
      <c r="AD254" s="938"/>
      <c r="AE254" s="1196"/>
      <c r="AF254" s="938"/>
      <c r="AG254" s="938"/>
      <c r="AH254" s="938"/>
      <c r="AI254" s="938"/>
      <c r="AJ254" s="1196"/>
      <c r="AK254" s="938"/>
      <c r="AL254" s="938"/>
      <c r="AM254" s="938"/>
      <c r="AN254" s="938"/>
      <c r="AO254" s="1196"/>
      <c r="AP254" s="938"/>
      <c r="AQ254" s="938"/>
      <c r="AR254" s="938"/>
      <c r="AS254" s="938"/>
      <c r="AT254" s="1196"/>
      <c r="AU254" s="938"/>
      <c r="AV254" s="938"/>
      <c r="AW254" s="938"/>
      <c r="AX254" s="938"/>
      <c r="AY254" s="1196"/>
      <c r="AZ254" s="938"/>
      <c r="BA254" s="938"/>
      <c r="BB254" s="938"/>
      <c r="BC254" s="938"/>
      <c r="BD254" s="1196"/>
      <c r="BE254" s="938"/>
      <c r="BF254" s="938"/>
      <c r="BG254" s="938"/>
      <c r="BH254" s="938"/>
      <c r="BI254" s="1196"/>
      <c r="BJ254" s="938"/>
      <c r="BK254" s="938"/>
      <c r="BL254" s="938"/>
      <c r="BM254" s="938"/>
      <c r="BN254" s="1196">
        <v>394.59100000000001</v>
      </c>
      <c r="BO254" s="938"/>
      <c r="BP254" s="938"/>
      <c r="BQ254" s="938"/>
      <c r="BR254" s="938"/>
      <c r="BS254" s="1196">
        <v>101.81100000000001</v>
      </c>
      <c r="BT254" s="938"/>
      <c r="BU254" s="1422"/>
      <c r="BV254" s="938"/>
      <c r="BW254" s="938"/>
      <c r="BX254" s="1427">
        <v>92.024000000000001</v>
      </c>
      <c r="BY254" s="938"/>
      <c r="BZ254" s="1422"/>
      <c r="CA254" s="938"/>
      <c r="CB254" s="938"/>
      <c r="CC254" s="1196">
        <v>-115.889</v>
      </c>
      <c r="CD254" s="938"/>
      <c r="CE254" s="938"/>
      <c r="CF254" s="938"/>
      <c r="CG254" s="938"/>
      <c r="CH254" s="1196">
        <v>221.762</v>
      </c>
      <c r="CI254" s="938"/>
      <c r="CJ254" s="938"/>
      <c r="CK254" s="938"/>
      <c r="CL254" s="938"/>
      <c r="CM254" s="1196">
        <v>272.33100000000002</v>
      </c>
      <c r="CN254" s="938"/>
      <c r="CO254" s="938"/>
      <c r="CP254" s="938"/>
      <c r="CQ254" s="938"/>
      <c r="CR254" s="1196">
        <v>153.77500000000001</v>
      </c>
      <c r="CS254" s="938"/>
      <c r="CT254" s="938"/>
      <c r="CU254" s="938"/>
      <c r="CV254" s="938"/>
      <c r="CW254" s="1196">
        <v>65.423000000000002</v>
      </c>
      <c r="CX254" s="938"/>
      <c r="CY254" s="938"/>
      <c r="CZ254" s="938"/>
      <c r="DA254" s="938"/>
      <c r="DB254" s="1196">
        <v>-107.747</v>
      </c>
      <c r="DC254" s="938"/>
      <c r="DD254" s="938"/>
      <c r="DE254" s="938"/>
      <c r="DF254" s="938"/>
      <c r="DG254" s="1196">
        <f>CNW!DG246</f>
        <v>3.7150000000000105</v>
      </c>
      <c r="DH254" s="938"/>
      <c r="DI254" s="938"/>
      <c r="DJ254" s="938"/>
      <c r="DK254" s="938"/>
      <c r="DL254" s="1196">
        <f>CNW!DL246</f>
        <v>88.442999999999998</v>
      </c>
      <c r="DM254" s="938">
        <f>CNW!DM246</f>
        <v>25.646000000000004</v>
      </c>
      <c r="DN254" s="938">
        <f>CNW!DN246</f>
        <v>41.765485300000002</v>
      </c>
      <c r="DO254" s="938">
        <f>CNW!DO246</f>
        <v>25.304000000000002</v>
      </c>
      <c r="DP254" s="938"/>
      <c r="DQ254" s="1196">
        <v>104.54600000000001</v>
      </c>
      <c r="DR254" s="938">
        <v>14.005000000000001</v>
      </c>
      <c r="DS254" s="938">
        <f>56.902-DR254</f>
        <v>42.896999999999998</v>
      </c>
      <c r="DT254" s="938">
        <v>30.556999999999999</v>
      </c>
      <c r="DU254" s="938">
        <f>+DV254-SUM(DR254:DT254)</f>
        <v>11.694000000000003</v>
      </c>
      <c r="DV254" s="1196">
        <v>99.153000000000006</v>
      </c>
      <c r="DW254" s="938">
        <v>12.893000000000001</v>
      </c>
      <c r="DX254" s="938">
        <f>66.56-DW254</f>
        <v>53.667000000000002</v>
      </c>
      <c r="DY254" s="938">
        <f>112.143-DX254-DW254</f>
        <v>45.582999999999998</v>
      </c>
      <c r="DZ254" s="938">
        <f>+EA254-SUM(DW254:DY254)</f>
        <v>24.895999999999987</v>
      </c>
      <c r="EA254" s="1196">
        <v>137.03899999999999</v>
      </c>
      <c r="EB254" s="938">
        <v>21.792000000000002</v>
      </c>
      <c r="EC254" s="938"/>
      <c r="ED254" s="938"/>
      <c r="EE254" s="938"/>
      <c r="EF254" s="1196">
        <f>CNW!EF246</f>
        <v>147.02937104869193</v>
      </c>
      <c r="EG254" s="938"/>
      <c r="EH254" s="938"/>
      <c r="EI254" s="938"/>
      <c r="EJ254" s="938"/>
      <c r="EK254" s="1196">
        <f>CNW!EK246</f>
        <v>235.99819127817497</v>
      </c>
      <c r="EL254" s="938"/>
      <c r="EM254" s="938"/>
      <c r="EN254" s="938"/>
      <c r="EO254" s="938"/>
      <c r="EP254" s="1196">
        <f>CNW!EP246</f>
        <v>278.22414962846005</v>
      </c>
      <c r="EQ254" s="938"/>
      <c r="ER254" s="938"/>
      <c r="ES254" s="938"/>
      <c r="ET254" s="938"/>
      <c r="EU254" s="1196">
        <f>CNW!EU246</f>
        <v>329.28206538128052</v>
      </c>
      <c r="EV254" s="938"/>
      <c r="EW254" s="938"/>
      <c r="EX254" s="938"/>
      <c r="EY254" s="938"/>
      <c r="EZ254" s="1196">
        <f>CNW!EZ246</f>
        <v>359.24214268887772</v>
      </c>
      <c r="FA254" s="938"/>
      <c r="FB254" s="938"/>
      <c r="FC254" s="938"/>
      <c r="FD254" s="938"/>
      <c r="FE254" s="1196">
        <f>CNW!FE246</f>
        <v>390.36979157372713</v>
      </c>
      <c r="FF254" s="938"/>
      <c r="FG254" s="690"/>
      <c r="FH254" s="754"/>
      <c r="FI254" s="754"/>
      <c r="FJ254" s="754"/>
      <c r="FK254" s="754"/>
      <c r="FL254" s="690"/>
      <c r="FM254" s="940"/>
      <c r="FN254" s="940"/>
      <c r="FO254" s="941"/>
      <c r="FP254" s="941"/>
      <c r="FQ254" s="941"/>
      <c r="FR254" s="941"/>
      <c r="FS254" s="941"/>
      <c r="FT254" s="941"/>
      <c r="FU254" s="690"/>
      <c r="FV254"/>
      <c r="FW254"/>
      <c r="FX254"/>
      <c r="FY254"/>
      <c r="FZ254"/>
      <c r="GA254"/>
      <c r="GB254" s="1612"/>
      <c r="GC254" s="1426"/>
      <c r="GD254" s="1426"/>
      <c r="GE254" s="1426"/>
      <c r="GF254" s="1426"/>
      <c r="GG254" s="1426"/>
      <c r="GH254" s="1426"/>
      <c r="GI254" s="1426"/>
      <c r="GJ254" s="1426"/>
      <c r="GK254" s="1426"/>
      <c r="GL254" s="1426"/>
      <c r="GM254" s="1426"/>
      <c r="GN254" s="1426"/>
      <c r="GO254" s="1426"/>
      <c r="GP254" s="1426"/>
      <c r="GQ254" s="1426"/>
      <c r="GR254" s="1426"/>
      <c r="GS254" s="1426"/>
      <c r="GT254" s="1426"/>
      <c r="GU254" s="1426"/>
      <c r="GV254" s="1426"/>
      <c r="GW254" s="1426"/>
      <c r="GX254" s="1426"/>
      <c r="GY254" s="1426"/>
      <c r="GZ254" s="1426"/>
      <c r="HA254" s="1426"/>
      <c r="HB254" s="1426"/>
      <c r="HC254" s="1426"/>
      <c r="HD254" s="1426"/>
      <c r="HE254" s="1426"/>
      <c r="HF254" s="1426"/>
      <c r="HG254" s="1426"/>
      <c r="HH254" s="1426"/>
      <c r="HI254" s="1426"/>
      <c r="HJ254" s="1426"/>
      <c r="HK254" s="1426"/>
      <c r="HL254" s="1426"/>
      <c r="HM254" s="1426"/>
      <c r="HN254" s="1426"/>
      <c r="HO254" s="1426"/>
      <c r="HP254" s="1426"/>
      <c r="HQ254" s="1426"/>
      <c r="HR254" s="1426"/>
      <c r="HS254" s="1426"/>
      <c r="HT254" s="1426"/>
      <c r="HU254" s="1426"/>
      <c r="HV254" s="1426"/>
      <c r="HW254" s="1426"/>
      <c r="HX254" s="1426"/>
      <c r="HY254" s="1426"/>
      <c r="HZ254" s="1426"/>
      <c r="IA254" s="1426"/>
      <c r="IB254" s="1426"/>
      <c r="IC254" s="1426"/>
      <c r="ID254" s="1426"/>
      <c r="IE254" s="1426"/>
      <c r="IF254" s="1426"/>
      <c r="IG254" s="1426"/>
      <c r="IH254" s="1426"/>
      <c r="II254" s="1426"/>
      <c r="IJ254" s="1426"/>
      <c r="IK254" s="1426"/>
      <c r="IL254" s="1426"/>
      <c r="IM254" s="1426"/>
      <c r="IN254" s="1426"/>
      <c r="IO254" s="1426"/>
      <c r="IP254" s="1426"/>
      <c r="IQ254" s="1426"/>
      <c r="IR254" s="1426"/>
      <c r="IS254" s="1426"/>
      <c r="IT254" s="1426"/>
      <c r="IU254" s="1426"/>
      <c r="IV254" s="1426"/>
      <c r="IW254" s="1426"/>
      <c r="IX254" s="1426"/>
      <c r="IY254" s="1426"/>
      <c r="IZ254" s="1426"/>
      <c r="JA254" s="1426"/>
      <c r="JB254" s="1426"/>
      <c r="JC254" s="1426"/>
      <c r="JD254" s="1426"/>
      <c r="JE254" s="1426"/>
      <c r="JF254" s="1426"/>
      <c r="JG254" s="1426"/>
      <c r="JH254" s="1426"/>
      <c r="JI254" s="1426"/>
      <c r="JJ254" s="1426"/>
      <c r="JK254" s="1426"/>
      <c r="JL254" s="1426"/>
    </row>
    <row r="255" spans="1:272" s="942" customFormat="1" ht="12.75" hidden="1" customHeight="1" outlineLevel="1">
      <c r="A255" s="1071" t="s">
        <v>427</v>
      </c>
      <c r="B255" s="938"/>
      <c r="C255" s="938"/>
      <c r="D255" s="938"/>
      <c r="E255" s="938"/>
      <c r="F255" s="1196"/>
      <c r="G255" s="938"/>
      <c r="H255" s="938"/>
      <c r="I255" s="938"/>
      <c r="J255" s="938"/>
      <c r="K255" s="1196"/>
      <c r="L255" s="938"/>
      <c r="M255" s="938"/>
      <c r="N255" s="938"/>
      <c r="O255" s="938"/>
      <c r="P255" s="1196"/>
      <c r="Q255" s="938"/>
      <c r="R255" s="938"/>
      <c r="S255" s="938"/>
      <c r="T255" s="938"/>
      <c r="U255" s="1196"/>
      <c r="V255" s="938"/>
      <c r="W255" s="938"/>
      <c r="X255" s="938"/>
      <c r="Y255" s="938"/>
      <c r="Z255" s="1196"/>
      <c r="AA255" s="938"/>
      <c r="AB255" s="938"/>
      <c r="AC255" s="938"/>
      <c r="AD255" s="938"/>
      <c r="AE255" s="1196"/>
      <c r="AF255" s="938"/>
      <c r="AG255" s="938"/>
      <c r="AH255" s="938"/>
      <c r="AI255" s="938"/>
      <c r="AJ255" s="1196"/>
      <c r="AK255" s="938"/>
      <c r="AL255" s="938"/>
      <c r="AM255" s="938"/>
      <c r="AN255" s="938"/>
      <c r="AO255" s="1196"/>
      <c r="AP255" s="938"/>
      <c r="AQ255" s="938"/>
      <c r="AR255" s="938"/>
      <c r="AS255" s="938"/>
      <c r="AT255" s="1196"/>
      <c r="AU255" s="938"/>
      <c r="AV255" s="938"/>
      <c r="AW255" s="938"/>
      <c r="AX255" s="938"/>
      <c r="AY255" s="1196"/>
      <c r="AZ255" s="938"/>
      <c r="BA255" s="938"/>
      <c r="BB255" s="938"/>
      <c r="BC255" s="938"/>
      <c r="BD255" s="1196"/>
      <c r="BE255" s="938"/>
      <c r="BF255" s="938"/>
      <c r="BG255" s="938"/>
      <c r="BH255" s="938"/>
      <c r="BI255" s="1196"/>
      <c r="BJ255" s="938"/>
      <c r="BK255" s="938"/>
      <c r="BL255" s="938"/>
      <c r="BM255" s="938"/>
      <c r="BN255" s="1196">
        <v>195.39699999999999</v>
      </c>
      <c r="BO255" s="938"/>
      <c r="BP255" s="938"/>
      <c r="BQ255" s="938"/>
      <c r="BR255" s="938"/>
      <c r="BS255" s="1196">
        <v>159.08000000000001</v>
      </c>
      <c r="BT255" s="938"/>
      <c r="BU255" s="1422"/>
      <c r="BV255" s="938"/>
      <c r="BW255" s="938"/>
      <c r="BX255" s="1196">
        <v>113.417</v>
      </c>
      <c r="BY255" s="938"/>
      <c r="BZ255" s="1422"/>
      <c r="CA255" s="938"/>
      <c r="CB255" s="938"/>
      <c r="CC255" s="1196">
        <v>115.096</v>
      </c>
      <c r="CD255" s="938"/>
      <c r="CE255" s="938"/>
      <c r="CF255" s="938"/>
      <c r="CG255" s="938"/>
      <c r="CH255" s="1196">
        <v>124.267</v>
      </c>
      <c r="CI255" s="938"/>
      <c r="CJ255" s="938"/>
      <c r="CK255" s="938"/>
      <c r="CL255" s="938"/>
      <c r="CM255" s="1196">
        <v>139.19999999999999</v>
      </c>
      <c r="CN255" s="938"/>
      <c r="CO255" s="938"/>
      <c r="CP255" s="938"/>
      <c r="CQ255" s="938"/>
      <c r="CR255" s="1196">
        <v>162.29300000000001</v>
      </c>
      <c r="CS255" s="938"/>
      <c r="CT255" s="938"/>
      <c r="CU255" s="938"/>
      <c r="CV255" s="938"/>
      <c r="CW255" s="1196">
        <v>202.44900000000001</v>
      </c>
      <c r="CX255" s="938"/>
      <c r="CY255" s="938"/>
      <c r="CZ255" s="938"/>
      <c r="DA255" s="938"/>
      <c r="DB255" s="1196">
        <v>185.428</v>
      </c>
      <c r="DC255" s="938"/>
      <c r="DD255" s="938"/>
      <c r="DE255" s="938"/>
      <c r="DF255" s="938"/>
      <c r="DG255" s="1196">
        <v>189.517</v>
      </c>
      <c r="DH255" s="938"/>
      <c r="DI255" s="938"/>
      <c r="DJ255" s="938"/>
      <c r="DK255" s="938"/>
      <c r="DL255" s="1196">
        <v>201.63800000000001</v>
      </c>
      <c r="DM255" s="938">
        <v>51.593000000000004</v>
      </c>
      <c r="DN255" s="938">
        <f>104.785-DM255</f>
        <v>53.191999999999993</v>
      </c>
      <c r="DO255" s="938">
        <v>55.151000000000003</v>
      </c>
      <c r="DP255" s="938"/>
      <c r="DQ255" s="1196">
        <v>215.202</v>
      </c>
      <c r="DR255" s="938">
        <v>55.673000000000002</v>
      </c>
      <c r="DS255" s="938">
        <f>112.774-DR255</f>
        <v>57.100999999999999</v>
      </c>
      <c r="DT255" s="938">
        <v>58.652000000000001</v>
      </c>
      <c r="DU255" s="938">
        <f>+DV255-SUM(DR255:DT255)</f>
        <v>57.81</v>
      </c>
      <c r="DV255" s="1196">
        <v>229.23599999999999</v>
      </c>
      <c r="DW255" s="938">
        <v>59.408999999999999</v>
      </c>
      <c r="DX255" s="938">
        <f>120.223-DW255</f>
        <v>60.814</v>
      </c>
      <c r="DY255" s="938">
        <f>181.045-DX255-DW255</f>
        <v>60.821999999999996</v>
      </c>
      <c r="DZ255" s="938">
        <f>+EA255-SUM(DW255:DY255)</f>
        <v>61.462000000000018</v>
      </c>
      <c r="EA255" s="1196">
        <v>242.50700000000001</v>
      </c>
      <c r="EB255" s="938">
        <v>60.048000000000002</v>
      </c>
      <c r="EC255" s="938"/>
      <c r="ED255" s="938"/>
      <c r="EE255" s="938"/>
      <c r="EF255" s="1196">
        <f>EF189</f>
        <v>209.88800000000001</v>
      </c>
      <c r="EG255" s="938"/>
      <c r="EH255" s="938"/>
      <c r="EI255" s="938"/>
      <c r="EJ255" s="938"/>
      <c r="EK255" s="1196">
        <f>EK189</f>
        <v>202.8</v>
      </c>
      <c r="EL255" s="938"/>
      <c r="EM255" s="938"/>
      <c r="EN255" s="938"/>
      <c r="EO255" s="938"/>
      <c r="EP255" s="1196">
        <f>EP189</f>
        <v>232.9</v>
      </c>
      <c r="EQ255" s="938"/>
      <c r="ER255" s="938"/>
      <c r="ES255" s="938"/>
      <c r="ET255" s="938"/>
      <c r="EU255" s="1196">
        <f>EU189</f>
        <v>239</v>
      </c>
      <c r="EV255" s="938"/>
      <c r="EW255" s="938"/>
      <c r="EX255" s="938"/>
      <c r="EY255" s="938"/>
      <c r="EZ255" s="1196">
        <f>EZ189</f>
        <v>248.56</v>
      </c>
      <c r="FA255" s="938"/>
      <c r="FB255" s="938"/>
      <c r="FC255" s="938"/>
      <c r="FD255" s="938"/>
      <c r="FE255" s="1196">
        <f>FE189</f>
        <v>258.50240000000002</v>
      </c>
      <c r="FF255" s="938"/>
      <c r="FG255" s="690"/>
      <c r="FH255" s="754"/>
      <c r="FI255" s="754"/>
      <c r="FJ255" s="754"/>
      <c r="FK255" s="754"/>
      <c r="FL255" s="690"/>
      <c r="FM255" s="752"/>
      <c r="FN255" s="940"/>
      <c r="FO255" s="941"/>
      <c r="FP255" s="941"/>
      <c r="FQ255" s="941"/>
      <c r="FR255" s="941"/>
      <c r="FS255" s="941"/>
      <c r="FT255" s="941"/>
      <c r="FU255" s="690"/>
      <c r="FV255"/>
      <c r="FW255"/>
      <c r="FX255"/>
      <c r="FY255"/>
      <c r="FZ255"/>
      <c r="GA255"/>
      <c r="GB255" s="1612"/>
      <c r="GC255" s="1426"/>
      <c r="GD255" s="1426"/>
      <c r="GE255" s="1426"/>
      <c r="GF255" s="1426"/>
      <c r="GG255" s="1426"/>
      <c r="GH255" s="1426"/>
      <c r="GI255" s="1426"/>
      <c r="GJ255" s="1426"/>
      <c r="GK255" s="1426"/>
      <c r="GL255" s="1426"/>
      <c r="GM255" s="1426"/>
      <c r="GN255" s="1426"/>
      <c r="GO255" s="1426"/>
      <c r="GP255" s="1426"/>
      <c r="GQ255" s="1426"/>
      <c r="GR255" s="1426"/>
      <c r="GS255" s="1426"/>
      <c r="GT255" s="1426"/>
      <c r="GU255" s="1426"/>
      <c r="GV255" s="1426"/>
      <c r="GW255" s="1426"/>
      <c r="GX255" s="1426"/>
      <c r="GY255" s="1426"/>
      <c r="GZ255" s="1426"/>
      <c r="HA255" s="1426"/>
      <c r="HB255" s="1426"/>
      <c r="HC255" s="1426"/>
      <c r="HD255" s="1426"/>
      <c r="HE255" s="1426"/>
      <c r="HF255" s="1426"/>
      <c r="HG255" s="1426"/>
      <c r="HH255" s="1426"/>
      <c r="HI255" s="1426"/>
      <c r="HJ255" s="1426"/>
      <c r="HK255" s="1426"/>
      <c r="HL255" s="1426"/>
      <c r="HM255" s="1426"/>
      <c r="HN255" s="1426"/>
      <c r="HO255" s="1426"/>
      <c r="HP255" s="1426"/>
      <c r="HQ255" s="1426"/>
      <c r="HR255" s="1426"/>
      <c r="HS255" s="1426"/>
      <c r="HT255" s="1426"/>
      <c r="HU255" s="1426"/>
      <c r="HV255" s="1426"/>
      <c r="HW255" s="1426"/>
      <c r="HX255" s="1426"/>
      <c r="HY255" s="1426"/>
      <c r="HZ255" s="1426"/>
      <c r="IA255" s="1426"/>
      <c r="IB255" s="1426"/>
      <c r="IC255" s="1426"/>
      <c r="ID255" s="1426"/>
      <c r="IE255" s="1426"/>
      <c r="IF255" s="1426"/>
      <c r="IG255" s="1426"/>
      <c r="IH255" s="1426"/>
      <c r="II255" s="1426"/>
      <c r="IJ255" s="1426"/>
      <c r="IK255" s="1426"/>
      <c r="IL255" s="1426"/>
      <c r="IM255" s="1426"/>
      <c r="IN255" s="1426"/>
      <c r="IO255" s="1426"/>
      <c r="IP255" s="1426"/>
      <c r="IQ255" s="1426"/>
      <c r="IR255" s="1426"/>
      <c r="IS255" s="1426"/>
      <c r="IT255" s="1426"/>
      <c r="IU255" s="1426"/>
      <c r="IV255" s="1426"/>
      <c r="IW255" s="1426"/>
      <c r="IX255" s="1426"/>
      <c r="IY255" s="1426"/>
      <c r="IZ255" s="1426"/>
      <c r="JA255" s="1426"/>
      <c r="JB255" s="1426"/>
      <c r="JC255" s="1426"/>
      <c r="JD255" s="1426"/>
      <c r="JE255" s="1426"/>
      <c r="JF255" s="1426"/>
      <c r="JG255" s="1426"/>
      <c r="JH255" s="1426"/>
      <c r="JI255" s="1426"/>
      <c r="JJ255" s="1426"/>
      <c r="JK255" s="1426"/>
      <c r="JL255" s="1426"/>
    </row>
    <row r="256" spans="1:272" s="749" customFormat="1" ht="12.75" hidden="1" customHeight="1" outlineLevel="1">
      <c r="A256" s="1613" t="s">
        <v>62</v>
      </c>
      <c r="B256" s="1614"/>
      <c r="C256" s="1614"/>
      <c r="D256" s="1614"/>
      <c r="E256" s="1614"/>
      <c r="F256" s="818"/>
      <c r="G256" s="1614"/>
      <c r="H256" s="1614"/>
      <c r="I256" s="1614"/>
      <c r="J256" s="1614"/>
      <c r="K256" s="818"/>
      <c r="L256" s="1614"/>
      <c r="M256" s="1614"/>
      <c r="N256" s="1614"/>
      <c r="O256" s="1614"/>
      <c r="P256" s="818"/>
      <c r="Q256" s="1614"/>
      <c r="R256" s="1614"/>
      <c r="S256" s="1614"/>
      <c r="T256" s="1614"/>
      <c r="U256" s="818"/>
      <c r="V256" s="1614"/>
      <c r="W256" s="1614"/>
      <c r="X256" s="1614"/>
      <c r="Y256" s="1614"/>
      <c r="Z256" s="818"/>
      <c r="AA256" s="1614"/>
      <c r="AB256" s="1614"/>
      <c r="AC256" s="1614"/>
      <c r="AD256" s="1614"/>
      <c r="AE256" s="818"/>
      <c r="AF256" s="1614"/>
      <c r="AG256" s="1614"/>
      <c r="AH256" s="1614"/>
      <c r="AI256" s="1614"/>
      <c r="AJ256" s="818"/>
      <c r="AK256" s="1614"/>
      <c r="AL256" s="1614"/>
      <c r="AM256" s="1614"/>
      <c r="AN256" s="1614"/>
      <c r="AO256" s="818"/>
      <c r="AP256" s="1614"/>
      <c r="AQ256" s="1614"/>
      <c r="AR256" s="1614"/>
      <c r="AS256" s="1614"/>
      <c r="AT256" s="818"/>
      <c r="AU256" s="1614"/>
      <c r="AV256" s="1614"/>
      <c r="AW256" s="1614"/>
      <c r="AX256" s="1614"/>
      <c r="AY256" s="818"/>
      <c r="AZ256" s="1614"/>
      <c r="BA256" s="1614"/>
      <c r="BB256" s="1614"/>
      <c r="BC256" s="1614"/>
      <c r="BD256" s="818"/>
      <c r="BE256" s="1614"/>
      <c r="BF256" s="1614"/>
      <c r="BG256" s="1614"/>
      <c r="BH256" s="1614"/>
      <c r="BI256" s="818"/>
      <c r="BJ256" s="1614"/>
      <c r="BK256" s="1614"/>
      <c r="BL256" s="1614"/>
      <c r="BM256" s="1614"/>
      <c r="BN256" s="818"/>
      <c r="BO256" s="1614"/>
      <c r="BP256" s="1614"/>
      <c r="BQ256" s="1614"/>
      <c r="BR256" s="1614"/>
      <c r="BS256" s="818">
        <f>BS255/BN$284</f>
        <v>0.14859943074872331</v>
      </c>
      <c r="BT256" s="1615"/>
      <c r="BU256" s="1615"/>
      <c r="BV256" s="1615"/>
      <c r="BW256" s="1615"/>
      <c r="BX256" s="818">
        <f>BX255/BS$284</f>
        <v>0.11170192858845289</v>
      </c>
      <c r="BY256" s="1615"/>
      <c r="BZ256" s="1615"/>
      <c r="CA256" s="1615"/>
      <c r="CB256" s="1615"/>
      <c r="CC256" s="818">
        <f>CC255/BX$284</f>
        <v>0.14071258547272392</v>
      </c>
      <c r="CD256" s="1615"/>
      <c r="CE256" s="1615"/>
      <c r="CF256" s="1615"/>
      <c r="CG256" s="1615"/>
      <c r="CH256" s="818">
        <f>CH255/CC$284</f>
        <v>0.14461068680970204</v>
      </c>
      <c r="CI256" s="1615"/>
      <c r="CJ256" s="1615"/>
      <c r="CK256" s="1615"/>
      <c r="CL256" s="1615"/>
      <c r="CM256" s="818">
        <f>CM255/CH$284</f>
        <v>0.14628886586193779</v>
      </c>
      <c r="CN256" s="1615"/>
      <c r="CO256" s="1615"/>
      <c r="CP256" s="1615"/>
      <c r="CQ256" s="1615"/>
      <c r="CR256" s="818">
        <f>CR255/CM$284</f>
        <v>0.14516654173874619</v>
      </c>
      <c r="CS256" s="1615"/>
      <c r="CT256" s="1615"/>
      <c r="CU256" s="1615"/>
      <c r="CV256" s="1615"/>
      <c r="CW256" s="818">
        <f>CW255/CR$284</f>
        <v>0.13877890413137481</v>
      </c>
      <c r="CX256" s="1616"/>
      <c r="CY256" s="1616"/>
      <c r="CZ256" s="1616"/>
      <c r="DA256" s="1616"/>
      <c r="DB256" s="818">
        <f>DB255/CW$284</f>
        <v>0.12597387421906633</v>
      </c>
      <c r="DC256" s="1616"/>
      <c r="DD256" s="1616"/>
      <c r="DE256" s="1616"/>
      <c r="DF256" s="1616"/>
      <c r="DG256" s="818">
        <f>DG255/DB$284</f>
        <v>0.1378031852584905</v>
      </c>
      <c r="DH256" s="1616"/>
      <c r="DI256" s="1616"/>
      <c r="DJ256" s="1616"/>
      <c r="DK256" s="1616"/>
      <c r="DL256" s="818">
        <f>DL255/DG$284</f>
        <v>0.14355699370276631</v>
      </c>
      <c r="DM256" s="1616"/>
      <c r="DN256" s="1616"/>
      <c r="DO256" s="1616"/>
      <c r="DP256" s="1616"/>
      <c r="DQ256" s="818">
        <f>DQ255/DL$284</f>
        <v>0.14384843115091714</v>
      </c>
      <c r="DR256" s="1616"/>
      <c r="DS256" s="1616"/>
      <c r="DT256" s="1616"/>
      <c r="DU256" s="1616"/>
      <c r="DV256" s="818">
        <f>DV255/DQ$284</f>
        <v>0.14448245021905318</v>
      </c>
      <c r="DW256" s="1617"/>
      <c r="DX256" s="1616"/>
      <c r="DY256" s="1616"/>
      <c r="DZ256" s="1616"/>
      <c r="EA256" s="818">
        <f>EA255/DV$284</f>
        <v>0.14636779928936711</v>
      </c>
      <c r="EB256" s="1616"/>
      <c r="EC256" s="1616"/>
      <c r="ED256" s="1616"/>
      <c r="EE256" s="1616"/>
      <c r="EF256" s="818">
        <f>EF255/EA$284</f>
        <v>0.12688103270985382</v>
      </c>
      <c r="EG256" s="1616"/>
      <c r="EH256" s="1616"/>
      <c r="EI256" s="1616"/>
      <c r="EJ256" s="1616"/>
      <c r="EK256" s="818">
        <f>EK255/EF$284</f>
        <v>0.11659708978723331</v>
      </c>
      <c r="EL256" s="1616"/>
      <c r="EM256" s="1616"/>
      <c r="EN256" s="1616"/>
      <c r="EO256" s="1616"/>
      <c r="EP256" s="818">
        <f>EP255/EK$284</f>
        <v>0.1285658531522923</v>
      </c>
      <c r="EQ256" s="1616"/>
      <c r="ER256" s="1616"/>
      <c r="ES256" s="1616"/>
      <c r="ET256" s="1616"/>
      <c r="EU256" s="818">
        <f>EU255/EP$284</f>
        <v>0.1289366823782398</v>
      </c>
      <c r="EV256" s="1616"/>
      <c r="EW256" s="1616"/>
      <c r="EX256" s="1616"/>
      <c r="EY256" s="1616"/>
      <c r="EZ256" s="818">
        <f>EZ255/EU$284</f>
        <v>0.13153946580878831</v>
      </c>
      <c r="FA256" s="1616"/>
      <c r="FB256" s="1616"/>
      <c r="FC256" s="1616"/>
      <c r="FD256" s="1616"/>
      <c r="FE256" s="818">
        <f>FE255/EZ$284</f>
        <v>0.13491330921791195</v>
      </c>
      <c r="FF256" s="712"/>
      <c r="FG256" s="690"/>
      <c r="FH256" s="754"/>
      <c r="FI256" s="754"/>
      <c r="FJ256" s="754"/>
      <c r="FK256" s="754"/>
      <c r="FL256" s="690"/>
      <c r="FM256" s="747"/>
      <c r="FN256" s="747"/>
      <c r="FO256" s="748"/>
      <c r="FP256" s="748"/>
      <c r="FQ256" s="748"/>
      <c r="FR256" s="748"/>
      <c r="FS256" s="748"/>
      <c r="FT256" s="748"/>
      <c r="FU256" s="690"/>
      <c r="FV256"/>
      <c r="FW256"/>
      <c r="FX256"/>
      <c r="FY256"/>
      <c r="FZ256"/>
      <c r="GA256"/>
      <c r="GB256" s="1618"/>
      <c r="GC256" s="532"/>
      <c r="GD256" s="532"/>
      <c r="GE256" s="532"/>
      <c r="GF256" s="532"/>
      <c r="GG256" s="532"/>
      <c r="GH256" s="532"/>
      <c r="GI256" s="532"/>
      <c r="GJ256" s="532"/>
      <c r="GK256" s="532"/>
      <c r="GL256" s="532"/>
      <c r="GM256" s="532"/>
      <c r="GN256" s="532"/>
      <c r="GO256" s="532"/>
      <c r="GP256" s="532"/>
      <c r="GQ256" s="532"/>
      <c r="GR256" s="532"/>
      <c r="GS256" s="532"/>
      <c r="GT256" s="532"/>
      <c r="GU256" s="532"/>
      <c r="GV256" s="532"/>
      <c r="GW256" s="532"/>
      <c r="GX256" s="532"/>
      <c r="GY256" s="532"/>
      <c r="GZ256" s="532"/>
      <c r="HA256" s="532"/>
      <c r="HB256" s="532"/>
      <c r="HC256" s="532"/>
      <c r="HD256" s="532"/>
      <c r="HE256" s="532"/>
      <c r="HF256" s="532"/>
      <c r="HG256" s="532"/>
      <c r="HH256" s="532"/>
      <c r="HI256" s="532"/>
      <c r="HJ256" s="532"/>
      <c r="HK256" s="532"/>
      <c r="HL256" s="532"/>
      <c r="HM256" s="532"/>
      <c r="HN256" s="532"/>
      <c r="HO256" s="532"/>
      <c r="HP256" s="532"/>
      <c r="HQ256" s="532"/>
      <c r="HR256" s="532"/>
      <c r="HS256" s="532"/>
      <c r="HT256" s="532"/>
      <c r="HU256" s="532"/>
      <c r="HV256" s="532"/>
      <c r="HW256" s="532"/>
      <c r="HX256" s="532"/>
      <c r="HY256" s="532"/>
      <c r="HZ256" s="532"/>
      <c r="IA256" s="532"/>
      <c r="IB256" s="532"/>
      <c r="IC256" s="532"/>
      <c r="ID256" s="532"/>
      <c r="IE256" s="532"/>
      <c r="IF256" s="532"/>
      <c r="IG256" s="532"/>
      <c r="IH256" s="532"/>
      <c r="II256" s="532"/>
      <c r="IJ256" s="532"/>
      <c r="IK256" s="532"/>
      <c r="IL256" s="532"/>
      <c r="IM256" s="532"/>
      <c r="IN256" s="532"/>
      <c r="IO256" s="532"/>
      <c r="IP256" s="532"/>
      <c r="IQ256" s="532"/>
      <c r="IR256" s="532"/>
      <c r="IS256" s="532"/>
      <c r="IT256" s="532"/>
      <c r="IU256" s="532"/>
      <c r="IV256" s="532"/>
      <c r="IW256" s="532"/>
      <c r="IX256" s="532"/>
      <c r="IY256" s="532"/>
      <c r="IZ256" s="532"/>
      <c r="JA256" s="532"/>
      <c r="JB256" s="532"/>
      <c r="JC256" s="532"/>
      <c r="JD256" s="532"/>
      <c r="JE256" s="532"/>
      <c r="JF256" s="532"/>
      <c r="JG256" s="532"/>
      <c r="JH256" s="532"/>
      <c r="JI256" s="532"/>
      <c r="JJ256" s="532"/>
      <c r="JK256" s="532"/>
      <c r="JL256" s="532"/>
    </row>
    <row r="257" spans="1:272" s="942" customFormat="1" ht="12.75" hidden="1" customHeight="1" outlineLevel="1">
      <c r="A257" s="1071" t="s">
        <v>428</v>
      </c>
      <c r="B257" s="938"/>
      <c r="C257" s="938"/>
      <c r="D257" s="938"/>
      <c r="E257" s="938"/>
      <c r="F257" s="1196"/>
      <c r="G257" s="938"/>
      <c r="H257" s="938"/>
      <c r="I257" s="938"/>
      <c r="J257" s="938"/>
      <c r="K257" s="1196"/>
      <c r="L257" s="938"/>
      <c r="M257" s="938"/>
      <c r="N257" s="938"/>
      <c r="O257" s="938"/>
      <c r="P257" s="1196"/>
      <c r="Q257" s="938"/>
      <c r="R257" s="938"/>
      <c r="S257" s="938"/>
      <c r="T257" s="938"/>
      <c r="U257" s="1196"/>
      <c r="V257" s="938"/>
      <c r="W257" s="938"/>
      <c r="X257" s="938"/>
      <c r="Y257" s="938"/>
      <c r="Z257" s="1196"/>
      <c r="AA257" s="938"/>
      <c r="AB257" s="938"/>
      <c r="AC257" s="938"/>
      <c r="AD257" s="938"/>
      <c r="AE257" s="1196"/>
      <c r="AF257" s="938"/>
      <c r="AG257" s="938"/>
      <c r="AH257" s="938"/>
      <c r="AI257" s="938"/>
      <c r="AJ257" s="1196"/>
      <c r="AK257" s="938"/>
      <c r="AL257" s="938"/>
      <c r="AM257" s="938"/>
      <c r="AN257" s="938"/>
      <c r="AO257" s="1196"/>
      <c r="AP257" s="938"/>
      <c r="AQ257" s="938"/>
      <c r="AR257" s="938"/>
      <c r="AS257" s="938"/>
      <c r="AT257" s="1196"/>
      <c r="AU257" s="938"/>
      <c r="AV257" s="938"/>
      <c r="AW257" s="938"/>
      <c r="AX257" s="938"/>
      <c r="AY257" s="1196"/>
      <c r="AZ257" s="938"/>
      <c r="BA257" s="938"/>
      <c r="BB257" s="938"/>
      <c r="BC257" s="938"/>
      <c r="BD257" s="1196"/>
      <c r="BE257" s="938"/>
      <c r="BF257" s="938"/>
      <c r="BG257" s="938"/>
      <c r="BH257" s="938"/>
      <c r="BI257" s="1196"/>
      <c r="BJ257" s="938"/>
      <c r="BK257" s="938"/>
      <c r="BL257" s="938"/>
      <c r="BM257" s="938"/>
      <c r="BN257" s="1196">
        <v>0</v>
      </c>
      <c r="BO257" s="938"/>
      <c r="BP257" s="938"/>
      <c r="BQ257" s="938"/>
      <c r="BR257" s="938"/>
      <c r="BS257" s="1196">
        <v>0</v>
      </c>
      <c r="BT257" s="938"/>
      <c r="BU257" s="1422"/>
      <c r="BV257" s="938"/>
      <c r="BW257" s="938"/>
      <c r="BX257" s="1196">
        <v>0</v>
      </c>
      <c r="BY257" s="938"/>
      <c r="BZ257" s="1422"/>
      <c r="CA257" s="938"/>
      <c r="CB257" s="938"/>
      <c r="CC257" s="1196">
        <v>0</v>
      </c>
      <c r="CD257" s="938"/>
      <c r="CE257" s="938"/>
      <c r="CF257" s="938"/>
      <c r="CG257" s="938"/>
      <c r="CH257" s="1196">
        <v>0</v>
      </c>
      <c r="CI257" s="938"/>
      <c r="CJ257" s="938"/>
      <c r="CK257" s="938"/>
      <c r="CL257" s="938"/>
      <c r="CM257" s="1196">
        <v>-23.295000000000002</v>
      </c>
      <c r="CN257" s="938"/>
      <c r="CO257" s="938"/>
      <c r="CP257" s="938"/>
      <c r="CQ257" s="938"/>
      <c r="CR257" s="1196">
        <v>-19.376000000000001</v>
      </c>
      <c r="CS257" s="938"/>
      <c r="CT257" s="938"/>
      <c r="CU257" s="938"/>
      <c r="CV257" s="938"/>
      <c r="CW257" s="1196">
        <v>-41.375999999999998</v>
      </c>
      <c r="CX257" s="938"/>
      <c r="CY257" s="938"/>
      <c r="CZ257" s="938"/>
      <c r="DA257" s="938"/>
      <c r="DB257" s="1196">
        <v>0.32700000000000001</v>
      </c>
      <c r="DC257" s="938"/>
      <c r="DD257" s="938"/>
      <c r="DE257" s="938"/>
      <c r="DF257" s="938"/>
      <c r="DG257" s="1196">
        <v>-69.629000000000005</v>
      </c>
      <c r="DH257" s="938"/>
      <c r="DI257" s="938"/>
      <c r="DJ257" s="938"/>
      <c r="DK257" s="938"/>
      <c r="DL257" s="1196">
        <v>-52.713000000000001</v>
      </c>
      <c r="DM257" s="938"/>
      <c r="DN257" s="938"/>
      <c r="DO257" s="938"/>
      <c r="DP257" s="938"/>
      <c r="DQ257" s="1196">
        <v>-67.290999999999997</v>
      </c>
      <c r="DR257" s="938">
        <v>9.18</v>
      </c>
      <c r="DS257" s="938">
        <f>18.275-DR257</f>
        <v>9.0949999999999989</v>
      </c>
      <c r="DT257" s="938"/>
      <c r="DU257" s="938"/>
      <c r="DV257" s="1196">
        <v>-82.507000000000005</v>
      </c>
      <c r="DW257" s="938">
        <v>4.7610000000000001</v>
      </c>
      <c r="DX257" s="938">
        <f>12.182-DW257</f>
        <v>7.4210000000000003</v>
      </c>
      <c r="DY257" s="938">
        <f>18.312-DX257-DW257</f>
        <v>6.1300000000000017</v>
      </c>
      <c r="DZ257" s="938">
        <f>SUM(DW257:DY257)-EA257</f>
        <v>172.81300000000002</v>
      </c>
      <c r="EA257" s="1196">
        <v>-154.501</v>
      </c>
      <c r="EB257" s="938">
        <v>8.9960000000000004</v>
      </c>
      <c r="EC257" s="938"/>
      <c r="ED257" s="1423"/>
      <c r="EE257" s="1423"/>
      <c r="EF257" s="1427">
        <v>-15.572710192018759</v>
      </c>
      <c r="EG257" s="1423"/>
      <c r="EH257" s="1423"/>
      <c r="EI257" s="1423"/>
      <c r="EJ257" s="1423"/>
      <c r="EK257" s="1427">
        <v>-5.7840099469518229</v>
      </c>
      <c r="EL257" s="1423"/>
      <c r="EM257" s="1423"/>
      <c r="EN257" s="1423"/>
      <c r="EO257" s="1423"/>
      <c r="EP257" s="1427">
        <v>2.7825766940541259</v>
      </c>
      <c r="EQ257" s="1423"/>
      <c r="ER257" s="1423"/>
      <c r="ES257" s="1423"/>
      <c r="ET257" s="1423"/>
      <c r="EU257" s="1427">
        <v>2.7825766940541259</v>
      </c>
      <c r="EV257" s="1423"/>
      <c r="EW257" s="1423"/>
      <c r="EX257" s="1423"/>
      <c r="EY257" s="1423"/>
      <c r="EZ257" s="1427">
        <v>2.7825766940541259</v>
      </c>
      <c r="FA257" s="1423"/>
      <c r="FB257" s="1423"/>
      <c r="FC257" s="1423"/>
      <c r="FD257" s="1423"/>
      <c r="FE257" s="1427">
        <v>2.7825766940541259</v>
      </c>
      <c r="FF257" s="938"/>
      <c r="FG257" s="690"/>
      <c r="FH257" s="754"/>
      <c r="FI257" s="754"/>
      <c r="FJ257" s="754"/>
      <c r="FK257" s="754"/>
      <c r="FL257" s="690"/>
      <c r="FM257" s="752"/>
      <c r="FN257" s="940"/>
      <c r="FO257" s="941"/>
      <c r="FP257" s="941"/>
      <c r="FQ257" s="941"/>
      <c r="FR257" s="941"/>
      <c r="FS257" s="941"/>
      <c r="FT257" s="941"/>
      <c r="FU257" s="690"/>
      <c r="FV257"/>
      <c r="FW257"/>
      <c r="FX257"/>
      <c r="FY257"/>
      <c r="FZ257"/>
      <c r="GA257"/>
      <c r="GB257" s="1612"/>
      <c r="GC257" s="1426"/>
      <c r="GD257" s="1426"/>
      <c r="GE257" s="1426"/>
      <c r="GF257" s="1426"/>
      <c r="GG257" s="1426"/>
      <c r="GH257" s="1426"/>
      <c r="GI257" s="1426"/>
      <c r="GJ257" s="1426"/>
      <c r="GK257" s="1426"/>
      <c r="GL257" s="1426"/>
      <c r="GM257" s="1426"/>
      <c r="GN257" s="1426"/>
      <c r="GO257" s="1426"/>
      <c r="GP257" s="1426"/>
      <c r="GQ257" s="1426"/>
      <c r="GR257" s="1426"/>
      <c r="GS257" s="1426"/>
      <c r="GT257" s="1426"/>
      <c r="GU257" s="1426"/>
      <c r="GV257" s="1426"/>
      <c r="GW257" s="1426"/>
      <c r="GX257" s="1426"/>
      <c r="GY257" s="1426"/>
      <c r="GZ257" s="1426"/>
      <c r="HA257" s="1426"/>
      <c r="HB257" s="1426"/>
      <c r="HC257" s="1426"/>
      <c r="HD257" s="1426"/>
      <c r="HE257" s="1426"/>
      <c r="HF257" s="1426"/>
      <c r="HG257" s="1426"/>
      <c r="HH257" s="1426"/>
      <c r="HI257" s="1426"/>
      <c r="HJ257" s="1426"/>
      <c r="HK257" s="1426"/>
      <c r="HL257" s="1426"/>
      <c r="HM257" s="1426"/>
      <c r="HN257" s="1426"/>
      <c r="HO257" s="1426"/>
      <c r="HP257" s="1426"/>
      <c r="HQ257" s="1426"/>
      <c r="HR257" s="1426"/>
      <c r="HS257" s="1426"/>
      <c r="HT257" s="1426"/>
      <c r="HU257" s="1426"/>
      <c r="HV257" s="1426"/>
      <c r="HW257" s="1426"/>
      <c r="HX257" s="1426"/>
      <c r="HY257" s="1426"/>
      <c r="HZ257" s="1426"/>
      <c r="IA257" s="1426"/>
      <c r="IB257" s="1426"/>
      <c r="IC257" s="1426"/>
      <c r="ID257" s="1426"/>
      <c r="IE257" s="1426"/>
      <c r="IF257" s="1426"/>
      <c r="IG257" s="1426"/>
      <c r="IH257" s="1426"/>
      <c r="II257" s="1426"/>
      <c r="IJ257" s="1426"/>
      <c r="IK257" s="1426"/>
      <c r="IL257" s="1426"/>
      <c r="IM257" s="1426"/>
      <c r="IN257" s="1426"/>
      <c r="IO257" s="1426"/>
      <c r="IP257" s="1426"/>
      <c r="IQ257" s="1426"/>
      <c r="IR257" s="1426"/>
      <c r="IS257" s="1426"/>
      <c r="IT257" s="1426"/>
      <c r="IU257" s="1426"/>
      <c r="IV257" s="1426"/>
      <c r="IW257" s="1426"/>
      <c r="IX257" s="1426"/>
      <c r="IY257" s="1426"/>
      <c r="IZ257" s="1426"/>
      <c r="JA257" s="1426"/>
      <c r="JB257" s="1426"/>
      <c r="JC257" s="1426"/>
      <c r="JD257" s="1426"/>
      <c r="JE257" s="1426"/>
      <c r="JF257" s="1426"/>
      <c r="JG257" s="1426"/>
      <c r="JH257" s="1426"/>
      <c r="JI257" s="1426"/>
      <c r="JJ257" s="1426"/>
      <c r="JK257" s="1426"/>
      <c r="JL257" s="1426"/>
    </row>
    <row r="258" spans="1:272" s="942" customFormat="1" ht="12.75" hidden="1" customHeight="1" outlineLevel="1">
      <c r="A258" s="1071" t="s">
        <v>95</v>
      </c>
      <c r="B258" s="938"/>
      <c r="C258" s="938"/>
      <c r="D258" s="938"/>
      <c r="E258" s="938"/>
      <c r="F258" s="1196"/>
      <c r="G258" s="938"/>
      <c r="H258" s="938"/>
      <c r="I258" s="938"/>
      <c r="J258" s="938"/>
      <c r="K258" s="1196"/>
      <c r="L258" s="938"/>
      <c r="M258" s="938"/>
      <c r="N258" s="938"/>
      <c r="O258" s="938"/>
      <c r="P258" s="1196"/>
      <c r="Q258" s="938"/>
      <c r="R258" s="938"/>
      <c r="S258" s="938"/>
      <c r="T258" s="938"/>
      <c r="U258" s="1196"/>
      <c r="V258" s="938"/>
      <c r="W258" s="938"/>
      <c r="X258" s="938"/>
      <c r="Y258" s="938"/>
      <c r="Z258" s="1196"/>
      <c r="AA258" s="938"/>
      <c r="AB258" s="938"/>
      <c r="AC258" s="938"/>
      <c r="AD258" s="938"/>
      <c r="AE258" s="1196"/>
      <c r="AF258" s="938"/>
      <c r="AG258" s="938"/>
      <c r="AH258" s="938"/>
      <c r="AI258" s="938"/>
      <c r="AJ258" s="1196"/>
      <c r="AK258" s="938"/>
      <c r="AL258" s="938"/>
      <c r="AM258" s="938"/>
      <c r="AN258" s="938"/>
      <c r="AO258" s="1196"/>
      <c r="AP258" s="938"/>
      <c r="AQ258" s="938"/>
      <c r="AR258" s="938"/>
      <c r="AS258" s="938"/>
      <c r="AT258" s="1196"/>
      <c r="AU258" s="938"/>
      <c r="AV258" s="938"/>
      <c r="AW258" s="938"/>
      <c r="AX258" s="938"/>
      <c r="AY258" s="1196"/>
      <c r="AZ258" s="938"/>
      <c r="BA258" s="938"/>
      <c r="BB258" s="938"/>
      <c r="BC258" s="938"/>
      <c r="BD258" s="1196"/>
      <c r="BE258" s="938"/>
      <c r="BF258" s="938"/>
      <c r="BG258" s="938"/>
      <c r="BH258" s="938"/>
      <c r="BI258" s="1196"/>
      <c r="BJ258" s="938"/>
      <c r="BK258" s="938"/>
      <c r="BL258" s="938"/>
      <c r="BM258" s="938"/>
      <c r="BN258" s="1196">
        <f>BN259-BN254-BN255-BN257</f>
        <v>-282.625</v>
      </c>
      <c r="BO258" s="938"/>
      <c r="BP258" s="938"/>
      <c r="BQ258" s="938"/>
      <c r="BR258" s="938"/>
      <c r="BS258" s="1196">
        <f>BS259-BS254-BS255-BS257</f>
        <v>-256.10500000000002</v>
      </c>
      <c r="BT258" s="938"/>
      <c r="BU258" s="1422"/>
      <c r="BV258" s="938"/>
      <c r="BW258" s="938"/>
      <c r="BX258" s="1196">
        <f>BX259-BX254-BX255-BX257</f>
        <v>20.73599999999999</v>
      </c>
      <c r="BY258" s="938"/>
      <c r="BZ258" s="1422"/>
      <c r="CA258" s="938"/>
      <c r="CB258" s="938"/>
      <c r="CC258" s="1196">
        <f>CC259-CC254-CC255-CC257</f>
        <v>380.41800000000001</v>
      </c>
      <c r="CD258" s="938"/>
      <c r="CE258" s="938"/>
      <c r="CF258" s="938"/>
      <c r="CG258" s="938"/>
      <c r="CH258" s="1196">
        <f>CH259-CH254-CH255-CH257</f>
        <v>-124.691</v>
      </c>
      <c r="CI258" s="938"/>
      <c r="CJ258" s="938"/>
      <c r="CK258" s="938"/>
      <c r="CL258" s="938"/>
      <c r="CM258" s="1196">
        <f>CM259-CM254-CM255-CM257</f>
        <v>45.463999999999984</v>
      </c>
      <c r="CN258" s="938"/>
      <c r="CO258" s="938"/>
      <c r="CP258" s="938"/>
      <c r="CQ258" s="938"/>
      <c r="CR258" s="1196">
        <f>CR259-CR254-CR255-CR257</f>
        <v>77.180999999999983</v>
      </c>
      <c r="CS258" s="938"/>
      <c r="CT258" s="938"/>
      <c r="CU258" s="938"/>
      <c r="CV258" s="938"/>
      <c r="CW258" s="1196">
        <f>CW259-CW254-CW255-CW257</f>
        <v>74.669999999999987</v>
      </c>
      <c r="CX258" s="938"/>
      <c r="CY258" s="938"/>
      <c r="CZ258" s="938"/>
      <c r="DA258" s="938"/>
      <c r="DB258" s="1196">
        <f>DB259-DB254-DB255-DB257</f>
        <v>198.64400000000001</v>
      </c>
      <c r="DC258" s="938"/>
      <c r="DD258" s="938"/>
      <c r="DE258" s="938"/>
      <c r="DF258" s="938"/>
      <c r="DG258" s="1196">
        <f>DG259-DG254-DG255-DG257</f>
        <v>61.26900000000002</v>
      </c>
      <c r="DH258" s="938"/>
      <c r="DI258" s="938"/>
      <c r="DJ258" s="938"/>
      <c r="DK258" s="938"/>
      <c r="DL258" s="1196">
        <f>DL259-DL254-DL255-DL257</f>
        <v>107.34199999999998</v>
      </c>
      <c r="DM258" s="938"/>
      <c r="DN258" s="938"/>
      <c r="DO258" s="938"/>
      <c r="DP258" s="938"/>
      <c r="DQ258" s="1196">
        <f>DQ259-DQ254-DQ255-DQ257</f>
        <v>58.954000000000008</v>
      </c>
      <c r="DR258" s="1424">
        <f>DR259-DR254-DR255-DR257</f>
        <v>-51.511000000000003</v>
      </c>
      <c r="DS258" s="938">
        <f>DS259-DS254-DS255-DS257</f>
        <v>-0.65799999999998704</v>
      </c>
      <c r="DT258" s="938"/>
      <c r="DU258" s="938"/>
      <c r="DV258" s="1196">
        <f t="shared" ref="DV258:EB258" si="586">DV259-DV254-DV255-DV257</f>
        <v>102.10199999999998</v>
      </c>
      <c r="DW258" s="1619">
        <f t="shared" si="586"/>
        <v>-81.605999999999995</v>
      </c>
      <c r="DX258" s="938">
        <f t="shared" si="586"/>
        <v>4.2860000000000005</v>
      </c>
      <c r="DY258" s="938">
        <f t="shared" si="586"/>
        <v>-73.52</v>
      </c>
      <c r="DZ258" s="938">
        <f t="shared" si="586"/>
        <v>-179.94700000000003</v>
      </c>
      <c r="EA258" s="1196">
        <f t="shared" si="586"/>
        <v>14.838999999999999</v>
      </c>
      <c r="EB258" s="1619">
        <f t="shared" si="586"/>
        <v>-21.96</v>
      </c>
      <c r="EC258" s="938"/>
      <c r="ED258" s="938"/>
      <c r="EE258" s="938"/>
      <c r="EF258" s="1196">
        <f>-(EF279-EA279)+(EF290-EA290)-(EF281-EA281)+(EF292-EA292)+(EF297-EA297)</f>
        <v>0.70561282499583911</v>
      </c>
      <c r="EG258" s="938"/>
      <c r="EH258" s="938"/>
      <c r="EI258" s="938"/>
      <c r="EJ258" s="938"/>
      <c r="EK258" s="1196">
        <f>-(EK279-EF279)+(EK290-EF290)-(EK281-EF281)+(EK292-EF292)+(EK297-EF297)</f>
        <v>-129.92448158131765</v>
      </c>
      <c r="EL258" s="938"/>
      <c r="EM258" s="938"/>
      <c r="EN258" s="938"/>
      <c r="EO258" s="938"/>
      <c r="EP258" s="1196">
        <f>-(EP279-EK279)+(EP290-EK290)-(EP281-EK281)+(EP292-EK292)+(EP297-EK297)</f>
        <v>19.26172542084646</v>
      </c>
      <c r="EQ258" s="938"/>
      <c r="ER258" s="938"/>
      <c r="ES258" s="938"/>
      <c r="ET258" s="938"/>
      <c r="EU258" s="1196">
        <f>-(EU279-EP279)+(EU290-EP290)-(EU281-EP281)+(EU292-EP292)+(EU297-EP297)</f>
        <v>19.573968298929927</v>
      </c>
      <c r="EV258" s="938"/>
      <c r="EW258" s="938"/>
      <c r="EX258" s="938"/>
      <c r="EY258" s="938"/>
      <c r="EZ258" s="1196">
        <f>-(EZ279-EU279)+(EZ290-EU290)-(EZ281-EU281)+(EZ292-EU292)+(EZ297-EU297)</f>
        <v>25.316463798117525</v>
      </c>
      <c r="FA258" s="938"/>
      <c r="FB258" s="938"/>
      <c r="FC258" s="938"/>
      <c r="FD258" s="938"/>
      <c r="FE258" s="1196">
        <f>-(FE279-EZ279)+(FE290-EZ290)-(FE281-EZ281)+(FE292-EZ292)+(FE297-EZ297)</f>
        <v>27.173608158640846</v>
      </c>
      <c r="FF258" s="938"/>
      <c r="FG258" s="690"/>
      <c r="FH258" s="754"/>
      <c r="FI258" s="754"/>
      <c r="FJ258" s="754"/>
      <c r="FK258" s="754"/>
      <c r="FL258" s="690"/>
      <c r="FM258" s="752"/>
      <c r="FN258" s="940"/>
      <c r="FO258" s="941"/>
      <c r="FP258" s="941"/>
      <c r="FQ258" s="941"/>
      <c r="FR258" s="941"/>
      <c r="FS258" s="941"/>
      <c r="FT258" s="941"/>
      <c r="FU258" s="690"/>
      <c r="FV258"/>
      <c r="FW258"/>
      <c r="FX258"/>
      <c r="FY258"/>
      <c r="FZ258"/>
      <c r="GA258"/>
      <c r="GB258" s="1612"/>
      <c r="GC258" s="1426"/>
      <c r="GD258" s="1426"/>
      <c r="GE258" s="1426"/>
      <c r="GF258" s="1426"/>
      <c r="GG258" s="1426"/>
      <c r="GH258" s="1426"/>
      <c r="GI258" s="1426"/>
      <c r="GJ258" s="1426"/>
      <c r="GK258" s="1426"/>
      <c r="GL258" s="1426"/>
      <c r="GM258" s="1426"/>
      <c r="GN258" s="1426"/>
      <c r="GO258" s="1426"/>
      <c r="GP258" s="1426"/>
      <c r="GQ258" s="1426"/>
      <c r="GR258" s="1426"/>
      <c r="GS258" s="1426"/>
      <c r="GT258" s="1426"/>
      <c r="GU258" s="1426"/>
      <c r="GV258" s="1426"/>
      <c r="GW258" s="1426"/>
      <c r="GX258" s="1426"/>
      <c r="GY258" s="1426"/>
      <c r="GZ258" s="1426"/>
      <c r="HA258" s="1426"/>
      <c r="HB258" s="1426"/>
      <c r="HC258" s="1426"/>
      <c r="HD258" s="1426"/>
      <c r="HE258" s="1426"/>
      <c r="HF258" s="1426"/>
      <c r="HG258" s="1426"/>
      <c r="HH258" s="1426"/>
      <c r="HI258" s="1426"/>
      <c r="HJ258" s="1426"/>
      <c r="HK258" s="1426"/>
      <c r="HL258" s="1426"/>
      <c r="HM258" s="1426"/>
      <c r="HN258" s="1426"/>
      <c r="HO258" s="1426"/>
      <c r="HP258" s="1426"/>
      <c r="HQ258" s="1426"/>
      <c r="HR258" s="1426"/>
      <c r="HS258" s="1426"/>
      <c r="HT258" s="1426"/>
      <c r="HU258" s="1426"/>
      <c r="HV258" s="1426"/>
      <c r="HW258" s="1426"/>
      <c r="HX258" s="1426"/>
      <c r="HY258" s="1426"/>
      <c r="HZ258" s="1426"/>
      <c r="IA258" s="1426"/>
      <c r="IB258" s="1426"/>
      <c r="IC258" s="1426"/>
      <c r="ID258" s="1426"/>
      <c r="IE258" s="1426"/>
      <c r="IF258" s="1426"/>
      <c r="IG258" s="1426"/>
      <c r="IH258" s="1426"/>
      <c r="II258" s="1426"/>
      <c r="IJ258" s="1426"/>
      <c r="IK258" s="1426"/>
      <c r="IL258" s="1426"/>
      <c r="IM258" s="1426"/>
      <c r="IN258" s="1426"/>
      <c r="IO258" s="1426"/>
      <c r="IP258" s="1426"/>
      <c r="IQ258" s="1426"/>
      <c r="IR258" s="1426"/>
      <c r="IS258" s="1426"/>
      <c r="IT258" s="1426"/>
      <c r="IU258" s="1426"/>
      <c r="IV258" s="1426"/>
      <c r="IW258" s="1426"/>
      <c r="IX258" s="1426"/>
      <c r="IY258" s="1426"/>
      <c r="IZ258" s="1426"/>
      <c r="JA258" s="1426"/>
      <c r="JB258" s="1426"/>
      <c r="JC258" s="1426"/>
      <c r="JD258" s="1426"/>
      <c r="JE258" s="1426"/>
      <c r="JF258" s="1426"/>
      <c r="JG258" s="1426"/>
      <c r="JH258" s="1426"/>
      <c r="JI258" s="1426"/>
      <c r="JJ258" s="1426"/>
      <c r="JK258" s="1426"/>
      <c r="JL258" s="1426"/>
    </row>
    <row r="259" spans="1:272" s="749" customFormat="1" ht="12.75" hidden="1" customHeight="1" outlineLevel="1">
      <c r="A259" s="1620" t="s">
        <v>429</v>
      </c>
      <c r="B259" s="1621"/>
      <c r="C259" s="1621"/>
      <c r="D259" s="1621"/>
      <c r="E259" s="1621"/>
      <c r="F259" s="1622"/>
      <c r="G259" s="1621"/>
      <c r="H259" s="1621"/>
      <c r="I259" s="1621"/>
      <c r="J259" s="1621"/>
      <c r="K259" s="1622"/>
      <c r="L259" s="1621"/>
      <c r="M259" s="1621"/>
      <c r="N259" s="1621"/>
      <c r="O259" s="1621"/>
      <c r="P259" s="1622"/>
      <c r="Q259" s="1621"/>
      <c r="R259" s="1621"/>
      <c r="S259" s="1621"/>
      <c r="T259" s="1621"/>
      <c r="U259" s="1622"/>
      <c r="V259" s="1621"/>
      <c r="W259" s="1621"/>
      <c r="X259" s="1621"/>
      <c r="Y259" s="1621"/>
      <c r="Z259" s="1622"/>
      <c r="AA259" s="1621"/>
      <c r="AB259" s="1621"/>
      <c r="AC259" s="1621"/>
      <c r="AD259" s="1621"/>
      <c r="AE259" s="1622"/>
      <c r="AF259" s="1621"/>
      <c r="AG259" s="1621"/>
      <c r="AH259" s="1621"/>
      <c r="AI259" s="1621"/>
      <c r="AJ259" s="1622"/>
      <c r="AK259" s="1621"/>
      <c r="AL259" s="1621"/>
      <c r="AM259" s="1621"/>
      <c r="AN259" s="1621"/>
      <c r="AO259" s="1622"/>
      <c r="AP259" s="1621"/>
      <c r="AQ259" s="1621"/>
      <c r="AR259" s="1621"/>
      <c r="AS259" s="1621"/>
      <c r="AT259" s="1622"/>
      <c r="AU259" s="1621"/>
      <c r="AV259" s="1621"/>
      <c r="AW259" s="1621"/>
      <c r="AX259" s="1621"/>
      <c r="AY259" s="1622"/>
      <c r="AZ259" s="1621"/>
      <c r="BA259" s="1621"/>
      <c r="BB259" s="1621"/>
      <c r="BC259" s="1621"/>
      <c r="BD259" s="1622"/>
      <c r="BE259" s="1621"/>
      <c r="BF259" s="1621"/>
      <c r="BG259" s="1621"/>
      <c r="BH259" s="1621"/>
      <c r="BI259" s="1622"/>
      <c r="BJ259" s="1621"/>
      <c r="BK259" s="1621"/>
      <c r="BL259" s="1621"/>
      <c r="BM259" s="1621"/>
      <c r="BN259" s="1622">
        <v>307.363</v>
      </c>
      <c r="BO259" s="1621"/>
      <c r="BP259" s="1621"/>
      <c r="BQ259" s="1621"/>
      <c r="BR259" s="1621"/>
      <c r="BS259" s="1622">
        <v>4.7859999999999996</v>
      </c>
      <c r="BT259" s="1623"/>
      <c r="BU259" s="1623"/>
      <c r="BV259" s="1623"/>
      <c r="BW259" s="1623"/>
      <c r="BX259" s="1622">
        <v>226.17699999999999</v>
      </c>
      <c r="BY259" s="1623"/>
      <c r="BZ259" s="1623"/>
      <c r="CA259" s="1623"/>
      <c r="CB259" s="1623"/>
      <c r="CC259" s="1622">
        <v>379.625</v>
      </c>
      <c r="CD259" s="1623"/>
      <c r="CE259" s="1623"/>
      <c r="CF259" s="1623"/>
      <c r="CG259" s="1623"/>
      <c r="CH259" s="1622">
        <v>221.33799999999999</v>
      </c>
      <c r="CI259" s="1623"/>
      <c r="CJ259" s="1623"/>
      <c r="CK259" s="1623"/>
      <c r="CL259" s="1623"/>
      <c r="CM259" s="1622">
        <v>433.7</v>
      </c>
      <c r="CN259" s="1623"/>
      <c r="CO259" s="1623"/>
      <c r="CP259" s="1623"/>
      <c r="CQ259" s="1623"/>
      <c r="CR259" s="1622">
        <v>373.87299999999999</v>
      </c>
      <c r="CS259" s="1623"/>
      <c r="CT259" s="1623"/>
      <c r="CU259" s="1623"/>
      <c r="CV259" s="1623"/>
      <c r="CW259" s="1622">
        <v>301.166</v>
      </c>
      <c r="CX259" s="1623"/>
      <c r="CY259" s="1623"/>
      <c r="CZ259" s="1623"/>
      <c r="DA259" s="1623"/>
      <c r="DB259" s="1622">
        <v>276.65199999999999</v>
      </c>
      <c r="DC259" s="1623"/>
      <c r="DD259" s="1623"/>
      <c r="DE259" s="1623"/>
      <c r="DF259" s="1623"/>
      <c r="DG259" s="1622">
        <v>184.87200000000001</v>
      </c>
      <c r="DH259" s="1623"/>
      <c r="DI259" s="1623"/>
      <c r="DJ259" s="1623"/>
      <c r="DK259" s="1623"/>
      <c r="DL259" s="1622">
        <v>344.71</v>
      </c>
      <c r="DM259" s="1623">
        <v>52.829000000000001</v>
      </c>
      <c r="DN259" s="1623">
        <f>161.901-DM259</f>
        <v>109.072</v>
      </c>
      <c r="DO259" s="1623">
        <v>67.802000000000007</v>
      </c>
      <c r="DP259" s="1623"/>
      <c r="DQ259" s="1622">
        <v>311.411</v>
      </c>
      <c r="DR259" s="1623">
        <v>27.347000000000001</v>
      </c>
      <c r="DS259" s="1623">
        <f>135.782-DR259</f>
        <v>108.435</v>
      </c>
      <c r="DT259" s="1623">
        <v>123.881</v>
      </c>
      <c r="DU259" s="1623">
        <f>+DV259-SUM(DR259:DT259)</f>
        <v>88.32099999999997</v>
      </c>
      <c r="DV259" s="1622">
        <v>347.98399999999998</v>
      </c>
      <c r="DW259" s="1623">
        <v>-4.5430000000000001</v>
      </c>
      <c r="DX259" s="1623">
        <f>121.645-DW259</f>
        <v>126.188</v>
      </c>
      <c r="DY259" s="1623">
        <f>160.66-DX259-DW259</f>
        <v>39.014999999999993</v>
      </c>
      <c r="DZ259" s="1623">
        <f>+EA259-SUM(DW259:DY259)</f>
        <v>79.22399999999999</v>
      </c>
      <c r="EA259" s="1622">
        <v>239.88399999999999</v>
      </c>
      <c r="EB259" s="1623">
        <v>68.876000000000005</v>
      </c>
      <c r="EC259" s="1623"/>
      <c r="ED259" s="1623"/>
      <c r="EE259" s="1623"/>
      <c r="EF259" s="1622">
        <f>EF254+EF255+EF257+EF258</f>
        <v>342.05027368166907</v>
      </c>
      <c r="EG259" s="1623"/>
      <c r="EH259" s="1623"/>
      <c r="EI259" s="1623"/>
      <c r="EJ259" s="1623"/>
      <c r="EK259" s="1622">
        <f>EK254+EK255+EK257+EK258</f>
        <v>303.08969974990549</v>
      </c>
      <c r="EL259" s="1623"/>
      <c r="EM259" s="1623"/>
      <c r="EN259" s="1623"/>
      <c r="EO259" s="1623"/>
      <c r="EP259" s="1622">
        <f>EP254+EP255+EP257+EP258</f>
        <v>533.16845174336061</v>
      </c>
      <c r="EQ259" s="1623"/>
      <c r="ER259" s="1623"/>
      <c r="ES259" s="1623"/>
      <c r="ET259" s="1623"/>
      <c r="EU259" s="1622">
        <f>EU254+EU255+EU257+EU258</f>
        <v>590.63861037426454</v>
      </c>
      <c r="EV259" s="1623"/>
      <c r="EW259" s="1623"/>
      <c r="EX259" s="1623"/>
      <c r="EY259" s="1623"/>
      <c r="EZ259" s="1622">
        <f>EZ254+EZ255+EZ257+EZ258</f>
        <v>635.9011831810493</v>
      </c>
      <c r="FA259" s="1623"/>
      <c r="FB259" s="1623"/>
      <c r="FC259" s="1623"/>
      <c r="FD259" s="1623"/>
      <c r="FE259" s="1622">
        <f>FE254+FE255+FE257+FE258</f>
        <v>678.8283764264221</v>
      </c>
      <c r="FF259" s="876"/>
      <c r="FG259" s="690"/>
      <c r="FH259" s="754"/>
      <c r="FI259" s="754"/>
      <c r="FJ259" s="754"/>
      <c r="FK259" s="754"/>
      <c r="FL259" s="690"/>
      <c r="FM259" s="747"/>
      <c r="FN259" s="747"/>
      <c r="FO259" s="720"/>
      <c r="FP259" s="720"/>
      <c r="FQ259" s="720"/>
      <c r="FR259" s="720"/>
      <c r="FS259" s="720"/>
      <c r="FT259" s="720"/>
      <c r="FU259" s="690"/>
      <c r="FV259"/>
      <c r="FW259"/>
      <c r="FX259"/>
      <c r="FY259"/>
      <c r="FZ259"/>
      <c r="GA259"/>
      <c r="GB259" s="1624"/>
      <c r="GC259" s="532"/>
      <c r="GD259" s="532"/>
      <c r="GE259" s="532"/>
      <c r="GF259" s="532"/>
      <c r="GG259" s="532"/>
      <c r="GH259" s="532"/>
      <c r="GI259" s="532"/>
      <c r="GJ259" s="532"/>
      <c r="GK259" s="532"/>
      <c r="GL259" s="532"/>
      <c r="GM259" s="532"/>
      <c r="GN259" s="532"/>
      <c r="GO259" s="532"/>
      <c r="GP259" s="532"/>
      <c r="GQ259" s="532"/>
      <c r="GR259" s="532"/>
      <c r="GS259" s="532"/>
      <c r="GT259" s="532"/>
      <c r="GU259" s="532"/>
      <c r="GV259" s="532"/>
      <c r="GW259" s="532"/>
      <c r="GX259" s="532"/>
      <c r="GY259" s="532"/>
      <c r="GZ259" s="532"/>
      <c r="HA259" s="532"/>
      <c r="HB259" s="532"/>
      <c r="HC259" s="532"/>
      <c r="HD259" s="532"/>
      <c r="HE259" s="532"/>
      <c r="HF259" s="532"/>
      <c r="HG259" s="532"/>
      <c r="HH259" s="532"/>
      <c r="HI259" s="532"/>
      <c r="HJ259" s="532"/>
      <c r="HK259" s="532"/>
      <c r="HL259" s="532"/>
      <c r="HM259" s="532"/>
      <c r="HN259" s="532"/>
      <c r="HO259" s="532"/>
      <c r="HP259" s="532"/>
      <c r="HQ259" s="532"/>
      <c r="HR259" s="532"/>
      <c r="HS259" s="532"/>
      <c r="HT259" s="532"/>
      <c r="HU259" s="532"/>
      <c r="HV259" s="532"/>
      <c r="HW259" s="532"/>
      <c r="HX259" s="532"/>
      <c r="HY259" s="532"/>
      <c r="HZ259" s="532"/>
      <c r="IA259" s="532"/>
      <c r="IB259" s="532"/>
      <c r="IC259" s="532"/>
      <c r="ID259" s="532"/>
      <c r="IE259" s="532"/>
      <c r="IF259" s="532"/>
      <c r="IG259" s="532"/>
      <c r="IH259" s="532"/>
      <c r="II259" s="532"/>
      <c r="IJ259" s="532"/>
      <c r="IK259" s="532"/>
      <c r="IL259" s="532"/>
      <c r="IM259" s="532"/>
      <c r="IN259" s="532"/>
      <c r="IO259" s="532"/>
      <c r="IP259" s="532"/>
      <c r="IQ259" s="532"/>
      <c r="IR259" s="532"/>
      <c r="IS259" s="532"/>
      <c r="IT259" s="532"/>
      <c r="IU259" s="532"/>
      <c r="IV259" s="532"/>
      <c r="IW259" s="532"/>
      <c r="IX259" s="532"/>
      <c r="IY259" s="532"/>
      <c r="IZ259" s="532"/>
      <c r="JA259" s="532"/>
      <c r="JB259" s="532"/>
      <c r="JC259" s="532"/>
      <c r="JD259" s="532"/>
      <c r="JE259" s="532"/>
      <c r="JF259" s="532"/>
      <c r="JG259" s="532"/>
      <c r="JH259" s="532"/>
      <c r="JI259" s="532"/>
      <c r="JJ259" s="532"/>
      <c r="JK259" s="532"/>
      <c r="JL259" s="532"/>
    </row>
    <row r="260" spans="1:272" s="942" customFormat="1" ht="12.75" hidden="1" customHeight="1" outlineLevel="1">
      <c r="A260" s="1419" t="s">
        <v>430</v>
      </c>
      <c r="B260" s="938"/>
      <c r="C260" s="938"/>
      <c r="D260" s="938"/>
      <c r="E260" s="938"/>
      <c r="F260" s="1196"/>
      <c r="G260" s="938"/>
      <c r="H260" s="938"/>
      <c r="I260" s="938"/>
      <c r="J260" s="938"/>
      <c r="K260" s="1196"/>
      <c r="L260" s="938"/>
      <c r="M260" s="938"/>
      <c r="N260" s="938"/>
      <c r="O260" s="938"/>
      <c r="P260" s="1196"/>
      <c r="Q260" s="938"/>
      <c r="R260" s="938"/>
      <c r="S260" s="938"/>
      <c r="T260" s="938"/>
      <c r="U260" s="1196"/>
      <c r="V260" s="938"/>
      <c r="W260" s="938"/>
      <c r="X260" s="938"/>
      <c r="Y260" s="938"/>
      <c r="Z260" s="1196"/>
      <c r="AA260" s="938"/>
      <c r="AB260" s="938"/>
      <c r="AC260" s="938"/>
      <c r="AD260" s="938"/>
      <c r="AE260" s="1196"/>
      <c r="AF260" s="938"/>
      <c r="AG260" s="938"/>
      <c r="AH260" s="938"/>
      <c r="AI260" s="938"/>
      <c r="AJ260" s="1196"/>
      <c r="AK260" s="938"/>
      <c r="AL260" s="938"/>
      <c r="AM260" s="938"/>
      <c r="AN260" s="938"/>
      <c r="AO260" s="1196"/>
      <c r="AP260" s="938"/>
      <c r="AQ260" s="938"/>
      <c r="AR260" s="938"/>
      <c r="AS260" s="938"/>
      <c r="AT260" s="1196"/>
      <c r="AU260" s="938"/>
      <c r="AV260" s="938"/>
      <c r="AW260" s="938"/>
      <c r="AX260" s="938"/>
      <c r="AY260" s="1196"/>
      <c r="AZ260" s="938"/>
      <c r="BA260" s="938"/>
      <c r="BB260" s="938"/>
      <c r="BC260" s="938"/>
      <c r="BD260" s="1196"/>
      <c r="BE260" s="938"/>
      <c r="BF260" s="938"/>
      <c r="BG260" s="938"/>
      <c r="BH260" s="938"/>
      <c r="BI260" s="1196"/>
      <c r="BJ260" s="938"/>
      <c r="BK260" s="938"/>
      <c r="BL260" s="938"/>
      <c r="BM260" s="938"/>
      <c r="BN260" s="1196">
        <f>-192.125-15.668</f>
        <v>-207.79300000000001</v>
      </c>
      <c r="BO260" s="938"/>
      <c r="BP260" s="938"/>
      <c r="BQ260" s="938"/>
      <c r="BR260" s="938"/>
      <c r="BS260" s="1196">
        <f>-75.831-13.496</f>
        <v>-89.326999999999998</v>
      </c>
      <c r="BT260" s="938"/>
      <c r="BU260" s="1422"/>
      <c r="BV260" s="938"/>
      <c r="BW260" s="938"/>
      <c r="BX260" s="1427">
        <v>-140.20500000000001</v>
      </c>
      <c r="BY260" s="938"/>
      <c r="BZ260" s="1422"/>
      <c r="CA260" s="938"/>
      <c r="CB260" s="938"/>
      <c r="CC260" s="1196">
        <f>-151.46-10.96</f>
        <v>-162.42000000000002</v>
      </c>
      <c r="CD260" s="938"/>
      <c r="CE260" s="938"/>
      <c r="CF260" s="938"/>
      <c r="CG260" s="938"/>
      <c r="CH260" s="1196">
        <v>-211.465</v>
      </c>
      <c r="CI260" s="938"/>
      <c r="CJ260" s="938"/>
      <c r="CK260" s="938"/>
      <c r="CL260" s="938"/>
      <c r="CM260" s="1196">
        <v>-299.21100000000001</v>
      </c>
      <c r="CN260" s="938"/>
      <c r="CO260" s="938"/>
      <c r="CP260" s="938"/>
      <c r="CQ260" s="938"/>
      <c r="CR260" s="1196">
        <v>-151.553</v>
      </c>
      <c r="CS260" s="938"/>
      <c r="CT260" s="938"/>
      <c r="CU260" s="938"/>
      <c r="CV260" s="938"/>
      <c r="CW260" s="1196">
        <v>-244.66499999999999</v>
      </c>
      <c r="CX260" s="938"/>
      <c r="CY260" s="938"/>
      <c r="CZ260" s="938"/>
      <c r="DA260" s="938"/>
      <c r="DB260" s="1196">
        <v>-73.8</v>
      </c>
      <c r="DC260" s="938"/>
      <c r="DD260" s="938"/>
      <c r="DE260" s="938"/>
      <c r="DF260" s="938"/>
      <c r="DG260" s="1196">
        <f>-186.496-8.101</f>
        <v>-194.59700000000001</v>
      </c>
      <c r="DH260" s="938"/>
      <c r="DI260" s="938"/>
      <c r="DJ260" s="938"/>
      <c r="DK260" s="938"/>
      <c r="DL260" s="1196">
        <f>-288.994-8.667</f>
        <v>-297.661</v>
      </c>
      <c r="DM260" s="938">
        <f>-82.486-0.873</f>
        <v>-83.359000000000009</v>
      </c>
      <c r="DN260" s="938">
        <f>(-148.669-3.076)-DM260</f>
        <v>-68.385999999999996</v>
      </c>
      <c r="DO260" s="938">
        <f>-64.548-2.667</f>
        <v>-67.215000000000003</v>
      </c>
      <c r="DP260" s="938"/>
      <c r="DQ260" s="1196">
        <f>-293.135-8.963</f>
        <v>-302.09800000000001</v>
      </c>
      <c r="DR260" s="938">
        <f>-49.686-0.96</f>
        <v>-50.646000000000001</v>
      </c>
      <c r="DS260" s="938">
        <f>+-129.273-3.246-DR260</f>
        <v>-81.873000000000005</v>
      </c>
      <c r="DT260" s="938">
        <v>-83.275999999999996</v>
      </c>
      <c r="DU260" s="938">
        <f>+DV260-SUM(DR260:DT260)</f>
        <v>-73.545999999999992</v>
      </c>
      <c r="DV260" s="1196">
        <f>-281.943-7.398</f>
        <v>-289.34100000000001</v>
      </c>
      <c r="DW260" s="938">
        <f>-70.478-2.637</f>
        <v>-73.114999999999995</v>
      </c>
      <c r="DX260" s="938">
        <f>-123.366-3.246-DW260</f>
        <v>-53.497</v>
      </c>
      <c r="DY260" s="938">
        <f>+-214.329-DX260-DW260</f>
        <v>-87.716999999999999</v>
      </c>
      <c r="DZ260" s="938">
        <f>+EA260-SUM(DW260:DY260)</f>
        <v>-87.810999999999979</v>
      </c>
      <c r="EA260" s="1196">
        <f>-289.776-12.364</f>
        <v>-302.14</v>
      </c>
      <c r="EB260" s="938">
        <f>-44.945-4.018</f>
        <v>-48.963000000000001</v>
      </c>
      <c r="EC260" s="938"/>
      <c r="ED260" s="1500"/>
      <c r="EE260" s="1500"/>
      <c r="EF260" s="1501">
        <v>-320</v>
      </c>
      <c r="EG260" s="1500"/>
      <c r="EH260" s="1500"/>
      <c r="EI260" s="1500"/>
      <c r="EJ260" s="1500"/>
      <c r="EK260" s="1501">
        <v>-300</v>
      </c>
      <c r="EL260" s="1500"/>
      <c r="EM260" s="1500"/>
      <c r="EN260" s="1500"/>
      <c r="EO260" s="1500"/>
      <c r="EP260" s="1501">
        <v>-300</v>
      </c>
      <c r="EQ260" s="1500"/>
      <c r="ER260" s="1500"/>
      <c r="ES260" s="1500"/>
      <c r="ET260" s="1500"/>
      <c r="EU260" s="1501">
        <v>-300</v>
      </c>
      <c r="EV260" s="1500"/>
      <c r="EW260" s="1500"/>
      <c r="EX260" s="1500"/>
      <c r="EY260" s="1500"/>
      <c r="EZ260" s="1501">
        <v>-300</v>
      </c>
      <c r="FA260" s="1500"/>
      <c r="FB260" s="1500"/>
      <c r="FC260" s="1500"/>
      <c r="FD260" s="1500"/>
      <c r="FE260" s="1501">
        <v>-300</v>
      </c>
      <c r="FF260" s="938"/>
      <c r="FG260" s="690"/>
      <c r="FH260" s="754"/>
      <c r="FI260" s="754"/>
      <c r="FJ260" s="754"/>
      <c r="FK260" s="754"/>
      <c r="FL260" s="690"/>
      <c r="FM260" s="752"/>
      <c r="FN260" s="940"/>
      <c r="FO260" s="941"/>
      <c r="FP260" s="941"/>
      <c r="FQ260" s="941"/>
      <c r="FR260" s="941"/>
      <c r="FS260" s="941"/>
      <c r="FT260" s="941"/>
      <c r="FU260" s="690"/>
      <c r="FV260"/>
      <c r="FW260"/>
      <c r="FX260"/>
      <c r="FY260"/>
      <c r="FZ260"/>
      <c r="GA260"/>
      <c r="GB260" s="1612"/>
      <c r="GC260" s="1426"/>
      <c r="GD260" s="1426"/>
      <c r="GE260" s="1426"/>
      <c r="GF260" s="1426"/>
      <c r="GG260" s="1426"/>
      <c r="GH260" s="1426"/>
      <c r="GI260" s="1426"/>
      <c r="GJ260" s="1426"/>
      <c r="GK260" s="1426"/>
      <c r="GL260" s="1426"/>
      <c r="GM260" s="1426"/>
      <c r="GN260" s="1426"/>
      <c r="GO260" s="1426"/>
      <c r="GP260" s="1426"/>
      <c r="GQ260" s="1426"/>
      <c r="GR260" s="1426"/>
      <c r="GS260" s="1426"/>
      <c r="GT260" s="1426"/>
      <c r="GU260" s="1426"/>
      <c r="GV260" s="1426"/>
      <c r="GW260" s="1426"/>
      <c r="GX260" s="1426"/>
      <c r="GY260" s="1426"/>
      <c r="GZ260" s="1426"/>
      <c r="HA260" s="1426"/>
      <c r="HB260" s="1426"/>
      <c r="HC260" s="1426"/>
      <c r="HD260" s="1426"/>
      <c r="HE260" s="1426"/>
      <c r="HF260" s="1426"/>
      <c r="HG260" s="1426"/>
      <c r="HH260" s="1426"/>
      <c r="HI260" s="1426"/>
      <c r="HJ260" s="1426"/>
      <c r="HK260" s="1426"/>
      <c r="HL260" s="1426"/>
      <c r="HM260" s="1426"/>
      <c r="HN260" s="1426"/>
      <c r="HO260" s="1426"/>
      <c r="HP260" s="1426"/>
      <c r="HQ260" s="1426"/>
      <c r="HR260" s="1426"/>
      <c r="HS260" s="1426"/>
      <c r="HT260" s="1426"/>
      <c r="HU260" s="1426"/>
      <c r="HV260" s="1426"/>
      <c r="HW260" s="1426"/>
      <c r="HX260" s="1426"/>
      <c r="HY260" s="1426"/>
      <c r="HZ260" s="1426"/>
      <c r="IA260" s="1426"/>
      <c r="IB260" s="1426"/>
      <c r="IC260" s="1426"/>
      <c r="ID260" s="1426"/>
      <c r="IE260" s="1426"/>
      <c r="IF260" s="1426"/>
      <c r="IG260" s="1426"/>
      <c r="IH260" s="1426"/>
      <c r="II260" s="1426"/>
      <c r="IJ260" s="1426"/>
      <c r="IK260" s="1426"/>
      <c r="IL260" s="1426"/>
      <c r="IM260" s="1426"/>
      <c r="IN260" s="1426"/>
      <c r="IO260" s="1426"/>
      <c r="IP260" s="1426"/>
      <c r="IQ260" s="1426"/>
      <c r="IR260" s="1426"/>
      <c r="IS260" s="1426"/>
      <c r="IT260" s="1426"/>
      <c r="IU260" s="1426"/>
      <c r="IV260" s="1426"/>
      <c r="IW260" s="1426"/>
      <c r="IX260" s="1426"/>
      <c r="IY260" s="1426"/>
      <c r="IZ260" s="1426"/>
      <c r="JA260" s="1426"/>
      <c r="JB260" s="1426"/>
      <c r="JC260" s="1426"/>
      <c r="JD260" s="1426"/>
      <c r="JE260" s="1426"/>
      <c r="JF260" s="1426"/>
      <c r="JG260" s="1426"/>
      <c r="JH260" s="1426"/>
      <c r="JI260" s="1426"/>
      <c r="JJ260" s="1426"/>
      <c r="JK260" s="1426"/>
      <c r="JL260" s="1426"/>
    </row>
    <row r="261" spans="1:272" s="942" customFormat="1" ht="12.75" hidden="1" customHeight="1" outlineLevel="1">
      <c r="A261" s="1419" t="s">
        <v>431</v>
      </c>
      <c r="B261" s="938"/>
      <c r="C261" s="938"/>
      <c r="D261" s="938"/>
      <c r="E261" s="938"/>
      <c r="F261" s="1196"/>
      <c r="G261" s="938"/>
      <c r="H261" s="938"/>
      <c r="I261" s="938"/>
      <c r="J261" s="938"/>
      <c r="K261" s="1196"/>
      <c r="L261" s="938"/>
      <c r="M261" s="938"/>
      <c r="N261" s="938"/>
      <c r="O261" s="938"/>
      <c r="P261" s="1196"/>
      <c r="Q261" s="938"/>
      <c r="R261" s="938"/>
      <c r="S261" s="938"/>
      <c r="T261" s="938"/>
      <c r="U261" s="1196"/>
      <c r="V261" s="938"/>
      <c r="W261" s="938"/>
      <c r="X261" s="938"/>
      <c r="Y261" s="938"/>
      <c r="Z261" s="1196"/>
      <c r="AA261" s="938"/>
      <c r="AB261" s="938"/>
      <c r="AC261" s="938"/>
      <c r="AD261" s="938"/>
      <c r="AE261" s="1196"/>
      <c r="AF261" s="938"/>
      <c r="AG261" s="938"/>
      <c r="AH261" s="938"/>
      <c r="AI261" s="938"/>
      <c r="AJ261" s="1196"/>
      <c r="AK261" s="938"/>
      <c r="AL261" s="938"/>
      <c r="AM261" s="938"/>
      <c r="AN261" s="938"/>
      <c r="AO261" s="1196"/>
      <c r="AP261" s="938"/>
      <c r="AQ261" s="938"/>
      <c r="AR261" s="938"/>
      <c r="AS261" s="938"/>
      <c r="AT261" s="1196"/>
      <c r="AU261" s="938"/>
      <c r="AV261" s="938"/>
      <c r="AW261" s="938"/>
      <c r="AX261" s="938"/>
      <c r="AY261" s="1196"/>
      <c r="AZ261" s="938"/>
      <c r="BA261" s="938"/>
      <c r="BB261" s="938"/>
      <c r="BC261" s="938"/>
      <c r="BD261" s="1196"/>
      <c r="BE261" s="938"/>
      <c r="BF261" s="938"/>
      <c r="BG261" s="938"/>
      <c r="BH261" s="938"/>
      <c r="BI261" s="1196"/>
      <c r="BJ261" s="938"/>
      <c r="BK261" s="938"/>
      <c r="BL261" s="938"/>
      <c r="BM261" s="938"/>
      <c r="BN261" s="1196">
        <v>13.833</v>
      </c>
      <c r="BO261" s="938"/>
      <c r="BP261" s="938"/>
      <c r="BQ261" s="938"/>
      <c r="BR261" s="938"/>
      <c r="BS261" s="1196">
        <v>13.488</v>
      </c>
      <c r="BT261" s="938"/>
      <c r="BU261" s="1422"/>
      <c r="BV261" s="938"/>
      <c r="BW261" s="938"/>
      <c r="BX261" s="1196">
        <v>6.2089999999999996</v>
      </c>
      <c r="BY261" s="938"/>
      <c r="BZ261" s="1422"/>
      <c r="CA261" s="938"/>
      <c r="CB261" s="938"/>
      <c r="CC261" s="1196">
        <v>14.007</v>
      </c>
      <c r="CD261" s="938"/>
      <c r="CE261" s="938"/>
      <c r="CF261" s="938"/>
      <c r="CG261" s="938"/>
      <c r="CH261" s="1196">
        <v>5.516</v>
      </c>
      <c r="CI261" s="938"/>
      <c r="CJ261" s="938"/>
      <c r="CK261" s="938"/>
      <c r="CL261" s="938"/>
      <c r="CM261" s="1196">
        <v>8.1180000000000003</v>
      </c>
      <c r="CN261" s="938"/>
      <c r="CO261" s="938"/>
      <c r="CP261" s="938"/>
      <c r="CQ261" s="938"/>
      <c r="CR261" s="1196">
        <v>27.757999999999999</v>
      </c>
      <c r="CS261" s="938"/>
      <c r="CT261" s="938"/>
      <c r="CU261" s="938"/>
      <c r="CV261" s="938"/>
      <c r="CW261" s="1196">
        <v>49.220999999999997</v>
      </c>
      <c r="CX261" s="938"/>
      <c r="CY261" s="938"/>
      <c r="CZ261" s="938"/>
      <c r="DA261" s="938"/>
      <c r="DB261" s="1196">
        <v>32.707999999999998</v>
      </c>
      <c r="DC261" s="938"/>
      <c r="DD261" s="938"/>
      <c r="DE261" s="938"/>
      <c r="DF261" s="938"/>
      <c r="DG261" s="1196">
        <f>12.403+20.43</f>
        <v>32.832999999999998</v>
      </c>
      <c r="DH261" s="938"/>
      <c r="DI261" s="938"/>
      <c r="DJ261" s="938"/>
      <c r="DK261" s="938"/>
      <c r="DL261" s="1196">
        <v>13.212999999999999</v>
      </c>
      <c r="DM261" s="938">
        <v>5.7590000000000003</v>
      </c>
      <c r="DN261" s="938">
        <f>15.721-DM261</f>
        <v>9.9619999999999997</v>
      </c>
      <c r="DO261" s="938">
        <v>3.6640000000000001</v>
      </c>
      <c r="DP261" s="938"/>
      <c r="DQ261" s="1196">
        <v>20.84</v>
      </c>
      <c r="DR261" s="938">
        <v>1.3959999999999999</v>
      </c>
      <c r="DS261" s="938">
        <f>9.965-DR261</f>
        <v>8.5689999999999991</v>
      </c>
      <c r="DT261" s="938">
        <v>2.274</v>
      </c>
      <c r="DU261" s="938">
        <f>+DV261-SUM(DR261:DT261)</f>
        <v>1.9629999999999992</v>
      </c>
      <c r="DV261" s="1196">
        <v>14.202</v>
      </c>
      <c r="DW261" s="938">
        <v>5.8419999999999996</v>
      </c>
      <c r="DX261" s="938">
        <f>22.361-DW261</f>
        <v>16.519000000000002</v>
      </c>
      <c r="DY261" s="938">
        <f>35.126-DX261-DW261</f>
        <v>12.764999999999997</v>
      </c>
      <c r="DZ261" s="938">
        <f>+EA261-SUM(DW261:DY261)</f>
        <v>12.112000000000002</v>
      </c>
      <c r="EA261" s="1196">
        <v>47.238</v>
      </c>
      <c r="EB261" s="938">
        <v>3.0249999999999999</v>
      </c>
      <c r="EC261" s="938"/>
      <c r="ED261" s="1625"/>
      <c r="EE261" s="1625"/>
      <c r="EF261" s="1626">
        <v>25</v>
      </c>
      <c r="EG261" s="1500"/>
      <c r="EH261" s="1500"/>
      <c r="EI261" s="1500"/>
      <c r="EJ261" s="1500"/>
      <c r="EK261" s="1501">
        <v>25</v>
      </c>
      <c r="EL261" s="1500"/>
      <c r="EM261" s="1500"/>
      <c r="EN261" s="1500"/>
      <c r="EO261" s="1500"/>
      <c r="EP261" s="1501">
        <v>25</v>
      </c>
      <c r="EQ261" s="1500"/>
      <c r="ER261" s="1500"/>
      <c r="ES261" s="1500"/>
      <c r="ET261" s="1500"/>
      <c r="EU261" s="1501">
        <v>25</v>
      </c>
      <c r="EV261" s="1500"/>
      <c r="EW261" s="1500"/>
      <c r="EX261" s="1500"/>
      <c r="EY261" s="1500"/>
      <c r="EZ261" s="1501">
        <v>25</v>
      </c>
      <c r="FA261" s="1500"/>
      <c r="FB261" s="1500"/>
      <c r="FC261" s="1500"/>
      <c r="FD261" s="1500"/>
      <c r="FE261" s="1501">
        <v>25</v>
      </c>
      <c r="FF261" s="938"/>
      <c r="FG261" s="690"/>
      <c r="FH261" s="754"/>
      <c r="FI261" s="754"/>
      <c r="FJ261" s="754"/>
      <c r="FK261" s="754"/>
      <c r="FL261" s="690"/>
      <c r="FM261" s="940"/>
      <c r="FN261" s="752"/>
      <c r="FO261" s="941"/>
      <c r="FP261" s="941"/>
      <c r="FQ261" s="941"/>
      <c r="FR261" s="941"/>
      <c r="FS261" s="941"/>
      <c r="FT261" s="941"/>
      <c r="FU261" s="690"/>
      <c r="FV261"/>
      <c r="FW261"/>
      <c r="FX261"/>
      <c r="FY261"/>
      <c r="FZ261"/>
      <c r="GA261"/>
      <c r="GB261" s="1612"/>
      <c r="GC261" s="1426"/>
      <c r="GD261" s="1426"/>
      <c r="GE261" s="1426"/>
      <c r="GF261" s="1426"/>
      <c r="GG261" s="1426"/>
      <c r="GH261" s="1426"/>
      <c r="GI261" s="1426"/>
      <c r="GJ261" s="1426"/>
      <c r="GK261" s="1426"/>
      <c r="GL261" s="1426"/>
      <c r="GM261" s="1426"/>
      <c r="GN261" s="1426"/>
      <c r="GO261" s="1426"/>
      <c r="GP261" s="1426"/>
      <c r="GQ261" s="1426"/>
      <c r="GR261" s="1426"/>
      <c r="GS261" s="1426"/>
      <c r="GT261" s="1426"/>
      <c r="GU261" s="1426"/>
      <c r="GV261" s="1426"/>
      <c r="GW261" s="1426"/>
      <c r="GX261" s="1426"/>
      <c r="GY261" s="1426"/>
      <c r="GZ261" s="1426"/>
      <c r="HA261" s="1426"/>
      <c r="HB261" s="1426"/>
      <c r="HC261" s="1426"/>
      <c r="HD261" s="1426"/>
      <c r="HE261" s="1426"/>
      <c r="HF261" s="1426"/>
      <c r="HG261" s="1426"/>
      <c r="HH261" s="1426"/>
      <c r="HI261" s="1426"/>
      <c r="HJ261" s="1426"/>
      <c r="HK261" s="1426"/>
      <c r="HL261" s="1426"/>
      <c r="HM261" s="1426"/>
      <c r="HN261" s="1426"/>
      <c r="HO261" s="1426"/>
      <c r="HP261" s="1426"/>
      <c r="HQ261" s="1426"/>
      <c r="HR261" s="1426"/>
      <c r="HS261" s="1426"/>
      <c r="HT261" s="1426"/>
      <c r="HU261" s="1426"/>
      <c r="HV261" s="1426"/>
      <c r="HW261" s="1426"/>
      <c r="HX261" s="1426"/>
      <c r="HY261" s="1426"/>
      <c r="HZ261" s="1426"/>
      <c r="IA261" s="1426"/>
      <c r="IB261" s="1426"/>
      <c r="IC261" s="1426"/>
      <c r="ID261" s="1426"/>
      <c r="IE261" s="1426"/>
      <c r="IF261" s="1426"/>
      <c r="IG261" s="1426"/>
      <c r="IH261" s="1426"/>
      <c r="II261" s="1426"/>
      <c r="IJ261" s="1426"/>
      <c r="IK261" s="1426"/>
      <c r="IL261" s="1426"/>
      <c r="IM261" s="1426"/>
      <c r="IN261" s="1426"/>
      <c r="IO261" s="1426"/>
      <c r="IP261" s="1426"/>
      <c r="IQ261" s="1426"/>
      <c r="IR261" s="1426"/>
      <c r="IS261" s="1426"/>
      <c r="IT261" s="1426"/>
      <c r="IU261" s="1426"/>
      <c r="IV261" s="1426"/>
      <c r="IW261" s="1426"/>
      <c r="IX261" s="1426"/>
      <c r="IY261" s="1426"/>
      <c r="IZ261" s="1426"/>
      <c r="JA261" s="1426"/>
      <c r="JB261" s="1426"/>
      <c r="JC261" s="1426"/>
      <c r="JD261" s="1426"/>
      <c r="JE261" s="1426"/>
      <c r="JF261" s="1426"/>
      <c r="JG261" s="1426"/>
      <c r="JH261" s="1426"/>
      <c r="JI261" s="1426"/>
      <c r="JJ261" s="1426"/>
      <c r="JK261" s="1426"/>
      <c r="JL261" s="1426"/>
    </row>
    <row r="262" spans="1:272" s="965" customFormat="1" ht="12.75" hidden="1" customHeight="1" outlineLevel="1">
      <c r="A262" s="1627" t="s">
        <v>163</v>
      </c>
      <c r="B262" s="1628"/>
      <c r="C262" s="1628"/>
      <c r="D262" s="1628"/>
      <c r="E262" s="1628"/>
      <c r="F262" s="1629"/>
      <c r="G262" s="1628"/>
      <c r="H262" s="1628"/>
      <c r="I262" s="1628"/>
      <c r="J262" s="1628"/>
      <c r="K262" s="1629"/>
      <c r="L262" s="1628"/>
      <c r="M262" s="1628"/>
      <c r="N262" s="1628"/>
      <c r="O262" s="1628"/>
      <c r="P262" s="1629"/>
      <c r="Q262" s="1628"/>
      <c r="R262" s="1628"/>
      <c r="S262" s="1628"/>
      <c r="T262" s="1628"/>
      <c r="U262" s="1629"/>
      <c r="V262" s="1628"/>
      <c r="W262" s="1628"/>
      <c r="X262" s="1628"/>
      <c r="Y262" s="1628"/>
      <c r="Z262" s="1629"/>
      <c r="AA262" s="1628"/>
      <c r="AB262" s="1628"/>
      <c r="AC262" s="1628"/>
      <c r="AD262" s="1628"/>
      <c r="AE262" s="1629"/>
      <c r="AF262" s="1628"/>
      <c r="AG262" s="1628"/>
      <c r="AH262" s="1628"/>
      <c r="AI262" s="1628"/>
      <c r="AJ262" s="1629"/>
      <c r="AK262" s="1630"/>
      <c r="AL262" s="958"/>
      <c r="AM262" s="958"/>
      <c r="AN262" s="958"/>
      <c r="AO262" s="1629"/>
      <c r="AP262" s="958"/>
      <c r="AQ262" s="958"/>
      <c r="AR262" s="958"/>
      <c r="AS262" s="958"/>
      <c r="AT262" s="1629"/>
      <c r="AU262" s="958"/>
      <c r="AV262" s="958"/>
      <c r="AW262" s="958"/>
      <c r="AX262" s="958"/>
      <c r="AY262" s="1629"/>
      <c r="AZ262" s="958"/>
      <c r="BA262" s="958"/>
      <c r="BB262" s="958"/>
      <c r="BC262" s="958"/>
      <c r="BD262" s="1629"/>
      <c r="BE262" s="958"/>
      <c r="BF262" s="958"/>
      <c r="BG262" s="958"/>
      <c r="BH262" s="958"/>
      <c r="BI262" s="1629"/>
      <c r="BJ262" s="958"/>
      <c r="BK262" s="958"/>
      <c r="BL262" s="958"/>
      <c r="BM262" s="958"/>
      <c r="BN262" s="1629">
        <f>BN260+BN261</f>
        <v>-193.96</v>
      </c>
      <c r="BO262" s="958"/>
      <c r="BP262" s="958"/>
      <c r="BQ262" s="958"/>
      <c r="BR262" s="958"/>
      <c r="BS262" s="1629">
        <f>BS260+BS261</f>
        <v>-75.838999999999999</v>
      </c>
      <c r="BT262" s="958"/>
      <c r="BU262" s="958"/>
      <c r="BV262" s="958"/>
      <c r="BW262" s="958"/>
      <c r="BX262" s="1629">
        <f>BX260+BX261</f>
        <v>-133.99600000000001</v>
      </c>
      <c r="BY262" s="958"/>
      <c r="BZ262" s="958"/>
      <c r="CA262" s="958"/>
      <c r="CB262" s="958"/>
      <c r="CC262" s="1629">
        <f>CC260+CC261</f>
        <v>-148.41300000000001</v>
      </c>
      <c r="CD262" s="958"/>
      <c r="CE262" s="958"/>
      <c r="CF262" s="958"/>
      <c r="CG262" s="958"/>
      <c r="CH262" s="1629">
        <f>CH260+CH261</f>
        <v>-205.94900000000001</v>
      </c>
      <c r="CI262" s="958"/>
      <c r="CJ262" s="958"/>
      <c r="CK262" s="958"/>
      <c r="CL262" s="958"/>
      <c r="CM262" s="1629">
        <f>CM260+CM261</f>
        <v>-291.09300000000002</v>
      </c>
      <c r="CN262" s="958"/>
      <c r="CO262" s="958"/>
      <c r="CP262" s="958"/>
      <c r="CQ262" s="958"/>
      <c r="CR262" s="1629">
        <f>CR260+CR261</f>
        <v>-123.795</v>
      </c>
      <c r="CS262" s="958"/>
      <c r="CT262" s="958"/>
      <c r="CU262" s="958"/>
      <c r="CV262" s="958"/>
      <c r="CW262" s="1629">
        <f>CW260+CW261</f>
        <v>-195.44399999999999</v>
      </c>
      <c r="CX262" s="958"/>
      <c r="CY262" s="958"/>
      <c r="CZ262" s="958"/>
      <c r="DA262" s="958"/>
      <c r="DB262" s="1629">
        <f>DB260+DB261</f>
        <v>-41.091999999999999</v>
      </c>
      <c r="DC262" s="958"/>
      <c r="DD262" s="958"/>
      <c r="DE262" s="958"/>
      <c r="DF262" s="958"/>
      <c r="DG262" s="1629">
        <f>DG260+DG261</f>
        <v>-161.76400000000001</v>
      </c>
      <c r="DH262" s="958"/>
      <c r="DI262" s="958"/>
      <c r="DJ262" s="958"/>
      <c r="DK262" s="958"/>
      <c r="DL262" s="1629">
        <f>DL260+DL261</f>
        <v>-284.44799999999998</v>
      </c>
      <c r="DM262" s="958">
        <f>DM260+DM261</f>
        <v>-77.600000000000009</v>
      </c>
      <c r="DN262" s="958">
        <f>DN260+DN261</f>
        <v>-58.423999999999992</v>
      </c>
      <c r="DO262" s="958">
        <f>DO260+DO261</f>
        <v>-63.551000000000002</v>
      </c>
      <c r="DP262" s="958"/>
      <c r="DQ262" s="1629">
        <f t="shared" ref="DQ262:DW262" si="587">DQ260+DQ261</f>
        <v>-281.25800000000004</v>
      </c>
      <c r="DR262" s="958">
        <f t="shared" si="587"/>
        <v>-49.25</v>
      </c>
      <c r="DS262" s="958">
        <f t="shared" si="587"/>
        <v>-73.304000000000002</v>
      </c>
      <c r="DT262" s="958">
        <f t="shared" si="587"/>
        <v>-81.001999999999995</v>
      </c>
      <c r="DU262" s="958">
        <f t="shared" si="587"/>
        <v>-71.582999999999998</v>
      </c>
      <c r="DV262" s="1629">
        <f t="shared" si="587"/>
        <v>-275.13900000000001</v>
      </c>
      <c r="DW262" s="958">
        <f t="shared" si="587"/>
        <v>-67.272999999999996</v>
      </c>
      <c r="DX262" s="958">
        <f>DX260+DX261</f>
        <v>-36.977999999999994</v>
      </c>
      <c r="DY262" s="958">
        <f>DY260+DY261</f>
        <v>-74.951999999999998</v>
      </c>
      <c r="DZ262" s="958">
        <f>DZ260+DZ261</f>
        <v>-75.698999999999984</v>
      </c>
      <c r="EA262" s="1629">
        <f>EA260+EA261</f>
        <v>-254.90199999999999</v>
      </c>
      <c r="EB262" s="958">
        <f>EB260+EB261</f>
        <v>-45.938000000000002</v>
      </c>
      <c r="EC262" s="958"/>
      <c r="ED262" s="958"/>
      <c r="EE262" s="958"/>
      <c r="EF262" s="1629">
        <f>EF260+EF261</f>
        <v>-295</v>
      </c>
      <c r="EG262" s="958"/>
      <c r="EH262" s="958"/>
      <c r="EI262" s="958"/>
      <c r="EJ262" s="958"/>
      <c r="EK262" s="1629">
        <f>EK260+EK261</f>
        <v>-275</v>
      </c>
      <c r="EL262" s="958"/>
      <c r="EM262" s="958"/>
      <c r="EN262" s="958"/>
      <c r="EO262" s="958"/>
      <c r="EP262" s="1629">
        <f>EP260+EP261</f>
        <v>-275</v>
      </c>
      <c r="EQ262" s="958"/>
      <c r="ER262" s="958"/>
      <c r="ES262" s="958"/>
      <c r="ET262" s="958"/>
      <c r="EU262" s="1629">
        <f>EU260+EU261</f>
        <v>-275</v>
      </c>
      <c r="EV262" s="958"/>
      <c r="EW262" s="958"/>
      <c r="EX262" s="958"/>
      <c r="EY262" s="958"/>
      <c r="EZ262" s="1629">
        <f>EZ260+EZ261</f>
        <v>-275</v>
      </c>
      <c r="FA262" s="958"/>
      <c r="FB262" s="958"/>
      <c r="FC262" s="958"/>
      <c r="FD262" s="958"/>
      <c r="FE262" s="1629">
        <f>FE260+FE261</f>
        <v>-275</v>
      </c>
      <c r="FF262" s="1631"/>
      <c r="FG262" s="690"/>
      <c r="FH262" s="754"/>
      <c r="FI262" s="754"/>
      <c r="FJ262" s="754"/>
      <c r="FK262" s="754"/>
      <c r="FL262" s="690"/>
      <c r="FM262" s="752" t="s">
        <v>432</v>
      </c>
      <c r="FN262" s="752"/>
      <c r="FO262" s="1632"/>
      <c r="FP262" s="1632"/>
      <c r="FQ262" s="1632"/>
      <c r="FR262" s="1632"/>
      <c r="FS262" s="1632"/>
      <c r="FT262" s="1632"/>
      <c r="FU262" s="690"/>
      <c r="FV262"/>
      <c r="FW262"/>
      <c r="FX262"/>
      <c r="FY262"/>
      <c r="FZ262"/>
      <c r="GA262"/>
      <c r="GB262" s="1633"/>
    </row>
    <row r="263" spans="1:272" s="965" customFormat="1" ht="12.75" hidden="1" customHeight="1" outlineLevel="1">
      <c r="A263" s="1634" t="s">
        <v>433</v>
      </c>
      <c r="B263" s="1628"/>
      <c r="C263" s="1628"/>
      <c r="D263" s="1628"/>
      <c r="E263" s="1628"/>
      <c r="F263" s="1629"/>
      <c r="G263" s="1628"/>
      <c r="H263" s="1628"/>
      <c r="I263" s="1628"/>
      <c r="J263" s="1628"/>
      <c r="K263" s="1629"/>
      <c r="L263" s="1628"/>
      <c r="M263" s="1628"/>
      <c r="N263" s="1628"/>
      <c r="O263" s="1628"/>
      <c r="P263" s="1629"/>
      <c r="Q263" s="1628"/>
      <c r="R263" s="1628"/>
      <c r="S263" s="1628"/>
      <c r="T263" s="1628"/>
      <c r="U263" s="1629"/>
      <c r="V263" s="1628"/>
      <c r="W263" s="1628"/>
      <c r="X263" s="1628"/>
      <c r="Y263" s="1628"/>
      <c r="Z263" s="1629"/>
      <c r="AA263" s="1628"/>
      <c r="AB263" s="1628"/>
      <c r="AC263" s="1628"/>
      <c r="AD263" s="1628"/>
      <c r="AE263" s="1629"/>
      <c r="AF263" s="1628"/>
      <c r="AG263" s="1628"/>
      <c r="AH263" s="1628"/>
      <c r="AI263" s="1628"/>
      <c r="AJ263" s="1629"/>
      <c r="AK263" s="1630"/>
      <c r="AL263" s="958"/>
      <c r="AM263" s="958"/>
      <c r="AN263" s="958"/>
      <c r="AO263" s="1629"/>
      <c r="AP263" s="958"/>
      <c r="AQ263" s="958"/>
      <c r="AR263" s="958"/>
      <c r="AS263" s="958"/>
      <c r="AT263" s="1629"/>
      <c r="AU263" s="958"/>
      <c r="AV263" s="958"/>
      <c r="AW263" s="958"/>
      <c r="AX263" s="958"/>
      <c r="AY263" s="1629"/>
      <c r="AZ263" s="958"/>
      <c r="BA263" s="958"/>
      <c r="BB263" s="958"/>
      <c r="BC263" s="958"/>
      <c r="BD263" s="1629"/>
      <c r="BE263" s="958"/>
      <c r="BF263" s="958"/>
      <c r="BG263" s="958"/>
      <c r="BH263" s="958"/>
      <c r="BI263" s="1629"/>
      <c r="BJ263" s="958"/>
      <c r="BK263" s="958"/>
      <c r="BL263" s="958"/>
      <c r="BM263" s="958"/>
      <c r="BN263" s="1635">
        <f>-BN262/BN120</f>
        <v>6.883049550078657E-2</v>
      </c>
      <c r="BO263" s="958"/>
      <c r="BP263" s="958"/>
      <c r="BQ263" s="958"/>
      <c r="BR263" s="958"/>
      <c r="BS263" s="1635">
        <f>-BS262/BS120</f>
        <v>2.5420453612255874E-2</v>
      </c>
      <c r="BT263" s="958"/>
      <c r="BU263" s="958"/>
      <c r="BV263" s="958"/>
      <c r="BW263" s="958"/>
      <c r="BX263" s="1635">
        <f>-BX262/BX120</f>
        <v>4.2047247454810407E-2</v>
      </c>
      <c r="BY263" s="958"/>
      <c r="BZ263" s="958"/>
      <c r="CA263" s="958"/>
      <c r="CB263" s="958"/>
      <c r="CC263" s="1635">
        <f>-CC262/CC120</f>
        <v>4.0565916026069244E-2</v>
      </c>
      <c r="CD263" s="958"/>
      <c r="CE263" s="958"/>
      <c r="CF263" s="958"/>
      <c r="CG263" s="958"/>
      <c r="CH263" s="1635">
        <f>-CH262/CH120</f>
        <v>5.0041367245160159E-2</v>
      </c>
      <c r="CI263" s="958"/>
      <c r="CJ263" s="958"/>
      <c r="CK263" s="958"/>
      <c r="CL263" s="958"/>
      <c r="CM263" s="1635">
        <f>-CM262/CM120</f>
        <v>6.8955233214528192E-2</v>
      </c>
      <c r="CN263" s="958"/>
      <c r="CO263" s="958"/>
      <c r="CP263" s="958"/>
      <c r="CQ263" s="958"/>
      <c r="CR263" s="1635">
        <f>-CR262/CR120</f>
        <v>2.8216265670289873E-2</v>
      </c>
      <c r="CS263" s="958"/>
      <c r="CT263" s="958"/>
      <c r="CU263" s="958"/>
      <c r="CV263" s="958"/>
      <c r="CW263" s="1635">
        <f>-CW262/CW120</f>
        <v>3.8803077419727577E-2</v>
      </c>
      <c r="CX263" s="958"/>
      <c r="CY263" s="958"/>
      <c r="CZ263" s="958"/>
      <c r="DA263" s="958"/>
      <c r="DB263" s="1635">
        <f>-DB262/DB120</f>
        <v>9.6251345965873546E-3</v>
      </c>
      <c r="DC263" s="958"/>
      <c r="DD263" s="958"/>
      <c r="DE263" s="958"/>
      <c r="DF263" s="958"/>
      <c r="DG263" s="1635">
        <f>-DG262/DG120</f>
        <v>3.2666471957013957E-2</v>
      </c>
      <c r="DH263" s="958"/>
      <c r="DI263" s="958"/>
      <c r="DJ263" s="958"/>
      <c r="DK263" s="958"/>
      <c r="DL263" s="1635">
        <f>-DL262/DL120</f>
        <v>5.3771671156650096E-2</v>
      </c>
      <c r="DM263" s="958"/>
      <c r="DN263" s="958"/>
      <c r="DO263" s="958"/>
      <c r="DP263" s="958"/>
      <c r="DQ263" s="1635">
        <f>-DQ262/DQ120</f>
        <v>5.0402437455266312E-2</v>
      </c>
      <c r="DR263" s="958"/>
      <c r="DS263" s="958"/>
      <c r="DT263" s="958"/>
      <c r="DU263" s="958"/>
      <c r="DV263" s="1635">
        <f>-DV262/DV120</f>
        <v>5.0268793040321162E-2</v>
      </c>
      <c r="DW263" s="958"/>
      <c r="DX263" s="958"/>
      <c r="DY263" s="958"/>
      <c r="DZ263" s="958"/>
      <c r="EA263" s="1635">
        <f>-EA262/EA120</f>
        <v>4.3902681831717805E-2</v>
      </c>
      <c r="EB263" s="958"/>
      <c r="EC263" s="958"/>
      <c r="ED263" s="958"/>
      <c r="EE263" s="958"/>
      <c r="EF263" s="1635">
        <f>-EF262/EF120</f>
        <v>5.3106625301916587E-2</v>
      </c>
      <c r="EG263" s="958"/>
      <c r="EH263" s="958"/>
      <c r="EI263" s="958"/>
      <c r="EJ263" s="958"/>
      <c r="EK263" s="1635">
        <f>-EK262/EK120</f>
        <v>7.9818883696630191E-2</v>
      </c>
      <c r="EL263" s="958"/>
      <c r="EM263" s="958"/>
      <c r="EN263" s="958"/>
      <c r="EO263" s="958"/>
      <c r="EP263" s="1635">
        <f>-EP262/EP120</f>
        <v>7.5524552345380636E-2</v>
      </c>
      <c r="EQ263" s="958"/>
      <c r="ER263" s="958"/>
      <c r="ES263" s="958"/>
      <c r="ET263" s="958"/>
      <c r="EU263" s="1635">
        <f>-EU262/EU120</f>
        <v>7.1652494369393471E-2</v>
      </c>
      <c r="EV263" s="958"/>
      <c r="EW263" s="958"/>
      <c r="EX263" s="958"/>
      <c r="EY263" s="958"/>
      <c r="EZ263" s="1635">
        <f>-EZ262/EZ120</f>
        <v>6.7626261676071248E-2</v>
      </c>
      <c r="FA263" s="958"/>
      <c r="FB263" s="958"/>
      <c r="FC263" s="958"/>
      <c r="FD263" s="958"/>
      <c r="FE263" s="1635">
        <f>-FE262/FE120</f>
        <v>6.3911062119667586E-2</v>
      </c>
      <c r="FF263" s="1631"/>
      <c r="FG263" s="690"/>
      <c r="FH263" s="754"/>
      <c r="FI263" s="754"/>
      <c r="FJ263" s="754"/>
      <c r="FK263" s="754"/>
      <c r="FL263" s="690"/>
      <c r="FM263" s="752"/>
      <c r="FN263" s="752"/>
      <c r="FO263" s="1632"/>
      <c r="FP263" s="1632"/>
      <c r="FQ263" s="1632"/>
      <c r="FR263" s="1632"/>
      <c r="FS263" s="1632"/>
      <c r="FT263" s="1632"/>
      <c r="FU263" s="690"/>
      <c r="FV263"/>
      <c r="FW263"/>
      <c r="FX263"/>
      <c r="FY263"/>
      <c r="FZ263"/>
      <c r="GA263"/>
      <c r="GB263" s="1633"/>
    </row>
    <row r="264" spans="1:272" s="537" customFormat="1" ht="12.75" hidden="1" customHeight="1" outlineLevel="1">
      <c r="A264" s="1634" t="s">
        <v>434</v>
      </c>
      <c r="B264" s="1634"/>
      <c r="C264" s="1634"/>
      <c r="D264" s="1634"/>
      <c r="E264" s="1634"/>
      <c r="F264" s="1250"/>
      <c r="G264" s="1634"/>
      <c r="H264" s="1634"/>
      <c r="I264" s="1634"/>
      <c r="J264" s="1634"/>
      <c r="K264" s="1250"/>
      <c r="L264" s="1634"/>
      <c r="M264" s="1634"/>
      <c r="N264" s="1634"/>
      <c r="O264" s="1634"/>
      <c r="P264" s="1250"/>
      <c r="Q264" s="1634"/>
      <c r="R264" s="1634"/>
      <c r="S264" s="1634"/>
      <c r="T264" s="1634"/>
      <c r="U264" s="1250"/>
      <c r="V264" s="1634"/>
      <c r="W264" s="1634"/>
      <c r="X264" s="1634"/>
      <c r="Y264" s="1634"/>
      <c r="Z264" s="1250"/>
      <c r="AA264" s="1634"/>
      <c r="AB264" s="1634"/>
      <c r="AC264" s="1634"/>
      <c r="AD264" s="1634"/>
      <c r="AE264" s="1250"/>
      <c r="AF264" s="1634"/>
      <c r="AG264" s="1634"/>
      <c r="AH264" s="1634"/>
      <c r="AI264" s="1634"/>
      <c r="AJ264" s="1250"/>
      <c r="AK264" s="1636"/>
      <c r="AL264" s="1253"/>
      <c r="AM264" s="1253"/>
      <c r="AN264" s="1253"/>
      <c r="AO264" s="1250"/>
      <c r="AP264" s="1253"/>
      <c r="AQ264" s="1253"/>
      <c r="AR264" s="1253"/>
      <c r="AS264" s="1253"/>
      <c r="AT264" s="1250"/>
      <c r="AU264" s="1253"/>
      <c r="AV264" s="1253"/>
      <c r="AW264" s="1253"/>
      <c r="AX264" s="1253"/>
      <c r="AY264" s="1250"/>
      <c r="AZ264" s="1253"/>
      <c r="BA264" s="1253"/>
      <c r="BB264" s="1253"/>
      <c r="BC264" s="1253"/>
      <c r="BD264" s="1250"/>
      <c r="BE264" s="1253"/>
      <c r="BF264" s="1253"/>
      <c r="BG264" s="1253"/>
      <c r="BH264" s="1253"/>
      <c r="BI264" s="1250"/>
      <c r="BJ264" s="1253"/>
      <c r="BK264" s="1253"/>
      <c r="BL264" s="1253"/>
      <c r="BM264" s="1253"/>
      <c r="BN264" s="1250"/>
      <c r="BO264" s="1253"/>
      <c r="BP264" s="1253"/>
      <c r="BQ264" s="1253"/>
      <c r="BR264" s="1253"/>
      <c r="BS264" s="1250">
        <f>-BS262/BN$284</f>
        <v>7.0842546068345655E-2</v>
      </c>
      <c r="BT264" s="1253"/>
      <c r="BU264" s="1253"/>
      <c r="BV264" s="1253"/>
      <c r="BW264" s="1253"/>
      <c r="BX264" s="1250">
        <f>-BX262/BS$284</f>
        <v>0.13196973666327214</v>
      </c>
      <c r="BY264" s="879"/>
      <c r="BZ264" s="879"/>
      <c r="CA264" s="879"/>
      <c r="CB264" s="879"/>
      <c r="CC264" s="1250">
        <f>-CC262/BX$284</f>
        <v>0.1814448542761119</v>
      </c>
      <c r="CD264" s="879"/>
      <c r="CE264" s="879"/>
      <c r="CF264" s="879"/>
      <c r="CG264" s="879"/>
      <c r="CH264" s="1250">
        <f>-CH262/CC$284</f>
        <v>0.23966480511939076</v>
      </c>
      <c r="CI264" s="879"/>
      <c r="CJ264" s="879"/>
      <c r="CK264" s="879"/>
      <c r="CL264" s="879"/>
      <c r="CM264" s="1250">
        <f>-CM262/CH$284</f>
        <v>0.30591713240193291</v>
      </c>
      <c r="CN264" s="879"/>
      <c r="CO264" s="879"/>
      <c r="CP264" s="879"/>
      <c r="CQ264" s="879"/>
      <c r="CR264" s="1250">
        <f>-CR262/CM$284</f>
        <v>0.11073115928935989</v>
      </c>
      <c r="CS264" s="879"/>
      <c r="CT264" s="879"/>
      <c r="CU264" s="879"/>
      <c r="CV264" s="879"/>
      <c r="CW264" s="1250">
        <f>-CW262/CR$284</f>
        <v>0.1339769726649794</v>
      </c>
      <c r="CX264" s="1253"/>
      <c r="CY264" s="1253"/>
      <c r="CZ264" s="1253"/>
      <c r="DA264" s="1253"/>
      <c r="DB264" s="1250">
        <f>-DB262/CW$284</f>
        <v>2.7916595333012672E-2</v>
      </c>
      <c r="DC264" s="1253"/>
      <c r="DD264" s="1253"/>
      <c r="DE264" s="1253"/>
      <c r="DF264" s="1253"/>
      <c r="DG264" s="1250">
        <f>-DG262/DB$284</f>
        <v>0.11762319190444372</v>
      </c>
      <c r="DH264" s="1253"/>
      <c r="DI264" s="1253"/>
      <c r="DJ264" s="1253"/>
      <c r="DK264" s="1253"/>
      <c r="DL264" s="1250">
        <f>-DL262/DG$284</f>
        <v>0.20251390980253953</v>
      </c>
      <c r="DM264" s="1253"/>
      <c r="DN264" s="1253"/>
      <c r="DO264" s="1253"/>
      <c r="DP264" s="1253"/>
      <c r="DQ264" s="1250">
        <f>-DQ262/DL$284</f>
        <v>0.18800253737718356</v>
      </c>
      <c r="DR264" s="1253"/>
      <c r="DS264" s="1253"/>
      <c r="DT264" s="1253"/>
      <c r="DU264" s="1253"/>
      <c r="DV264" s="1635">
        <f>-DV262/DQ$284</f>
        <v>0.17341410978563607</v>
      </c>
      <c r="DW264" s="1637"/>
      <c r="DX264" s="1253"/>
      <c r="DY264" s="1253"/>
      <c r="DZ264" s="1253"/>
      <c r="EA264" s="1635">
        <f>-EA262/DV$284</f>
        <v>0.15384893951291409</v>
      </c>
      <c r="EB264" s="1253"/>
      <c r="EC264" s="1253"/>
      <c r="ED264" s="1253"/>
      <c r="EE264" s="1253"/>
      <c r="EF264" s="1635">
        <f>-EF262/EA$284</f>
        <v>0.17833275198871243</v>
      </c>
      <c r="EG264" s="1253"/>
      <c r="EH264" s="1253"/>
      <c r="EI264" s="1253"/>
      <c r="EJ264" s="1253"/>
      <c r="EK264" s="1635">
        <f>-EK262/EF$284</f>
        <v>0.15810749354777692</v>
      </c>
      <c r="EL264" s="1253"/>
      <c r="EM264" s="1253"/>
      <c r="EN264" s="1253"/>
      <c r="EO264" s="1253"/>
      <c r="EP264" s="1635">
        <f>-EP262/EK$284</f>
        <v>0.15180596658171053</v>
      </c>
      <c r="EQ264" s="1253"/>
      <c r="ER264" s="1253"/>
      <c r="ES264" s="1253"/>
      <c r="ET264" s="1253"/>
      <c r="EU264" s="1635">
        <f>-EU262/EP$284</f>
        <v>0.14835810733897886</v>
      </c>
      <c r="EV264" s="1253"/>
      <c r="EW264" s="1253"/>
      <c r="EX264" s="1253"/>
      <c r="EY264" s="1253"/>
      <c r="EZ264" s="1635">
        <f>-EZ262/EU$284</f>
        <v>0.14553167483672669</v>
      </c>
      <c r="FA264" s="1253"/>
      <c r="FB264" s="1253"/>
      <c r="FC264" s="1253"/>
      <c r="FD264" s="1253"/>
      <c r="FE264" s="1635">
        <f>-FE262/EZ$284</f>
        <v>0.14352346452073861</v>
      </c>
      <c r="FF264" s="1638"/>
      <c r="FG264" s="690"/>
      <c r="FH264" s="754"/>
      <c r="FI264" s="754"/>
      <c r="FJ264" s="754"/>
      <c r="FK264" s="754"/>
      <c r="FL264" s="690"/>
      <c r="FM264" s="1639"/>
      <c r="FN264" s="752"/>
      <c r="FO264" s="1640"/>
      <c r="FP264" s="1640"/>
      <c r="FQ264" s="1640"/>
      <c r="FR264" s="1640"/>
      <c r="FS264" s="1640"/>
      <c r="FT264" s="1640"/>
      <c r="FU264" s="690"/>
      <c r="FV264"/>
      <c r="FW264"/>
      <c r="FX264"/>
      <c r="FY264"/>
      <c r="FZ264"/>
      <c r="GA264"/>
      <c r="GB264" s="1634"/>
    </row>
    <row r="265" spans="1:272" s="1398" customFormat="1" ht="12.75" hidden="1" customHeight="1" outlineLevel="1">
      <c r="A265" s="1641" t="s">
        <v>23</v>
      </c>
      <c r="B265" s="1642"/>
      <c r="C265" s="1642"/>
      <c r="D265" s="1642"/>
      <c r="E265" s="1642"/>
      <c r="F265" s="1643"/>
      <c r="G265" s="1642"/>
      <c r="H265" s="1642"/>
      <c r="I265" s="1642"/>
      <c r="J265" s="1642"/>
      <c r="K265" s="1643"/>
      <c r="L265" s="1642"/>
      <c r="M265" s="1642"/>
      <c r="N265" s="1642"/>
      <c r="O265" s="1642"/>
      <c r="P265" s="1643"/>
      <c r="Q265" s="1642"/>
      <c r="R265" s="1642"/>
      <c r="S265" s="1642"/>
      <c r="T265" s="1642"/>
      <c r="U265" s="1643"/>
      <c r="V265" s="1642"/>
      <c r="W265" s="1642"/>
      <c r="X265" s="1642"/>
      <c r="Y265" s="1642"/>
      <c r="Z265" s="1643"/>
      <c r="AA265" s="1642"/>
      <c r="AB265" s="1642"/>
      <c r="AC265" s="1642"/>
      <c r="AD265" s="1642"/>
      <c r="AE265" s="1643"/>
      <c r="AF265" s="1642"/>
      <c r="AG265" s="1642"/>
      <c r="AH265" s="1642"/>
      <c r="AI265" s="1642"/>
      <c r="AJ265" s="1643"/>
      <c r="AK265" s="1642"/>
      <c r="AL265" s="1642"/>
      <c r="AM265" s="1642"/>
      <c r="AN265" s="1642"/>
      <c r="AO265" s="1643"/>
      <c r="AP265" s="1642"/>
      <c r="AQ265" s="1642"/>
      <c r="AR265" s="1642"/>
      <c r="AS265" s="1642"/>
      <c r="AT265" s="1643"/>
      <c r="AU265" s="1642"/>
      <c r="AV265" s="1642"/>
      <c r="AW265" s="1642"/>
      <c r="AX265" s="1642"/>
      <c r="AY265" s="1643"/>
      <c r="AZ265" s="1642"/>
      <c r="BA265" s="1642"/>
      <c r="BB265" s="1642"/>
      <c r="BC265" s="1642"/>
      <c r="BD265" s="1643"/>
      <c r="BE265" s="1642"/>
      <c r="BF265" s="1642"/>
      <c r="BG265" s="1642"/>
      <c r="BH265" s="1642"/>
      <c r="BI265" s="1643"/>
      <c r="BJ265" s="1642"/>
      <c r="BK265" s="1642"/>
      <c r="BL265" s="1642"/>
      <c r="BM265" s="1642"/>
      <c r="BN265" s="1643">
        <f>BN259+BN262</f>
        <v>113.40299999999999</v>
      </c>
      <c r="BO265" s="1642"/>
      <c r="BP265" s="1642"/>
      <c r="BQ265" s="1642"/>
      <c r="BR265" s="1642"/>
      <c r="BS265" s="1643">
        <f>BS259+BS262</f>
        <v>-71.052999999999997</v>
      </c>
      <c r="BT265" s="1642"/>
      <c r="BU265" s="1642"/>
      <c r="BV265" s="1642"/>
      <c r="BW265" s="1642"/>
      <c r="BX265" s="1643">
        <f>BX259+BX262</f>
        <v>92.180999999999983</v>
      </c>
      <c r="BY265" s="1642"/>
      <c r="BZ265" s="1642"/>
      <c r="CA265" s="1642"/>
      <c r="CB265" s="1642"/>
      <c r="CC265" s="1643">
        <f>CC259+CC262</f>
        <v>231.21199999999999</v>
      </c>
      <c r="CD265" s="1642"/>
      <c r="CE265" s="1642"/>
      <c r="CF265" s="1642"/>
      <c r="CG265" s="1642"/>
      <c r="CH265" s="1643">
        <f>CH259+CH262</f>
        <v>15.388999999999982</v>
      </c>
      <c r="CI265" s="1642"/>
      <c r="CJ265" s="1642"/>
      <c r="CK265" s="1642"/>
      <c r="CL265" s="1642"/>
      <c r="CM265" s="1643">
        <f>CM259+CM262</f>
        <v>142.60699999999997</v>
      </c>
      <c r="CN265" s="1642"/>
      <c r="CO265" s="1642"/>
      <c r="CP265" s="1642"/>
      <c r="CQ265" s="1642"/>
      <c r="CR265" s="1643">
        <f>CR259+CR262</f>
        <v>250.07799999999997</v>
      </c>
      <c r="CS265" s="1642"/>
      <c r="CT265" s="1642"/>
      <c r="CU265" s="1642"/>
      <c r="CV265" s="1642"/>
      <c r="CW265" s="1643">
        <f>CW259+CW262</f>
        <v>105.72200000000001</v>
      </c>
      <c r="CX265" s="1642"/>
      <c r="CY265" s="1642"/>
      <c r="CZ265" s="1642"/>
      <c r="DA265" s="1642"/>
      <c r="DB265" s="1643">
        <f>DB259+DB262</f>
        <v>235.56</v>
      </c>
      <c r="DC265" s="1642"/>
      <c r="DD265" s="1642"/>
      <c r="DE265" s="1642"/>
      <c r="DF265" s="1642"/>
      <c r="DG265" s="1643">
        <f>DG259+DG262</f>
        <v>23.108000000000004</v>
      </c>
      <c r="DH265" s="1642"/>
      <c r="DI265" s="1642"/>
      <c r="DJ265" s="1642"/>
      <c r="DK265" s="1642"/>
      <c r="DL265" s="1643">
        <f>DL259+DL262</f>
        <v>60.262</v>
      </c>
      <c r="DM265" s="1642">
        <f>DM259+DM262</f>
        <v>-24.771000000000008</v>
      </c>
      <c r="DN265" s="1642">
        <f>DN259+DN262</f>
        <v>50.64800000000001</v>
      </c>
      <c r="DO265" s="1642">
        <f>DO259+DO262</f>
        <v>4.2510000000000048</v>
      </c>
      <c r="DP265" s="1642"/>
      <c r="DQ265" s="1643">
        <f t="shared" ref="DQ265:EB265" si="588">DQ259+DQ262</f>
        <v>30.152999999999963</v>
      </c>
      <c r="DR265" s="1642">
        <f t="shared" si="588"/>
        <v>-21.902999999999999</v>
      </c>
      <c r="DS265" s="1642">
        <f t="shared" si="588"/>
        <v>35.131</v>
      </c>
      <c r="DT265" s="1642">
        <f t="shared" si="588"/>
        <v>42.879000000000005</v>
      </c>
      <c r="DU265" s="1642">
        <f t="shared" si="588"/>
        <v>16.737999999999971</v>
      </c>
      <c r="DV265" s="1643">
        <f t="shared" si="588"/>
        <v>72.84499999999997</v>
      </c>
      <c r="DW265" s="1642">
        <f t="shared" si="588"/>
        <v>-71.816000000000003</v>
      </c>
      <c r="DX265" s="1642">
        <f t="shared" si="588"/>
        <v>89.210000000000008</v>
      </c>
      <c r="DY265" s="1642">
        <f t="shared" si="588"/>
        <v>-35.937000000000005</v>
      </c>
      <c r="DZ265" s="1642">
        <f t="shared" si="588"/>
        <v>3.5250000000000057</v>
      </c>
      <c r="EA265" s="1643">
        <f t="shared" si="588"/>
        <v>-15.018000000000001</v>
      </c>
      <c r="EB265" s="1642">
        <f t="shared" si="588"/>
        <v>22.938000000000002</v>
      </c>
      <c r="EC265" s="1642"/>
      <c r="ED265" s="1642"/>
      <c r="EE265" s="1642"/>
      <c r="EF265" s="1643">
        <f>EF259+EF262</f>
        <v>47.050273681669069</v>
      </c>
      <c r="EG265" s="1642"/>
      <c r="EH265" s="1642"/>
      <c r="EI265" s="1642"/>
      <c r="EJ265" s="1642"/>
      <c r="EK265" s="1643">
        <f>EK259+EK262</f>
        <v>28.089699749905492</v>
      </c>
      <c r="EL265" s="1642"/>
      <c r="EM265" s="1642"/>
      <c r="EN265" s="1642"/>
      <c r="EO265" s="1642"/>
      <c r="EP265" s="1643">
        <f>EP259+EP262</f>
        <v>258.16845174336061</v>
      </c>
      <c r="EQ265" s="1642"/>
      <c r="ER265" s="1642"/>
      <c r="ES265" s="1642"/>
      <c r="ET265" s="1642"/>
      <c r="EU265" s="1643">
        <f>EU259+EU262</f>
        <v>315.63861037426454</v>
      </c>
      <c r="EV265" s="1642"/>
      <c r="EW265" s="1642"/>
      <c r="EX265" s="1642"/>
      <c r="EY265" s="1642"/>
      <c r="EZ265" s="1643">
        <f>EZ259+EZ262</f>
        <v>360.9011831810493</v>
      </c>
      <c r="FA265" s="1642"/>
      <c r="FB265" s="1642"/>
      <c r="FC265" s="1642"/>
      <c r="FD265" s="1642"/>
      <c r="FE265" s="1643">
        <f>FE259+FE262</f>
        <v>403.8283764264221</v>
      </c>
      <c r="FF265" s="994"/>
      <c r="FG265" s="690"/>
      <c r="FH265" s="754"/>
      <c r="FI265" s="754"/>
      <c r="FJ265" s="754"/>
      <c r="FK265" s="754"/>
      <c r="FL265" s="690"/>
      <c r="FM265" s="752"/>
      <c r="FN265" s="1230"/>
      <c r="FO265" s="1383"/>
      <c r="FP265" s="1244"/>
      <c r="FQ265" s="1244"/>
      <c r="FR265" s="1244"/>
      <c r="FS265" s="1244"/>
      <c r="FT265" s="1244"/>
      <c r="FU265" s="690"/>
      <c r="FV265"/>
      <c r="FW265"/>
      <c r="FX265"/>
      <c r="FY265"/>
      <c r="FZ265"/>
      <c r="GA265"/>
      <c r="GB265" s="1644"/>
      <c r="GC265" s="1467"/>
      <c r="GD265" s="1467"/>
      <c r="GE265" s="1467"/>
      <c r="GF265" s="1467"/>
      <c r="GG265" s="1467"/>
      <c r="GH265" s="1467"/>
      <c r="GI265" s="1467"/>
      <c r="GJ265" s="1467"/>
      <c r="GK265" s="1467"/>
      <c r="GL265" s="1467"/>
      <c r="GM265" s="1467"/>
      <c r="GN265" s="1467"/>
      <c r="GO265" s="1467"/>
      <c r="GP265" s="1467"/>
      <c r="GQ265" s="1467"/>
      <c r="GR265" s="1467"/>
      <c r="GS265" s="1467"/>
      <c r="GT265" s="1467"/>
      <c r="GU265" s="1467"/>
      <c r="GV265" s="1467"/>
      <c r="GW265" s="1467"/>
      <c r="GX265" s="1467"/>
      <c r="GY265" s="1467"/>
      <c r="GZ265" s="1467"/>
      <c r="HA265" s="1467"/>
      <c r="HB265" s="1467"/>
      <c r="HC265" s="1467"/>
      <c r="HD265" s="1467"/>
      <c r="HE265" s="1467"/>
      <c r="HF265" s="1467"/>
      <c r="HG265" s="1467"/>
      <c r="HH265" s="1467"/>
      <c r="HI265" s="1467"/>
      <c r="HJ265" s="1467"/>
      <c r="HK265" s="1467"/>
      <c r="HL265" s="1467"/>
      <c r="HM265" s="1467"/>
      <c r="HN265" s="1467"/>
      <c r="HO265" s="1467"/>
      <c r="HP265" s="1467"/>
      <c r="HQ265" s="1467"/>
      <c r="HR265" s="1467"/>
      <c r="HS265" s="1467"/>
      <c r="HT265" s="1467"/>
      <c r="HU265" s="1467"/>
      <c r="HV265" s="1467"/>
      <c r="HW265" s="1467"/>
      <c r="HX265" s="1467"/>
      <c r="HY265" s="1467"/>
      <c r="HZ265" s="1467"/>
      <c r="IA265" s="1467"/>
      <c r="IB265" s="1467"/>
      <c r="IC265" s="1467"/>
      <c r="ID265" s="1467"/>
      <c r="IE265" s="1467"/>
      <c r="IF265" s="1467"/>
      <c r="IG265" s="1467"/>
      <c r="IH265" s="1467"/>
      <c r="II265" s="1467"/>
      <c r="IJ265" s="1467"/>
      <c r="IK265" s="1467"/>
      <c r="IL265" s="1467"/>
      <c r="IM265" s="1467"/>
      <c r="IN265" s="1467"/>
      <c r="IO265" s="1467"/>
      <c r="IP265" s="1467"/>
      <c r="IQ265" s="1467"/>
      <c r="IR265" s="1467"/>
      <c r="IS265" s="1467"/>
      <c r="IT265" s="1467"/>
      <c r="IU265" s="1467"/>
      <c r="IV265" s="1467"/>
      <c r="IW265" s="1467"/>
      <c r="IX265" s="1467"/>
      <c r="IY265" s="1467"/>
      <c r="IZ265" s="1467"/>
      <c r="JA265" s="1467"/>
      <c r="JB265" s="1467"/>
      <c r="JC265" s="1467"/>
      <c r="JD265" s="1467"/>
      <c r="JE265" s="1467"/>
      <c r="JF265" s="1467"/>
      <c r="JG265" s="1467"/>
      <c r="JH265" s="1467"/>
      <c r="JI265" s="1467"/>
      <c r="JJ265" s="1467"/>
      <c r="JK265" s="1467"/>
      <c r="JL265" s="1467"/>
    </row>
    <row r="266" spans="1:272" s="942" customFormat="1" ht="12.75" hidden="1" customHeight="1" outlineLevel="1">
      <c r="A266" s="1071" t="s">
        <v>7</v>
      </c>
      <c r="B266" s="938"/>
      <c r="C266" s="938"/>
      <c r="D266" s="938"/>
      <c r="E266" s="938"/>
      <c r="F266" s="1196"/>
      <c r="G266" s="938"/>
      <c r="H266" s="938"/>
      <c r="I266" s="938"/>
      <c r="J266" s="938"/>
      <c r="K266" s="1196"/>
      <c r="L266" s="938"/>
      <c r="M266" s="938"/>
      <c r="N266" s="938"/>
      <c r="O266" s="938"/>
      <c r="P266" s="1196"/>
      <c r="Q266" s="938"/>
      <c r="R266" s="938"/>
      <c r="S266" s="938"/>
      <c r="T266" s="938"/>
      <c r="U266" s="1196"/>
      <c r="V266" s="938"/>
      <c r="W266" s="938"/>
      <c r="X266" s="938"/>
      <c r="Y266" s="938"/>
      <c r="Z266" s="1196"/>
      <c r="AA266" s="938"/>
      <c r="AB266" s="938"/>
      <c r="AC266" s="938"/>
      <c r="AD266" s="938"/>
      <c r="AE266" s="1196"/>
      <c r="AF266" s="938"/>
      <c r="AG266" s="938"/>
      <c r="AH266" s="938"/>
      <c r="AI266" s="938"/>
      <c r="AJ266" s="1196"/>
      <c r="AK266" s="938"/>
      <c r="AL266" s="938"/>
      <c r="AM266" s="938"/>
      <c r="AN266" s="938"/>
      <c r="AO266" s="1196"/>
      <c r="AP266" s="938"/>
      <c r="AQ266" s="938"/>
      <c r="AR266" s="938"/>
      <c r="AS266" s="938"/>
      <c r="AT266" s="1196"/>
      <c r="AU266" s="938"/>
      <c r="AV266" s="938"/>
      <c r="AW266" s="938"/>
      <c r="AX266" s="938"/>
      <c r="AY266" s="1196"/>
      <c r="AZ266" s="938"/>
      <c r="BA266" s="938"/>
      <c r="BB266" s="938"/>
      <c r="BC266" s="938"/>
      <c r="BD266" s="1196"/>
      <c r="BE266" s="938"/>
      <c r="BF266" s="938"/>
      <c r="BG266" s="938"/>
      <c r="BH266" s="938"/>
      <c r="BI266" s="1196"/>
      <c r="BJ266" s="938"/>
      <c r="BK266" s="938"/>
      <c r="BL266" s="938"/>
      <c r="BM266" s="938"/>
      <c r="BN266" s="1196">
        <f>BN267-BN262</f>
        <v>0</v>
      </c>
      <c r="BO266" s="938"/>
      <c r="BP266" s="938"/>
      <c r="BQ266" s="938"/>
      <c r="BR266" s="938"/>
      <c r="BS266" s="1196">
        <f>BS267-BS262</f>
        <v>-8.6659999999999968</v>
      </c>
      <c r="BT266" s="938"/>
      <c r="BU266" s="1422"/>
      <c r="BV266" s="938"/>
      <c r="BW266" s="938"/>
      <c r="BX266" s="1196">
        <f>BX267-BX262</f>
        <v>-169.43999999999997</v>
      </c>
      <c r="BY266" s="938"/>
      <c r="BZ266" s="1422"/>
      <c r="CA266" s="938"/>
      <c r="CB266" s="938"/>
      <c r="CC266" s="1196">
        <f>CC267-CC262</f>
        <v>-75.859999999999985</v>
      </c>
      <c r="CD266" s="938"/>
      <c r="CE266" s="938"/>
      <c r="CF266" s="938"/>
      <c r="CG266" s="938"/>
      <c r="CH266" s="1196">
        <f>CH267-CH262</f>
        <v>383.92899999999997</v>
      </c>
      <c r="CI266" s="938"/>
      <c r="CJ266" s="938"/>
      <c r="CK266" s="938"/>
      <c r="CL266" s="938"/>
      <c r="CM266" s="1196">
        <f>CM267-CM262</f>
        <v>16.932999999999993</v>
      </c>
      <c r="CN266" s="938"/>
      <c r="CO266" s="938"/>
      <c r="CP266" s="938"/>
      <c r="CQ266" s="938"/>
      <c r="CR266" s="1196">
        <f>CR267-CR262</f>
        <v>-633.37100000000009</v>
      </c>
      <c r="CS266" s="938"/>
      <c r="CT266" s="938"/>
      <c r="CU266" s="938"/>
      <c r="CV266" s="938"/>
      <c r="CW266" s="1196">
        <f>CW267-CW262</f>
        <v>22.501999999999981</v>
      </c>
      <c r="CX266" s="938"/>
      <c r="CY266" s="938"/>
      <c r="CZ266" s="938"/>
      <c r="DA266" s="938"/>
      <c r="DB266" s="1196">
        <f>DB267-DB262</f>
        <v>0.41400000000000148</v>
      </c>
      <c r="DC266" s="938"/>
      <c r="DD266" s="938"/>
      <c r="DE266" s="938"/>
      <c r="DF266" s="938"/>
      <c r="DG266" s="1196">
        <f>DG267-DG262</f>
        <v>0.70000000000001705</v>
      </c>
      <c r="DH266" s="938"/>
      <c r="DI266" s="938"/>
      <c r="DJ266" s="938"/>
      <c r="DK266" s="938"/>
      <c r="DL266" s="1196">
        <f>DL267-DL262</f>
        <v>-2.5800000000000409</v>
      </c>
      <c r="DM266" s="1500"/>
      <c r="DN266" s="1500"/>
      <c r="DO266" s="1500"/>
      <c r="DP266" s="938"/>
      <c r="DQ266" s="1196">
        <f>DQ267-DQ262</f>
        <v>15.413000000000011</v>
      </c>
      <c r="DR266" s="1500"/>
      <c r="DS266" s="1500"/>
      <c r="DT266" s="1500"/>
      <c r="DU266" s="938"/>
      <c r="DV266" s="1196">
        <f>DV267-DV262</f>
        <v>3.1999999999999886</v>
      </c>
      <c r="DW266" s="1500"/>
      <c r="DX266" s="1500"/>
      <c r="DY266" s="1500"/>
      <c r="DZ266" s="938"/>
      <c r="EA266" s="1196">
        <f>EA267-EA262</f>
        <v>-8.285000000000025</v>
      </c>
      <c r="EB266" s="1500"/>
      <c r="EC266" s="1500"/>
      <c r="ED266" s="1500"/>
      <c r="EE266" s="1500"/>
      <c r="EF266" s="1501">
        <v>0</v>
      </c>
      <c r="EG266" s="1500"/>
      <c r="EH266" s="1500"/>
      <c r="EI266" s="1500"/>
      <c r="EJ266" s="1500"/>
      <c r="EK266" s="1501">
        <f>EF266</f>
        <v>0</v>
      </c>
      <c r="EL266" s="1500"/>
      <c r="EM266" s="1500"/>
      <c r="EN266" s="1500"/>
      <c r="EO266" s="1500"/>
      <c r="EP266" s="1501">
        <f>EK266</f>
        <v>0</v>
      </c>
      <c r="EQ266" s="1500"/>
      <c r="ER266" s="1500"/>
      <c r="ES266" s="1500"/>
      <c r="ET266" s="1500"/>
      <c r="EU266" s="1501">
        <f>EP266</f>
        <v>0</v>
      </c>
      <c r="EV266" s="1500"/>
      <c r="EW266" s="1500"/>
      <c r="EX266" s="1500"/>
      <c r="EY266" s="1500"/>
      <c r="EZ266" s="1501">
        <f>EU266</f>
        <v>0</v>
      </c>
      <c r="FA266" s="1500"/>
      <c r="FB266" s="1500"/>
      <c r="FC266" s="1500"/>
      <c r="FD266" s="1500"/>
      <c r="FE266" s="1501">
        <f>EZ266</f>
        <v>0</v>
      </c>
      <c r="FF266" s="938"/>
      <c r="FG266" s="690"/>
      <c r="FH266" s="754"/>
      <c r="FI266" s="754"/>
      <c r="FJ266" s="754"/>
      <c r="FK266" s="754"/>
      <c r="FL266" s="690"/>
      <c r="FM266" s="940"/>
      <c r="FN266" s="752"/>
      <c r="FO266" s="941"/>
      <c r="FP266" s="941"/>
      <c r="FQ266" s="941"/>
      <c r="FR266" s="941"/>
      <c r="FS266" s="941"/>
      <c r="FT266" s="941"/>
      <c r="FU266" s="690"/>
      <c r="FV266"/>
      <c r="FW266"/>
      <c r="FX266"/>
      <c r="FY266"/>
      <c r="FZ266"/>
      <c r="GA266"/>
      <c r="GB266" s="1612"/>
      <c r="GC266" s="1426"/>
      <c r="GD266" s="1426"/>
      <c r="GE266" s="1426"/>
      <c r="GF266" s="1426"/>
      <c r="GG266" s="1426"/>
      <c r="GH266" s="1426"/>
      <c r="GI266" s="1426"/>
      <c r="GJ266" s="1426"/>
      <c r="GK266" s="1426"/>
      <c r="GL266" s="1426"/>
      <c r="GM266" s="1426"/>
      <c r="GN266" s="1426"/>
      <c r="GO266" s="1426"/>
      <c r="GP266" s="1426"/>
      <c r="GQ266" s="1426"/>
      <c r="GR266" s="1426"/>
      <c r="GS266" s="1426"/>
      <c r="GT266" s="1426"/>
      <c r="GU266" s="1426"/>
      <c r="GV266" s="1426"/>
      <c r="GW266" s="1426"/>
      <c r="GX266" s="1426"/>
      <c r="GY266" s="1426"/>
      <c r="GZ266" s="1426"/>
      <c r="HA266" s="1426"/>
      <c r="HB266" s="1426"/>
      <c r="HC266" s="1426"/>
      <c r="HD266" s="1426"/>
      <c r="HE266" s="1426"/>
      <c r="HF266" s="1426"/>
      <c r="HG266" s="1426"/>
      <c r="HH266" s="1426"/>
      <c r="HI266" s="1426"/>
      <c r="HJ266" s="1426"/>
      <c r="HK266" s="1426"/>
      <c r="HL266" s="1426"/>
      <c r="HM266" s="1426"/>
      <c r="HN266" s="1426"/>
      <c r="HO266" s="1426"/>
      <c r="HP266" s="1426"/>
      <c r="HQ266" s="1426"/>
      <c r="HR266" s="1426"/>
      <c r="HS266" s="1426"/>
      <c r="HT266" s="1426"/>
      <c r="HU266" s="1426"/>
      <c r="HV266" s="1426"/>
      <c r="HW266" s="1426"/>
      <c r="HX266" s="1426"/>
      <c r="HY266" s="1426"/>
      <c r="HZ266" s="1426"/>
      <c r="IA266" s="1426"/>
      <c r="IB266" s="1426"/>
      <c r="IC266" s="1426"/>
      <c r="ID266" s="1426"/>
      <c r="IE266" s="1426"/>
      <c r="IF266" s="1426"/>
      <c r="IG266" s="1426"/>
      <c r="IH266" s="1426"/>
      <c r="II266" s="1426"/>
      <c r="IJ266" s="1426"/>
      <c r="IK266" s="1426"/>
      <c r="IL266" s="1426"/>
      <c r="IM266" s="1426"/>
      <c r="IN266" s="1426"/>
      <c r="IO266" s="1426"/>
      <c r="IP266" s="1426"/>
      <c r="IQ266" s="1426"/>
      <c r="IR266" s="1426"/>
      <c r="IS266" s="1426"/>
      <c r="IT266" s="1426"/>
      <c r="IU266" s="1426"/>
      <c r="IV266" s="1426"/>
      <c r="IW266" s="1426"/>
      <c r="IX266" s="1426"/>
      <c r="IY266" s="1426"/>
      <c r="IZ266" s="1426"/>
      <c r="JA266" s="1426"/>
      <c r="JB266" s="1426"/>
      <c r="JC266" s="1426"/>
      <c r="JD266" s="1426"/>
      <c r="JE266" s="1426"/>
      <c r="JF266" s="1426"/>
      <c r="JG266" s="1426"/>
      <c r="JH266" s="1426"/>
      <c r="JI266" s="1426"/>
      <c r="JJ266" s="1426"/>
      <c r="JK266" s="1426"/>
      <c r="JL266" s="1426"/>
    </row>
    <row r="267" spans="1:272" s="1398" customFormat="1" ht="12.75" hidden="1" customHeight="1" outlineLevel="1">
      <c r="A267" s="1620" t="s">
        <v>99</v>
      </c>
      <c r="B267" s="1621"/>
      <c r="C267" s="1621"/>
      <c r="D267" s="1621"/>
      <c r="E267" s="1621"/>
      <c r="F267" s="1622"/>
      <c r="G267" s="1621"/>
      <c r="H267" s="1621"/>
      <c r="I267" s="1621"/>
      <c r="J267" s="1621"/>
      <c r="K267" s="1622"/>
      <c r="L267" s="1621"/>
      <c r="M267" s="1621"/>
      <c r="N267" s="1621"/>
      <c r="O267" s="1621"/>
      <c r="P267" s="1622"/>
      <c r="Q267" s="1621"/>
      <c r="R267" s="1621"/>
      <c r="S267" s="1621"/>
      <c r="T267" s="1621"/>
      <c r="U267" s="1622"/>
      <c r="V267" s="1621"/>
      <c r="W267" s="1621"/>
      <c r="X267" s="1621"/>
      <c r="Y267" s="1621"/>
      <c r="Z267" s="1622"/>
      <c r="AA267" s="1621"/>
      <c r="AB267" s="1621"/>
      <c r="AC267" s="1621"/>
      <c r="AD267" s="1621"/>
      <c r="AE267" s="1622"/>
      <c r="AF267" s="1621"/>
      <c r="AG267" s="1621"/>
      <c r="AH267" s="1621"/>
      <c r="AI267" s="1621"/>
      <c r="AJ267" s="1622"/>
      <c r="AK267" s="1621"/>
      <c r="AL267" s="1621"/>
      <c r="AM267" s="1621"/>
      <c r="AN267" s="1621"/>
      <c r="AO267" s="1622"/>
      <c r="AP267" s="1621"/>
      <c r="AQ267" s="1621"/>
      <c r="AR267" s="1621"/>
      <c r="AS267" s="1621"/>
      <c r="AT267" s="1622"/>
      <c r="AU267" s="1621"/>
      <c r="AV267" s="1621"/>
      <c r="AW267" s="1621"/>
      <c r="AX267" s="1621"/>
      <c r="AY267" s="1622"/>
      <c r="AZ267" s="1621"/>
      <c r="BA267" s="1621"/>
      <c r="BB267" s="1621"/>
      <c r="BC267" s="1621"/>
      <c r="BD267" s="1622"/>
      <c r="BE267" s="1621"/>
      <c r="BF267" s="1621"/>
      <c r="BG267" s="1621"/>
      <c r="BH267" s="1621"/>
      <c r="BI267" s="1622"/>
      <c r="BJ267" s="1621"/>
      <c r="BK267" s="1621"/>
      <c r="BL267" s="1621"/>
      <c r="BM267" s="1621"/>
      <c r="BN267" s="1622">
        <v>-193.96</v>
      </c>
      <c r="BO267" s="1621"/>
      <c r="BP267" s="1621"/>
      <c r="BQ267" s="1621"/>
      <c r="BR267" s="1621"/>
      <c r="BS267" s="1622">
        <v>-84.504999999999995</v>
      </c>
      <c r="BT267" s="1623"/>
      <c r="BU267" s="1623"/>
      <c r="BV267" s="1623"/>
      <c r="BW267" s="1623"/>
      <c r="BX267" s="1622">
        <v>-303.43599999999998</v>
      </c>
      <c r="BY267" s="1623"/>
      <c r="BZ267" s="1623"/>
      <c r="CA267" s="1623"/>
      <c r="CB267" s="1623"/>
      <c r="CC267" s="1622">
        <v>-224.273</v>
      </c>
      <c r="CD267" s="1623"/>
      <c r="CE267" s="1623"/>
      <c r="CF267" s="1623"/>
      <c r="CG267" s="1623"/>
      <c r="CH267" s="1622">
        <v>177.98</v>
      </c>
      <c r="CI267" s="1623"/>
      <c r="CJ267" s="1623"/>
      <c r="CK267" s="1623"/>
      <c r="CL267" s="1623"/>
      <c r="CM267" s="1622">
        <v>-274.16000000000003</v>
      </c>
      <c r="CN267" s="1623"/>
      <c r="CO267" s="1623"/>
      <c r="CP267" s="1623"/>
      <c r="CQ267" s="1623"/>
      <c r="CR267" s="1622">
        <v>-757.16600000000005</v>
      </c>
      <c r="CS267" s="1623"/>
      <c r="CT267" s="1623"/>
      <c r="CU267" s="1623"/>
      <c r="CV267" s="1623"/>
      <c r="CW267" s="1622">
        <v>-172.94200000000001</v>
      </c>
      <c r="CX267" s="1623"/>
      <c r="CY267" s="1623"/>
      <c r="CZ267" s="1623"/>
      <c r="DA267" s="1623"/>
      <c r="DB267" s="1622">
        <v>-40.677999999999997</v>
      </c>
      <c r="DC267" s="1623"/>
      <c r="DD267" s="1623"/>
      <c r="DE267" s="1623"/>
      <c r="DF267" s="1623"/>
      <c r="DG267" s="1622">
        <v>-161.06399999999999</v>
      </c>
      <c r="DH267" s="1623"/>
      <c r="DI267" s="1623"/>
      <c r="DJ267" s="1623"/>
      <c r="DK267" s="1623"/>
      <c r="DL267" s="1622">
        <v>-287.02800000000002</v>
      </c>
      <c r="DM267" s="1623">
        <v>-80.484999999999999</v>
      </c>
      <c r="DN267" s="1623">
        <f>-127.694-DM267</f>
        <v>-47.209000000000003</v>
      </c>
      <c r="DO267" s="1623">
        <v>-56.468000000000004</v>
      </c>
      <c r="DP267" s="1623"/>
      <c r="DQ267" s="1622">
        <v>-265.84500000000003</v>
      </c>
      <c r="DR267" s="1623">
        <v>-46.05</v>
      </c>
      <c r="DS267" s="1623">
        <f>-119.354-DR267</f>
        <v>-73.304000000000002</v>
      </c>
      <c r="DT267" s="1623">
        <v>-82.471999999999994</v>
      </c>
      <c r="DU267" s="1623">
        <f>+DV267-SUM(DR267:DT267)</f>
        <v>-70.113000000000028</v>
      </c>
      <c r="DV267" s="1622">
        <v>-271.93900000000002</v>
      </c>
      <c r="DW267" s="1623">
        <v>-67.272999999999996</v>
      </c>
      <c r="DX267" s="1623">
        <f>-106.588-DW267</f>
        <v>-39.314999999999998</v>
      </c>
      <c r="DY267" s="1623">
        <f>+-191.123-DX267-DW267</f>
        <v>-84.534999999999997</v>
      </c>
      <c r="DZ267" s="1623">
        <f>+EA267-SUM(DW267:DY267)</f>
        <v>-72.064000000000021</v>
      </c>
      <c r="EA267" s="1622">
        <v>-263.18700000000001</v>
      </c>
      <c r="EB267" s="1623">
        <v>-45.938000000000002</v>
      </c>
      <c r="EC267" s="1623"/>
      <c r="ED267" s="1623"/>
      <c r="EE267" s="1623"/>
      <c r="EF267" s="1622">
        <f>EF260+EF261+EF266</f>
        <v>-295</v>
      </c>
      <c r="EG267" s="1623"/>
      <c r="EH267" s="1623"/>
      <c r="EI267" s="1623"/>
      <c r="EJ267" s="1623"/>
      <c r="EK267" s="1622">
        <f>EK260+EK261+EK266</f>
        <v>-275</v>
      </c>
      <c r="EL267" s="1623"/>
      <c r="EM267" s="1623"/>
      <c r="EN267" s="1623"/>
      <c r="EO267" s="1623"/>
      <c r="EP267" s="1622">
        <f>EP260+EP261+EP266</f>
        <v>-275</v>
      </c>
      <c r="EQ267" s="1623"/>
      <c r="ER267" s="1623"/>
      <c r="ES267" s="1623"/>
      <c r="ET267" s="1623"/>
      <c r="EU267" s="1622">
        <f>EU260+EU261+EU266</f>
        <v>-275</v>
      </c>
      <c r="EV267" s="1623"/>
      <c r="EW267" s="1623"/>
      <c r="EX267" s="1623"/>
      <c r="EY267" s="1623"/>
      <c r="EZ267" s="1622">
        <f>EZ260+EZ261+EZ266</f>
        <v>-275</v>
      </c>
      <c r="FA267" s="1623"/>
      <c r="FB267" s="1623"/>
      <c r="FC267" s="1623"/>
      <c r="FD267" s="1623"/>
      <c r="FE267" s="1622">
        <f>FE260+FE261+FE266</f>
        <v>-275</v>
      </c>
      <c r="FF267" s="994"/>
      <c r="FG267" s="690"/>
      <c r="FH267" s="754"/>
      <c r="FI267" s="754"/>
      <c r="FJ267" s="754"/>
      <c r="FK267" s="754"/>
      <c r="FL267" s="690"/>
      <c r="FM267" s="1230"/>
      <c r="FN267" s="1230"/>
      <c r="FO267" s="1244"/>
      <c r="FP267" s="1244"/>
      <c r="FQ267" s="1244"/>
      <c r="FR267" s="1244"/>
      <c r="FS267" s="1244"/>
      <c r="FT267" s="1244"/>
      <c r="FU267" s="690"/>
      <c r="FV267"/>
      <c r="FW267"/>
      <c r="FX267"/>
      <c r="FY267"/>
      <c r="FZ267"/>
      <c r="GA267"/>
      <c r="GB267" s="1644"/>
      <c r="GC267" s="1467"/>
      <c r="GD267" s="1467"/>
      <c r="GE267" s="1467"/>
      <c r="GF267" s="1467"/>
      <c r="GG267" s="1467"/>
      <c r="GH267" s="1467"/>
      <c r="GI267" s="1467"/>
      <c r="GJ267" s="1467"/>
      <c r="GK267" s="1467"/>
      <c r="GL267" s="1467"/>
      <c r="GM267" s="1467"/>
      <c r="GN267" s="1467"/>
      <c r="GO267" s="1467"/>
      <c r="GP267" s="1467"/>
      <c r="GQ267" s="1467"/>
      <c r="GR267" s="1467"/>
      <c r="GS267" s="1467"/>
      <c r="GT267" s="1467"/>
      <c r="GU267" s="1467"/>
      <c r="GV267" s="1467"/>
      <c r="GW267" s="1467"/>
      <c r="GX267" s="1467"/>
      <c r="GY267" s="1467"/>
      <c r="GZ267" s="1467"/>
      <c r="HA267" s="1467"/>
      <c r="HB267" s="1467"/>
      <c r="HC267" s="1467"/>
      <c r="HD267" s="1467"/>
      <c r="HE267" s="1467"/>
      <c r="HF267" s="1467"/>
      <c r="HG267" s="1467"/>
      <c r="HH267" s="1467"/>
      <c r="HI267" s="1467"/>
      <c r="HJ267" s="1467"/>
      <c r="HK267" s="1467"/>
      <c r="HL267" s="1467"/>
      <c r="HM267" s="1467"/>
      <c r="HN267" s="1467"/>
      <c r="HO267" s="1467"/>
      <c r="HP267" s="1467"/>
      <c r="HQ267" s="1467"/>
      <c r="HR267" s="1467"/>
      <c r="HS267" s="1467"/>
      <c r="HT267" s="1467"/>
      <c r="HU267" s="1467"/>
      <c r="HV267" s="1467"/>
      <c r="HW267" s="1467"/>
      <c r="HX267" s="1467"/>
      <c r="HY267" s="1467"/>
      <c r="HZ267" s="1467"/>
      <c r="IA267" s="1467"/>
      <c r="IB267" s="1467"/>
      <c r="IC267" s="1467"/>
      <c r="ID267" s="1467"/>
      <c r="IE267" s="1467"/>
      <c r="IF267" s="1467"/>
      <c r="IG267" s="1467"/>
      <c r="IH267" s="1467"/>
      <c r="II267" s="1467"/>
      <c r="IJ267" s="1467"/>
      <c r="IK267" s="1467"/>
      <c r="IL267" s="1467"/>
      <c r="IM267" s="1467"/>
      <c r="IN267" s="1467"/>
      <c r="IO267" s="1467"/>
      <c r="IP267" s="1467"/>
      <c r="IQ267" s="1467"/>
      <c r="IR267" s="1467"/>
      <c r="IS267" s="1467"/>
      <c r="IT267" s="1467"/>
      <c r="IU267" s="1467"/>
      <c r="IV267" s="1467"/>
      <c r="IW267" s="1467"/>
      <c r="IX267" s="1467"/>
      <c r="IY267" s="1467"/>
      <c r="IZ267" s="1467"/>
      <c r="JA267" s="1467"/>
      <c r="JB267" s="1467"/>
      <c r="JC267" s="1467"/>
      <c r="JD267" s="1467"/>
      <c r="JE267" s="1467"/>
      <c r="JF267" s="1467"/>
      <c r="JG267" s="1467"/>
      <c r="JH267" s="1467"/>
      <c r="JI267" s="1467"/>
      <c r="JJ267" s="1467"/>
      <c r="JK267" s="1467"/>
      <c r="JL267" s="1467"/>
    </row>
    <row r="268" spans="1:272" s="942" customFormat="1" ht="12.75" hidden="1" customHeight="1" outlineLevel="1">
      <c r="A268" s="1071" t="s">
        <v>435</v>
      </c>
      <c r="B268" s="938"/>
      <c r="C268" s="938"/>
      <c r="D268" s="938"/>
      <c r="E268" s="938"/>
      <c r="F268" s="1196"/>
      <c r="G268" s="938"/>
      <c r="H268" s="938"/>
      <c r="I268" s="938"/>
      <c r="J268" s="938"/>
      <c r="K268" s="1196"/>
      <c r="L268" s="938"/>
      <c r="M268" s="938"/>
      <c r="N268" s="938"/>
      <c r="O268" s="938"/>
      <c r="P268" s="1196"/>
      <c r="Q268" s="938"/>
      <c r="R268" s="938"/>
      <c r="S268" s="938"/>
      <c r="T268" s="938"/>
      <c r="U268" s="1196"/>
      <c r="V268" s="938"/>
      <c r="W268" s="938"/>
      <c r="X268" s="938"/>
      <c r="Y268" s="938"/>
      <c r="Z268" s="1196"/>
      <c r="AA268" s="938"/>
      <c r="AB268" s="938"/>
      <c r="AC268" s="938"/>
      <c r="AD268" s="938"/>
      <c r="AE268" s="1196"/>
      <c r="AF268" s="938"/>
      <c r="AG268" s="938"/>
      <c r="AH268" s="938"/>
      <c r="AI268" s="938"/>
      <c r="AJ268" s="1196"/>
      <c r="AK268" s="938"/>
      <c r="AL268" s="938"/>
      <c r="AM268" s="938"/>
      <c r="AN268" s="938"/>
      <c r="AO268" s="1196"/>
      <c r="AP268" s="938"/>
      <c r="AQ268" s="938"/>
      <c r="AR268" s="938"/>
      <c r="AS268" s="938"/>
      <c r="AT268" s="1196"/>
      <c r="AU268" s="938"/>
      <c r="AV268" s="938"/>
      <c r="AW268" s="938"/>
      <c r="AX268" s="938"/>
      <c r="AY268" s="1196"/>
      <c r="AZ268" s="938"/>
      <c r="BA268" s="938"/>
      <c r="BB268" s="938"/>
      <c r="BC268" s="938"/>
      <c r="BD268" s="1196"/>
      <c r="BE268" s="938"/>
      <c r="BF268" s="938"/>
      <c r="BG268" s="938"/>
      <c r="BH268" s="938"/>
      <c r="BI268" s="1196"/>
      <c r="BJ268" s="938"/>
      <c r="BK268" s="938"/>
      <c r="BL268" s="938"/>
      <c r="BM268" s="938"/>
      <c r="BN268" s="1196">
        <f>-19.522+10.709</f>
        <v>-8.8129999999999988</v>
      </c>
      <c r="BO268" s="938"/>
      <c r="BP268" s="938"/>
      <c r="BQ268" s="938"/>
      <c r="BR268" s="938"/>
      <c r="BS268" s="1196">
        <f>-19.663-10.484</f>
        <v>-30.146999999999998</v>
      </c>
      <c r="BT268" s="938"/>
      <c r="BU268" s="1422"/>
      <c r="BV268" s="938"/>
      <c r="BW268" s="938"/>
      <c r="BX268" s="1196">
        <v>-30.042000000000002</v>
      </c>
      <c r="BY268" s="938"/>
      <c r="BZ268" s="1422"/>
      <c r="CA268" s="938"/>
      <c r="CB268" s="938"/>
      <c r="CC268" s="1196">
        <f>-20.323-9.941</f>
        <v>-30.264000000000003</v>
      </c>
      <c r="CD268" s="938"/>
      <c r="CE268" s="938"/>
      <c r="CF268" s="938"/>
      <c r="CG268" s="938"/>
      <c r="CH268" s="1196">
        <v>-21.036000000000001</v>
      </c>
      <c r="CI268" s="938"/>
      <c r="CJ268" s="938"/>
      <c r="CK268" s="938"/>
      <c r="CL268" s="938"/>
      <c r="CM268" s="1196">
        <v>-19.693000000000001</v>
      </c>
      <c r="CN268" s="938"/>
      <c r="CO268" s="938"/>
      <c r="CP268" s="938"/>
      <c r="CQ268" s="938"/>
      <c r="CR268" s="1196">
        <v>-18.190999999999999</v>
      </c>
      <c r="CS268" s="938"/>
      <c r="CT268" s="938"/>
      <c r="CU268" s="938"/>
      <c r="CV268" s="938"/>
      <c r="CW268" s="1196">
        <v>-18.274000000000001</v>
      </c>
      <c r="CX268" s="938"/>
      <c r="CY268" s="938"/>
      <c r="CZ268" s="938"/>
      <c r="DA268" s="938"/>
      <c r="DB268" s="1196">
        <v>-19.079000000000001</v>
      </c>
      <c r="DC268" s="938"/>
      <c r="DD268" s="938"/>
      <c r="DE268" s="938"/>
      <c r="DF268" s="938"/>
      <c r="DG268" s="1196">
        <v>-20.844999999999999</v>
      </c>
      <c r="DH268" s="938"/>
      <c r="DI268" s="938"/>
      <c r="DJ268" s="938"/>
      <c r="DK268" s="938"/>
      <c r="DL268" s="1196">
        <v>-22.177</v>
      </c>
      <c r="DM268" s="938">
        <v>-5.5789999999999997</v>
      </c>
      <c r="DN268" s="938">
        <f>+-11.165-DM268</f>
        <v>-5.5859999999999994</v>
      </c>
      <c r="DO268" s="938">
        <v>-5.5949999999999998</v>
      </c>
      <c r="DP268" s="938"/>
      <c r="DQ268" s="1196">
        <v>-22.356999999999999</v>
      </c>
      <c r="DR268" s="938">
        <v>-5.617</v>
      </c>
      <c r="DS268" s="938">
        <f>-11.255-DR268</f>
        <v>-5.6380000000000008</v>
      </c>
      <c r="DT268" s="938">
        <v>-5.6749999999999998</v>
      </c>
      <c r="DU268" s="938">
        <f>+DV268-SUM(DR268:DT268)</f>
        <v>-5.6900000000000013</v>
      </c>
      <c r="DV268" s="1196">
        <v>-22.62</v>
      </c>
      <c r="DW268" s="938"/>
      <c r="DX268" s="938"/>
      <c r="DY268" s="938"/>
      <c r="DZ268" s="938"/>
      <c r="EA268" s="1196">
        <f>-28.72</f>
        <v>-28.72</v>
      </c>
      <c r="EB268" s="938"/>
      <c r="EC268" s="938"/>
      <c r="ED268" s="938"/>
      <c r="EE268" s="938"/>
      <c r="EF268" s="1196">
        <f>-(CNW!EF250*CNW!EF237)</f>
        <v>-34.48414425</v>
      </c>
      <c r="EG268" s="938"/>
      <c r="EH268" s="938"/>
      <c r="EI268" s="938"/>
      <c r="EJ268" s="938"/>
      <c r="EK268" s="1196">
        <f>-(CNW!EK250*CNW!EK237)</f>
        <v>-55.001794860999809</v>
      </c>
      <c r="EL268" s="938"/>
      <c r="EM268" s="938"/>
      <c r="EN268" s="938"/>
      <c r="EO268" s="938"/>
      <c r="EP268" s="1196">
        <f>-(CNW!EP250*CNW!EP237)</f>
        <v>-64.836792553296007</v>
      </c>
      <c r="EQ268" s="938"/>
      <c r="ER268" s="938"/>
      <c r="ES268" s="938"/>
      <c r="ET268" s="938"/>
      <c r="EU268" s="1196">
        <f>-(CNW!EU250*CNW!EU237)</f>
        <v>-76.727822260871278</v>
      </c>
      <c r="EV268" s="938"/>
      <c r="EW268" s="938"/>
      <c r="EX268" s="938"/>
      <c r="EY268" s="938"/>
      <c r="EZ268" s="1196">
        <f>-(CNW!EZ250*CNW!EZ237)</f>
        <v>-83.700827153825884</v>
      </c>
      <c r="FA268" s="938"/>
      <c r="FB268" s="938"/>
      <c r="FC268" s="938"/>
      <c r="FD268" s="938"/>
      <c r="FE268" s="1196">
        <f>-(CNW!FE250*CNW!FE237)</f>
        <v>-90.94439291028813</v>
      </c>
      <c r="FF268" s="938"/>
      <c r="FG268" s="690"/>
      <c r="FH268" s="754"/>
      <c r="FI268" s="754"/>
      <c r="FJ268" s="754"/>
      <c r="FK268" s="754"/>
      <c r="FL268" s="690"/>
      <c r="FM268" s="940"/>
      <c r="FN268" s="940"/>
      <c r="FO268" s="941"/>
      <c r="FP268" s="941"/>
      <c r="FQ268" s="941"/>
      <c r="FR268" s="941"/>
      <c r="FS268" s="941"/>
      <c r="FT268" s="941"/>
      <c r="FU268" s="690"/>
      <c r="FV268"/>
      <c r="FW268"/>
      <c r="FX268"/>
      <c r="FY268"/>
      <c r="FZ268"/>
      <c r="GA268"/>
      <c r="GB268" s="1612"/>
      <c r="GC268" s="1426"/>
      <c r="GD268" s="1426"/>
      <c r="GE268" s="1426"/>
      <c r="GF268" s="1426"/>
      <c r="GG268" s="1426"/>
      <c r="GH268" s="1426"/>
      <c r="GI268" s="1426"/>
      <c r="GJ268" s="1426"/>
      <c r="GK268" s="1426"/>
      <c r="GL268" s="1426"/>
      <c r="GM268" s="1426"/>
      <c r="GN268" s="1426"/>
      <c r="GO268" s="1426"/>
      <c r="GP268" s="1426"/>
      <c r="GQ268" s="1426"/>
      <c r="GR268" s="1426"/>
      <c r="GS268" s="1426"/>
      <c r="GT268" s="1426"/>
      <c r="GU268" s="1426"/>
      <c r="GV268" s="1426"/>
      <c r="GW268" s="1426"/>
      <c r="GX268" s="1426"/>
      <c r="GY268" s="1426"/>
      <c r="GZ268" s="1426"/>
      <c r="HA268" s="1426"/>
      <c r="HB268" s="1426"/>
      <c r="HC268" s="1426"/>
      <c r="HD268" s="1426"/>
      <c r="HE268" s="1426"/>
      <c r="HF268" s="1426"/>
      <c r="HG268" s="1426"/>
      <c r="HH268" s="1426"/>
      <c r="HI268" s="1426"/>
      <c r="HJ268" s="1426"/>
      <c r="HK268" s="1426"/>
      <c r="HL268" s="1426"/>
      <c r="HM268" s="1426"/>
      <c r="HN268" s="1426"/>
      <c r="HO268" s="1426"/>
      <c r="HP268" s="1426"/>
      <c r="HQ268" s="1426"/>
      <c r="HR268" s="1426"/>
      <c r="HS268" s="1426"/>
      <c r="HT268" s="1426"/>
      <c r="HU268" s="1426"/>
      <c r="HV268" s="1426"/>
      <c r="HW268" s="1426"/>
      <c r="HX268" s="1426"/>
      <c r="HY268" s="1426"/>
      <c r="HZ268" s="1426"/>
      <c r="IA268" s="1426"/>
      <c r="IB268" s="1426"/>
      <c r="IC268" s="1426"/>
      <c r="ID268" s="1426"/>
      <c r="IE268" s="1426"/>
      <c r="IF268" s="1426"/>
      <c r="IG268" s="1426"/>
      <c r="IH268" s="1426"/>
      <c r="II268" s="1426"/>
      <c r="IJ268" s="1426"/>
      <c r="IK268" s="1426"/>
      <c r="IL268" s="1426"/>
      <c r="IM268" s="1426"/>
      <c r="IN268" s="1426"/>
      <c r="IO268" s="1426"/>
      <c r="IP268" s="1426"/>
      <c r="IQ268" s="1426"/>
      <c r="IR268" s="1426"/>
      <c r="IS268" s="1426"/>
      <c r="IT268" s="1426"/>
      <c r="IU268" s="1426"/>
      <c r="IV268" s="1426"/>
      <c r="IW268" s="1426"/>
      <c r="IX268" s="1426"/>
      <c r="IY268" s="1426"/>
      <c r="IZ268" s="1426"/>
      <c r="JA268" s="1426"/>
      <c r="JB268" s="1426"/>
      <c r="JC268" s="1426"/>
      <c r="JD268" s="1426"/>
      <c r="JE268" s="1426"/>
      <c r="JF268" s="1426"/>
      <c r="JG268" s="1426"/>
      <c r="JH268" s="1426"/>
      <c r="JI268" s="1426"/>
      <c r="JJ268" s="1426"/>
      <c r="JK268" s="1426"/>
      <c r="JL268" s="1426"/>
    </row>
    <row r="269" spans="1:272" s="942" customFormat="1" ht="12.75" hidden="1" customHeight="1" outlineLevel="1">
      <c r="A269" s="1071" t="s">
        <v>436</v>
      </c>
      <c r="B269" s="938"/>
      <c r="C269" s="938"/>
      <c r="D269" s="938"/>
      <c r="E269" s="938"/>
      <c r="F269" s="1196"/>
      <c r="G269" s="938"/>
      <c r="H269" s="938"/>
      <c r="I269" s="938"/>
      <c r="J269" s="938"/>
      <c r="K269" s="1196"/>
      <c r="L269" s="938"/>
      <c r="M269" s="938"/>
      <c r="N269" s="938"/>
      <c r="O269" s="938"/>
      <c r="P269" s="1196"/>
      <c r="Q269" s="938"/>
      <c r="R269" s="938"/>
      <c r="S269" s="938"/>
      <c r="T269" s="938"/>
      <c r="U269" s="1196"/>
      <c r="V269" s="938"/>
      <c r="W269" s="938"/>
      <c r="X269" s="938"/>
      <c r="Y269" s="938"/>
      <c r="Z269" s="1196"/>
      <c r="AA269" s="938"/>
      <c r="AB269" s="938"/>
      <c r="AC269" s="938"/>
      <c r="AD269" s="938"/>
      <c r="AE269" s="1196"/>
      <c r="AF269" s="938"/>
      <c r="AG269" s="938"/>
      <c r="AH269" s="938"/>
      <c r="AI269" s="938"/>
      <c r="AJ269" s="1196"/>
      <c r="AK269" s="938"/>
      <c r="AL269" s="938"/>
      <c r="AM269" s="938"/>
      <c r="AN269" s="938"/>
      <c r="AO269" s="1196"/>
      <c r="AP269" s="938"/>
      <c r="AQ269" s="938"/>
      <c r="AR269" s="938"/>
      <c r="AS269" s="938"/>
      <c r="AT269" s="1196"/>
      <c r="AU269" s="938"/>
      <c r="AV269" s="938"/>
      <c r="AW269" s="938"/>
      <c r="AX269" s="938"/>
      <c r="AY269" s="1196"/>
      <c r="AZ269" s="938"/>
      <c r="BA269" s="938"/>
      <c r="BB269" s="938"/>
      <c r="BC269" s="938"/>
      <c r="BD269" s="1196"/>
      <c r="BE269" s="938"/>
      <c r="BF269" s="938"/>
      <c r="BG269" s="938"/>
      <c r="BH269" s="938"/>
      <c r="BI269" s="1196"/>
      <c r="BJ269" s="938"/>
      <c r="BK269" s="938"/>
      <c r="BL269" s="938"/>
      <c r="BM269" s="938"/>
      <c r="BN269" s="1196">
        <v>3.21</v>
      </c>
      <c r="BO269" s="938"/>
      <c r="BP269" s="938"/>
      <c r="BQ269" s="938"/>
      <c r="BR269" s="938"/>
      <c r="BS269" s="1196">
        <v>6.9480000000000004</v>
      </c>
      <c r="BT269" s="938"/>
      <c r="BU269" s="1422"/>
      <c r="BV269" s="938"/>
      <c r="BW269" s="938"/>
      <c r="BX269" s="1196">
        <v>6.3890000000000002</v>
      </c>
      <c r="BY269" s="938"/>
      <c r="BZ269" s="1422"/>
      <c r="CA269" s="938"/>
      <c r="CB269" s="938"/>
      <c r="CC269" s="1196">
        <v>56.081000000000003</v>
      </c>
      <c r="CD269" s="938"/>
      <c r="CE269" s="938"/>
      <c r="CF269" s="938"/>
      <c r="CG269" s="938"/>
      <c r="CH269" s="1196">
        <v>76.054000000000002</v>
      </c>
      <c r="CI269" s="938"/>
      <c r="CJ269" s="938"/>
      <c r="CK269" s="938"/>
      <c r="CL269" s="938"/>
      <c r="CM269" s="1196">
        <v>-337.98</v>
      </c>
      <c r="CN269" s="938"/>
      <c r="CO269" s="938"/>
      <c r="CP269" s="938"/>
      <c r="CQ269" s="938"/>
      <c r="CR269" s="1196">
        <v>-81.635999999999996</v>
      </c>
      <c r="CS269" s="938"/>
      <c r="CT269" s="938"/>
      <c r="CU269" s="938"/>
      <c r="CV269" s="938"/>
      <c r="CW269" s="1196">
        <v>10.148999999999999</v>
      </c>
      <c r="CX269" s="938"/>
      <c r="CY269" s="938"/>
      <c r="CZ269" s="938"/>
      <c r="DA269" s="938"/>
      <c r="DB269" s="1196">
        <v>4.1710000000000003</v>
      </c>
      <c r="DC269" s="938"/>
      <c r="DD269" s="938"/>
      <c r="DE269" s="938"/>
      <c r="DF269" s="938"/>
      <c r="DG269" s="1196">
        <v>3.4590000000000001</v>
      </c>
      <c r="DH269" s="938"/>
      <c r="DI269" s="938"/>
      <c r="DJ269" s="938"/>
      <c r="DK269" s="938"/>
      <c r="DL269" s="1196">
        <v>5.532</v>
      </c>
      <c r="DM269" s="938">
        <v>0.27900000000000003</v>
      </c>
      <c r="DN269" s="938">
        <f>2.396-DM269</f>
        <v>2.117</v>
      </c>
      <c r="DO269" s="938">
        <v>0.96099999999999997</v>
      </c>
      <c r="DP269" s="938"/>
      <c r="DQ269" s="1196">
        <v>3.56</v>
      </c>
      <c r="DR269" s="938">
        <v>5.6689999999999996</v>
      </c>
      <c r="DS269" s="938">
        <f>8.987-DR269</f>
        <v>3.3180000000000005</v>
      </c>
      <c r="DT269" s="938">
        <v>10.77</v>
      </c>
      <c r="DU269" s="938">
        <f>+DV269-SUM(DR269:DT269)</f>
        <v>1.0200000000000031</v>
      </c>
      <c r="DV269" s="1196">
        <v>20.777000000000001</v>
      </c>
      <c r="DW269" s="938"/>
      <c r="DX269" s="938"/>
      <c r="DY269" s="938"/>
      <c r="DZ269" s="938"/>
      <c r="EA269" s="1196">
        <f>33.902-15.799</f>
        <v>18.103000000000002</v>
      </c>
      <c r="EB269" s="938">
        <v>-15.955</v>
      </c>
      <c r="EC269" s="938">
        <v>-18.849</v>
      </c>
      <c r="ED269" s="938">
        <f>+(ED239-EC239)*ED241</f>
        <v>11.889954608602219</v>
      </c>
      <c r="EE269" s="938">
        <f>+(EE239-ED239)*EE241</f>
        <v>0</v>
      </c>
      <c r="EF269" s="1427">
        <f>+SUM(EB269:EE269)</f>
        <v>-22.914045391397785</v>
      </c>
      <c r="EG269" s="1500"/>
      <c r="EH269" s="1500"/>
      <c r="EI269" s="1500"/>
      <c r="EJ269" s="1500"/>
      <c r="EK269" s="1196">
        <f>+(EK239-EF239)*EK241</f>
        <v>-32.638028613342158</v>
      </c>
      <c r="EL269" s="1500"/>
      <c r="EM269" s="1500"/>
      <c r="EN269" s="1500"/>
      <c r="EO269" s="1500"/>
      <c r="EP269" s="1196">
        <f>+(EP239-EK239)*EP241</f>
        <v>-37.792089025811862</v>
      </c>
      <c r="EQ269" s="1500"/>
      <c r="ER269" s="1500"/>
      <c r="ES269" s="1500"/>
      <c r="ET269" s="1500"/>
      <c r="EU269" s="1196">
        <f>+(EU239-EP239)*EU241</f>
        <v>-42.404829174847954</v>
      </c>
      <c r="EV269" s="1500"/>
      <c r="EW269" s="1500"/>
      <c r="EX269" s="1500"/>
      <c r="EY269" s="1500"/>
      <c r="EZ269" s="1196">
        <f>+(EZ239-EU239)*EZ241</f>
        <v>-45.193186578017986</v>
      </c>
      <c r="FA269" s="1500"/>
      <c r="FB269" s="1500"/>
      <c r="FC269" s="1500"/>
      <c r="FD269" s="1500"/>
      <c r="FE269" s="1196">
        <f>+(FE239-EZ239)*FE241</f>
        <v>-48.042615351857265</v>
      </c>
      <c r="FF269" s="938"/>
      <c r="FG269" s="690"/>
      <c r="FH269" s="754"/>
      <c r="FI269" s="754"/>
      <c r="FJ269" s="754"/>
      <c r="FK269" s="754"/>
      <c r="FL269" s="690"/>
      <c r="FM269" s="708" t="s">
        <v>437</v>
      </c>
      <c r="FN269" s="940"/>
      <c r="FO269" s="941"/>
      <c r="FP269" s="941"/>
      <c r="FQ269" s="941"/>
      <c r="FR269" s="941"/>
      <c r="FS269" s="941"/>
      <c r="FT269" s="941"/>
      <c r="FU269" s="690"/>
      <c r="FV269"/>
      <c r="FW269"/>
      <c r="FX269"/>
      <c r="FY269"/>
      <c r="FZ269"/>
      <c r="GA269"/>
      <c r="GB269" s="1612"/>
      <c r="GC269" s="1426"/>
      <c r="GD269" s="1426"/>
      <c r="GE269" s="1426"/>
      <c r="GF269" s="1426"/>
      <c r="GG269" s="1426"/>
      <c r="GH269" s="1426"/>
      <c r="GI269" s="1426"/>
      <c r="GJ269" s="1426"/>
      <c r="GK269" s="1426"/>
      <c r="GL269" s="1426"/>
      <c r="GM269" s="1426"/>
      <c r="GN269" s="1426"/>
      <c r="GO269" s="1426"/>
      <c r="GP269" s="1426"/>
      <c r="GQ269" s="1426"/>
      <c r="GR269" s="1426"/>
      <c r="GS269" s="1426"/>
      <c r="GT269" s="1426"/>
      <c r="GU269" s="1426"/>
      <c r="GV269" s="1426"/>
      <c r="GW269" s="1426"/>
      <c r="GX269" s="1426"/>
      <c r="GY269" s="1426"/>
      <c r="GZ269" s="1426"/>
      <c r="HA269" s="1426"/>
      <c r="HB269" s="1426"/>
      <c r="HC269" s="1426"/>
      <c r="HD269" s="1426"/>
      <c r="HE269" s="1426"/>
      <c r="HF269" s="1426"/>
      <c r="HG269" s="1426"/>
      <c r="HH269" s="1426"/>
      <c r="HI269" s="1426"/>
      <c r="HJ269" s="1426"/>
      <c r="HK269" s="1426"/>
      <c r="HL269" s="1426"/>
      <c r="HM269" s="1426"/>
      <c r="HN269" s="1426"/>
      <c r="HO269" s="1426"/>
      <c r="HP269" s="1426"/>
      <c r="HQ269" s="1426"/>
      <c r="HR269" s="1426"/>
      <c r="HS269" s="1426"/>
      <c r="HT269" s="1426"/>
      <c r="HU269" s="1426"/>
      <c r="HV269" s="1426"/>
      <c r="HW269" s="1426"/>
      <c r="HX269" s="1426"/>
      <c r="HY269" s="1426"/>
      <c r="HZ269" s="1426"/>
      <c r="IA269" s="1426"/>
      <c r="IB269" s="1426"/>
      <c r="IC269" s="1426"/>
      <c r="ID269" s="1426"/>
      <c r="IE269" s="1426"/>
      <c r="IF269" s="1426"/>
      <c r="IG269" s="1426"/>
      <c r="IH269" s="1426"/>
      <c r="II269" s="1426"/>
      <c r="IJ269" s="1426"/>
      <c r="IK269" s="1426"/>
      <c r="IL269" s="1426"/>
      <c r="IM269" s="1426"/>
      <c r="IN269" s="1426"/>
      <c r="IO269" s="1426"/>
      <c r="IP269" s="1426"/>
      <c r="IQ269" s="1426"/>
      <c r="IR269" s="1426"/>
      <c r="IS269" s="1426"/>
      <c r="IT269" s="1426"/>
      <c r="IU269" s="1426"/>
      <c r="IV269" s="1426"/>
      <c r="IW269" s="1426"/>
      <c r="IX269" s="1426"/>
      <c r="IY269" s="1426"/>
      <c r="IZ269" s="1426"/>
      <c r="JA269" s="1426"/>
      <c r="JB269" s="1426"/>
      <c r="JC269" s="1426"/>
      <c r="JD269" s="1426"/>
      <c r="JE269" s="1426"/>
      <c r="JF269" s="1426"/>
      <c r="JG269" s="1426"/>
      <c r="JH269" s="1426"/>
      <c r="JI269" s="1426"/>
      <c r="JJ269" s="1426"/>
      <c r="JK269" s="1426"/>
      <c r="JL269" s="1426"/>
    </row>
    <row r="270" spans="1:272" s="942" customFormat="1" ht="12.75" hidden="1" customHeight="1" outlineLevel="1">
      <c r="A270" s="1071" t="s">
        <v>438</v>
      </c>
      <c r="B270" s="938"/>
      <c r="C270" s="938"/>
      <c r="D270" s="938"/>
      <c r="E270" s="938"/>
      <c r="F270" s="1196"/>
      <c r="G270" s="938"/>
      <c r="H270" s="938"/>
      <c r="I270" s="938"/>
      <c r="J270" s="938"/>
      <c r="K270" s="1196"/>
      <c r="L270" s="938"/>
      <c r="M270" s="938"/>
      <c r="N270" s="938"/>
      <c r="O270" s="938"/>
      <c r="P270" s="1196"/>
      <c r="Q270" s="938"/>
      <c r="R270" s="938"/>
      <c r="S270" s="938"/>
      <c r="T270" s="938"/>
      <c r="U270" s="1196"/>
      <c r="V270" s="938"/>
      <c r="W270" s="938"/>
      <c r="X270" s="938"/>
      <c r="Y270" s="938"/>
      <c r="Z270" s="1196"/>
      <c r="AA270" s="938"/>
      <c r="AB270" s="938"/>
      <c r="AC270" s="938"/>
      <c r="AD270" s="938"/>
      <c r="AE270" s="1196"/>
      <c r="AF270" s="938"/>
      <c r="AG270" s="938"/>
      <c r="AH270" s="938"/>
      <c r="AI270" s="938"/>
      <c r="AJ270" s="1196"/>
      <c r="AK270" s="938"/>
      <c r="AL270" s="938"/>
      <c r="AM270" s="938"/>
      <c r="AN270" s="938"/>
      <c r="AO270" s="1196"/>
      <c r="AP270" s="938"/>
      <c r="AQ270" s="938"/>
      <c r="AR270" s="938"/>
      <c r="AS270" s="938"/>
      <c r="AT270" s="1196"/>
      <c r="AU270" s="938"/>
      <c r="AV270" s="938"/>
      <c r="AW270" s="938"/>
      <c r="AX270" s="938"/>
      <c r="AY270" s="1196"/>
      <c r="AZ270" s="938"/>
      <c r="BA270" s="938"/>
      <c r="BB270" s="938"/>
      <c r="BC270" s="938"/>
      <c r="BD270" s="1196"/>
      <c r="BE270" s="938"/>
      <c r="BF270" s="938"/>
      <c r="BG270" s="938"/>
      <c r="BH270" s="938"/>
      <c r="BI270" s="1196"/>
      <c r="BJ270" s="938"/>
      <c r="BK270" s="938"/>
      <c r="BL270" s="938"/>
      <c r="BM270" s="938"/>
      <c r="BN270" s="1196">
        <f>BN271-BN269-BN268</f>
        <v>5.6029999999999989</v>
      </c>
      <c r="BO270" s="938"/>
      <c r="BP270" s="938"/>
      <c r="BQ270" s="938"/>
      <c r="BR270" s="938"/>
      <c r="BS270" s="1196">
        <f>BS271-BS269-BS268</f>
        <v>-30.994</v>
      </c>
      <c r="BT270" s="938"/>
      <c r="BU270" s="1422"/>
      <c r="BV270" s="938"/>
      <c r="BW270" s="938"/>
      <c r="BX270" s="1196">
        <f>BX271-BX269-BX268</f>
        <v>-9.9860000000000042</v>
      </c>
      <c r="BY270" s="938"/>
      <c r="BZ270" s="1422"/>
      <c r="CA270" s="938"/>
      <c r="CB270" s="938"/>
      <c r="CC270" s="1196">
        <f>CC271-CC269-CC268</f>
        <v>149.66200000000001</v>
      </c>
      <c r="CD270" s="938"/>
      <c r="CE270" s="938"/>
      <c r="CF270" s="938"/>
      <c r="CG270" s="938"/>
      <c r="CH270" s="1196">
        <f>CH271-CH269-CH268</f>
        <v>-271.447</v>
      </c>
      <c r="CI270" s="938"/>
      <c r="CJ270" s="938"/>
      <c r="CK270" s="938"/>
      <c r="CL270" s="938"/>
      <c r="CM270" s="1196">
        <f>CM271-CM269-CM268</f>
        <v>-20.815999999999956</v>
      </c>
      <c r="CN270" s="938"/>
      <c r="CO270" s="938"/>
      <c r="CP270" s="938"/>
      <c r="CQ270" s="938"/>
      <c r="CR270" s="1196">
        <f>CR271-CR269-CR268</f>
        <v>395.06599999999997</v>
      </c>
      <c r="CS270" s="938"/>
      <c r="CT270" s="938"/>
      <c r="CU270" s="938"/>
      <c r="CV270" s="938"/>
      <c r="CW270" s="1196">
        <f>CW271-CW269-CW268</f>
        <v>-27.250999999999998</v>
      </c>
      <c r="CX270" s="938"/>
      <c r="CY270" s="938"/>
      <c r="CZ270" s="938"/>
      <c r="DA270" s="938"/>
      <c r="DB270" s="1196">
        <f>DB271-DB269-DB268</f>
        <v>-22.909999999999997</v>
      </c>
      <c r="DC270" s="938"/>
      <c r="DD270" s="938"/>
      <c r="DE270" s="938"/>
      <c r="DF270" s="938"/>
      <c r="DG270" s="1196">
        <f>DG271-DG269-DG268</f>
        <v>-61.576999999999998</v>
      </c>
      <c r="DH270" s="938"/>
      <c r="DI270" s="938"/>
      <c r="DJ270" s="938"/>
      <c r="DK270" s="938"/>
      <c r="DL270" s="1196">
        <f>DL271-DL269-DL268</f>
        <v>-24.446999999999996</v>
      </c>
      <c r="DM270" s="938">
        <f>DM271-DM269-DM268</f>
        <v>-2.2080000000000002</v>
      </c>
      <c r="DN270" s="938">
        <f>DN271-DN269-DN268</f>
        <v>-6.2510000000000039</v>
      </c>
      <c r="DO270" s="938">
        <f>DO271-DO269-DO268</f>
        <v>-19.667999999999999</v>
      </c>
      <c r="DP270" s="938"/>
      <c r="DQ270" s="1196">
        <f>DQ271-DQ269-DQ268</f>
        <v>-34.995000000000005</v>
      </c>
      <c r="DR270" s="938">
        <f>DR271-DR269-DR268</f>
        <v>-6.6019999999999994</v>
      </c>
      <c r="DS270" s="938">
        <f>DS271-DS269-DS268</f>
        <v>-3.9549999999999992</v>
      </c>
      <c r="DT270" s="938">
        <v>-1.7709999999999999</v>
      </c>
      <c r="DU270" s="938">
        <f>+DV270-SUM(DR270:DT270)</f>
        <v>-7.1559999999999988</v>
      </c>
      <c r="DV270" s="1196">
        <f>DV271-DV269-DV268</f>
        <v>-19.483999999999998</v>
      </c>
      <c r="DW270" s="938"/>
      <c r="DX270" s="938"/>
      <c r="DY270" s="938"/>
      <c r="DZ270" s="938"/>
      <c r="EA270" s="1196">
        <f>EA271-EA269-EA268</f>
        <v>-17.823000000000008</v>
      </c>
      <c r="EB270" s="938"/>
      <c r="EC270" s="938"/>
      <c r="ED270" s="1500"/>
      <c r="EE270" s="1500"/>
      <c r="EF270" s="1501">
        <v>0</v>
      </c>
      <c r="EG270" s="1500"/>
      <c r="EH270" s="1500"/>
      <c r="EI270" s="1500"/>
      <c r="EJ270" s="1500"/>
      <c r="EK270" s="1501">
        <v>0</v>
      </c>
      <c r="EL270" s="1500"/>
      <c r="EM270" s="1500"/>
      <c r="EN270" s="1500"/>
      <c r="EO270" s="1500"/>
      <c r="EP270" s="1501">
        <v>0</v>
      </c>
      <c r="EQ270" s="1500"/>
      <c r="ER270" s="1500"/>
      <c r="ES270" s="1500"/>
      <c r="ET270" s="1500"/>
      <c r="EU270" s="1501">
        <v>0</v>
      </c>
      <c r="EV270" s="1500"/>
      <c r="EW270" s="1500"/>
      <c r="EX270" s="1500"/>
      <c r="EY270" s="1500"/>
      <c r="EZ270" s="1501">
        <v>0</v>
      </c>
      <c r="FA270" s="1500"/>
      <c r="FB270" s="1500"/>
      <c r="FC270" s="1500"/>
      <c r="FD270" s="1500"/>
      <c r="FE270" s="1501">
        <v>0</v>
      </c>
      <c r="FF270" s="938"/>
      <c r="FG270" s="690"/>
      <c r="FH270" s="754"/>
      <c r="FI270" s="754"/>
      <c r="FJ270" s="754"/>
      <c r="FK270" s="754"/>
      <c r="FL270" s="690"/>
      <c r="FM270" s="940"/>
      <c r="FN270" s="940"/>
      <c r="FO270" s="941"/>
      <c r="FP270" s="941"/>
      <c r="FQ270" s="941"/>
      <c r="FR270" s="941"/>
      <c r="FS270" s="941"/>
      <c r="FT270" s="941"/>
      <c r="FU270" s="690"/>
      <c r="FV270"/>
      <c r="FW270"/>
      <c r="FX270"/>
      <c r="FY270"/>
      <c r="FZ270"/>
      <c r="GA270"/>
      <c r="GB270" s="1612"/>
      <c r="GC270" s="1426"/>
      <c r="GD270" s="1426"/>
      <c r="GE270" s="1426"/>
      <c r="GF270" s="1426"/>
      <c r="GG270" s="1426"/>
      <c r="GH270" s="1426"/>
      <c r="GI270" s="1426"/>
      <c r="GJ270" s="1426"/>
      <c r="GK270" s="1426"/>
      <c r="GL270" s="1426"/>
      <c r="GM270" s="1426"/>
      <c r="GN270" s="1426"/>
      <c r="GO270" s="1426"/>
      <c r="GP270" s="1426"/>
      <c r="GQ270" s="1426"/>
      <c r="GR270" s="1426"/>
      <c r="GS270" s="1426"/>
      <c r="GT270" s="1426"/>
      <c r="GU270" s="1426"/>
      <c r="GV270" s="1426"/>
      <c r="GW270" s="1426"/>
      <c r="GX270" s="1426"/>
      <c r="GY270" s="1426"/>
      <c r="GZ270" s="1426"/>
      <c r="HA270" s="1426"/>
      <c r="HB270" s="1426"/>
      <c r="HC270" s="1426"/>
      <c r="HD270" s="1426"/>
      <c r="HE270" s="1426"/>
      <c r="HF270" s="1426"/>
      <c r="HG270" s="1426"/>
      <c r="HH270" s="1426"/>
      <c r="HI270" s="1426"/>
      <c r="HJ270" s="1426"/>
      <c r="HK270" s="1426"/>
      <c r="HL270" s="1426"/>
      <c r="HM270" s="1426"/>
      <c r="HN270" s="1426"/>
      <c r="HO270" s="1426"/>
      <c r="HP270" s="1426"/>
      <c r="HQ270" s="1426"/>
      <c r="HR270" s="1426"/>
      <c r="HS270" s="1426"/>
      <c r="HT270" s="1426"/>
      <c r="HU270" s="1426"/>
      <c r="HV270" s="1426"/>
      <c r="HW270" s="1426"/>
      <c r="HX270" s="1426"/>
      <c r="HY270" s="1426"/>
      <c r="HZ270" s="1426"/>
      <c r="IA270" s="1426"/>
      <c r="IB270" s="1426"/>
      <c r="IC270" s="1426"/>
      <c r="ID270" s="1426"/>
      <c r="IE270" s="1426"/>
      <c r="IF270" s="1426"/>
      <c r="IG270" s="1426"/>
      <c r="IH270" s="1426"/>
      <c r="II270" s="1426"/>
      <c r="IJ270" s="1426"/>
      <c r="IK270" s="1426"/>
      <c r="IL270" s="1426"/>
      <c r="IM270" s="1426"/>
      <c r="IN270" s="1426"/>
      <c r="IO270" s="1426"/>
      <c r="IP270" s="1426"/>
      <c r="IQ270" s="1426"/>
      <c r="IR270" s="1426"/>
      <c r="IS270" s="1426"/>
      <c r="IT270" s="1426"/>
      <c r="IU270" s="1426"/>
      <c r="IV270" s="1426"/>
      <c r="IW270" s="1426"/>
      <c r="IX270" s="1426"/>
      <c r="IY270" s="1426"/>
      <c r="IZ270" s="1426"/>
      <c r="JA270" s="1426"/>
      <c r="JB270" s="1426"/>
      <c r="JC270" s="1426"/>
      <c r="JD270" s="1426"/>
      <c r="JE270" s="1426"/>
      <c r="JF270" s="1426"/>
      <c r="JG270" s="1426"/>
      <c r="JH270" s="1426"/>
      <c r="JI270" s="1426"/>
      <c r="JJ270" s="1426"/>
      <c r="JK270" s="1426"/>
      <c r="JL270" s="1426"/>
    </row>
    <row r="271" spans="1:272" s="1398" customFormat="1" ht="12.75" hidden="1" customHeight="1" outlineLevel="1">
      <c r="A271" s="1620" t="s">
        <v>439</v>
      </c>
      <c r="B271" s="1621"/>
      <c r="C271" s="1621"/>
      <c r="D271" s="1621"/>
      <c r="E271" s="1621"/>
      <c r="F271" s="1622"/>
      <c r="G271" s="1621"/>
      <c r="H271" s="1621"/>
      <c r="I271" s="1621"/>
      <c r="J271" s="1621"/>
      <c r="K271" s="1622"/>
      <c r="L271" s="1621"/>
      <c r="M271" s="1621"/>
      <c r="N271" s="1621"/>
      <c r="O271" s="1621"/>
      <c r="P271" s="1622"/>
      <c r="Q271" s="1621"/>
      <c r="R271" s="1621"/>
      <c r="S271" s="1621"/>
      <c r="T271" s="1621"/>
      <c r="U271" s="1622"/>
      <c r="V271" s="1621"/>
      <c r="W271" s="1621"/>
      <c r="X271" s="1621"/>
      <c r="Y271" s="1621"/>
      <c r="Z271" s="1622"/>
      <c r="AA271" s="1621"/>
      <c r="AB271" s="1621"/>
      <c r="AC271" s="1621"/>
      <c r="AD271" s="1621"/>
      <c r="AE271" s="1622"/>
      <c r="AF271" s="1621"/>
      <c r="AG271" s="1621"/>
      <c r="AH271" s="1621"/>
      <c r="AI271" s="1621"/>
      <c r="AJ271" s="1622"/>
      <c r="AK271" s="1621"/>
      <c r="AL271" s="1621"/>
      <c r="AM271" s="1621"/>
      <c r="AN271" s="1621"/>
      <c r="AO271" s="1622"/>
      <c r="AP271" s="1621"/>
      <c r="AQ271" s="1621"/>
      <c r="AR271" s="1621"/>
      <c r="AS271" s="1621"/>
      <c r="AT271" s="1622"/>
      <c r="AU271" s="1621"/>
      <c r="AV271" s="1621"/>
      <c r="AW271" s="1621"/>
      <c r="AX271" s="1621"/>
      <c r="AY271" s="1622"/>
      <c r="AZ271" s="1621"/>
      <c r="BA271" s="1621"/>
      <c r="BB271" s="1621"/>
      <c r="BC271" s="1621"/>
      <c r="BD271" s="1622"/>
      <c r="BE271" s="1621"/>
      <c r="BF271" s="1621"/>
      <c r="BG271" s="1621"/>
      <c r="BH271" s="1621"/>
      <c r="BI271" s="1622"/>
      <c r="BJ271" s="1621"/>
      <c r="BK271" s="1621"/>
      <c r="BL271" s="1621"/>
      <c r="BM271" s="1621"/>
      <c r="BN271" s="1622"/>
      <c r="BO271" s="1621"/>
      <c r="BP271" s="1621"/>
      <c r="BQ271" s="1621"/>
      <c r="BR271" s="1621"/>
      <c r="BS271" s="1622">
        <v>-54.192999999999998</v>
      </c>
      <c r="BT271" s="1623"/>
      <c r="BU271" s="1623"/>
      <c r="BV271" s="1623"/>
      <c r="BW271" s="1623"/>
      <c r="BX271" s="1622">
        <v>-33.639000000000003</v>
      </c>
      <c r="BY271" s="1623"/>
      <c r="BZ271" s="1623"/>
      <c r="CA271" s="1623"/>
      <c r="CB271" s="1623"/>
      <c r="CC271" s="1622">
        <v>175.47900000000001</v>
      </c>
      <c r="CD271" s="1623"/>
      <c r="CE271" s="1623"/>
      <c r="CF271" s="1623"/>
      <c r="CG271" s="1623"/>
      <c r="CH271" s="1622">
        <v>-216.429</v>
      </c>
      <c r="CI271" s="1623"/>
      <c r="CJ271" s="1623"/>
      <c r="CK271" s="1623"/>
      <c r="CL271" s="1623"/>
      <c r="CM271" s="1622">
        <v>-378.48899999999998</v>
      </c>
      <c r="CN271" s="1623"/>
      <c r="CO271" s="1623"/>
      <c r="CP271" s="1623"/>
      <c r="CQ271" s="1623"/>
      <c r="CR271" s="1622">
        <v>295.23899999999998</v>
      </c>
      <c r="CS271" s="1623"/>
      <c r="CT271" s="1623"/>
      <c r="CU271" s="1623"/>
      <c r="CV271" s="1623"/>
      <c r="CW271" s="1622">
        <v>-35.375999999999998</v>
      </c>
      <c r="CX271" s="1623"/>
      <c r="CY271" s="1623"/>
      <c r="CZ271" s="1623"/>
      <c r="DA271" s="1623"/>
      <c r="DB271" s="1622">
        <v>-37.817999999999998</v>
      </c>
      <c r="DC271" s="1623"/>
      <c r="DD271" s="1623"/>
      <c r="DE271" s="1623"/>
      <c r="DF271" s="1623"/>
      <c r="DG271" s="1622">
        <v>-78.962999999999994</v>
      </c>
      <c r="DH271" s="1623"/>
      <c r="DI271" s="1623"/>
      <c r="DJ271" s="1623"/>
      <c r="DK271" s="1623"/>
      <c r="DL271" s="1622">
        <v>-41.091999999999999</v>
      </c>
      <c r="DM271" s="1623">
        <v>-7.508</v>
      </c>
      <c r="DN271" s="1623">
        <f>-17.228-DM271</f>
        <v>-9.7200000000000024</v>
      </c>
      <c r="DO271" s="1623">
        <v>-24.302</v>
      </c>
      <c r="DP271" s="1623"/>
      <c r="DQ271" s="1622">
        <v>-53.792000000000002</v>
      </c>
      <c r="DR271" s="1623">
        <v>-6.55</v>
      </c>
      <c r="DS271" s="1623">
        <f>+-12.825-DR271</f>
        <v>-6.2749999999999995</v>
      </c>
      <c r="DT271" s="1623">
        <v>3.3239999999999998</v>
      </c>
      <c r="DU271" s="1623">
        <f>+DV271-SUM(DR271:DT271)</f>
        <v>-11.826000000000002</v>
      </c>
      <c r="DV271" s="1622">
        <v>-21.327000000000002</v>
      </c>
      <c r="DW271" s="1623">
        <v>-6.9539999999999997</v>
      </c>
      <c r="DX271" s="1623">
        <f>0.767-DW271</f>
        <v>7.7210000000000001</v>
      </c>
      <c r="DY271" s="1623">
        <f>2.685-DX271-DW271</f>
        <v>1.9180000000000001</v>
      </c>
      <c r="DZ271" s="1623">
        <f>+EA271-SUM(DW271:DY271)</f>
        <v>-31.125</v>
      </c>
      <c r="EA271" s="1622">
        <v>-28.44</v>
      </c>
      <c r="EB271" s="1623">
        <v>-23.332000000000001</v>
      </c>
      <c r="EC271" s="1623"/>
      <c r="ED271" s="1623"/>
      <c r="EE271" s="1623"/>
      <c r="EF271" s="1622">
        <f>SUM(EF268:EF270)</f>
        <v>-57.398189641397785</v>
      </c>
      <c r="EG271" s="1623"/>
      <c r="EH271" s="1623"/>
      <c r="EI271" s="1623"/>
      <c r="EJ271" s="1623"/>
      <c r="EK271" s="1622">
        <f>SUM(EK268:EK270)</f>
        <v>-87.639823474341966</v>
      </c>
      <c r="EL271" s="1623"/>
      <c r="EM271" s="1623"/>
      <c r="EN271" s="1623"/>
      <c r="EO271" s="1623"/>
      <c r="EP271" s="1622">
        <f>SUM(EP268:EP270)</f>
        <v>-102.62888157910787</v>
      </c>
      <c r="EQ271" s="1623"/>
      <c r="ER271" s="1623"/>
      <c r="ES271" s="1623"/>
      <c r="ET271" s="1623"/>
      <c r="EU271" s="1622">
        <f>SUM(EU268:EU270)</f>
        <v>-119.13265143571923</v>
      </c>
      <c r="EV271" s="1623"/>
      <c r="EW271" s="1623"/>
      <c r="EX271" s="1623"/>
      <c r="EY271" s="1623"/>
      <c r="EZ271" s="1622">
        <f>SUM(EZ268:EZ270)</f>
        <v>-128.89401373184387</v>
      </c>
      <c r="FA271" s="1623"/>
      <c r="FB271" s="1623"/>
      <c r="FC271" s="1623"/>
      <c r="FD271" s="1623"/>
      <c r="FE271" s="1622">
        <f>SUM(FE268:FE270)</f>
        <v>-138.98700826214539</v>
      </c>
      <c r="FF271" s="994"/>
      <c r="FG271" s="690"/>
      <c r="FH271" s="754"/>
      <c r="FI271" s="754"/>
      <c r="FJ271" s="754"/>
      <c r="FK271" s="754"/>
      <c r="FL271" s="690"/>
      <c r="FM271" s="1230"/>
      <c r="FN271" s="1230"/>
      <c r="FO271" s="1244"/>
      <c r="FP271" s="1244"/>
      <c r="FQ271" s="1244"/>
      <c r="FR271" s="1244"/>
      <c r="FS271" s="1244"/>
      <c r="FT271" s="1244"/>
      <c r="FU271" s="690"/>
      <c r="FV271"/>
      <c r="FW271"/>
      <c r="FX271"/>
      <c r="FY271"/>
      <c r="FZ271"/>
      <c r="GA271"/>
      <c r="GB271" s="1644"/>
      <c r="GC271" s="1467"/>
      <c r="GD271" s="1467"/>
      <c r="GE271" s="1467"/>
      <c r="GF271" s="1467"/>
      <c r="GG271" s="1467"/>
      <c r="GH271" s="1467"/>
      <c r="GI271" s="1467"/>
      <c r="GJ271" s="1467"/>
      <c r="GK271" s="1467"/>
      <c r="GL271" s="1467"/>
      <c r="GM271" s="1467"/>
      <c r="GN271" s="1467"/>
      <c r="GO271" s="1467"/>
      <c r="GP271" s="1467"/>
      <c r="GQ271" s="1467"/>
      <c r="GR271" s="1467"/>
      <c r="GS271" s="1467"/>
      <c r="GT271" s="1467"/>
      <c r="GU271" s="1467"/>
      <c r="GV271" s="1467"/>
      <c r="GW271" s="1467"/>
      <c r="GX271" s="1467"/>
      <c r="GY271" s="1467"/>
      <c r="GZ271" s="1467"/>
      <c r="HA271" s="1467"/>
      <c r="HB271" s="1467"/>
      <c r="HC271" s="1467"/>
      <c r="HD271" s="1467"/>
      <c r="HE271" s="1467"/>
      <c r="HF271" s="1467"/>
      <c r="HG271" s="1467"/>
      <c r="HH271" s="1467"/>
      <c r="HI271" s="1467"/>
      <c r="HJ271" s="1467"/>
      <c r="HK271" s="1467"/>
      <c r="HL271" s="1467"/>
      <c r="HM271" s="1467"/>
      <c r="HN271" s="1467"/>
      <c r="HO271" s="1467"/>
      <c r="HP271" s="1467"/>
      <c r="HQ271" s="1467"/>
      <c r="HR271" s="1467"/>
      <c r="HS271" s="1467"/>
      <c r="HT271" s="1467"/>
      <c r="HU271" s="1467"/>
      <c r="HV271" s="1467"/>
      <c r="HW271" s="1467"/>
      <c r="HX271" s="1467"/>
      <c r="HY271" s="1467"/>
      <c r="HZ271" s="1467"/>
      <c r="IA271" s="1467"/>
      <c r="IB271" s="1467"/>
      <c r="IC271" s="1467"/>
      <c r="ID271" s="1467"/>
      <c r="IE271" s="1467"/>
      <c r="IF271" s="1467"/>
      <c r="IG271" s="1467"/>
      <c r="IH271" s="1467"/>
      <c r="II271" s="1467"/>
      <c r="IJ271" s="1467"/>
      <c r="IK271" s="1467"/>
      <c r="IL271" s="1467"/>
      <c r="IM271" s="1467"/>
      <c r="IN271" s="1467"/>
      <c r="IO271" s="1467"/>
      <c r="IP271" s="1467"/>
      <c r="IQ271" s="1467"/>
      <c r="IR271" s="1467"/>
      <c r="IS271" s="1467"/>
      <c r="IT271" s="1467"/>
      <c r="IU271" s="1467"/>
      <c r="IV271" s="1467"/>
      <c r="IW271" s="1467"/>
      <c r="IX271" s="1467"/>
      <c r="IY271" s="1467"/>
      <c r="IZ271" s="1467"/>
      <c r="JA271" s="1467"/>
      <c r="JB271" s="1467"/>
      <c r="JC271" s="1467"/>
      <c r="JD271" s="1467"/>
      <c r="JE271" s="1467"/>
      <c r="JF271" s="1467"/>
      <c r="JG271" s="1467"/>
      <c r="JH271" s="1467"/>
      <c r="JI271" s="1467"/>
      <c r="JJ271" s="1467"/>
      <c r="JK271" s="1467"/>
      <c r="JL271" s="1467"/>
    </row>
    <row r="272" spans="1:272" s="811" customFormat="1" ht="12.75" hidden="1" customHeight="1" outlineLevel="1">
      <c r="A272" s="1645" t="s">
        <v>440</v>
      </c>
      <c r="B272" s="1646"/>
      <c r="C272" s="1646"/>
      <c r="D272" s="1646"/>
      <c r="E272" s="1646"/>
      <c r="F272" s="1647"/>
      <c r="G272" s="1646"/>
      <c r="H272" s="1646"/>
      <c r="I272" s="1646"/>
      <c r="J272" s="1646"/>
      <c r="K272" s="1647"/>
      <c r="L272" s="1646"/>
      <c r="M272" s="1646"/>
      <c r="N272" s="1646"/>
      <c r="O272" s="1646"/>
      <c r="P272" s="1647"/>
      <c r="Q272" s="1646"/>
      <c r="R272" s="1646"/>
      <c r="S272" s="1646"/>
      <c r="T272" s="1646"/>
      <c r="U272" s="1647"/>
      <c r="V272" s="1646"/>
      <c r="W272" s="1646"/>
      <c r="X272" s="1646"/>
      <c r="Y272" s="1646"/>
      <c r="Z272" s="1647"/>
      <c r="AA272" s="1646"/>
      <c r="AB272" s="1646"/>
      <c r="AC272" s="1646"/>
      <c r="AD272" s="1646"/>
      <c r="AE272" s="1647"/>
      <c r="AF272" s="1646"/>
      <c r="AG272" s="1646"/>
      <c r="AH272" s="1646"/>
      <c r="AI272" s="1646"/>
      <c r="AJ272" s="1647"/>
      <c r="AK272" s="1646"/>
      <c r="AL272" s="1646"/>
      <c r="AM272" s="1646"/>
      <c r="AN272" s="1646"/>
      <c r="AO272" s="1647"/>
      <c r="AP272" s="1646"/>
      <c r="AQ272" s="1646"/>
      <c r="AR272" s="1646"/>
      <c r="AS272" s="1646"/>
      <c r="AT272" s="1647"/>
      <c r="AU272" s="1646"/>
      <c r="AV272" s="1646"/>
      <c r="AW272" s="1646"/>
      <c r="AX272" s="1646"/>
      <c r="AY272" s="1647"/>
      <c r="AZ272" s="1646"/>
      <c r="BA272" s="1646"/>
      <c r="BB272" s="1646"/>
      <c r="BC272" s="1646"/>
      <c r="BD272" s="1647"/>
      <c r="BE272" s="1646"/>
      <c r="BF272" s="1646"/>
      <c r="BG272" s="1646"/>
      <c r="BH272" s="1646"/>
      <c r="BI272" s="1647"/>
      <c r="BJ272" s="1646"/>
      <c r="BK272" s="1646"/>
      <c r="BL272" s="1646"/>
      <c r="BM272" s="1646"/>
      <c r="BN272" s="1647">
        <f>+BN259+BN267+BN271</f>
        <v>113.40299999999999</v>
      </c>
      <c r="BO272" s="1646"/>
      <c r="BP272" s="1646"/>
      <c r="BQ272" s="1646"/>
      <c r="BR272" s="1646"/>
      <c r="BS272" s="1647">
        <f>+BS259+BS267+BS271</f>
        <v>-133.91199999999998</v>
      </c>
      <c r="BT272" s="1646"/>
      <c r="BU272" s="1648"/>
      <c r="BV272" s="1646"/>
      <c r="BW272" s="1646"/>
      <c r="BX272" s="1647">
        <f>+BX259+BX267+BX271</f>
        <v>-110.898</v>
      </c>
      <c r="BY272" s="1646"/>
      <c r="BZ272" s="1648"/>
      <c r="CA272" s="1646"/>
      <c r="CB272" s="1646"/>
      <c r="CC272" s="1647">
        <f>+CC259+CC267+CC271</f>
        <v>330.83100000000002</v>
      </c>
      <c r="CD272" s="1646"/>
      <c r="CE272" s="1646"/>
      <c r="CF272" s="1646"/>
      <c r="CG272" s="1646"/>
      <c r="CH272" s="1647">
        <f>+CH259+CH267+CH271</f>
        <v>182.88899999999998</v>
      </c>
      <c r="CI272" s="1646"/>
      <c r="CJ272" s="1646"/>
      <c r="CK272" s="1646"/>
      <c r="CL272" s="1646"/>
      <c r="CM272" s="1647">
        <f>+CM259+CM267+CM271</f>
        <v>-218.94900000000001</v>
      </c>
      <c r="CN272" s="1646"/>
      <c r="CO272" s="1646"/>
      <c r="CP272" s="1646"/>
      <c r="CQ272" s="1646"/>
      <c r="CR272" s="1647">
        <f>+CR259+CR267+CR271</f>
        <v>-88.054000000000087</v>
      </c>
      <c r="CS272" s="1646"/>
      <c r="CT272" s="1646"/>
      <c r="CU272" s="1646"/>
      <c r="CV272" s="1646"/>
      <c r="CW272" s="1647">
        <f>+CW259+CW267+CW271</f>
        <v>92.847999999999985</v>
      </c>
      <c r="CX272" s="778"/>
      <c r="CY272" s="778"/>
      <c r="CZ272" s="778"/>
      <c r="DA272" s="778"/>
      <c r="DB272" s="1647">
        <f>+DB259+DB267+DB271</f>
        <v>198.15600000000001</v>
      </c>
      <c r="DC272" s="778"/>
      <c r="DD272" s="778"/>
      <c r="DE272" s="778"/>
      <c r="DF272" s="778"/>
      <c r="DG272" s="1647">
        <f>+DG259+DG267+DG271</f>
        <v>-55.154999999999973</v>
      </c>
      <c r="DH272" s="778"/>
      <c r="DI272" s="778"/>
      <c r="DJ272" s="778"/>
      <c r="DK272" s="778"/>
      <c r="DL272" s="1647">
        <f>+DL259+DL267+DL271</f>
        <v>16.589999999999961</v>
      </c>
      <c r="DM272" s="778"/>
      <c r="DN272" s="778"/>
      <c r="DO272" s="778"/>
      <c r="DP272" s="778"/>
      <c r="DQ272" s="1647">
        <f>+DQ259+DQ267+DQ271</f>
        <v>-8.2260000000000275</v>
      </c>
      <c r="DR272" s="778"/>
      <c r="DS272" s="778"/>
      <c r="DT272" s="778"/>
      <c r="DU272" s="778"/>
      <c r="DV272" s="1647">
        <f>+DV259+DV267+DV271</f>
        <v>54.717999999999961</v>
      </c>
      <c r="DW272" s="778"/>
      <c r="DX272" s="778"/>
      <c r="DY272" s="778"/>
      <c r="DZ272" s="778"/>
      <c r="EA272" s="1647">
        <f>+EA259+EA267+EA271</f>
        <v>-51.743000000000023</v>
      </c>
      <c r="EB272" s="778"/>
      <c r="EC272" s="778"/>
      <c r="ED272" s="778"/>
      <c r="EE272" s="778"/>
      <c r="EF272" s="1647">
        <f>+EF259+EF267+EF271</f>
        <v>-10.347915959728716</v>
      </c>
      <c r="EG272" s="778"/>
      <c r="EH272" s="778"/>
      <c r="EI272" s="778"/>
      <c r="EJ272" s="778"/>
      <c r="EK272" s="1647">
        <f>+EK259+EK267+EK271</f>
        <v>-59.550123724436475</v>
      </c>
      <c r="EL272" s="778"/>
      <c r="EM272" s="778"/>
      <c r="EN272" s="778"/>
      <c r="EO272" s="778"/>
      <c r="EP272" s="1647">
        <f>+EP259+EP267+EP271</f>
        <v>155.53957016425272</v>
      </c>
      <c r="EQ272" s="778"/>
      <c r="ER272" s="778"/>
      <c r="ES272" s="778"/>
      <c r="ET272" s="778"/>
      <c r="EU272" s="1647">
        <f>+EU259+EU267+EU271</f>
        <v>196.50595893854532</v>
      </c>
      <c r="EV272" s="778"/>
      <c r="EW272" s="778"/>
      <c r="EX272" s="778"/>
      <c r="EY272" s="778"/>
      <c r="EZ272" s="1647">
        <f>+EZ259+EZ267+EZ271</f>
        <v>232.00716944920543</v>
      </c>
      <c r="FA272" s="778"/>
      <c r="FB272" s="778"/>
      <c r="FC272" s="778"/>
      <c r="FD272" s="778"/>
      <c r="FE272" s="1647">
        <f>+FE259+FE267+FE271</f>
        <v>264.84136816427667</v>
      </c>
      <c r="FF272" s="778"/>
      <c r="FG272" s="690"/>
      <c r="FH272" s="754"/>
      <c r="FI272" s="754"/>
      <c r="FJ272" s="754"/>
      <c r="FK272" s="754"/>
      <c r="FL272" s="690"/>
      <c r="FM272" s="940"/>
      <c r="FN272" s="940"/>
      <c r="FO272" s="719"/>
      <c r="FP272" s="719"/>
      <c r="FQ272" s="719"/>
      <c r="FR272" s="719"/>
      <c r="FS272" s="719"/>
      <c r="FT272" s="719"/>
      <c r="FU272" s="690"/>
      <c r="FV272"/>
      <c r="FW272"/>
      <c r="FX272"/>
      <c r="FY272"/>
      <c r="FZ272"/>
      <c r="GA272"/>
      <c r="GB272" s="1612"/>
      <c r="GC272" s="965"/>
      <c r="GD272" s="965"/>
      <c r="GE272" s="965"/>
      <c r="GF272" s="965"/>
      <c r="GG272" s="965"/>
      <c r="GH272" s="965"/>
      <c r="GI272" s="965"/>
      <c r="GJ272" s="965"/>
      <c r="GK272" s="965"/>
      <c r="GL272" s="965"/>
      <c r="GM272" s="965"/>
      <c r="GN272" s="965"/>
      <c r="GO272" s="965"/>
      <c r="GP272" s="965"/>
      <c r="GQ272" s="965"/>
      <c r="GR272" s="965"/>
      <c r="GS272" s="965"/>
      <c r="GT272" s="965"/>
      <c r="GU272" s="965"/>
      <c r="GV272" s="965"/>
      <c r="GW272" s="965"/>
      <c r="GX272" s="965"/>
      <c r="GY272" s="965"/>
      <c r="GZ272" s="965"/>
      <c r="HA272" s="965"/>
      <c r="HB272" s="965"/>
      <c r="HC272" s="965"/>
      <c r="HD272" s="965"/>
      <c r="HE272" s="965"/>
      <c r="HF272" s="965"/>
      <c r="HG272" s="965"/>
      <c r="HH272" s="965"/>
      <c r="HI272" s="965"/>
      <c r="HJ272" s="965"/>
      <c r="HK272" s="965"/>
      <c r="HL272" s="965"/>
      <c r="HM272" s="965"/>
      <c r="HN272" s="965"/>
      <c r="HO272" s="965"/>
      <c r="HP272" s="965"/>
      <c r="HQ272" s="965"/>
      <c r="HR272" s="965"/>
      <c r="HS272" s="965"/>
      <c r="HT272" s="965"/>
      <c r="HU272" s="965"/>
      <c r="HV272" s="965"/>
      <c r="HW272" s="965"/>
      <c r="HX272" s="965"/>
      <c r="HY272" s="965"/>
      <c r="HZ272" s="965"/>
      <c r="IA272" s="965"/>
      <c r="IB272" s="965"/>
      <c r="IC272" s="965"/>
      <c r="ID272" s="965"/>
      <c r="IE272" s="965"/>
      <c r="IF272" s="965"/>
      <c r="IG272" s="965"/>
      <c r="IH272" s="965"/>
      <c r="II272" s="965"/>
      <c r="IJ272" s="965"/>
      <c r="IK272" s="965"/>
      <c r="IL272" s="965"/>
      <c r="IM272" s="965"/>
      <c r="IN272" s="965"/>
      <c r="IO272" s="965"/>
      <c r="IP272" s="965"/>
      <c r="IQ272" s="965"/>
      <c r="IR272" s="965"/>
      <c r="IS272" s="965"/>
      <c r="IT272" s="965"/>
      <c r="IU272" s="965"/>
      <c r="IV272" s="965"/>
      <c r="IW272" s="965"/>
      <c r="IX272" s="965"/>
      <c r="IY272" s="965"/>
      <c r="IZ272" s="965"/>
      <c r="JA272" s="965"/>
      <c r="JB272" s="965"/>
      <c r="JC272" s="965"/>
      <c r="JD272" s="965"/>
      <c r="JE272" s="965"/>
      <c r="JF272" s="965"/>
      <c r="JG272" s="965"/>
      <c r="JH272" s="965"/>
      <c r="JI272" s="965"/>
      <c r="JJ272" s="965"/>
      <c r="JK272" s="965"/>
      <c r="JL272" s="965"/>
    </row>
    <row r="273" spans="1:272" s="942" customFormat="1" ht="12.75" hidden="1" customHeight="1" outlineLevel="1">
      <c r="A273" s="1071" t="s">
        <v>441</v>
      </c>
      <c r="B273" s="938"/>
      <c r="C273" s="938"/>
      <c r="D273" s="938"/>
      <c r="E273" s="938"/>
      <c r="F273" s="1196"/>
      <c r="G273" s="938"/>
      <c r="H273" s="938"/>
      <c r="I273" s="938"/>
      <c r="J273" s="938"/>
      <c r="K273" s="1196"/>
      <c r="L273" s="938"/>
      <c r="M273" s="938"/>
      <c r="N273" s="938"/>
      <c r="O273" s="938"/>
      <c r="P273" s="1196"/>
      <c r="Q273" s="938"/>
      <c r="R273" s="938"/>
      <c r="S273" s="938"/>
      <c r="T273" s="938"/>
      <c r="U273" s="1196"/>
      <c r="V273" s="938"/>
      <c r="W273" s="938"/>
      <c r="X273" s="938"/>
      <c r="Y273" s="938"/>
      <c r="Z273" s="1196"/>
      <c r="AA273" s="938"/>
      <c r="AB273" s="938"/>
      <c r="AC273" s="938"/>
      <c r="AD273" s="938"/>
      <c r="AE273" s="1196"/>
      <c r="AF273" s="938"/>
      <c r="AG273" s="938"/>
      <c r="AH273" s="938"/>
      <c r="AI273" s="938"/>
      <c r="AJ273" s="1196"/>
      <c r="AK273" s="938"/>
      <c r="AL273" s="938"/>
      <c r="AM273" s="938"/>
      <c r="AN273" s="938"/>
      <c r="AO273" s="1196"/>
      <c r="AP273" s="938"/>
      <c r="AQ273" s="938"/>
      <c r="AR273" s="938"/>
      <c r="AS273" s="938"/>
      <c r="AT273" s="1196"/>
      <c r="AU273" s="938"/>
      <c r="AV273" s="938"/>
      <c r="AW273" s="938"/>
      <c r="AX273" s="938"/>
      <c r="AY273" s="1196"/>
      <c r="AZ273" s="938"/>
      <c r="BA273" s="938"/>
      <c r="BB273" s="938"/>
      <c r="BC273" s="938"/>
      <c r="BD273" s="1196"/>
      <c r="BE273" s="938"/>
      <c r="BF273" s="938"/>
      <c r="BG273" s="938"/>
      <c r="BH273" s="938"/>
      <c r="BI273" s="1196"/>
      <c r="BJ273" s="938"/>
      <c r="BK273" s="938"/>
      <c r="BL273" s="938"/>
      <c r="BM273" s="938"/>
      <c r="BN273" s="1196">
        <f>BN275-BN272-BN274</f>
        <v>69.869</v>
      </c>
      <c r="BO273" s="938"/>
      <c r="BP273" s="938"/>
      <c r="BQ273" s="938"/>
      <c r="BR273" s="938"/>
      <c r="BS273" s="1196">
        <f>BN275</f>
        <v>400.76299999999998</v>
      </c>
      <c r="BT273" s="938"/>
      <c r="BU273" s="938"/>
      <c r="BV273" s="938"/>
      <c r="BW273" s="938"/>
      <c r="BX273" s="1196">
        <v>141.81299999999999</v>
      </c>
      <c r="BY273" s="938"/>
      <c r="BZ273" s="938"/>
      <c r="CA273" s="938"/>
      <c r="CB273" s="938"/>
      <c r="CC273" s="1196">
        <v>38.183</v>
      </c>
      <c r="CD273" s="938"/>
      <c r="CE273" s="938"/>
      <c r="CF273" s="938"/>
      <c r="CG273" s="938"/>
      <c r="CH273" s="1196">
        <v>346.58100000000002</v>
      </c>
      <c r="CI273" s="938"/>
      <c r="CJ273" s="938"/>
      <c r="CK273" s="938"/>
      <c r="CL273" s="938"/>
      <c r="CM273" s="1196">
        <f>CH275</f>
        <v>514.27499999999998</v>
      </c>
      <c r="CN273" s="938"/>
      <c r="CO273" s="938"/>
      <c r="CP273" s="938"/>
      <c r="CQ273" s="938"/>
      <c r="CR273" s="1196">
        <f>CM275</f>
        <v>260.03899999999999</v>
      </c>
      <c r="CS273" s="938"/>
      <c r="CT273" s="938"/>
      <c r="CU273" s="938"/>
      <c r="CV273" s="938"/>
      <c r="CW273" s="1196">
        <f>CR275</f>
        <v>176.29799999999989</v>
      </c>
      <c r="CX273" s="938"/>
      <c r="CY273" s="938"/>
      <c r="CZ273" s="938"/>
      <c r="DA273" s="938"/>
      <c r="DB273" s="1196">
        <f>CW275</f>
        <v>278.25299999999982</v>
      </c>
      <c r="DC273" s="938"/>
      <c r="DD273" s="938"/>
      <c r="DE273" s="938"/>
      <c r="DF273" s="938"/>
      <c r="DG273" s="1196">
        <f>DB275</f>
        <v>476.57499999999982</v>
      </c>
      <c r="DH273" s="938"/>
      <c r="DI273" s="938"/>
      <c r="DJ273" s="938"/>
      <c r="DK273" s="938"/>
      <c r="DL273" s="1196">
        <f>DG275</f>
        <v>421.41999999999985</v>
      </c>
      <c r="DM273" s="938"/>
      <c r="DN273" s="938"/>
      <c r="DO273" s="938"/>
      <c r="DP273" s="938"/>
      <c r="DQ273" s="1196">
        <f>DL275</f>
        <v>438.00999999999982</v>
      </c>
      <c r="DR273" s="938"/>
      <c r="DS273" s="938"/>
      <c r="DT273" s="938"/>
      <c r="DU273" s="938"/>
      <c r="DV273" s="1196">
        <f>DQ275</f>
        <v>429.78399999999976</v>
      </c>
      <c r="DW273" s="1649"/>
      <c r="DX273" s="938"/>
      <c r="DY273" s="938"/>
      <c r="DZ273" s="938"/>
      <c r="EA273" s="1196">
        <f>DV275</f>
        <v>484.50199999999973</v>
      </c>
      <c r="EB273" s="938"/>
      <c r="EC273" s="938"/>
      <c r="ED273" s="938"/>
      <c r="EE273" s="938"/>
      <c r="EF273" s="1196">
        <f>EA275</f>
        <v>432.75899999999967</v>
      </c>
      <c r="EG273" s="938"/>
      <c r="EH273" s="938"/>
      <c r="EI273" s="938"/>
      <c r="EJ273" s="938"/>
      <c r="EK273" s="1196">
        <f>EF275</f>
        <v>422.41108404027096</v>
      </c>
      <c r="EL273" s="938"/>
      <c r="EM273" s="938"/>
      <c r="EN273" s="938"/>
      <c r="EO273" s="938"/>
      <c r="EP273" s="1196">
        <f>EK275</f>
        <v>362.86096031583452</v>
      </c>
      <c r="EQ273" s="938"/>
      <c r="ER273" s="938"/>
      <c r="ES273" s="938"/>
      <c r="ET273" s="938"/>
      <c r="EU273" s="1196">
        <f>EP275</f>
        <v>518.40053048008724</v>
      </c>
      <c r="EV273" s="938"/>
      <c r="EW273" s="938"/>
      <c r="EX273" s="938"/>
      <c r="EY273" s="938"/>
      <c r="EZ273" s="1196">
        <f>EU275</f>
        <v>714.90648941863253</v>
      </c>
      <c r="FA273" s="938"/>
      <c r="FB273" s="938"/>
      <c r="FC273" s="938"/>
      <c r="FD273" s="938"/>
      <c r="FE273" s="1196">
        <f>EZ275</f>
        <v>946.91365886783797</v>
      </c>
      <c r="FF273" s="778"/>
      <c r="FG273" s="690"/>
      <c r="FH273" s="754"/>
      <c r="FI273" s="754"/>
      <c r="FJ273" s="754"/>
      <c r="FK273" s="754"/>
      <c r="FL273" s="690"/>
      <c r="FM273" s="940"/>
      <c r="FN273" s="940"/>
      <c r="FO273" s="719"/>
      <c r="FP273" s="719"/>
      <c r="FQ273" s="719"/>
      <c r="FR273" s="719"/>
      <c r="FS273" s="719"/>
      <c r="FT273" s="719"/>
      <c r="FU273" s="690"/>
      <c r="FV273"/>
      <c r="FW273"/>
      <c r="FX273"/>
      <c r="FY273"/>
      <c r="FZ273"/>
      <c r="GA273"/>
      <c r="GB273" s="1650"/>
      <c r="GC273" s="1426"/>
      <c r="GD273" s="1426"/>
      <c r="GE273" s="1426"/>
      <c r="GF273" s="1426"/>
      <c r="GG273" s="1426"/>
      <c r="GH273" s="1426"/>
      <c r="GI273" s="1426"/>
      <c r="GJ273" s="1426"/>
      <c r="GK273" s="1426"/>
      <c r="GL273" s="1426"/>
      <c r="GM273" s="1426"/>
      <c r="GN273" s="1426"/>
      <c r="GO273" s="1426"/>
      <c r="GP273" s="1426"/>
      <c r="GQ273" s="1426"/>
      <c r="GR273" s="1426"/>
      <c r="GS273" s="1426"/>
      <c r="GT273" s="1426"/>
      <c r="GU273" s="1426"/>
      <c r="GV273" s="1426"/>
      <c r="GW273" s="1426"/>
      <c r="GX273" s="1426"/>
      <c r="GY273" s="1426"/>
      <c r="GZ273" s="1426"/>
      <c r="HA273" s="1426"/>
      <c r="HB273" s="1426"/>
      <c r="HC273" s="1426"/>
      <c r="HD273" s="1426"/>
      <c r="HE273" s="1426"/>
      <c r="HF273" s="1426"/>
      <c r="HG273" s="1426"/>
      <c r="HH273" s="1426"/>
      <c r="HI273" s="1426"/>
      <c r="HJ273" s="1426"/>
      <c r="HK273" s="1426"/>
      <c r="HL273" s="1426"/>
      <c r="HM273" s="1426"/>
      <c r="HN273" s="1426"/>
      <c r="HO273" s="1426"/>
      <c r="HP273" s="1426"/>
      <c r="HQ273" s="1426"/>
      <c r="HR273" s="1426"/>
      <c r="HS273" s="1426"/>
      <c r="HT273" s="1426"/>
      <c r="HU273" s="1426"/>
      <c r="HV273" s="1426"/>
      <c r="HW273" s="1426"/>
      <c r="HX273" s="1426"/>
      <c r="HY273" s="1426"/>
      <c r="HZ273" s="1426"/>
      <c r="IA273" s="1426"/>
      <c r="IB273" s="1426"/>
      <c r="IC273" s="1426"/>
      <c r="ID273" s="1426"/>
      <c r="IE273" s="1426"/>
      <c r="IF273" s="1426"/>
      <c r="IG273" s="1426"/>
      <c r="IH273" s="1426"/>
      <c r="II273" s="1426"/>
      <c r="IJ273" s="1426"/>
      <c r="IK273" s="1426"/>
      <c r="IL273" s="1426"/>
      <c r="IM273" s="1426"/>
      <c r="IN273" s="1426"/>
      <c r="IO273" s="1426"/>
      <c r="IP273" s="1426"/>
      <c r="IQ273" s="1426"/>
      <c r="IR273" s="1426"/>
      <c r="IS273" s="1426"/>
      <c r="IT273" s="1426"/>
      <c r="IU273" s="1426"/>
      <c r="IV273" s="1426"/>
      <c r="IW273" s="1426"/>
      <c r="IX273" s="1426"/>
      <c r="IY273" s="1426"/>
      <c r="IZ273" s="1426"/>
      <c r="JA273" s="1426"/>
      <c r="JB273" s="1426"/>
      <c r="JC273" s="1426"/>
      <c r="JD273" s="1426"/>
      <c r="JE273" s="1426"/>
      <c r="JF273" s="1426"/>
      <c r="JG273" s="1426"/>
      <c r="JH273" s="1426"/>
      <c r="JI273" s="1426"/>
      <c r="JJ273" s="1426"/>
      <c r="JK273" s="1426"/>
      <c r="JL273" s="1426"/>
    </row>
    <row r="274" spans="1:272" s="942" customFormat="1" ht="12.75" hidden="1" customHeight="1" outlineLevel="1">
      <c r="A274" s="1071" t="s">
        <v>442</v>
      </c>
      <c r="B274" s="938"/>
      <c r="C274" s="938"/>
      <c r="D274" s="938"/>
      <c r="E274" s="938"/>
      <c r="F274" s="1196"/>
      <c r="G274" s="938"/>
      <c r="H274" s="938"/>
      <c r="I274" s="938"/>
      <c r="J274" s="938"/>
      <c r="K274" s="1196"/>
      <c r="L274" s="938"/>
      <c r="M274" s="938"/>
      <c r="N274" s="938"/>
      <c r="O274" s="938"/>
      <c r="P274" s="1196"/>
      <c r="Q274" s="938"/>
      <c r="R274" s="938"/>
      <c r="S274" s="938"/>
      <c r="T274" s="938"/>
      <c r="U274" s="1196"/>
      <c r="V274" s="938"/>
      <c r="W274" s="938"/>
      <c r="X274" s="938"/>
      <c r="Y274" s="938"/>
      <c r="Z274" s="1196"/>
      <c r="AA274" s="938"/>
      <c r="AB274" s="938"/>
      <c r="AC274" s="938"/>
      <c r="AD274" s="938"/>
      <c r="AE274" s="1196"/>
      <c r="AF274" s="938"/>
      <c r="AG274" s="938"/>
      <c r="AH274" s="938"/>
      <c r="AI274" s="938"/>
      <c r="AJ274" s="1196"/>
      <c r="AK274" s="938"/>
      <c r="AL274" s="938"/>
      <c r="AM274" s="938"/>
      <c r="AN274" s="938"/>
      <c r="AO274" s="1196"/>
      <c r="AP274" s="938"/>
      <c r="AQ274" s="938"/>
      <c r="AR274" s="938"/>
      <c r="AS274" s="938"/>
      <c r="AT274" s="1196"/>
      <c r="AU274" s="938"/>
      <c r="AV274" s="938"/>
      <c r="AW274" s="938"/>
      <c r="AX274" s="938"/>
      <c r="AY274" s="1196"/>
      <c r="AZ274" s="938"/>
      <c r="BA274" s="938"/>
      <c r="BB274" s="938"/>
      <c r="BC274" s="938"/>
      <c r="BD274" s="1196"/>
      <c r="BE274" s="938"/>
      <c r="BF274" s="938"/>
      <c r="BG274" s="938"/>
      <c r="BH274" s="938"/>
      <c r="BI274" s="1196"/>
      <c r="BJ274" s="938"/>
      <c r="BK274" s="938"/>
      <c r="BL274" s="938"/>
      <c r="BM274" s="938"/>
      <c r="BN274" s="1196">
        <v>217.49100000000001</v>
      </c>
      <c r="BO274" s="938"/>
      <c r="BP274" s="938"/>
      <c r="BQ274" s="938"/>
      <c r="BR274" s="938"/>
      <c r="BS274" s="1196">
        <v>3.5529999999999999</v>
      </c>
      <c r="BT274" s="938"/>
      <c r="BU274" s="938"/>
      <c r="BV274" s="938"/>
      <c r="BW274" s="938"/>
      <c r="BX274" s="1196">
        <f>7.268+(BX273-BS275)</f>
        <v>-121.32300000000001</v>
      </c>
      <c r="BY274" s="938"/>
      <c r="BZ274" s="938"/>
      <c r="CA274" s="938"/>
      <c r="CB274" s="938"/>
      <c r="CC274" s="1196">
        <f>-22.117</f>
        <v>-22.117000000000001</v>
      </c>
      <c r="CD274" s="938"/>
      <c r="CE274" s="938"/>
      <c r="CF274" s="938"/>
      <c r="CG274" s="938"/>
      <c r="CH274" s="1196">
        <v>-15.195</v>
      </c>
      <c r="CI274" s="938"/>
      <c r="CJ274" s="938"/>
      <c r="CK274" s="938"/>
      <c r="CL274" s="938"/>
      <c r="CM274" s="1196">
        <v>-35.286999999999999</v>
      </c>
      <c r="CN274" s="938"/>
      <c r="CO274" s="938"/>
      <c r="CP274" s="938"/>
      <c r="CQ274" s="938"/>
      <c r="CR274" s="1196">
        <v>4.3129999999999997</v>
      </c>
      <c r="CS274" s="938"/>
      <c r="CT274" s="938"/>
      <c r="CU274" s="938"/>
      <c r="CV274" s="938"/>
      <c r="CW274" s="1196">
        <v>9.1069999999999993</v>
      </c>
      <c r="CX274" s="938"/>
      <c r="CY274" s="938"/>
      <c r="CZ274" s="938"/>
      <c r="DA274" s="938"/>
      <c r="DB274" s="1196">
        <v>0.16600000000000001</v>
      </c>
      <c r="DC274" s="938"/>
      <c r="DD274" s="938"/>
      <c r="DE274" s="938"/>
      <c r="DF274" s="938"/>
      <c r="DG274" s="1196">
        <v>0</v>
      </c>
      <c r="DH274" s="938"/>
      <c r="DI274" s="938"/>
      <c r="DJ274" s="938"/>
      <c r="DK274" s="938"/>
      <c r="DL274" s="1196">
        <v>0</v>
      </c>
      <c r="DM274" s="1500"/>
      <c r="DN274" s="1500"/>
      <c r="DO274" s="1500"/>
      <c r="DP274" s="938"/>
      <c r="DQ274" s="1196">
        <v>0</v>
      </c>
      <c r="DR274" s="1500"/>
      <c r="DS274" s="1500"/>
      <c r="DT274" s="1500"/>
      <c r="DU274" s="938"/>
      <c r="DV274" s="1196">
        <f>DQ274</f>
        <v>0</v>
      </c>
      <c r="DW274" s="1651"/>
      <c r="DX274" s="1500"/>
      <c r="DY274" s="1500"/>
      <c r="DZ274" s="938"/>
      <c r="EA274" s="1196">
        <f>DV274</f>
        <v>0</v>
      </c>
      <c r="EB274" s="1500"/>
      <c r="EC274" s="1500"/>
      <c r="ED274" s="1500"/>
      <c r="EE274" s="1500"/>
      <c r="EF274" s="1501">
        <f>EA274</f>
        <v>0</v>
      </c>
      <c r="EG274" s="1500"/>
      <c r="EH274" s="1500"/>
      <c r="EI274" s="1500"/>
      <c r="EJ274" s="1500"/>
      <c r="EK274" s="1501">
        <f>EF274</f>
        <v>0</v>
      </c>
      <c r="EL274" s="1500"/>
      <c r="EM274" s="1500"/>
      <c r="EN274" s="1500"/>
      <c r="EO274" s="1500"/>
      <c r="EP274" s="1501">
        <f>EK274</f>
        <v>0</v>
      </c>
      <c r="EQ274" s="1500"/>
      <c r="ER274" s="1500"/>
      <c r="ES274" s="1500"/>
      <c r="ET274" s="1500"/>
      <c r="EU274" s="1501">
        <f>EP274</f>
        <v>0</v>
      </c>
      <c r="EV274" s="1500"/>
      <c r="EW274" s="1500"/>
      <c r="EX274" s="1500"/>
      <c r="EY274" s="1500"/>
      <c r="EZ274" s="1501">
        <f>EU274</f>
        <v>0</v>
      </c>
      <c r="FA274" s="1500"/>
      <c r="FB274" s="1500"/>
      <c r="FC274" s="1500"/>
      <c r="FD274" s="1500"/>
      <c r="FE274" s="1501">
        <f>EZ274</f>
        <v>0</v>
      </c>
      <c r="FF274" s="778"/>
      <c r="FG274" s="690"/>
      <c r="FH274" s="754"/>
      <c r="FI274" s="754"/>
      <c r="FJ274" s="754"/>
      <c r="FK274" s="754"/>
      <c r="FL274" s="690"/>
      <c r="FM274" s="940"/>
      <c r="FN274" s="940"/>
      <c r="FO274" s="719"/>
      <c r="FP274" s="719"/>
      <c r="FQ274" s="719"/>
      <c r="FR274" s="719"/>
      <c r="FS274" s="719"/>
      <c r="FT274" s="719"/>
      <c r="FU274" s="690"/>
      <c r="FV274"/>
      <c r="FW274"/>
      <c r="FX274"/>
      <c r="FY274"/>
      <c r="FZ274"/>
      <c r="GA274"/>
      <c r="GB274" s="1650"/>
      <c r="GC274" s="1426"/>
      <c r="GD274" s="1426"/>
      <c r="GE274" s="1426"/>
      <c r="GF274" s="1426"/>
      <c r="GG274" s="1426"/>
      <c r="GH274" s="1426"/>
      <c r="GI274" s="1426"/>
      <c r="GJ274" s="1426"/>
      <c r="GK274" s="1426"/>
      <c r="GL274" s="1426"/>
      <c r="GM274" s="1426"/>
      <c r="GN274" s="1426"/>
      <c r="GO274" s="1426"/>
      <c r="GP274" s="1426"/>
      <c r="GQ274" s="1426"/>
      <c r="GR274" s="1426"/>
      <c r="GS274" s="1426"/>
      <c r="GT274" s="1426"/>
      <c r="GU274" s="1426"/>
      <c r="GV274" s="1426"/>
      <c r="GW274" s="1426"/>
      <c r="GX274" s="1426"/>
      <c r="GY274" s="1426"/>
      <c r="GZ274" s="1426"/>
      <c r="HA274" s="1426"/>
      <c r="HB274" s="1426"/>
      <c r="HC274" s="1426"/>
      <c r="HD274" s="1426"/>
      <c r="HE274" s="1426"/>
      <c r="HF274" s="1426"/>
      <c r="HG274" s="1426"/>
      <c r="HH274" s="1426"/>
      <c r="HI274" s="1426"/>
      <c r="HJ274" s="1426"/>
      <c r="HK274" s="1426"/>
      <c r="HL274" s="1426"/>
      <c r="HM274" s="1426"/>
      <c r="HN274" s="1426"/>
      <c r="HO274" s="1426"/>
      <c r="HP274" s="1426"/>
      <c r="HQ274" s="1426"/>
      <c r="HR274" s="1426"/>
      <c r="HS274" s="1426"/>
      <c r="HT274" s="1426"/>
      <c r="HU274" s="1426"/>
      <c r="HV274" s="1426"/>
      <c r="HW274" s="1426"/>
      <c r="HX274" s="1426"/>
      <c r="HY274" s="1426"/>
      <c r="HZ274" s="1426"/>
      <c r="IA274" s="1426"/>
      <c r="IB274" s="1426"/>
      <c r="IC274" s="1426"/>
      <c r="ID274" s="1426"/>
      <c r="IE274" s="1426"/>
      <c r="IF274" s="1426"/>
      <c r="IG274" s="1426"/>
      <c r="IH274" s="1426"/>
      <c r="II274" s="1426"/>
      <c r="IJ274" s="1426"/>
      <c r="IK274" s="1426"/>
      <c r="IL274" s="1426"/>
      <c r="IM274" s="1426"/>
      <c r="IN274" s="1426"/>
      <c r="IO274" s="1426"/>
      <c r="IP274" s="1426"/>
      <c r="IQ274" s="1426"/>
      <c r="IR274" s="1426"/>
      <c r="IS274" s="1426"/>
      <c r="IT274" s="1426"/>
      <c r="IU274" s="1426"/>
      <c r="IV274" s="1426"/>
      <c r="IW274" s="1426"/>
      <c r="IX274" s="1426"/>
      <c r="IY274" s="1426"/>
      <c r="IZ274" s="1426"/>
      <c r="JA274" s="1426"/>
      <c r="JB274" s="1426"/>
      <c r="JC274" s="1426"/>
      <c r="JD274" s="1426"/>
      <c r="JE274" s="1426"/>
      <c r="JF274" s="1426"/>
      <c r="JG274" s="1426"/>
      <c r="JH274" s="1426"/>
      <c r="JI274" s="1426"/>
      <c r="JJ274" s="1426"/>
      <c r="JK274" s="1426"/>
      <c r="JL274" s="1426"/>
    </row>
    <row r="275" spans="1:272" s="1658" customFormat="1" ht="12.75" hidden="1" customHeight="1" outlineLevel="1">
      <c r="A275" s="1652" t="s">
        <v>443</v>
      </c>
      <c r="B275" s="1653"/>
      <c r="C275" s="1653"/>
      <c r="D275" s="1653"/>
      <c r="E275" s="1653"/>
      <c r="F275" s="1654"/>
      <c r="G275" s="1653"/>
      <c r="H275" s="1653"/>
      <c r="I275" s="1653"/>
      <c r="J275" s="1653"/>
      <c r="K275" s="1654"/>
      <c r="L275" s="1653"/>
      <c r="M275" s="1653"/>
      <c r="N275" s="1653"/>
      <c r="O275" s="1653"/>
      <c r="P275" s="1654"/>
      <c r="Q275" s="1653"/>
      <c r="R275" s="1653"/>
      <c r="S275" s="1653"/>
      <c r="T275" s="1653"/>
      <c r="U275" s="1654"/>
      <c r="V275" s="1653"/>
      <c r="W275" s="1653"/>
      <c r="X275" s="1653"/>
      <c r="Y275" s="1653"/>
      <c r="Z275" s="1654"/>
      <c r="AA275" s="1653"/>
      <c r="AB275" s="1653"/>
      <c r="AC275" s="1653"/>
      <c r="AD275" s="1653"/>
      <c r="AE275" s="1654"/>
      <c r="AF275" s="1653"/>
      <c r="AG275" s="1653"/>
      <c r="AH275" s="1653"/>
      <c r="AI275" s="1653"/>
      <c r="AJ275" s="1654"/>
      <c r="AK275" s="1653"/>
      <c r="AL275" s="1653"/>
      <c r="AM275" s="1653"/>
      <c r="AN275" s="1653"/>
      <c r="AO275" s="1654"/>
      <c r="AP275" s="1653"/>
      <c r="AQ275" s="1653"/>
      <c r="AR275" s="1653"/>
      <c r="AS275" s="1653"/>
      <c r="AT275" s="1654"/>
      <c r="AU275" s="1653"/>
      <c r="AV275" s="1653"/>
      <c r="AW275" s="1653"/>
      <c r="AX275" s="1653"/>
      <c r="AY275" s="1654"/>
      <c r="AZ275" s="1653"/>
      <c r="BA275" s="1653"/>
      <c r="BB275" s="1653"/>
      <c r="BC275" s="1653"/>
      <c r="BD275" s="1654"/>
      <c r="BE275" s="1653"/>
      <c r="BF275" s="1653"/>
      <c r="BG275" s="1653"/>
      <c r="BH275" s="1653"/>
      <c r="BI275" s="1654"/>
      <c r="BJ275" s="1653"/>
      <c r="BK275" s="1653"/>
      <c r="BL275" s="1653"/>
      <c r="BM275" s="1653"/>
      <c r="BN275" s="1654">
        <v>400.76299999999998</v>
      </c>
      <c r="BO275" s="1653"/>
      <c r="BP275" s="1653"/>
      <c r="BQ275" s="1653"/>
      <c r="BR275" s="1653"/>
      <c r="BS275" s="1654">
        <f>BS272+BS273+BS274</f>
        <v>270.404</v>
      </c>
      <c r="BT275" s="1653"/>
      <c r="BU275" s="1655"/>
      <c r="BV275" s="1653"/>
      <c r="BW275" s="1653"/>
      <c r="BX275" s="1654">
        <v>38.182999999999993</v>
      </c>
      <c r="BY275" s="1653"/>
      <c r="BZ275" s="1655"/>
      <c r="CA275" s="1653"/>
      <c r="CB275" s="1653"/>
      <c r="CC275" s="1654">
        <f>CC272+CC273+CC274</f>
        <v>346.89699999999999</v>
      </c>
      <c r="CD275" s="1653"/>
      <c r="CE275" s="1653"/>
      <c r="CF275" s="1653"/>
      <c r="CG275" s="1653"/>
      <c r="CH275" s="1654">
        <f>SUM(CH272:CH274)</f>
        <v>514.27499999999998</v>
      </c>
      <c r="CI275" s="1653"/>
      <c r="CJ275" s="1653"/>
      <c r="CK275" s="1653"/>
      <c r="CL275" s="1653"/>
      <c r="CM275" s="1654">
        <f>CM272+CM273+CM274</f>
        <v>260.03899999999999</v>
      </c>
      <c r="CN275" s="1653"/>
      <c r="CO275" s="1653"/>
      <c r="CP275" s="1653"/>
      <c r="CQ275" s="1653"/>
      <c r="CR275" s="1654">
        <f>CR272+CR273+CR274</f>
        <v>176.29799999999989</v>
      </c>
      <c r="CS275" s="1653"/>
      <c r="CT275" s="1653"/>
      <c r="CU275" s="1653"/>
      <c r="CV275" s="1653"/>
      <c r="CW275" s="1654">
        <f>CW272+CW273+CW274</f>
        <v>278.25299999999982</v>
      </c>
      <c r="CX275" s="1653"/>
      <c r="CY275" s="1653"/>
      <c r="CZ275" s="1653"/>
      <c r="DA275" s="1653"/>
      <c r="DB275" s="1654">
        <f>DB272+DB273+DB274</f>
        <v>476.57499999999982</v>
      </c>
      <c r="DC275" s="1653"/>
      <c r="DD275" s="1653"/>
      <c r="DE275" s="1653"/>
      <c r="DF275" s="1653"/>
      <c r="DG275" s="1654">
        <f>DG272+DG273+DG274</f>
        <v>421.41999999999985</v>
      </c>
      <c r="DH275" s="1653"/>
      <c r="DI275" s="1653"/>
      <c r="DJ275" s="1653"/>
      <c r="DK275" s="1653"/>
      <c r="DL275" s="1654">
        <f>DL272+DL273+DL274</f>
        <v>438.00999999999982</v>
      </c>
      <c r="DM275" s="1653"/>
      <c r="DN275" s="1653"/>
      <c r="DO275" s="1653"/>
      <c r="DP275" s="1653"/>
      <c r="DQ275" s="1654">
        <f>DQ272+DQ273+DQ274</f>
        <v>429.78399999999976</v>
      </c>
      <c r="DR275" s="1653"/>
      <c r="DS275" s="1653"/>
      <c r="DT275" s="1653"/>
      <c r="DU275" s="1653"/>
      <c r="DV275" s="1654">
        <f>DV272+DV273+DV274</f>
        <v>484.50199999999973</v>
      </c>
      <c r="DW275" s="1656"/>
      <c r="DX275" s="1653"/>
      <c r="DY275" s="1653"/>
      <c r="DZ275" s="1653"/>
      <c r="EA275" s="1654">
        <f>EA272+EA273+EA274</f>
        <v>432.75899999999967</v>
      </c>
      <c r="EB275" s="1653"/>
      <c r="EC275" s="1653"/>
      <c r="ED275" s="1653"/>
      <c r="EE275" s="1653"/>
      <c r="EF275" s="1654">
        <f>EF272+EF273+EF274</f>
        <v>422.41108404027096</v>
      </c>
      <c r="EG275" s="1653"/>
      <c r="EH275" s="1653"/>
      <c r="EI275" s="1653"/>
      <c r="EJ275" s="1653"/>
      <c r="EK275" s="1654">
        <f>EK272+EK273+EK274</f>
        <v>362.86096031583452</v>
      </c>
      <c r="EL275" s="1653"/>
      <c r="EM275" s="1653"/>
      <c r="EN275" s="1653"/>
      <c r="EO275" s="1653"/>
      <c r="EP275" s="1654">
        <f>EP272+EP273+EP274</f>
        <v>518.40053048008724</v>
      </c>
      <c r="EQ275" s="1653"/>
      <c r="ER275" s="1653"/>
      <c r="ES275" s="1653"/>
      <c r="ET275" s="1653"/>
      <c r="EU275" s="1654">
        <f>EU272+EU273+EU274</f>
        <v>714.90648941863253</v>
      </c>
      <c r="EV275" s="1653"/>
      <c r="EW275" s="1653"/>
      <c r="EX275" s="1653"/>
      <c r="EY275" s="1653"/>
      <c r="EZ275" s="1654">
        <f>EZ272+EZ273+EZ274</f>
        <v>946.91365886783797</v>
      </c>
      <c r="FA275" s="1653"/>
      <c r="FB275" s="1653"/>
      <c r="FC275" s="1653"/>
      <c r="FD275" s="1653"/>
      <c r="FE275" s="1654">
        <f>FE272+FE273+FE274</f>
        <v>1211.7550270321146</v>
      </c>
      <c r="FF275" s="778"/>
      <c r="FG275" s="690"/>
      <c r="FH275" s="754"/>
      <c r="FI275" s="754"/>
      <c r="FJ275" s="754"/>
      <c r="FK275" s="754"/>
      <c r="FL275" s="690"/>
      <c r="FM275" s="940"/>
      <c r="FN275" s="940"/>
      <c r="FO275" s="719"/>
      <c r="FP275" s="719"/>
      <c r="FQ275" s="719"/>
      <c r="FR275" s="719"/>
      <c r="FS275" s="719"/>
      <c r="FT275" s="719"/>
      <c r="FU275" s="690"/>
      <c r="FV275"/>
      <c r="FW275"/>
      <c r="FX275"/>
      <c r="FY275"/>
      <c r="FZ275"/>
      <c r="GA275"/>
      <c r="GB275" s="1612"/>
      <c r="GC275" s="1657"/>
      <c r="GD275" s="1657"/>
      <c r="GE275" s="1657"/>
      <c r="GF275" s="1657"/>
      <c r="GG275" s="1657"/>
      <c r="GH275" s="1657"/>
      <c r="GI275" s="1657"/>
      <c r="GJ275" s="1657"/>
      <c r="GK275" s="1657"/>
      <c r="GL275" s="1657"/>
      <c r="GM275" s="1657"/>
      <c r="GN275" s="1657"/>
      <c r="GO275" s="1657"/>
      <c r="GP275" s="1657"/>
      <c r="GQ275" s="1657"/>
      <c r="GR275" s="1657"/>
      <c r="GS275" s="1657"/>
      <c r="GT275" s="1657"/>
      <c r="GU275" s="1657"/>
      <c r="GV275" s="1657"/>
      <c r="GW275" s="1657"/>
      <c r="GX275" s="1657"/>
      <c r="GY275" s="1657"/>
      <c r="GZ275" s="1657"/>
      <c r="HA275" s="1657"/>
      <c r="HB275" s="1657"/>
      <c r="HC275" s="1657"/>
      <c r="HD275" s="1657"/>
      <c r="HE275" s="1657"/>
      <c r="HF275" s="1657"/>
      <c r="HG275" s="1657"/>
      <c r="HH275" s="1657"/>
      <c r="HI275" s="1657"/>
      <c r="HJ275" s="1657"/>
      <c r="HK275" s="1657"/>
      <c r="HL275" s="1657"/>
      <c r="HM275" s="1657"/>
      <c r="HN275" s="1657"/>
      <c r="HO275" s="1657"/>
      <c r="HP275" s="1657"/>
      <c r="HQ275" s="1657"/>
      <c r="HR275" s="1657"/>
      <c r="HS275" s="1657"/>
      <c r="HT275" s="1657"/>
      <c r="HU275" s="1657"/>
      <c r="HV275" s="1657"/>
      <c r="HW275" s="1657"/>
      <c r="HX275" s="1657"/>
      <c r="HY275" s="1657"/>
      <c r="HZ275" s="1657"/>
      <c r="IA275" s="1657"/>
      <c r="IB275" s="1657"/>
      <c r="IC275" s="1657"/>
      <c r="ID275" s="1657"/>
      <c r="IE275" s="1657"/>
      <c r="IF275" s="1657"/>
      <c r="IG275" s="1657"/>
      <c r="IH275" s="1657"/>
      <c r="II275" s="1657"/>
      <c r="IJ275" s="1657"/>
      <c r="IK275" s="1657"/>
      <c r="IL275" s="1657"/>
      <c r="IM275" s="1657"/>
      <c r="IN275" s="1657"/>
      <c r="IO275" s="1657"/>
      <c r="IP275" s="1657"/>
      <c r="IQ275" s="1657"/>
      <c r="IR275" s="1657"/>
      <c r="IS275" s="1657"/>
      <c r="IT275" s="1657"/>
      <c r="IU275" s="1657"/>
      <c r="IV275" s="1657"/>
      <c r="IW275" s="1657"/>
      <c r="IX275" s="1657"/>
      <c r="IY275" s="1657"/>
      <c r="IZ275" s="1657"/>
      <c r="JA275" s="1657"/>
      <c r="JB275" s="1657"/>
      <c r="JC275" s="1657"/>
      <c r="JD275" s="1657"/>
      <c r="JE275" s="1657"/>
      <c r="JF275" s="1657"/>
      <c r="JG275" s="1657"/>
      <c r="JH275" s="1657"/>
      <c r="JI275" s="1657"/>
      <c r="JJ275" s="1657"/>
      <c r="JK275" s="1657"/>
      <c r="JL275" s="1657"/>
    </row>
    <row r="276" spans="1:272" s="749" customFormat="1" ht="12.75" hidden="1" customHeight="1" outlineLevel="1">
      <c r="A276" s="1607" t="s">
        <v>97</v>
      </c>
      <c r="B276" s="1608"/>
      <c r="C276" s="1608"/>
      <c r="D276" s="1608"/>
      <c r="E276" s="1608"/>
      <c r="F276" s="1659"/>
      <c r="G276" s="1608"/>
      <c r="H276" s="1608"/>
      <c r="I276" s="1608"/>
      <c r="J276" s="1608"/>
      <c r="K276" s="1659"/>
      <c r="L276" s="1608"/>
      <c r="M276" s="1608"/>
      <c r="N276" s="1608"/>
      <c r="O276" s="1608"/>
      <c r="P276" s="1659"/>
      <c r="Q276" s="1608"/>
      <c r="R276" s="1608"/>
      <c r="S276" s="1608"/>
      <c r="T276" s="1608"/>
      <c r="U276" s="1659"/>
      <c r="V276" s="1608"/>
      <c r="W276" s="1608"/>
      <c r="X276" s="1608"/>
      <c r="Y276" s="1608"/>
      <c r="Z276" s="1659"/>
      <c r="AA276" s="1608"/>
      <c r="AB276" s="1608"/>
      <c r="AC276" s="1608"/>
      <c r="AD276" s="1608"/>
      <c r="AE276" s="1659"/>
      <c r="AF276" s="1608"/>
      <c r="AG276" s="1608"/>
      <c r="AH276" s="1608"/>
      <c r="AI276" s="1608"/>
      <c r="AJ276" s="1659"/>
      <c r="AK276" s="1608"/>
      <c r="AL276" s="1608"/>
      <c r="AM276" s="1608"/>
      <c r="AN276" s="1608"/>
      <c r="AO276" s="1659"/>
      <c r="AP276" s="1608"/>
      <c r="AQ276" s="1608"/>
      <c r="AR276" s="1608"/>
      <c r="AS276" s="1608"/>
      <c r="AT276" s="1659"/>
      <c r="AU276" s="1608"/>
      <c r="AV276" s="1608"/>
      <c r="AW276" s="1608"/>
      <c r="AX276" s="1608"/>
      <c r="AY276" s="1659"/>
      <c r="AZ276" s="1608"/>
      <c r="BA276" s="1608"/>
      <c r="BB276" s="1608"/>
      <c r="BC276" s="1608"/>
      <c r="BD276" s="1659"/>
      <c r="BE276" s="1608"/>
      <c r="BF276" s="1608"/>
      <c r="BG276" s="1608"/>
      <c r="BH276" s="1608"/>
      <c r="BI276" s="1659"/>
      <c r="BJ276" s="1608"/>
      <c r="BK276" s="1608"/>
      <c r="BL276" s="1608"/>
      <c r="BM276" s="1608"/>
      <c r="BN276" s="1659"/>
      <c r="BO276" s="1608"/>
      <c r="BP276" s="1608"/>
      <c r="BQ276" s="1608"/>
      <c r="BR276" s="1608"/>
      <c r="BS276" s="1659"/>
      <c r="BT276" s="1660"/>
      <c r="BU276" s="1660"/>
      <c r="BV276" s="1660"/>
      <c r="BW276" s="1660"/>
      <c r="BX276" s="1659"/>
      <c r="BY276" s="1660"/>
      <c r="BZ276" s="1660"/>
      <c r="CA276" s="1660"/>
      <c r="CB276" s="1660"/>
      <c r="CC276" s="1659"/>
      <c r="CD276" s="1660"/>
      <c r="CE276" s="1660"/>
      <c r="CF276" s="1660"/>
      <c r="CG276" s="1660"/>
      <c r="CH276" s="1659"/>
      <c r="CI276" s="1660"/>
      <c r="CJ276" s="1660"/>
      <c r="CK276" s="1660"/>
      <c r="CL276" s="1660"/>
      <c r="CM276" s="1659"/>
      <c r="CN276" s="1660"/>
      <c r="CO276" s="1660"/>
      <c r="CP276" s="1660"/>
      <c r="CQ276" s="1660"/>
      <c r="CR276" s="1659"/>
      <c r="CS276" s="1660"/>
      <c r="CT276" s="1660"/>
      <c r="CU276" s="1660"/>
      <c r="CV276" s="1660"/>
      <c r="CW276" s="1659"/>
      <c r="CX276" s="1660"/>
      <c r="CY276" s="1660"/>
      <c r="CZ276" s="1660"/>
      <c r="DA276" s="1660"/>
      <c r="DB276" s="1659"/>
      <c r="DC276" s="1660"/>
      <c r="DD276" s="1660"/>
      <c r="DE276" s="1660"/>
      <c r="DF276" s="1660"/>
      <c r="DG276" s="1659"/>
      <c r="DH276" s="1660"/>
      <c r="DI276" s="1660"/>
      <c r="DJ276" s="1660"/>
      <c r="DK276" s="1660"/>
      <c r="DL276" s="1659"/>
      <c r="DM276" s="1660"/>
      <c r="DN276" s="1660"/>
      <c r="DO276" s="1660"/>
      <c r="DP276" s="1660"/>
      <c r="DQ276" s="1659"/>
      <c r="DR276" s="1660"/>
      <c r="DS276" s="1660"/>
      <c r="DT276" s="1660"/>
      <c r="DU276" s="1660"/>
      <c r="DV276" s="1659"/>
      <c r="DW276" s="1660"/>
      <c r="DX276" s="1660"/>
      <c r="DY276" s="1660"/>
      <c r="DZ276" s="1660"/>
      <c r="EA276" s="1659"/>
      <c r="EB276" s="1660"/>
      <c r="EC276" s="1660"/>
      <c r="ED276" s="1660"/>
      <c r="EE276" s="1660"/>
      <c r="EF276" s="1659"/>
      <c r="EG276" s="1660"/>
      <c r="EH276" s="1660"/>
      <c r="EI276" s="1660"/>
      <c r="EJ276" s="1660"/>
      <c r="EK276" s="1659"/>
      <c r="EL276" s="1660"/>
      <c r="EM276" s="1660"/>
      <c r="EN276" s="1660"/>
      <c r="EO276" s="1660"/>
      <c r="EP276" s="1659"/>
      <c r="EQ276" s="1660"/>
      <c r="ER276" s="1660"/>
      <c r="ES276" s="1660"/>
      <c r="ET276" s="1660"/>
      <c r="EU276" s="1659"/>
      <c r="EV276" s="1660"/>
      <c r="EW276" s="1660"/>
      <c r="EX276" s="1660"/>
      <c r="EY276" s="1660"/>
      <c r="EZ276" s="1659"/>
      <c r="FA276" s="1660"/>
      <c r="FB276" s="1660"/>
      <c r="FC276" s="1660"/>
      <c r="FD276" s="1660"/>
      <c r="FE276" s="1659"/>
      <c r="FF276" s="712"/>
      <c r="FG276" s="690"/>
      <c r="FH276" s="754"/>
      <c r="FI276" s="754"/>
      <c r="FJ276" s="754"/>
      <c r="FK276" s="754"/>
      <c r="FL276" s="690"/>
      <c r="FM276" s="747"/>
      <c r="FN276" s="747"/>
      <c r="FO276" s="748"/>
      <c r="FP276" s="748"/>
      <c r="FQ276" s="748"/>
      <c r="FR276" s="748"/>
      <c r="FS276" s="748"/>
      <c r="FT276" s="748"/>
      <c r="FU276" s="690"/>
      <c r="FV276"/>
      <c r="FW276"/>
      <c r="FX276"/>
      <c r="FY276"/>
      <c r="FZ276"/>
      <c r="GA276"/>
      <c r="GB276" s="1611"/>
      <c r="GC276" s="532"/>
      <c r="GD276" s="532"/>
      <c r="GE276" s="532"/>
      <c r="GF276" s="532"/>
      <c r="GG276" s="532"/>
      <c r="GH276" s="532"/>
      <c r="GI276" s="532"/>
      <c r="GJ276" s="532"/>
      <c r="GK276" s="532"/>
      <c r="GL276" s="532"/>
      <c r="GM276" s="532"/>
      <c r="GN276" s="532"/>
      <c r="GO276" s="532"/>
      <c r="GP276" s="532"/>
      <c r="GQ276" s="532"/>
      <c r="GR276" s="532"/>
      <c r="GS276" s="532"/>
      <c r="GT276" s="532"/>
      <c r="GU276" s="532"/>
      <c r="GV276" s="532"/>
      <c r="GW276" s="532"/>
      <c r="GX276" s="532"/>
      <c r="GY276" s="532"/>
      <c r="GZ276" s="532"/>
      <c r="HA276" s="532"/>
      <c r="HB276" s="532"/>
      <c r="HC276" s="532"/>
      <c r="HD276" s="532"/>
      <c r="HE276" s="532"/>
      <c r="HF276" s="532"/>
      <c r="HG276" s="532"/>
      <c r="HH276" s="532"/>
      <c r="HI276" s="532"/>
      <c r="HJ276" s="532"/>
      <c r="HK276" s="532"/>
      <c r="HL276" s="532"/>
      <c r="HM276" s="532"/>
      <c r="HN276" s="532"/>
      <c r="HO276" s="532"/>
      <c r="HP276" s="532"/>
      <c r="HQ276" s="532"/>
      <c r="HR276" s="532"/>
      <c r="HS276" s="532"/>
      <c r="HT276" s="532"/>
      <c r="HU276" s="532"/>
      <c r="HV276" s="532"/>
      <c r="HW276" s="532"/>
      <c r="HX276" s="532"/>
      <c r="HY276" s="532"/>
      <c r="HZ276" s="532"/>
      <c r="IA276" s="532"/>
      <c r="IB276" s="532"/>
      <c r="IC276" s="532"/>
      <c r="ID276" s="532"/>
      <c r="IE276" s="532"/>
      <c r="IF276" s="532"/>
      <c r="IG276" s="532"/>
      <c r="IH276" s="532"/>
      <c r="II276" s="532"/>
      <c r="IJ276" s="532"/>
      <c r="IK276" s="532"/>
      <c r="IL276" s="532"/>
      <c r="IM276" s="532"/>
      <c r="IN276" s="532"/>
      <c r="IO276" s="532"/>
      <c r="IP276" s="532"/>
      <c r="IQ276" s="532"/>
      <c r="IR276" s="532"/>
      <c r="IS276" s="532"/>
      <c r="IT276" s="532"/>
      <c r="IU276" s="532"/>
      <c r="IV276" s="532"/>
      <c r="IW276" s="532"/>
      <c r="IX276" s="532"/>
      <c r="IY276" s="532"/>
      <c r="IZ276" s="532"/>
      <c r="JA276" s="532"/>
      <c r="JB276" s="532"/>
      <c r="JC276" s="532"/>
      <c r="JD276" s="532"/>
      <c r="JE276" s="532"/>
      <c r="JF276" s="532"/>
      <c r="JG276" s="532"/>
      <c r="JH276" s="532"/>
      <c r="JI276" s="532"/>
      <c r="JJ276" s="532"/>
      <c r="JK276" s="532"/>
      <c r="JL276" s="532"/>
    </row>
    <row r="277" spans="1:272" s="533" customFormat="1" ht="12.75" hidden="1" customHeight="1" outlineLevel="1">
      <c r="A277" s="1486" t="s">
        <v>79</v>
      </c>
      <c r="B277" s="1661"/>
      <c r="C277" s="1662"/>
      <c r="D277" s="1662"/>
      <c r="E277" s="1662"/>
      <c r="F277" s="722"/>
      <c r="G277" s="1662"/>
      <c r="H277" s="1662"/>
      <c r="I277" s="1662"/>
      <c r="J277" s="1662"/>
      <c r="K277" s="722"/>
      <c r="L277" s="1662"/>
      <c r="M277" s="1662"/>
      <c r="N277" s="1662"/>
      <c r="O277" s="1662"/>
      <c r="P277" s="722"/>
      <c r="Q277" s="1662"/>
      <c r="R277" s="1662"/>
      <c r="S277" s="1662"/>
      <c r="T277" s="1662"/>
      <c r="U277" s="722"/>
      <c r="V277" s="1662"/>
      <c r="W277" s="1662"/>
      <c r="X277" s="1663"/>
      <c r="Y277" s="1663"/>
      <c r="Z277" s="722"/>
      <c r="AA277" s="1663"/>
      <c r="AB277" s="1663"/>
      <c r="AC277" s="1663"/>
      <c r="AD277" s="1663"/>
      <c r="AE277" s="722"/>
      <c r="AF277" s="723"/>
      <c r="AG277" s="723"/>
      <c r="AH277" s="723"/>
      <c r="AI277" s="723"/>
      <c r="AJ277" s="722"/>
      <c r="AK277" s="723"/>
      <c r="AL277" s="723"/>
      <c r="AM277" s="723"/>
      <c r="AN277" s="723"/>
      <c r="AO277" s="722"/>
      <c r="AP277" s="723"/>
      <c r="AQ277" s="1548"/>
      <c r="AR277" s="1548"/>
      <c r="AS277" s="723"/>
      <c r="AT277" s="722"/>
      <c r="AU277" s="723"/>
      <c r="AV277" s="1548"/>
      <c r="AW277" s="723"/>
      <c r="AX277" s="723"/>
      <c r="AY277" s="722"/>
      <c r="AZ277" s="723"/>
      <c r="BA277" s="1548"/>
      <c r="BB277" s="723"/>
      <c r="BC277" s="723"/>
      <c r="BD277" s="722"/>
      <c r="BE277" s="723"/>
      <c r="BF277" s="1548"/>
      <c r="BG277" s="723"/>
      <c r="BH277" s="723"/>
      <c r="BI277" s="722"/>
      <c r="BJ277" s="723"/>
      <c r="BK277" s="1548"/>
      <c r="BL277" s="723"/>
      <c r="BM277" s="723"/>
      <c r="BN277" s="722"/>
      <c r="BO277" s="723"/>
      <c r="BP277" s="1548"/>
      <c r="BQ277" s="723"/>
      <c r="BR277" s="723"/>
      <c r="BS277" s="722"/>
      <c r="BT277" s="723"/>
      <c r="BU277" s="1548"/>
      <c r="BV277" s="723"/>
      <c r="BW277" s="723"/>
      <c r="BX277" s="722"/>
      <c r="BY277" s="723"/>
      <c r="BZ277" s="1548"/>
      <c r="CA277" s="723"/>
      <c r="CB277" s="723"/>
      <c r="CC277" s="722"/>
      <c r="CD277" s="723"/>
      <c r="CE277" s="723"/>
      <c r="CF277" s="723"/>
      <c r="CG277" s="723"/>
      <c r="CH277" s="722"/>
      <c r="CI277" s="723"/>
      <c r="CJ277" s="723"/>
      <c r="CK277" s="723"/>
      <c r="CL277" s="723"/>
      <c r="CM277" s="722"/>
      <c r="CN277" s="723"/>
      <c r="CO277" s="723"/>
      <c r="CP277" s="723"/>
      <c r="CQ277" s="723"/>
      <c r="CR277" s="722"/>
      <c r="CS277" s="723"/>
      <c r="CT277" s="723"/>
      <c r="CU277" s="723"/>
      <c r="CV277" s="723"/>
      <c r="CW277" s="722"/>
      <c r="CX277" s="723"/>
      <c r="CY277" s="723"/>
      <c r="CZ277" s="723"/>
      <c r="DA277" s="723"/>
      <c r="DB277" s="722"/>
      <c r="DC277" s="723"/>
      <c r="DD277" s="723"/>
      <c r="DE277" s="723"/>
      <c r="DF277" s="723"/>
      <c r="DG277" s="722"/>
      <c r="DH277" s="723"/>
      <c r="DI277" s="723"/>
      <c r="DJ277" s="723"/>
      <c r="DK277" s="723"/>
      <c r="DL277" s="722"/>
      <c r="DM277" s="1065"/>
      <c r="DN277" s="1065"/>
      <c r="DO277" s="1065"/>
      <c r="DP277" s="723"/>
      <c r="DQ277" s="722"/>
      <c r="DR277" s="1065"/>
      <c r="DS277" s="1065"/>
      <c r="DT277" s="1065"/>
      <c r="DU277" s="723"/>
      <c r="DV277" s="722"/>
      <c r="DW277" s="1065"/>
      <c r="DX277" s="1065"/>
      <c r="DY277" s="1065"/>
      <c r="DZ277" s="1065"/>
      <c r="EA277" s="722"/>
      <c r="EB277" s="1065"/>
      <c r="EC277" s="1065"/>
      <c r="ED277" s="1065"/>
      <c r="EE277" s="1065"/>
      <c r="EF277" s="722"/>
      <c r="EG277" s="1065"/>
      <c r="EH277" s="1065"/>
      <c r="EI277" s="1065"/>
      <c r="EJ277" s="1065"/>
      <c r="EK277" s="722"/>
      <c r="EL277" s="1065"/>
      <c r="EM277" s="1065"/>
      <c r="EN277" s="1065"/>
      <c r="EO277" s="1065"/>
      <c r="EP277" s="722"/>
      <c r="EQ277" s="1065"/>
      <c r="ER277" s="1065"/>
      <c r="ES277" s="1065"/>
      <c r="ET277" s="1065"/>
      <c r="EU277" s="722"/>
      <c r="EV277" s="1065"/>
      <c r="EW277" s="1065"/>
      <c r="EX277" s="1065"/>
      <c r="EY277" s="1065"/>
      <c r="EZ277" s="722"/>
      <c r="FA277" s="1065"/>
      <c r="FB277" s="1065"/>
      <c r="FC277" s="1065"/>
      <c r="FD277" s="1065"/>
      <c r="FE277" s="722"/>
      <c r="FF277" s="721"/>
      <c r="FG277" s="690"/>
      <c r="FH277" s="754"/>
      <c r="FI277" s="754"/>
      <c r="FJ277" s="754"/>
      <c r="FK277" s="754"/>
      <c r="FL277" s="690"/>
      <c r="FM277" s="708"/>
      <c r="FN277" s="708"/>
      <c r="FO277" s="723"/>
      <c r="FP277" s="723"/>
      <c r="FQ277" s="723"/>
      <c r="FR277" s="723"/>
      <c r="FS277" s="723"/>
      <c r="FT277" s="723"/>
      <c r="FU277" s="690"/>
      <c r="FV277"/>
      <c r="FW277"/>
      <c r="FX277"/>
      <c r="FY277"/>
      <c r="FZ277"/>
      <c r="GA277"/>
      <c r="GB277" s="961"/>
      <c r="GC277" s="532"/>
      <c r="GD277" s="532"/>
      <c r="GE277" s="532"/>
      <c r="GF277" s="532"/>
      <c r="GG277" s="532"/>
      <c r="GH277" s="532"/>
      <c r="GI277" s="532"/>
      <c r="GJ277" s="532"/>
      <c r="GK277" s="532"/>
      <c r="GL277" s="532"/>
      <c r="GM277" s="532"/>
      <c r="GN277" s="532"/>
      <c r="GO277" s="532"/>
      <c r="GP277" s="532"/>
      <c r="GQ277" s="532"/>
      <c r="GR277" s="532"/>
      <c r="GS277" s="532"/>
      <c r="GT277" s="532"/>
      <c r="GU277" s="532"/>
      <c r="GV277" s="532"/>
      <c r="GW277" s="532"/>
      <c r="GX277" s="532"/>
      <c r="GY277" s="532"/>
      <c r="GZ277" s="532"/>
      <c r="HA277" s="532"/>
      <c r="HB277" s="532"/>
      <c r="HC277" s="532"/>
      <c r="HD277" s="532"/>
      <c r="HE277" s="532"/>
      <c r="HF277" s="532"/>
      <c r="HG277" s="532"/>
      <c r="HH277" s="532"/>
      <c r="HI277" s="532"/>
      <c r="HJ277" s="532"/>
      <c r="HK277" s="532"/>
      <c r="HL277" s="532"/>
      <c r="HM277" s="532"/>
      <c r="HN277" s="532"/>
      <c r="HO277" s="532"/>
      <c r="HP277" s="532"/>
      <c r="HQ277" s="532"/>
      <c r="HR277" s="532"/>
      <c r="HS277" s="532"/>
      <c r="HT277" s="532"/>
      <c r="HU277" s="532"/>
      <c r="HV277" s="532"/>
      <c r="HW277" s="532"/>
      <c r="HX277" s="532"/>
      <c r="HY277" s="532"/>
      <c r="HZ277" s="532"/>
      <c r="IA277" s="532"/>
      <c r="IB277" s="532"/>
      <c r="IC277" s="532"/>
      <c r="ID277" s="532"/>
      <c r="IE277" s="532"/>
      <c r="IF277" s="532"/>
      <c r="IG277" s="532"/>
      <c r="IH277" s="532"/>
      <c r="II277" s="532"/>
      <c r="IJ277" s="532"/>
      <c r="IK277" s="532"/>
      <c r="IL277" s="532"/>
      <c r="IM277" s="532"/>
      <c r="IN277" s="532"/>
      <c r="IO277" s="532"/>
      <c r="IP277" s="532"/>
      <c r="IQ277" s="532"/>
      <c r="IR277" s="532"/>
      <c r="IS277" s="532"/>
      <c r="IT277" s="532"/>
      <c r="IU277" s="532"/>
      <c r="IV277" s="532"/>
      <c r="IW277" s="532"/>
      <c r="IX277" s="532"/>
      <c r="IY277" s="532"/>
      <c r="IZ277" s="532"/>
      <c r="JA277" s="532"/>
      <c r="JB277" s="532"/>
      <c r="JC277" s="532"/>
      <c r="JD277" s="532"/>
      <c r="JE277" s="532"/>
      <c r="JF277" s="532"/>
      <c r="JG277" s="532"/>
      <c r="JH277" s="532"/>
      <c r="JI277" s="532"/>
      <c r="JJ277" s="532"/>
      <c r="JK277" s="532"/>
      <c r="JL277" s="532"/>
    </row>
    <row r="278" spans="1:272" s="942" customFormat="1" ht="12.75" hidden="1" customHeight="1" outlineLevel="1">
      <c r="A278" s="1071" t="s">
        <v>444</v>
      </c>
      <c r="B278" s="938"/>
      <c r="C278" s="938"/>
      <c r="D278" s="938"/>
      <c r="E278" s="938"/>
      <c r="F278" s="1196"/>
      <c r="G278" s="938"/>
      <c r="H278" s="938"/>
      <c r="I278" s="938"/>
      <c r="J278" s="938"/>
      <c r="K278" s="1196"/>
      <c r="L278" s="938"/>
      <c r="M278" s="938"/>
      <c r="N278" s="938"/>
      <c r="O278" s="938"/>
      <c r="P278" s="1196"/>
      <c r="Q278" s="938"/>
      <c r="R278" s="938"/>
      <c r="S278" s="938"/>
      <c r="T278" s="938"/>
      <c r="U278" s="1196"/>
      <c r="V278" s="938"/>
      <c r="W278" s="938"/>
      <c r="X278" s="938"/>
      <c r="Y278" s="938"/>
      <c r="Z278" s="1196"/>
      <c r="AA278" s="938"/>
      <c r="AB278" s="938"/>
      <c r="AC278" s="938"/>
      <c r="AD278" s="938"/>
      <c r="AE278" s="1196"/>
      <c r="AF278" s="938"/>
      <c r="AG278" s="938"/>
      <c r="AH278" s="938"/>
      <c r="AI278" s="938"/>
      <c r="AJ278" s="1196"/>
      <c r="AK278" s="938"/>
      <c r="AL278" s="938"/>
      <c r="AM278" s="938"/>
      <c r="AN278" s="938"/>
      <c r="AO278" s="1196"/>
      <c r="AP278" s="938"/>
      <c r="AQ278" s="938"/>
      <c r="AR278" s="938"/>
      <c r="AS278" s="938"/>
      <c r="AT278" s="1196"/>
      <c r="AU278" s="938"/>
      <c r="AV278" s="938"/>
      <c r="AW278" s="938"/>
      <c r="AX278" s="938"/>
      <c r="AY278" s="1196"/>
      <c r="AZ278" s="938"/>
      <c r="BA278" s="938"/>
      <c r="BB278" s="938"/>
      <c r="BC278" s="938"/>
      <c r="BD278" s="1196"/>
      <c r="BE278" s="938"/>
      <c r="BF278" s="938"/>
      <c r="BG278" s="938"/>
      <c r="BH278" s="938"/>
      <c r="BI278" s="1196">
        <f>BN273</f>
        <v>69.869</v>
      </c>
      <c r="BJ278" s="938"/>
      <c r="BK278" s="938"/>
      <c r="BL278" s="938"/>
      <c r="BM278" s="938"/>
      <c r="BN278" s="1196">
        <f>BN275</f>
        <v>400.76299999999998</v>
      </c>
      <c r="BO278" s="938"/>
      <c r="BP278" s="938"/>
      <c r="BQ278" s="938"/>
      <c r="BR278" s="938"/>
      <c r="BS278" s="1196">
        <f>BS275</f>
        <v>270.404</v>
      </c>
      <c r="BT278" s="938"/>
      <c r="BU278" s="1422"/>
      <c r="BV278" s="938"/>
      <c r="BW278" s="938"/>
      <c r="BX278" s="1196">
        <f>BX275</f>
        <v>38.182999999999993</v>
      </c>
      <c r="BY278" s="938"/>
      <c r="BZ278" s="1422"/>
      <c r="CA278" s="938"/>
      <c r="CB278" s="938"/>
      <c r="CC278" s="1196">
        <f>CC275</f>
        <v>346.89699999999999</v>
      </c>
      <c r="CD278" s="938"/>
      <c r="CE278" s="938"/>
      <c r="CF278" s="938"/>
      <c r="CG278" s="938"/>
      <c r="CH278" s="1196">
        <f>CH275</f>
        <v>514.27499999999998</v>
      </c>
      <c r="CI278" s="938"/>
      <c r="CJ278" s="938"/>
      <c r="CK278" s="938"/>
      <c r="CL278" s="938"/>
      <c r="CM278" s="1196">
        <f>CM275</f>
        <v>260.03899999999999</v>
      </c>
      <c r="CN278" s="938"/>
      <c r="CO278" s="938"/>
      <c r="CP278" s="938"/>
      <c r="CQ278" s="938"/>
      <c r="CR278" s="1196">
        <f>CR275</f>
        <v>176.29799999999989</v>
      </c>
      <c r="CS278" s="938"/>
      <c r="CT278" s="938"/>
      <c r="CU278" s="938"/>
      <c r="CV278" s="938"/>
      <c r="CW278" s="1196">
        <f>CW275</f>
        <v>278.25299999999982</v>
      </c>
      <c r="CX278" s="938"/>
      <c r="CY278" s="938"/>
      <c r="CZ278" s="938"/>
      <c r="DA278" s="938"/>
      <c r="DB278" s="1196">
        <f>DB275</f>
        <v>476.57499999999982</v>
      </c>
      <c r="DC278" s="938"/>
      <c r="DD278" s="938"/>
      <c r="DE278" s="938"/>
      <c r="DF278" s="938"/>
      <c r="DG278" s="1196">
        <v>421.42</v>
      </c>
      <c r="DH278" s="938"/>
      <c r="DI278" s="938"/>
      <c r="DJ278" s="938"/>
      <c r="DK278" s="938"/>
      <c r="DL278" s="1196">
        <v>438.01</v>
      </c>
      <c r="DM278" s="938">
        <v>402.846</v>
      </c>
      <c r="DN278" s="938">
        <v>454.98899999999998</v>
      </c>
      <c r="DO278" s="938">
        <v>442.02100000000002</v>
      </c>
      <c r="DP278" s="938">
        <f>+DQ278</f>
        <v>429.78399999999999</v>
      </c>
      <c r="DQ278" s="1196">
        <v>429.78399999999999</v>
      </c>
      <c r="DR278" s="938">
        <v>404.53100000000001</v>
      </c>
      <c r="DS278" s="938">
        <v>433.387</v>
      </c>
      <c r="DT278" s="938">
        <v>478.12</v>
      </c>
      <c r="DU278" s="938">
        <f>+DV278</f>
        <v>484.50199999999973</v>
      </c>
      <c r="DV278" s="1196">
        <f>DV275</f>
        <v>484.50199999999973</v>
      </c>
      <c r="DW278" s="938">
        <v>405.73200000000003</v>
      </c>
      <c r="DX278" s="938">
        <v>498.79199999999997</v>
      </c>
      <c r="DY278" s="938">
        <f>456.724+3.285</f>
        <v>460.00900000000001</v>
      </c>
      <c r="DZ278" s="938">
        <f>+EA278</f>
        <v>432.75899999999967</v>
      </c>
      <c r="EA278" s="1196">
        <f>EA275</f>
        <v>432.75899999999967</v>
      </c>
      <c r="EB278" s="938">
        <v>432.36500000000001</v>
      </c>
      <c r="EC278" s="938"/>
      <c r="ED278" s="938"/>
      <c r="EE278" s="938"/>
      <c r="EF278" s="1196">
        <f>EF275</f>
        <v>422.41108404027096</v>
      </c>
      <c r="EG278" s="938"/>
      <c r="EH278" s="938"/>
      <c r="EI278" s="938"/>
      <c r="EJ278" s="938"/>
      <c r="EK278" s="1196">
        <f>EK275</f>
        <v>362.86096031583452</v>
      </c>
      <c r="EL278" s="938"/>
      <c r="EM278" s="938"/>
      <c r="EN278" s="938"/>
      <c r="EO278" s="938"/>
      <c r="EP278" s="1196">
        <f>EP275</f>
        <v>518.40053048008724</v>
      </c>
      <c r="EQ278" s="938"/>
      <c r="ER278" s="938"/>
      <c r="ES278" s="938"/>
      <c r="ET278" s="938"/>
      <c r="EU278" s="1196">
        <f>EU275</f>
        <v>714.90648941863253</v>
      </c>
      <c r="EV278" s="938"/>
      <c r="EW278" s="938"/>
      <c r="EX278" s="938"/>
      <c r="EY278" s="938"/>
      <c r="EZ278" s="1196">
        <f>EZ275</f>
        <v>946.91365886783797</v>
      </c>
      <c r="FA278" s="938"/>
      <c r="FB278" s="938"/>
      <c r="FC278" s="938"/>
      <c r="FD278" s="938"/>
      <c r="FE278" s="1196">
        <f>FE275</f>
        <v>1211.7550270321146</v>
      </c>
      <c r="FF278" s="938"/>
      <c r="FG278" s="690"/>
      <c r="FH278" s="754"/>
      <c r="FI278" s="754"/>
      <c r="FJ278" s="754"/>
      <c r="FK278" s="754"/>
      <c r="FL278" s="690"/>
      <c r="FM278" s="940"/>
      <c r="FN278" s="940"/>
      <c r="FO278" s="941"/>
      <c r="FP278" s="941"/>
      <c r="FQ278" s="941"/>
      <c r="FR278" s="941"/>
      <c r="FS278" s="941"/>
      <c r="FT278" s="941"/>
      <c r="FU278" s="690"/>
      <c r="FV278"/>
      <c r="FW278"/>
      <c r="FX278"/>
      <c r="FY278"/>
      <c r="FZ278"/>
      <c r="GA278"/>
      <c r="GB278" s="1612"/>
      <c r="GC278" s="1426"/>
      <c r="GD278" s="1426"/>
      <c r="GE278" s="1426"/>
      <c r="GF278" s="1426"/>
      <c r="GG278" s="1426"/>
      <c r="GH278" s="1426"/>
      <c r="GI278" s="1426"/>
      <c r="GJ278" s="1426"/>
      <c r="GK278" s="1426"/>
      <c r="GL278" s="1426"/>
      <c r="GM278" s="1426"/>
      <c r="GN278" s="1426"/>
      <c r="GO278" s="1426"/>
      <c r="GP278" s="1426"/>
      <c r="GQ278" s="1426"/>
      <c r="GR278" s="1426"/>
      <c r="GS278" s="1426"/>
      <c r="GT278" s="1426"/>
      <c r="GU278" s="1426"/>
      <c r="GV278" s="1426"/>
      <c r="GW278" s="1426"/>
      <c r="GX278" s="1426"/>
      <c r="GY278" s="1426"/>
      <c r="GZ278" s="1426"/>
      <c r="HA278" s="1426"/>
      <c r="HB278" s="1426"/>
      <c r="HC278" s="1426"/>
      <c r="HD278" s="1426"/>
      <c r="HE278" s="1426"/>
      <c r="HF278" s="1426"/>
      <c r="HG278" s="1426"/>
      <c r="HH278" s="1426"/>
      <c r="HI278" s="1426"/>
      <c r="HJ278" s="1426"/>
      <c r="HK278" s="1426"/>
      <c r="HL278" s="1426"/>
      <c r="HM278" s="1426"/>
      <c r="HN278" s="1426"/>
      <c r="HO278" s="1426"/>
      <c r="HP278" s="1426"/>
      <c r="HQ278" s="1426"/>
      <c r="HR278" s="1426"/>
      <c r="HS278" s="1426"/>
      <c r="HT278" s="1426"/>
      <c r="HU278" s="1426"/>
      <c r="HV278" s="1426"/>
      <c r="HW278" s="1426"/>
      <c r="HX278" s="1426"/>
      <c r="HY278" s="1426"/>
      <c r="HZ278" s="1426"/>
      <c r="IA278" s="1426"/>
      <c r="IB278" s="1426"/>
      <c r="IC278" s="1426"/>
      <c r="ID278" s="1426"/>
      <c r="IE278" s="1426"/>
      <c r="IF278" s="1426"/>
      <c r="IG278" s="1426"/>
      <c r="IH278" s="1426"/>
      <c r="II278" s="1426"/>
      <c r="IJ278" s="1426"/>
      <c r="IK278" s="1426"/>
      <c r="IL278" s="1426"/>
      <c r="IM278" s="1426"/>
      <c r="IN278" s="1426"/>
      <c r="IO278" s="1426"/>
      <c r="IP278" s="1426"/>
      <c r="IQ278" s="1426"/>
      <c r="IR278" s="1426"/>
      <c r="IS278" s="1426"/>
      <c r="IT278" s="1426"/>
      <c r="IU278" s="1426"/>
      <c r="IV278" s="1426"/>
      <c r="IW278" s="1426"/>
      <c r="IX278" s="1426"/>
      <c r="IY278" s="1426"/>
      <c r="IZ278" s="1426"/>
      <c r="JA278" s="1426"/>
      <c r="JB278" s="1426"/>
      <c r="JC278" s="1426"/>
      <c r="JD278" s="1426"/>
      <c r="JE278" s="1426"/>
      <c r="JF278" s="1426"/>
      <c r="JG278" s="1426"/>
      <c r="JH278" s="1426"/>
      <c r="JI278" s="1426"/>
      <c r="JJ278" s="1426"/>
      <c r="JK278" s="1426"/>
      <c r="JL278" s="1426"/>
    </row>
    <row r="279" spans="1:272" s="942" customFormat="1" ht="12.75" hidden="1" customHeight="1" outlineLevel="1">
      <c r="A279" s="1071" t="s">
        <v>445</v>
      </c>
      <c r="B279" s="938"/>
      <c r="C279" s="938"/>
      <c r="D279" s="938"/>
      <c r="E279" s="938"/>
      <c r="F279" s="1196"/>
      <c r="G279" s="938"/>
      <c r="H279" s="938"/>
      <c r="I279" s="938"/>
      <c r="J279" s="938"/>
      <c r="K279" s="1196"/>
      <c r="L279" s="938"/>
      <c r="M279" s="938"/>
      <c r="N279" s="938"/>
      <c r="O279" s="938"/>
      <c r="P279" s="1196"/>
      <c r="Q279" s="938"/>
      <c r="R279" s="938"/>
      <c r="S279" s="938"/>
      <c r="T279" s="938"/>
      <c r="U279" s="1196"/>
      <c r="V279" s="938"/>
      <c r="W279" s="938"/>
      <c r="X279" s="938"/>
      <c r="Y279" s="938"/>
      <c r="Z279" s="1196"/>
      <c r="AA279" s="938"/>
      <c r="AB279" s="938"/>
      <c r="AC279" s="938"/>
      <c r="AD279" s="938"/>
      <c r="AE279" s="1196"/>
      <c r="AF279" s="938"/>
      <c r="AG279" s="938"/>
      <c r="AH279" s="938"/>
      <c r="AI279" s="938"/>
      <c r="AJ279" s="1196"/>
      <c r="AK279" s="938"/>
      <c r="AL279" s="938"/>
      <c r="AM279" s="938"/>
      <c r="AN279" s="938"/>
      <c r="AO279" s="1196"/>
      <c r="AP279" s="938"/>
      <c r="AQ279" s="938"/>
      <c r="AR279" s="938"/>
      <c r="AS279" s="938"/>
      <c r="AT279" s="1196"/>
      <c r="AU279" s="938"/>
      <c r="AV279" s="938"/>
      <c r="AW279" s="938"/>
      <c r="AX279" s="938"/>
      <c r="AY279" s="1196"/>
      <c r="AZ279" s="938"/>
      <c r="BA279" s="938"/>
      <c r="BB279" s="938"/>
      <c r="BC279" s="938"/>
      <c r="BD279" s="1196"/>
      <c r="BE279" s="938"/>
      <c r="BF279" s="938"/>
      <c r="BG279" s="938"/>
      <c r="BH279" s="938"/>
      <c r="BI279" s="1196"/>
      <c r="BJ279" s="938"/>
      <c r="BK279" s="938"/>
      <c r="BL279" s="938"/>
      <c r="BM279" s="938"/>
      <c r="BN279" s="1196">
        <f>677.684+56.86</f>
        <v>734.54399999999998</v>
      </c>
      <c r="BO279" s="938"/>
      <c r="BP279" s="938"/>
      <c r="BQ279" s="938"/>
      <c r="BR279" s="938"/>
      <c r="BS279" s="1196">
        <f>716.037+129.535</f>
        <v>845.572</v>
      </c>
      <c r="BT279" s="938"/>
      <c r="BU279" s="1422"/>
      <c r="BV279" s="938"/>
      <c r="BW279" s="938"/>
      <c r="BX279" s="1196">
        <f>380.898+66.112</f>
        <v>447.01</v>
      </c>
      <c r="BY279" s="938"/>
      <c r="BZ279" s="1422"/>
      <c r="CA279" s="938"/>
      <c r="CB279" s="938"/>
      <c r="CC279" s="1196">
        <f>425.783+134.577</f>
        <v>560.36</v>
      </c>
      <c r="CD279" s="938"/>
      <c r="CE279" s="938"/>
      <c r="CF279" s="938"/>
      <c r="CG279" s="938"/>
      <c r="CH279" s="1196">
        <v>468.31200000000001</v>
      </c>
      <c r="CI279" s="938"/>
      <c r="CJ279" s="938"/>
      <c r="CK279" s="938"/>
      <c r="CL279" s="938"/>
      <c r="CM279" s="1196">
        <v>533.303</v>
      </c>
      <c r="CN279" s="938"/>
      <c r="CO279" s="938"/>
      <c r="CP279" s="938"/>
      <c r="CQ279" s="938"/>
      <c r="CR279" s="1196">
        <v>468.33699999999999</v>
      </c>
      <c r="CS279" s="938"/>
      <c r="CT279" s="938"/>
      <c r="CU279" s="938"/>
      <c r="CV279" s="938"/>
      <c r="CW279" s="1196">
        <v>477.35900000000004</v>
      </c>
      <c r="CX279" s="938"/>
      <c r="CY279" s="938"/>
      <c r="CZ279" s="938"/>
      <c r="DA279" s="938"/>
      <c r="DB279" s="1196">
        <v>458.27199999999999</v>
      </c>
      <c r="DC279" s="938"/>
      <c r="DD279" s="938"/>
      <c r="DE279" s="938"/>
      <c r="DF279" s="938"/>
      <c r="DG279" s="1196">
        <f>539.849+79.065</f>
        <v>618.91399999999999</v>
      </c>
      <c r="DH279" s="938"/>
      <c r="DI279" s="938"/>
      <c r="DJ279" s="938"/>
      <c r="DK279" s="938"/>
      <c r="DL279" s="1196">
        <f>577.522+13.255</f>
        <v>590.77700000000004</v>
      </c>
      <c r="DM279" s="938">
        <f>644.881+47.797</f>
        <v>692.678</v>
      </c>
      <c r="DN279" s="938">
        <f>665.713+5</f>
        <v>670.71299999999997</v>
      </c>
      <c r="DO279" s="938"/>
      <c r="DP279" s="938"/>
      <c r="DQ279" s="1196">
        <f>567.097+43.912</f>
        <v>611.00900000000001</v>
      </c>
      <c r="DR279" s="938">
        <v>615.28599999999994</v>
      </c>
      <c r="DS279" s="938">
        <f>601.958+56.276</f>
        <v>658.23399999999992</v>
      </c>
      <c r="DT279" s="938">
        <f>597.896+55.659</f>
        <v>653.55499999999995</v>
      </c>
      <c r="DU279" s="938">
        <f>+DV279</f>
        <v>626.07600000000002</v>
      </c>
      <c r="DV279" s="1196">
        <f>575.013+51.063</f>
        <v>626.07600000000002</v>
      </c>
      <c r="DW279" s="938">
        <f>657.932+51.226</f>
        <v>709.15800000000002</v>
      </c>
      <c r="DX279" s="938">
        <f>688.353+50.13</f>
        <v>738.48299999999995</v>
      </c>
      <c r="DY279" s="938">
        <f>694.533+50.099</f>
        <v>744.63200000000006</v>
      </c>
      <c r="DZ279" s="938">
        <f>+EA279</f>
        <v>719.39100000000008</v>
      </c>
      <c r="EA279" s="1196">
        <f>649.086+70.305</f>
        <v>719.39100000000008</v>
      </c>
      <c r="EB279" s="938">
        <f>690.515+51.752</f>
        <v>742.26699999999994</v>
      </c>
      <c r="EC279" s="938"/>
      <c r="ED279" s="938"/>
      <c r="EE279" s="938"/>
      <c r="EF279" s="1196">
        <f>(CNW!EF198*(CNW!EF280/360))</f>
        <v>688.2656871443512</v>
      </c>
      <c r="EG279" s="938"/>
      <c r="EH279" s="938"/>
      <c r="EI279" s="938"/>
      <c r="EJ279" s="938"/>
      <c r="EK279" s="1196">
        <f>(CNW!EK198*(CNW!EK280/360))</f>
        <v>426.88397473402404</v>
      </c>
      <c r="EL279" s="938"/>
      <c r="EM279" s="938"/>
      <c r="EN279" s="938"/>
      <c r="EO279" s="938"/>
      <c r="EP279" s="1196">
        <f>(CNW!EP198*(CNW!EP280/360))</f>
        <v>451.15662752199466</v>
      </c>
      <c r="EQ279" s="938"/>
      <c r="ER279" s="938"/>
      <c r="ES279" s="938"/>
      <c r="ET279" s="938"/>
      <c r="EU279" s="1196">
        <f>(CNW!EU198*(CNW!EU280/360))</f>
        <v>475.53686206079681</v>
      </c>
      <c r="EV279" s="938"/>
      <c r="EW279" s="938"/>
      <c r="EX279" s="938"/>
      <c r="EY279" s="938"/>
      <c r="EZ279" s="1196">
        <f>(CNW!EZ198*(CNW!EZ280/360))</f>
        <v>503.84867486038712</v>
      </c>
      <c r="FA279" s="938"/>
      <c r="FB279" s="938"/>
      <c r="FC279" s="938"/>
      <c r="FD279" s="938"/>
      <c r="FE279" s="1196">
        <f>(CNW!FE198*(CNW!FE280/360))</f>
        <v>533.13778868908446</v>
      </c>
      <c r="FF279" s="938"/>
      <c r="FG279" s="690"/>
      <c r="FH279" s="754"/>
      <c r="FI279" s="754"/>
      <c r="FJ279" s="754"/>
      <c r="FK279" s="754"/>
      <c r="FL279" s="690"/>
      <c r="FM279" s="940"/>
      <c r="FN279" s="940"/>
      <c r="FO279" s="941"/>
      <c r="FP279" s="941"/>
      <c r="FQ279" s="941"/>
      <c r="FR279" s="941"/>
      <c r="FS279" s="941"/>
      <c r="FT279" s="941"/>
      <c r="FU279" s="690"/>
      <c r="FV279"/>
      <c r="FW279"/>
      <c r="FX279"/>
      <c r="FY279"/>
      <c r="FZ279"/>
      <c r="GA279"/>
      <c r="GB279" s="1612"/>
      <c r="GC279" s="1426"/>
      <c r="GD279" s="1426"/>
      <c r="GE279" s="1426"/>
      <c r="GF279" s="1426"/>
      <c r="GG279" s="1426"/>
      <c r="GH279" s="1426"/>
      <c r="GI279" s="1426"/>
      <c r="GJ279" s="1426"/>
      <c r="GK279" s="1426"/>
      <c r="GL279" s="1426"/>
      <c r="GM279" s="1426"/>
      <c r="GN279" s="1426"/>
      <c r="GO279" s="1426"/>
      <c r="GP279" s="1426"/>
      <c r="GQ279" s="1426"/>
      <c r="GR279" s="1426"/>
      <c r="GS279" s="1426"/>
      <c r="GT279" s="1426"/>
      <c r="GU279" s="1426"/>
      <c r="GV279" s="1426"/>
      <c r="GW279" s="1426"/>
      <c r="GX279" s="1426"/>
      <c r="GY279" s="1426"/>
      <c r="GZ279" s="1426"/>
      <c r="HA279" s="1426"/>
      <c r="HB279" s="1426"/>
      <c r="HC279" s="1426"/>
      <c r="HD279" s="1426"/>
      <c r="HE279" s="1426"/>
      <c r="HF279" s="1426"/>
      <c r="HG279" s="1426"/>
      <c r="HH279" s="1426"/>
      <c r="HI279" s="1426"/>
      <c r="HJ279" s="1426"/>
      <c r="HK279" s="1426"/>
      <c r="HL279" s="1426"/>
      <c r="HM279" s="1426"/>
      <c r="HN279" s="1426"/>
      <c r="HO279" s="1426"/>
      <c r="HP279" s="1426"/>
      <c r="HQ279" s="1426"/>
      <c r="HR279" s="1426"/>
      <c r="HS279" s="1426"/>
      <c r="HT279" s="1426"/>
      <c r="HU279" s="1426"/>
      <c r="HV279" s="1426"/>
      <c r="HW279" s="1426"/>
      <c r="HX279" s="1426"/>
      <c r="HY279" s="1426"/>
      <c r="HZ279" s="1426"/>
      <c r="IA279" s="1426"/>
      <c r="IB279" s="1426"/>
      <c r="IC279" s="1426"/>
      <c r="ID279" s="1426"/>
      <c r="IE279" s="1426"/>
      <c r="IF279" s="1426"/>
      <c r="IG279" s="1426"/>
      <c r="IH279" s="1426"/>
      <c r="II279" s="1426"/>
      <c r="IJ279" s="1426"/>
      <c r="IK279" s="1426"/>
      <c r="IL279" s="1426"/>
      <c r="IM279" s="1426"/>
      <c r="IN279" s="1426"/>
      <c r="IO279" s="1426"/>
      <c r="IP279" s="1426"/>
      <c r="IQ279" s="1426"/>
      <c r="IR279" s="1426"/>
      <c r="IS279" s="1426"/>
      <c r="IT279" s="1426"/>
      <c r="IU279" s="1426"/>
      <c r="IV279" s="1426"/>
      <c r="IW279" s="1426"/>
      <c r="IX279" s="1426"/>
      <c r="IY279" s="1426"/>
      <c r="IZ279" s="1426"/>
      <c r="JA279" s="1426"/>
      <c r="JB279" s="1426"/>
      <c r="JC279" s="1426"/>
      <c r="JD279" s="1426"/>
      <c r="JE279" s="1426"/>
      <c r="JF279" s="1426"/>
      <c r="JG279" s="1426"/>
      <c r="JH279" s="1426"/>
      <c r="JI279" s="1426"/>
      <c r="JJ279" s="1426"/>
      <c r="JK279" s="1426"/>
      <c r="JL279" s="1426"/>
    </row>
    <row r="280" spans="1:272" s="749" customFormat="1" ht="12.75" hidden="1" customHeight="1" outlineLevel="1">
      <c r="A280" s="1613" t="s">
        <v>66</v>
      </c>
      <c r="B280" s="712"/>
      <c r="C280" s="712"/>
      <c r="D280" s="712"/>
      <c r="E280" s="712"/>
      <c r="F280" s="1664"/>
      <c r="G280" s="712"/>
      <c r="H280" s="712"/>
      <c r="I280" s="712"/>
      <c r="J280" s="712"/>
      <c r="K280" s="1664"/>
      <c r="L280" s="712"/>
      <c r="M280" s="712"/>
      <c r="N280" s="712"/>
      <c r="O280" s="712"/>
      <c r="P280" s="1664"/>
      <c r="Q280" s="712"/>
      <c r="R280" s="712"/>
      <c r="S280" s="712"/>
      <c r="T280" s="712"/>
      <c r="U280" s="1664"/>
      <c r="V280" s="712"/>
      <c r="W280" s="712"/>
      <c r="X280" s="712"/>
      <c r="Y280" s="712"/>
      <c r="Z280" s="1664"/>
      <c r="AA280" s="712"/>
      <c r="AB280" s="712"/>
      <c r="AC280" s="712"/>
      <c r="AD280" s="712"/>
      <c r="AE280" s="1664"/>
      <c r="AF280" s="712"/>
      <c r="AG280" s="712"/>
      <c r="AH280" s="712"/>
      <c r="AI280" s="712"/>
      <c r="AJ280" s="1664"/>
      <c r="AK280" s="712"/>
      <c r="AL280" s="712"/>
      <c r="AM280" s="712"/>
      <c r="AN280" s="712"/>
      <c r="AO280" s="1664"/>
      <c r="AP280" s="712"/>
      <c r="AQ280" s="712"/>
      <c r="AR280" s="712"/>
      <c r="AS280" s="712"/>
      <c r="AT280" s="1664"/>
      <c r="AU280" s="712"/>
      <c r="AV280" s="712"/>
      <c r="AW280" s="712"/>
      <c r="AX280" s="712"/>
      <c r="AY280" s="1664"/>
      <c r="AZ280" s="712"/>
      <c r="BA280" s="712"/>
      <c r="BB280" s="712"/>
      <c r="BC280" s="712"/>
      <c r="BD280" s="1664"/>
      <c r="BE280" s="712"/>
      <c r="BF280" s="712"/>
      <c r="BG280" s="712"/>
      <c r="BH280" s="712"/>
      <c r="BI280" s="1664"/>
      <c r="BJ280" s="712"/>
      <c r="BK280" s="712"/>
      <c r="BL280" s="712"/>
      <c r="BM280" s="712"/>
      <c r="BN280" s="1664"/>
      <c r="BO280" s="712"/>
      <c r="BP280" s="712"/>
      <c r="BQ280" s="712"/>
      <c r="BR280" s="712"/>
      <c r="BS280" s="1664">
        <f>BS279/(BS198/360)</f>
        <v>102.03373684589819</v>
      </c>
      <c r="BT280" s="938"/>
      <c r="BU280" s="1422"/>
      <c r="BV280" s="938"/>
      <c r="BW280" s="938"/>
      <c r="BX280" s="1664">
        <f>BX279/(BX198/360)</f>
        <v>50.496988197550138</v>
      </c>
      <c r="BY280" s="938"/>
      <c r="BZ280" s="1422"/>
      <c r="CA280" s="938"/>
      <c r="CB280" s="938"/>
      <c r="CC280" s="1664">
        <f>CC279/(CC198/360)</f>
        <v>55.139010825012214</v>
      </c>
      <c r="CD280" s="938"/>
      <c r="CE280" s="938"/>
      <c r="CF280" s="938"/>
      <c r="CG280" s="938"/>
      <c r="CH280" s="1664">
        <f>CH279/(CH198/360)</f>
        <v>40.964463045868442</v>
      </c>
      <c r="CI280" s="938"/>
      <c r="CJ280" s="938"/>
      <c r="CK280" s="938"/>
      <c r="CL280" s="938"/>
      <c r="CM280" s="1664">
        <f>CM279/(CM198/360)</f>
        <v>45.4791141870217</v>
      </c>
      <c r="CN280" s="938"/>
      <c r="CO280" s="938"/>
      <c r="CP280" s="938"/>
      <c r="CQ280" s="938"/>
      <c r="CR280" s="1664">
        <f>CR279/(CR198/360)</f>
        <v>38.428851225667898</v>
      </c>
      <c r="CS280" s="938"/>
      <c r="CT280" s="938"/>
      <c r="CU280" s="938"/>
      <c r="CV280" s="938"/>
      <c r="CW280" s="1664">
        <f>CW279/(CW198/360)</f>
        <v>34.118618961141536</v>
      </c>
      <c r="CX280" s="1665"/>
      <c r="CY280" s="1665"/>
      <c r="CZ280" s="1665"/>
      <c r="DA280" s="1665"/>
      <c r="DB280" s="1664">
        <f>DB279/(DB198/360)</f>
        <v>38.64340225506232</v>
      </c>
      <c r="DC280" s="1665"/>
      <c r="DD280" s="1665"/>
      <c r="DE280" s="1665"/>
      <c r="DF280" s="1665"/>
      <c r="DG280" s="1664">
        <f>DG279/(DG198/360)</f>
        <v>44.993850652365182</v>
      </c>
      <c r="DH280" s="1665"/>
      <c r="DI280" s="1666"/>
      <c r="DJ280" s="1665"/>
      <c r="DK280" s="1665"/>
      <c r="DL280" s="1664">
        <f>DL279/(DL198/360)</f>
        <v>40.204691070172473</v>
      </c>
      <c r="DM280" s="1665"/>
      <c r="DN280" s="1665"/>
      <c r="DO280" s="1665"/>
      <c r="DP280" s="1665"/>
      <c r="DQ280" s="1664">
        <f>DQ279/(DQ198/360)</f>
        <v>39.418197692359804</v>
      </c>
      <c r="DR280" s="1665"/>
      <c r="DS280" s="1665"/>
      <c r="DT280" s="1665"/>
      <c r="DU280" s="1665"/>
      <c r="DV280" s="1664">
        <f>DV279/(DV198/360)</f>
        <v>41.179006079633787</v>
      </c>
      <c r="DW280" s="1665"/>
      <c r="DX280" s="1665"/>
      <c r="DY280" s="1665"/>
      <c r="DZ280" s="1665"/>
      <c r="EA280" s="1664">
        <f>EA279/(EA198/360)</f>
        <v>44.605181233636735</v>
      </c>
      <c r="EB280" s="1665"/>
      <c r="EC280" s="1665"/>
      <c r="ED280" s="1665"/>
      <c r="EE280" s="1665"/>
      <c r="EF280" s="1667">
        <f>EA280</f>
        <v>44.605181233636735</v>
      </c>
      <c r="EG280" s="1665"/>
      <c r="EH280" s="1665"/>
      <c r="EI280" s="1665"/>
      <c r="EJ280" s="1665"/>
      <c r="EK280" s="1667">
        <f>EF280</f>
        <v>44.605181233636735</v>
      </c>
      <c r="EL280" s="1665"/>
      <c r="EM280" s="1665"/>
      <c r="EN280" s="1665"/>
      <c r="EO280" s="1665"/>
      <c r="EP280" s="1667">
        <f>EK280</f>
        <v>44.605181233636735</v>
      </c>
      <c r="EQ280" s="1665"/>
      <c r="ER280" s="1665"/>
      <c r="ES280" s="1665"/>
      <c r="ET280" s="1665"/>
      <c r="EU280" s="1667">
        <f>EP280</f>
        <v>44.605181233636735</v>
      </c>
      <c r="EV280" s="1665"/>
      <c r="EW280" s="1665"/>
      <c r="EX280" s="1665"/>
      <c r="EY280" s="1665"/>
      <c r="EZ280" s="1667">
        <f>EU280</f>
        <v>44.605181233636735</v>
      </c>
      <c r="FA280" s="1665"/>
      <c r="FB280" s="1665"/>
      <c r="FC280" s="1665"/>
      <c r="FD280" s="1665"/>
      <c r="FE280" s="1667">
        <f>EZ280</f>
        <v>44.605181233636735</v>
      </c>
      <c r="FF280" s="876"/>
      <c r="FG280" s="690"/>
      <c r="FH280" s="754"/>
      <c r="FI280" s="754"/>
      <c r="FJ280" s="754"/>
      <c r="FK280" s="754"/>
      <c r="FL280" s="690"/>
      <c r="FM280" s="747"/>
      <c r="FN280" s="747"/>
      <c r="FO280" s="720"/>
      <c r="FP280" s="720"/>
      <c r="FQ280" s="720"/>
      <c r="FR280" s="720"/>
      <c r="FS280" s="720"/>
      <c r="FT280" s="720"/>
      <c r="FU280" s="690"/>
      <c r="FV280"/>
      <c r="FW280"/>
      <c r="FX280"/>
      <c r="FY280"/>
      <c r="FZ280"/>
      <c r="GA280"/>
      <c r="GB280" s="1624"/>
      <c r="GC280" s="532"/>
      <c r="GD280" s="532"/>
      <c r="GE280" s="532"/>
      <c r="GF280" s="532"/>
      <c r="GG280" s="532"/>
      <c r="GH280" s="532"/>
      <c r="GI280" s="532"/>
      <c r="GJ280" s="532"/>
      <c r="GK280" s="532"/>
      <c r="GL280" s="532"/>
      <c r="GM280" s="532"/>
      <c r="GN280" s="532"/>
      <c r="GO280" s="532"/>
      <c r="GP280" s="532"/>
      <c r="GQ280" s="532"/>
      <c r="GR280" s="532"/>
      <c r="GS280" s="532"/>
      <c r="GT280" s="532"/>
      <c r="GU280" s="532"/>
      <c r="GV280" s="532"/>
      <c r="GW280" s="532"/>
      <c r="GX280" s="532"/>
      <c r="GY280" s="532"/>
      <c r="GZ280" s="532"/>
      <c r="HA280" s="532"/>
      <c r="HB280" s="532"/>
      <c r="HC280" s="532"/>
      <c r="HD280" s="532"/>
      <c r="HE280" s="532"/>
      <c r="HF280" s="532"/>
      <c r="HG280" s="532"/>
      <c r="HH280" s="532"/>
      <c r="HI280" s="532"/>
      <c r="HJ280" s="532"/>
      <c r="HK280" s="532"/>
      <c r="HL280" s="532"/>
      <c r="HM280" s="532"/>
      <c r="HN280" s="532"/>
      <c r="HO280" s="532"/>
      <c r="HP280" s="532"/>
      <c r="HQ280" s="532"/>
      <c r="HR280" s="532"/>
      <c r="HS280" s="532"/>
      <c r="HT280" s="532"/>
      <c r="HU280" s="532"/>
      <c r="HV280" s="532"/>
      <c r="HW280" s="532"/>
      <c r="HX280" s="532"/>
      <c r="HY280" s="532"/>
      <c r="HZ280" s="532"/>
      <c r="IA280" s="532"/>
      <c r="IB280" s="532"/>
      <c r="IC280" s="532"/>
      <c r="ID280" s="532"/>
      <c r="IE280" s="532"/>
      <c r="IF280" s="532"/>
      <c r="IG280" s="532"/>
      <c r="IH280" s="532"/>
      <c r="II280" s="532"/>
      <c r="IJ280" s="532"/>
      <c r="IK280" s="532"/>
      <c r="IL280" s="532"/>
      <c r="IM280" s="532"/>
      <c r="IN280" s="532"/>
      <c r="IO280" s="532"/>
      <c r="IP280" s="532"/>
      <c r="IQ280" s="532"/>
      <c r="IR280" s="532"/>
      <c r="IS280" s="532"/>
      <c r="IT280" s="532"/>
      <c r="IU280" s="532"/>
      <c r="IV280" s="532"/>
      <c r="IW280" s="532"/>
      <c r="IX280" s="532"/>
      <c r="IY280" s="532"/>
      <c r="IZ280" s="532"/>
      <c r="JA280" s="532"/>
      <c r="JB280" s="532"/>
      <c r="JC280" s="532"/>
      <c r="JD280" s="532"/>
      <c r="JE280" s="532"/>
      <c r="JF280" s="532"/>
      <c r="JG280" s="532"/>
      <c r="JH280" s="532"/>
      <c r="JI280" s="532"/>
      <c r="JJ280" s="532"/>
      <c r="JK280" s="532"/>
      <c r="JL280" s="532"/>
    </row>
    <row r="281" spans="1:272" s="942" customFormat="1" ht="12.75" hidden="1" customHeight="1" outlineLevel="1">
      <c r="A281" s="1071" t="s">
        <v>446</v>
      </c>
      <c r="B281" s="938"/>
      <c r="C281" s="938"/>
      <c r="D281" s="938"/>
      <c r="E281" s="938"/>
      <c r="F281" s="1196"/>
      <c r="G281" s="938"/>
      <c r="H281" s="938"/>
      <c r="I281" s="938"/>
      <c r="J281" s="938"/>
      <c r="K281" s="1196"/>
      <c r="L281" s="938"/>
      <c r="M281" s="938"/>
      <c r="N281" s="938"/>
      <c r="O281" s="938"/>
      <c r="P281" s="1196"/>
      <c r="Q281" s="938"/>
      <c r="R281" s="938"/>
      <c r="S281" s="938"/>
      <c r="T281" s="938"/>
      <c r="U281" s="1196"/>
      <c r="V281" s="938"/>
      <c r="W281" s="938"/>
      <c r="X281" s="938"/>
      <c r="Y281" s="938"/>
      <c r="Z281" s="1196"/>
      <c r="AA281" s="938"/>
      <c r="AB281" s="938"/>
      <c r="AC281" s="938"/>
      <c r="AD281" s="938"/>
      <c r="AE281" s="1196"/>
      <c r="AF281" s="938"/>
      <c r="AG281" s="938"/>
      <c r="AH281" s="938"/>
      <c r="AI281" s="938"/>
      <c r="AJ281" s="1196"/>
      <c r="AK281" s="938"/>
      <c r="AL281" s="938"/>
      <c r="AM281" s="938"/>
      <c r="AN281" s="938"/>
      <c r="AO281" s="1196"/>
      <c r="AP281" s="938"/>
      <c r="AQ281" s="938"/>
      <c r="AR281" s="938"/>
      <c r="AS281" s="938"/>
      <c r="AT281" s="1196"/>
      <c r="AU281" s="938"/>
      <c r="AV281" s="938"/>
      <c r="AW281" s="938"/>
      <c r="AX281" s="938"/>
      <c r="AY281" s="1196"/>
      <c r="AZ281" s="938"/>
      <c r="BA281" s="938"/>
      <c r="BB281" s="938"/>
      <c r="BC281" s="938"/>
      <c r="BD281" s="1196"/>
      <c r="BE281" s="938"/>
      <c r="BF281" s="938"/>
      <c r="BG281" s="938"/>
      <c r="BH281" s="938"/>
      <c r="BI281" s="1196"/>
      <c r="BJ281" s="938"/>
      <c r="BK281" s="938"/>
      <c r="BL281" s="938"/>
      <c r="BM281" s="938"/>
      <c r="BN281" s="1196">
        <f>BN283-BN278-BN279</f>
        <v>192.5390000000001</v>
      </c>
      <c r="BO281" s="938"/>
      <c r="BP281" s="938"/>
      <c r="BQ281" s="938"/>
      <c r="BR281" s="938"/>
      <c r="BS281" s="1196">
        <f>BS283-BS278-BS279</f>
        <v>152.51200000000006</v>
      </c>
      <c r="BT281" s="938"/>
      <c r="BU281" s="1422"/>
      <c r="BV281" s="938"/>
      <c r="BW281" s="938"/>
      <c r="BX281" s="1196">
        <f>BX283-BX278-BX279</f>
        <v>844.04099999999994</v>
      </c>
      <c r="BY281" s="938"/>
      <c r="BZ281" s="1422"/>
      <c r="CA281" s="938"/>
      <c r="CB281" s="938"/>
      <c r="CC281" s="1196">
        <f>CC283-CC278-CC279</f>
        <v>607.63800000000003</v>
      </c>
      <c r="CD281" s="938"/>
      <c r="CE281" s="938"/>
      <c r="CF281" s="938"/>
      <c r="CG281" s="938"/>
      <c r="CH281" s="1196">
        <f>CH283-CH278-CH279</f>
        <v>461.46000000000004</v>
      </c>
      <c r="CI281" s="938"/>
      <c r="CJ281" s="938"/>
      <c r="CK281" s="938"/>
      <c r="CL281" s="938"/>
      <c r="CM281" s="1196">
        <f>CM283-CM278-CM279</f>
        <v>297.14199999999994</v>
      </c>
      <c r="CN281" s="938"/>
      <c r="CO281" s="938"/>
      <c r="CP281" s="938"/>
      <c r="CQ281" s="938"/>
      <c r="CR281" s="1196">
        <f>CR283-CR278-CR279</f>
        <v>202.47100000000012</v>
      </c>
      <c r="CS281" s="938"/>
      <c r="CT281" s="938"/>
      <c r="CU281" s="938"/>
      <c r="CV281" s="938"/>
      <c r="CW281" s="1196">
        <f>CW283-CW278-CW279</f>
        <v>195.47000000000014</v>
      </c>
      <c r="CX281" s="938"/>
      <c r="CY281" s="938"/>
      <c r="CZ281" s="938"/>
      <c r="DA281" s="938"/>
      <c r="DB281" s="1196">
        <f>DB283-DB278-DB279</f>
        <v>142.0470000000002</v>
      </c>
      <c r="DC281" s="938"/>
      <c r="DD281" s="938"/>
      <c r="DE281" s="938"/>
      <c r="DF281" s="938"/>
      <c r="DG281" s="1196">
        <f>DG283-DG278-DG279</f>
        <v>79.742999999999938</v>
      </c>
      <c r="DH281" s="938"/>
      <c r="DI281" s="938"/>
      <c r="DJ281" s="938"/>
      <c r="DK281" s="938"/>
      <c r="DL281" s="1196">
        <f>DL283-DL278-DL279</f>
        <v>161.60300000000007</v>
      </c>
      <c r="DM281" s="938">
        <f>DM283-DM278-DM279</f>
        <v>139.2299999999999</v>
      </c>
      <c r="DN281" s="938">
        <f>DN283-DN278-DN279</f>
        <v>146.95800000000008</v>
      </c>
      <c r="DO281" s="938"/>
      <c r="DP281" s="938">
        <f>+DQ281</f>
        <v>110.58100000000002</v>
      </c>
      <c r="DQ281" s="1196">
        <f>DQ283-DQ278-DQ279</f>
        <v>110.58100000000002</v>
      </c>
      <c r="DR281" s="938">
        <f>DR283-DR278-DR279</f>
        <v>171.47000000000014</v>
      </c>
      <c r="DS281" s="938">
        <f>DS283-DS278-DS279</f>
        <v>90.342000000000098</v>
      </c>
      <c r="DT281" s="938">
        <f>DT283-DT278-DT279</f>
        <v>83.876999999999953</v>
      </c>
      <c r="DU281" s="938">
        <f>+DV281</f>
        <v>97.203000000000202</v>
      </c>
      <c r="DV281" s="1196">
        <f>DV283-DV278-DV279</f>
        <v>97.203000000000202</v>
      </c>
      <c r="DW281" s="938">
        <f>DW283-DW278-DW279</f>
        <v>115.41800000000001</v>
      </c>
      <c r="DX281" s="938">
        <f>DX283-DX278-DX279</f>
        <v>108.30400000000009</v>
      </c>
      <c r="DY281" s="938">
        <f>DY283-DY278-DY279</f>
        <v>79.534999999999854</v>
      </c>
      <c r="DZ281" s="938">
        <f>+EA281</f>
        <v>109.25000000000034</v>
      </c>
      <c r="EA281" s="1196">
        <f>EA283-EA278-EA279</f>
        <v>109.25000000000034</v>
      </c>
      <c r="EB281" s="938">
        <f>EB283-EB278-EB279</f>
        <v>118.7700000000001</v>
      </c>
      <c r="EC281" s="938"/>
      <c r="ED281" s="938"/>
      <c r="EE281" s="938"/>
      <c r="EF281" s="1196">
        <f>EF282*CNW!EF$198</f>
        <v>104.52316795806537</v>
      </c>
      <c r="EG281" s="938"/>
      <c r="EH281" s="938"/>
      <c r="EI281" s="938"/>
      <c r="EJ281" s="938"/>
      <c r="EK281" s="1196">
        <f>EK282*CNW!EK$198</f>
        <v>64.828548368956888</v>
      </c>
      <c r="EL281" s="938"/>
      <c r="EM281" s="938"/>
      <c r="EN281" s="938"/>
      <c r="EO281" s="938"/>
      <c r="EP281" s="1196">
        <f>EP282*CNW!EP$198</f>
        <v>68.514704182813063</v>
      </c>
      <c r="EQ281" s="938"/>
      <c r="ER281" s="938"/>
      <c r="ES281" s="938"/>
      <c r="ET281" s="938"/>
      <c r="EU281" s="1196">
        <f>EU282*CNW!EU$198</f>
        <v>72.217197852269791</v>
      </c>
      <c r="EV281" s="938"/>
      <c r="EW281" s="938"/>
      <c r="EX281" s="938"/>
      <c r="EY281" s="938"/>
      <c r="EZ281" s="1196">
        <f>EZ282*CNW!EZ$198</f>
        <v>76.516758937069639</v>
      </c>
      <c r="FA281" s="938"/>
      <c r="FB281" s="938"/>
      <c r="FC281" s="938"/>
      <c r="FD281" s="938"/>
      <c r="FE281" s="1196">
        <f>FE282*CNW!FE$198</f>
        <v>80.964737415790097</v>
      </c>
      <c r="FF281" s="938"/>
      <c r="FG281" s="690"/>
      <c r="FH281" s="754"/>
      <c r="FI281" s="754"/>
      <c r="FJ281" s="754"/>
      <c r="FK281" s="754"/>
      <c r="FL281" s="690"/>
      <c r="FM281" s="940"/>
      <c r="FN281" s="940"/>
      <c r="FO281" s="941"/>
      <c r="FP281" s="941"/>
      <c r="FQ281" s="941"/>
      <c r="FR281" s="941"/>
      <c r="FS281" s="941"/>
      <c r="FT281" s="941"/>
      <c r="FU281" s="690"/>
      <c r="FV281"/>
      <c r="FW281"/>
      <c r="FX281"/>
      <c r="FY281"/>
      <c r="FZ281"/>
      <c r="GA281"/>
      <c r="GB281" s="1612"/>
      <c r="GC281" s="1426"/>
      <c r="GD281" s="1426"/>
      <c r="GE281" s="1426"/>
      <c r="GF281" s="1426"/>
      <c r="GG281" s="1426"/>
      <c r="GH281" s="1426"/>
      <c r="GI281" s="1426"/>
      <c r="GJ281" s="1426"/>
      <c r="GK281" s="1426"/>
      <c r="GL281" s="1426"/>
      <c r="GM281" s="1426"/>
      <c r="GN281" s="1426"/>
      <c r="GO281" s="1426"/>
      <c r="GP281" s="1426"/>
      <c r="GQ281" s="1426"/>
      <c r="GR281" s="1426"/>
      <c r="GS281" s="1426"/>
      <c r="GT281" s="1426"/>
      <c r="GU281" s="1426"/>
      <c r="GV281" s="1426"/>
      <c r="GW281" s="1426"/>
      <c r="GX281" s="1426"/>
      <c r="GY281" s="1426"/>
      <c r="GZ281" s="1426"/>
      <c r="HA281" s="1426"/>
      <c r="HB281" s="1426"/>
      <c r="HC281" s="1426"/>
      <c r="HD281" s="1426"/>
      <c r="HE281" s="1426"/>
      <c r="HF281" s="1426"/>
      <c r="HG281" s="1426"/>
      <c r="HH281" s="1426"/>
      <c r="HI281" s="1426"/>
      <c r="HJ281" s="1426"/>
      <c r="HK281" s="1426"/>
      <c r="HL281" s="1426"/>
      <c r="HM281" s="1426"/>
      <c r="HN281" s="1426"/>
      <c r="HO281" s="1426"/>
      <c r="HP281" s="1426"/>
      <c r="HQ281" s="1426"/>
      <c r="HR281" s="1426"/>
      <c r="HS281" s="1426"/>
      <c r="HT281" s="1426"/>
      <c r="HU281" s="1426"/>
      <c r="HV281" s="1426"/>
      <c r="HW281" s="1426"/>
      <c r="HX281" s="1426"/>
      <c r="HY281" s="1426"/>
      <c r="HZ281" s="1426"/>
      <c r="IA281" s="1426"/>
      <c r="IB281" s="1426"/>
      <c r="IC281" s="1426"/>
      <c r="ID281" s="1426"/>
      <c r="IE281" s="1426"/>
      <c r="IF281" s="1426"/>
      <c r="IG281" s="1426"/>
      <c r="IH281" s="1426"/>
      <c r="II281" s="1426"/>
      <c r="IJ281" s="1426"/>
      <c r="IK281" s="1426"/>
      <c r="IL281" s="1426"/>
      <c r="IM281" s="1426"/>
      <c r="IN281" s="1426"/>
      <c r="IO281" s="1426"/>
      <c r="IP281" s="1426"/>
      <c r="IQ281" s="1426"/>
      <c r="IR281" s="1426"/>
      <c r="IS281" s="1426"/>
      <c r="IT281" s="1426"/>
      <c r="IU281" s="1426"/>
      <c r="IV281" s="1426"/>
      <c r="IW281" s="1426"/>
      <c r="IX281" s="1426"/>
      <c r="IY281" s="1426"/>
      <c r="IZ281" s="1426"/>
      <c r="JA281" s="1426"/>
      <c r="JB281" s="1426"/>
      <c r="JC281" s="1426"/>
      <c r="JD281" s="1426"/>
      <c r="JE281" s="1426"/>
      <c r="JF281" s="1426"/>
      <c r="JG281" s="1426"/>
      <c r="JH281" s="1426"/>
      <c r="JI281" s="1426"/>
      <c r="JJ281" s="1426"/>
      <c r="JK281" s="1426"/>
      <c r="JL281" s="1426"/>
    </row>
    <row r="282" spans="1:272" s="1603" customFormat="1" ht="12.75" hidden="1" customHeight="1" outlineLevel="1">
      <c r="A282" s="1668" t="s">
        <v>245</v>
      </c>
      <c r="B282" s="712"/>
      <c r="C282" s="712"/>
      <c r="D282" s="712"/>
      <c r="E282" s="712"/>
      <c r="F282" s="1635"/>
      <c r="G282" s="712"/>
      <c r="H282" s="712"/>
      <c r="I282" s="712"/>
      <c r="J282" s="712"/>
      <c r="K282" s="1635"/>
      <c r="L282" s="712"/>
      <c r="M282" s="712"/>
      <c r="N282" s="712"/>
      <c r="O282" s="712"/>
      <c r="P282" s="1635"/>
      <c r="Q282" s="712"/>
      <c r="R282" s="712"/>
      <c r="S282" s="712"/>
      <c r="T282" s="712"/>
      <c r="U282" s="1635"/>
      <c r="V282" s="712"/>
      <c r="W282" s="712"/>
      <c r="X282" s="712"/>
      <c r="Y282" s="712"/>
      <c r="Z282" s="1635"/>
      <c r="AA282" s="712"/>
      <c r="AB282" s="712"/>
      <c r="AC282" s="712"/>
      <c r="AD282" s="712"/>
      <c r="AE282" s="1635"/>
      <c r="AF282" s="1048"/>
      <c r="AG282" s="1048"/>
      <c r="AH282" s="1048"/>
      <c r="AI282" s="1048"/>
      <c r="AJ282" s="1635"/>
      <c r="AK282" s="879"/>
      <c r="AL282" s="879"/>
      <c r="AM282" s="879"/>
      <c r="AN282" s="879"/>
      <c r="AO282" s="1635"/>
      <c r="AP282" s="879"/>
      <c r="AQ282" s="879"/>
      <c r="AR282" s="879"/>
      <c r="AS282" s="879"/>
      <c r="AT282" s="1635"/>
      <c r="AU282" s="879"/>
      <c r="AV282" s="879"/>
      <c r="AW282" s="879"/>
      <c r="AX282" s="879"/>
      <c r="AY282" s="1635"/>
      <c r="AZ282" s="879"/>
      <c r="BA282" s="879"/>
      <c r="BB282" s="879"/>
      <c r="BC282" s="879"/>
      <c r="BD282" s="1635"/>
      <c r="BE282" s="879"/>
      <c r="BF282" s="879"/>
      <c r="BG282" s="879"/>
      <c r="BH282" s="879"/>
      <c r="BI282" s="1635"/>
      <c r="BJ282" s="879"/>
      <c r="BK282" s="879"/>
      <c r="BL282" s="879"/>
      <c r="BM282" s="879"/>
      <c r="BN282" s="1635"/>
      <c r="BO282" s="879"/>
      <c r="BP282" s="879"/>
      <c r="BQ282" s="879"/>
      <c r="BR282" s="879"/>
      <c r="BS282" s="1635">
        <f>BS281/CNW!BS$198</f>
        <v>5.1120455455799386E-2</v>
      </c>
      <c r="BT282" s="879"/>
      <c r="BU282" s="879"/>
      <c r="BV282" s="879"/>
      <c r="BW282" s="879"/>
      <c r="BX282" s="1635">
        <f>BX281/CNW!BX$198</f>
        <v>0.26485567322163073</v>
      </c>
      <c r="BY282" s="879"/>
      <c r="BZ282" s="879"/>
      <c r="CA282" s="879"/>
      <c r="CB282" s="879"/>
      <c r="CC282" s="1635">
        <f>CC281/CNW!CC$198</f>
        <v>0.16608647545867722</v>
      </c>
      <c r="CD282" s="879"/>
      <c r="CE282" s="879"/>
      <c r="CF282" s="879"/>
      <c r="CG282" s="879"/>
      <c r="CH282" s="1635">
        <f>CH281/CNW!CH$198</f>
        <v>0.11212528018563629</v>
      </c>
      <c r="CI282" s="1669"/>
      <c r="CJ282" s="1669"/>
      <c r="CK282" s="1669"/>
      <c r="CL282" s="1669"/>
      <c r="CM282" s="1635">
        <f>CM281/CNW!CM$198</f>
        <v>7.038814367858838E-2</v>
      </c>
      <c r="CN282" s="1669"/>
      <c r="CO282" s="1669"/>
      <c r="CP282" s="1669"/>
      <c r="CQ282" s="1669"/>
      <c r="CR282" s="1635">
        <f>CR281/CNW!CR$198</f>
        <v>4.6148677462977218E-2</v>
      </c>
      <c r="CS282" s="1669"/>
      <c r="CT282" s="1669"/>
      <c r="CU282" s="1669"/>
      <c r="CV282" s="1669"/>
      <c r="CW282" s="1635">
        <f>CW281/CNW!CW$198</f>
        <v>3.880823940992896E-2</v>
      </c>
      <c r="CX282" s="1669"/>
      <c r="CY282" s="1669"/>
      <c r="CZ282" s="1669"/>
      <c r="DA282" s="1669"/>
      <c r="DB282" s="1635">
        <f>DB281/CNW!DB$198</f>
        <v>3.3272206123854911E-2</v>
      </c>
      <c r="DC282" s="1669"/>
      <c r="DD282" s="1669"/>
      <c r="DE282" s="1669"/>
      <c r="DF282" s="1669"/>
      <c r="DG282" s="1635">
        <f>DG281/DG198</f>
        <v>1.6103227376104461E-2</v>
      </c>
      <c r="DH282" s="1669"/>
      <c r="DI282" s="778"/>
      <c r="DJ282" s="1669"/>
      <c r="DK282" s="1669"/>
      <c r="DL282" s="1635">
        <f>DL281/DL198</f>
        <v>3.0549215933766909E-2</v>
      </c>
      <c r="DM282" s="1669"/>
      <c r="DN282" s="1669"/>
      <c r="DO282" s="1669"/>
      <c r="DP282" s="1669"/>
      <c r="DQ282" s="1635">
        <f>DQ281/DQ198</f>
        <v>1.9816509881464009E-2</v>
      </c>
      <c r="DR282" s="1669"/>
      <c r="DS282" s="1669"/>
      <c r="DT282" s="1669"/>
      <c r="DU282" s="1669"/>
      <c r="DV282" s="1635">
        <f>DV281/DV198</f>
        <v>1.7759305259880814E-2</v>
      </c>
      <c r="DW282" s="1669"/>
      <c r="DX282" s="1669"/>
      <c r="DY282" s="1669"/>
      <c r="DZ282" s="1669"/>
      <c r="EA282" s="1635">
        <f>EA281/EA198</f>
        <v>1.8816517681756854E-2</v>
      </c>
      <c r="EB282" s="1669"/>
      <c r="EC282" s="1669"/>
      <c r="ED282" s="1669"/>
      <c r="EE282" s="1669"/>
      <c r="EF282" s="1670">
        <f>EA282</f>
        <v>1.8816517681756854E-2</v>
      </c>
      <c r="EG282" s="1669"/>
      <c r="EH282" s="1669"/>
      <c r="EI282" s="1669"/>
      <c r="EJ282" s="1669"/>
      <c r="EK282" s="1670">
        <f>EF282</f>
        <v>1.8816517681756854E-2</v>
      </c>
      <c r="EL282" s="1669"/>
      <c r="EM282" s="1669"/>
      <c r="EN282" s="1669"/>
      <c r="EO282" s="1669"/>
      <c r="EP282" s="1670">
        <f>EK282</f>
        <v>1.8816517681756854E-2</v>
      </c>
      <c r="EQ282" s="1669"/>
      <c r="ER282" s="1669"/>
      <c r="ES282" s="1669"/>
      <c r="ET282" s="1669"/>
      <c r="EU282" s="1670">
        <f>EP282</f>
        <v>1.8816517681756854E-2</v>
      </c>
      <c r="EV282" s="1669"/>
      <c r="EW282" s="1669"/>
      <c r="EX282" s="1669"/>
      <c r="EY282" s="1669"/>
      <c r="EZ282" s="1670">
        <f>EU282</f>
        <v>1.8816517681756854E-2</v>
      </c>
      <c r="FA282" s="1669"/>
      <c r="FB282" s="1669"/>
      <c r="FC282" s="1669"/>
      <c r="FD282" s="1669"/>
      <c r="FE282" s="1670">
        <f>EZ282</f>
        <v>1.8816517681756854E-2</v>
      </c>
      <c r="FF282" s="1638"/>
      <c r="FG282" s="690"/>
      <c r="FH282" s="754"/>
      <c r="FI282" s="754"/>
      <c r="FJ282" s="754"/>
      <c r="FK282" s="754"/>
      <c r="FL282" s="690"/>
      <c r="FM282" s="1639"/>
      <c r="FN282" s="1639"/>
      <c r="FO282" s="1640"/>
      <c r="FP282" s="1640"/>
      <c r="FQ282" s="1640"/>
      <c r="FR282" s="1640"/>
      <c r="FS282" s="1640"/>
      <c r="FT282" s="1640"/>
      <c r="FU282" s="690"/>
      <c r="FV282"/>
      <c r="FW282"/>
      <c r="FX282"/>
      <c r="FY282"/>
      <c r="FZ282"/>
      <c r="GA282"/>
      <c r="GB282" s="1671"/>
      <c r="GC282" s="532"/>
      <c r="GD282" s="532"/>
      <c r="GE282" s="532"/>
      <c r="GF282" s="532"/>
      <c r="GG282" s="532"/>
      <c r="GH282" s="532"/>
      <c r="GI282" s="532"/>
      <c r="GJ282" s="532"/>
      <c r="GK282" s="532"/>
      <c r="GL282" s="532"/>
      <c r="GM282" s="532"/>
      <c r="GN282" s="532"/>
      <c r="GO282" s="532"/>
      <c r="GP282" s="532"/>
      <c r="GQ282" s="532"/>
      <c r="GR282" s="532"/>
      <c r="GS282" s="532"/>
      <c r="GT282" s="532"/>
      <c r="GU282" s="532"/>
      <c r="GV282" s="532"/>
      <c r="GW282" s="532"/>
      <c r="GX282" s="532"/>
      <c r="GY282" s="532"/>
      <c r="GZ282" s="532"/>
      <c r="HA282" s="532"/>
      <c r="HB282" s="532"/>
      <c r="HC282" s="532"/>
      <c r="HD282" s="532"/>
      <c r="HE282" s="532"/>
      <c r="HF282" s="532"/>
      <c r="HG282" s="532"/>
      <c r="HH282" s="532"/>
      <c r="HI282" s="532"/>
      <c r="HJ282" s="532"/>
      <c r="HK282" s="532"/>
      <c r="HL282" s="532"/>
      <c r="HM282" s="532"/>
      <c r="HN282" s="532"/>
      <c r="HO282" s="532"/>
      <c r="HP282" s="532"/>
      <c r="HQ282" s="532"/>
      <c r="HR282" s="532"/>
      <c r="HS282" s="532"/>
      <c r="HT282" s="532"/>
      <c r="HU282" s="532"/>
      <c r="HV282" s="532"/>
      <c r="HW282" s="532"/>
      <c r="HX282" s="532"/>
      <c r="HY282" s="532"/>
      <c r="HZ282" s="532"/>
      <c r="IA282" s="532"/>
      <c r="IB282" s="532"/>
      <c r="IC282" s="532"/>
      <c r="ID282" s="532"/>
      <c r="IE282" s="532"/>
      <c r="IF282" s="532"/>
      <c r="IG282" s="532"/>
      <c r="IH282" s="532"/>
      <c r="II282" s="532"/>
      <c r="IJ282" s="532"/>
      <c r="IK282" s="532"/>
      <c r="IL282" s="532"/>
      <c r="IM282" s="532"/>
      <c r="IN282" s="532"/>
      <c r="IO282" s="532"/>
      <c r="IP282" s="532"/>
      <c r="IQ282" s="532"/>
      <c r="IR282" s="532"/>
      <c r="IS282" s="532"/>
      <c r="IT282" s="532"/>
      <c r="IU282" s="532"/>
      <c r="IV282" s="532"/>
      <c r="IW282" s="532"/>
      <c r="IX282" s="532"/>
      <c r="IY282" s="532"/>
      <c r="IZ282" s="532"/>
      <c r="JA282" s="532"/>
      <c r="JB282" s="532"/>
      <c r="JC282" s="532"/>
      <c r="JD282" s="532"/>
      <c r="JE282" s="532"/>
      <c r="JF282" s="532"/>
      <c r="JG282" s="532"/>
      <c r="JH282" s="532"/>
      <c r="JI282" s="532"/>
      <c r="JJ282" s="532"/>
      <c r="JK282" s="532"/>
      <c r="JL282" s="532"/>
    </row>
    <row r="283" spans="1:272" s="942" customFormat="1" ht="12.75" hidden="1" customHeight="1" outlineLevel="1">
      <c r="A283" s="962" t="s">
        <v>98</v>
      </c>
      <c r="B283" s="778"/>
      <c r="C283" s="778"/>
      <c r="D283" s="778"/>
      <c r="E283" s="778"/>
      <c r="F283" s="1074"/>
      <c r="G283" s="778"/>
      <c r="H283" s="778"/>
      <c r="I283" s="778"/>
      <c r="J283" s="778"/>
      <c r="K283" s="1074"/>
      <c r="L283" s="778"/>
      <c r="M283" s="778"/>
      <c r="N283" s="778"/>
      <c r="O283" s="778"/>
      <c r="P283" s="1074"/>
      <c r="Q283" s="778"/>
      <c r="R283" s="778"/>
      <c r="S283" s="778"/>
      <c r="T283" s="778"/>
      <c r="U283" s="1074"/>
      <c r="V283" s="778"/>
      <c r="W283" s="778"/>
      <c r="X283" s="778"/>
      <c r="Y283" s="778"/>
      <c r="Z283" s="1074"/>
      <c r="AA283" s="778"/>
      <c r="AB283" s="778"/>
      <c r="AC283" s="778"/>
      <c r="AD283" s="778"/>
      <c r="AE283" s="1074"/>
      <c r="AF283" s="778"/>
      <c r="AG283" s="778"/>
      <c r="AH283" s="778"/>
      <c r="AI283" s="778"/>
      <c r="AJ283" s="1074"/>
      <c r="AK283" s="778"/>
      <c r="AL283" s="778"/>
      <c r="AM283" s="778"/>
      <c r="AN283" s="778"/>
      <c r="AO283" s="1074"/>
      <c r="AP283" s="778"/>
      <c r="AQ283" s="778"/>
      <c r="AR283" s="778"/>
      <c r="AS283" s="778"/>
      <c r="AT283" s="1074"/>
      <c r="AU283" s="778"/>
      <c r="AV283" s="778"/>
      <c r="AW283" s="778"/>
      <c r="AX283" s="778"/>
      <c r="AY283" s="1074"/>
      <c r="AZ283" s="778"/>
      <c r="BA283" s="778"/>
      <c r="BB283" s="778"/>
      <c r="BC283" s="778"/>
      <c r="BD283" s="1074"/>
      <c r="BE283" s="778"/>
      <c r="BF283" s="778"/>
      <c r="BG283" s="778"/>
      <c r="BH283" s="778"/>
      <c r="BI283" s="1074"/>
      <c r="BJ283" s="778"/>
      <c r="BK283" s="778"/>
      <c r="BL283" s="778"/>
      <c r="BM283" s="778"/>
      <c r="BN283" s="1074">
        <v>1327.846</v>
      </c>
      <c r="BO283" s="778"/>
      <c r="BP283" s="778"/>
      <c r="BQ283" s="778"/>
      <c r="BR283" s="778"/>
      <c r="BS283" s="1074">
        <v>1268.4880000000001</v>
      </c>
      <c r="BT283" s="778"/>
      <c r="BU283" s="778"/>
      <c r="BV283" s="778"/>
      <c r="BW283" s="778"/>
      <c r="BX283" s="1074">
        <v>1329.2339999999999</v>
      </c>
      <c r="BY283" s="778"/>
      <c r="BZ283" s="778"/>
      <c r="CA283" s="778"/>
      <c r="CB283" s="778"/>
      <c r="CC283" s="1074">
        <v>1514.895</v>
      </c>
      <c r="CD283" s="778"/>
      <c r="CE283" s="778"/>
      <c r="CF283" s="778"/>
      <c r="CG283" s="778"/>
      <c r="CH283" s="1074">
        <v>1444.047</v>
      </c>
      <c r="CI283" s="778"/>
      <c r="CJ283" s="778"/>
      <c r="CK283" s="778"/>
      <c r="CL283" s="778"/>
      <c r="CM283" s="1074">
        <v>1090.4839999999999</v>
      </c>
      <c r="CN283" s="778"/>
      <c r="CO283" s="778"/>
      <c r="CP283" s="778"/>
      <c r="CQ283" s="778"/>
      <c r="CR283" s="1074">
        <v>847.10599999999999</v>
      </c>
      <c r="CS283" s="778"/>
      <c r="CT283" s="778"/>
      <c r="CU283" s="778"/>
      <c r="CV283" s="778"/>
      <c r="CW283" s="1074">
        <v>951.08199999999999</v>
      </c>
      <c r="CX283" s="778"/>
      <c r="CY283" s="778"/>
      <c r="CZ283" s="778"/>
      <c r="DA283" s="778"/>
      <c r="DB283" s="1074">
        <v>1076.894</v>
      </c>
      <c r="DC283" s="778"/>
      <c r="DD283" s="778"/>
      <c r="DE283" s="778"/>
      <c r="DF283" s="846"/>
      <c r="DG283" s="1074">
        <v>1120.077</v>
      </c>
      <c r="DH283" s="778"/>
      <c r="DI283" s="778"/>
      <c r="DJ283" s="778"/>
      <c r="DK283" s="846"/>
      <c r="DL283" s="1074">
        <v>1190.3900000000001</v>
      </c>
      <c r="DM283" s="778">
        <v>1234.7539999999999</v>
      </c>
      <c r="DN283" s="778">
        <v>1272.6600000000001</v>
      </c>
      <c r="DO283" s="778">
        <v>1209.0940000000001</v>
      </c>
      <c r="DP283" s="778">
        <f>+DQ283</f>
        <v>1151.374</v>
      </c>
      <c r="DQ283" s="1074">
        <v>1151.374</v>
      </c>
      <c r="DR283" s="778">
        <v>1191.287</v>
      </c>
      <c r="DS283" s="778">
        <v>1181.963</v>
      </c>
      <c r="DT283" s="778">
        <v>1215.5519999999999</v>
      </c>
      <c r="DU283" s="778">
        <f>+DV283</f>
        <v>1207.7809999999999</v>
      </c>
      <c r="DV283" s="1074">
        <v>1207.7809999999999</v>
      </c>
      <c r="DW283" s="778">
        <v>1230.308</v>
      </c>
      <c r="DX283" s="778">
        <v>1345.579</v>
      </c>
      <c r="DY283" s="778">
        <v>1284.1759999999999</v>
      </c>
      <c r="DZ283" s="778">
        <f>+EA283</f>
        <v>1261.4000000000001</v>
      </c>
      <c r="EA283" s="1074">
        <v>1261.4000000000001</v>
      </c>
      <c r="EB283" s="778">
        <v>1293.402</v>
      </c>
      <c r="EC283" s="778"/>
      <c r="ED283" s="778"/>
      <c r="EE283" s="778"/>
      <c r="EF283" s="1074">
        <f>EF278+EF279+EF281</f>
        <v>1215.1999391426875</v>
      </c>
      <c r="EG283" s="778"/>
      <c r="EH283" s="778"/>
      <c r="EI283" s="778"/>
      <c r="EJ283" s="778"/>
      <c r="EK283" s="1074">
        <f>EK278+EK279+EK281</f>
        <v>854.57348341881539</v>
      </c>
      <c r="EL283" s="778"/>
      <c r="EM283" s="778"/>
      <c r="EN283" s="778"/>
      <c r="EO283" s="778"/>
      <c r="EP283" s="1074">
        <f>EP278+EP279+EP281</f>
        <v>1038.0718621848951</v>
      </c>
      <c r="EQ283" s="778"/>
      <c r="ER283" s="778"/>
      <c r="ES283" s="778"/>
      <c r="ET283" s="778"/>
      <c r="EU283" s="1074">
        <f>EU278+EU279+EU281</f>
        <v>1262.660549331699</v>
      </c>
      <c r="EV283" s="778"/>
      <c r="EW283" s="778"/>
      <c r="EX283" s="778"/>
      <c r="EY283" s="778"/>
      <c r="EZ283" s="1074">
        <f>EZ278+EZ279+EZ281</f>
        <v>1527.2790926652947</v>
      </c>
      <c r="FA283" s="778"/>
      <c r="FB283" s="778"/>
      <c r="FC283" s="778"/>
      <c r="FD283" s="778"/>
      <c r="FE283" s="1074">
        <f>FE278+FE279+FE281</f>
        <v>1825.8575531369891</v>
      </c>
      <c r="FF283" s="778"/>
      <c r="FG283" s="690"/>
      <c r="FH283" s="754"/>
      <c r="FI283" s="754"/>
      <c r="FJ283" s="754"/>
      <c r="FK283" s="754"/>
      <c r="FL283" s="690"/>
      <c r="FM283" s="940"/>
      <c r="FN283" s="940"/>
      <c r="FO283" s="719"/>
      <c r="FP283" s="719"/>
      <c r="FQ283" s="719"/>
      <c r="FR283" s="719"/>
      <c r="FS283" s="719"/>
      <c r="FT283" s="719"/>
      <c r="FU283" s="690"/>
      <c r="FV283"/>
      <c r="FW283"/>
      <c r="FX283"/>
      <c r="FY283"/>
      <c r="FZ283"/>
      <c r="GA283"/>
      <c r="GB283" s="1672"/>
      <c r="GC283" s="1426"/>
      <c r="GD283" s="1426"/>
      <c r="GE283" s="1426"/>
      <c r="GF283" s="1426"/>
      <c r="GG283" s="1426"/>
      <c r="GH283" s="1426"/>
      <c r="GI283" s="1426"/>
      <c r="GJ283" s="1426"/>
      <c r="GK283" s="1426"/>
      <c r="GL283" s="1426"/>
      <c r="GM283" s="1426"/>
      <c r="GN283" s="1426"/>
      <c r="GO283" s="1426"/>
      <c r="GP283" s="1426"/>
      <c r="GQ283" s="1426"/>
      <c r="GR283" s="1426"/>
      <c r="GS283" s="1426"/>
      <c r="GT283" s="1426"/>
      <c r="GU283" s="1426"/>
      <c r="GV283" s="1426"/>
      <c r="GW283" s="1426"/>
      <c r="GX283" s="1426"/>
      <c r="GY283" s="1426"/>
      <c r="GZ283" s="1426"/>
      <c r="HA283" s="1426"/>
      <c r="HB283" s="1426"/>
      <c r="HC283" s="1426"/>
      <c r="HD283" s="1426"/>
      <c r="HE283" s="1426"/>
      <c r="HF283" s="1426"/>
      <c r="HG283" s="1426"/>
      <c r="HH283" s="1426"/>
      <c r="HI283" s="1426"/>
      <c r="HJ283" s="1426"/>
      <c r="HK283" s="1426"/>
      <c r="HL283" s="1426"/>
      <c r="HM283" s="1426"/>
      <c r="HN283" s="1426"/>
      <c r="HO283" s="1426"/>
      <c r="HP283" s="1426"/>
      <c r="HQ283" s="1426"/>
      <c r="HR283" s="1426"/>
      <c r="HS283" s="1426"/>
      <c r="HT283" s="1426"/>
      <c r="HU283" s="1426"/>
      <c r="HV283" s="1426"/>
      <c r="HW283" s="1426"/>
      <c r="HX283" s="1426"/>
      <c r="HY283" s="1426"/>
      <c r="HZ283" s="1426"/>
      <c r="IA283" s="1426"/>
      <c r="IB283" s="1426"/>
      <c r="IC283" s="1426"/>
      <c r="ID283" s="1426"/>
      <c r="IE283" s="1426"/>
      <c r="IF283" s="1426"/>
      <c r="IG283" s="1426"/>
      <c r="IH283" s="1426"/>
      <c r="II283" s="1426"/>
      <c r="IJ283" s="1426"/>
      <c r="IK283" s="1426"/>
      <c r="IL283" s="1426"/>
      <c r="IM283" s="1426"/>
      <c r="IN283" s="1426"/>
      <c r="IO283" s="1426"/>
      <c r="IP283" s="1426"/>
      <c r="IQ283" s="1426"/>
      <c r="IR283" s="1426"/>
      <c r="IS283" s="1426"/>
      <c r="IT283" s="1426"/>
      <c r="IU283" s="1426"/>
      <c r="IV283" s="1426"/>
      <c r="IW283" s="1426"/>
      <c r="IX283" s="1426"/>
      <c r="IY283" s="1426"/>
      <c r="IZ283" s="1426"/>
      <c r="JA283" s="1426"/>
      <c r="JB283" s="1426"/>
      <c r="JC283" s="1426"/>
      <c r="JD283" s="1426"/>
      <c r="JE283" s="1426"/>
      <c r="JF283" s="1426"/>
      <c r="JG283" s="1426"/>
      <c r="JH283" s="1426"/>
      <c r="JI283" s="1426"/>
      <c r="JJ283" s="1426"/>
      <c r="JK283" s="1426"/>
      <c r="JL283" s="1426"/>
    </row>
    <row r="284" spans="1:272" s="942" customFormat="1" ht="12.75" hidden="1" customHeight="1" outlineLevel="1">
      <c r="A284" s="1071" t="s">
        <v>447</v>
      </c>
      <c r="B284" s="938"/>
      <c r="C284" s="938"/>
      <c r="D284" s="938"/>
      <c r="E284" s="938"/>
      <c r="F284" s="1196"/>
      <c r="G284" s="938"/>
      <c r="H284" s="938"/>
      <c r="I284" s="938"/>
      <c r="J284" s="938"/>
      <c r="K284" s="1196"/>
      <c r="L284" s="938"/>
      <c r="M284" s="938"/>
      <c r="N284" s="938"/>
      <c r="O284" s="938"/>
      <c r="P284" s="1196"/>
      <c r="Q284" s="938"/>
      <c r="R284" s="938"/>
      <c r="S284" s="938"/>
      <c r="T284" s="938"/>
      <c r="U284" s="1196"/>
      <c r="V284" s="938"/>
      <c r="W284" s="938"/>
      <c r="X284" s="938"/>
      <c r="Y284" s="938"/>
      <c r="Z284" s="1196"/>
      <c r="AA284" s="938"/>
      <c r="AB284" s="938"/>
      <c r="AC284" s="938"/>
      <c r="AD284" s="938"/>
      <c r="AE284" s="1196"/>
      <c r="AF284" s="938"/>
      <c r="AG284" s="938"/>
      <c r="AH284" s="938"/>
      <c r="AI284" s="938"/>
      <c r="AJ284" s="1196"/>
      <c r="AK284" s="938"/>
      <c r="AL284" s="938"/>
      <c r="AM284" s="938"/>
      <c r="AN284" s="938"/>
      <c r="AO284" s="1196"/>
      <c r="AP284" s="938"/>
      <c r="AQ284" s="938"/>
      <c r="AR284" s="938"/>
      <c r="AS284" s="938"/>
      <c r="AT284" s="1196"/>
      <c r="AU284" s="938"/>
      <c r="AV284" s="938"/>
      <c r="AW284" s="938"/>
      <c r="AX284" s="938"/>
      <c r="AY284" s="1196"/>
      <c r="AZ284" s="938"/>
      <c r="BA284" s="938"/>
      <c r="BB284" s="938"/>
      <c r="BC284" s="938"/>
      <c r="BD284" s="1196"/>
      <c r="BE284" s="938"/>
      <c r="BF284" s="938"/>
      <c r="BG284" s="938"/>
      <c r="BH284" s="938"/>
      <c r="BI284" s="1196"/>
      <c r="BJ284" s="938"/>
      <c r="BK284" s="938"/>
      <c r="BL284" s="938"/>
      <c r="BM284" s="938"/>
      <c r="BN284" s="1196">
        <v>1070.529</v>
      </c>
      <c r="BO284" s="938"/>
      <c r="BP284" s="938"/>
      <c r="BQ284" s="938"/>
      <c r="BR284" s="938"/>
      <c r="BS284" s="1196">
        <v>1015.354</v>
      </c>
      <c r="BT284" s="938"/>
      <c r="BU284" s="1422"/>
      <c r="BV284" s="938"/>
      <c r="BW284" s="938"/>
      <c r="BX284" s="1196">
        <v>817.95100000000002</v>
      </c>
      <c r="BY284" s="938"/>
      <c r="BZ284" s="1422"/>
      <c r="CA284" s="938"/>
      <c r="CB284" s="938"/>
      <c r="CC284" s="1196">
        <v>859.32100000000014</v>
      </c>
      <c r="CD284" s="938"/>
      <c r="CE284" s="938"/>
      <c r="CF284" s="938"/>
      <c r="CG284" s="938"/>
      <c r="CH284" s="1196">
        <v>951.54199999999992</v>
      </c>
      <c r="CI284" s="938"/>
      <c r="CJ284" s="938"/>
      <c r="CK284" s="938"/>
      <c r="CL284" s="938"/>
      <c r="CM284" s="1196">
        <v>1117.9780000000001</v>
      </c>
      <c r="CN284" s="938"/>
      <c r="CO284" s="938"/>
      <c r="CP284" s="938"/>
      <c r="CQ284" s="938"/>
      <c r="CR284" s="1196">
        <v>1458.788</v>
      </c>
      <c r="CS284" s="938"/>
      <c r="CT284" s="938"/>
      <c r="CU284" s="938"/>
      <c r="CV284" s="938"/>
      <c r="CW284" s="1196">
        <v>1471.9559999999999</v>
      </c>
      <c r="CX284" s="938"/>
      <c r="CY284" s="938"/>
      <c r="CZ284" s="938"/>
      <c r="DA284" s="938"/>
      <c r="DB284" s="1196">
        <v>1375.2729999999999</v>
      </c>
      <c r="DC284" s="938"/>
      <c r="DD284" s="938"/>
      <c r="DE284" s="938"/>
      <c r="DF284" s="938"/>
      <c r="DG284" s="1196">
        <v>1404.585</v>
      </c>
      <c r="DH284" s="938"/>
      <c r="DI284" s="938"/>
      <c r="DJ284" s="938"/>
      <c r="DK284" s="938"/>
      <c r="DL284" s="1196">
        <v>1496.0329999999999</v>
      </c>
      <c r="DM284" s="938">
        <v>1525.6379999999999</v>
      </c>
      <c r="DN284" s="938">
        <v>1535.751</v>
      </c>
      <c r="DO284" s="938">
        <v>1546.501</v>
      </c>
      <c r="DP284" s="938">
        <f>+DQ284</f>
        <v>1586.6010000000001</v>
      </c>
      <c r="DQ284" s="1196">
        <v>1586.6010000000001</v>
      </c>
      <c r="DR284" s="938">
        <v>1566.5</v>
      </c>
      <c r="DS284" s="938">
        <v>1589.0809999999999</v>
      </c>
      <c r="DT284" s="938">
        <v>1614.271</v>
      </c>
      <c r="DU284" s="938">
        <f>+DV284</f>
        <v>1656.8330000000001</v>
      </c>
      <c r="DV284" s="1196">
        <v>1656.8330000000001</v>
      </c>
      <c r="DW284" s="938">
        <v>1638.0129999999999</v>
      </c>
      <c r="DX284" s="938">
        <v>1628.421</v>
      </c>
      <c r="DY284" s="938">
        <v>1653.8789999999999</v>
      </c>
      <c r="DZ284" s="938">
        <f>+EA284</f>
        <v>1654.211</v>
      </c>
      <c r="EA284" s="1196">
        <v>1654.211</v>
      </c>
      <c r="EB284" s="938">
        <v>1646.4169999999999</v>
      </c>
      <c r="EC284" s="938"/>
      <c r="ED284" s="938"/>
      <c r="EE284" s="938"/>
      <c r="EF284" s="1196">
        <f>EA284-EF260-EF261-EF255</f>
        <v>1739.3230000000001</v>
      </c>
      <c r="EG284" s="938"/>
      <c r="EH284" s="938"/>
      <c r="EI284" s="938"/>
      <c r="EJ284" s="938"/>
      <c r="EK284" s="1196">
        <f>EF284-EK260-EK261-EK255</f>
        <v>1811.5230000000001</v>
      </c>
      <c r="EL284" s="938"/>
      <c r="EM284" s="938"/>
      <c r="EN284" s="938"/>
      <c r="EO284" s="938"/>
      <c r="EP284" s="1196">
        <f>EK284-EP260-EP261-EP255</f>
        <v>1853.623</v>
      </c>
      <c r="EQ284" s="938"/>
      <c r="ER284" s="938"/>
      <c r="ES284" s="938"/>
      <c r="ET284" s="938"/>
      <c r="EU284" s="1196">
        <f>EP284-EU260-EU261-EU255</f>
        <v>1889.623</v>
      </c>
      <c r="EV284" s="938"/>
      <c r="EW284" s="938"/>
      <c r="EX284" s="938"/>
      <c r="EY284" s="938"/>
      <c r="EZ284" s="1196">
        <f>EU284-EZ260-EZ261-EZ255</f>
        <v>1916.0630000000001</v>
      </c>
      <c r="FA284" s="938"/>
      <c r="FB284" s="938"/>
      <c r="FC284" s="938"/>
      <c r="FD284" s="938"/>
      <c r="FE284" s="1196">
        <f>EZ284-FE260-FE261-FE255</f>
        <v>1932.5606</v>
      </c>
      <c r="FF284" s="938"/>
      <c r="FG284" s="690"/>
      <c r="FH284" s="754"/>
      <c r="FI284" s="754"/>
      <c r="FJ284" s="754"/>
      <c r="FK284" s="754"/>
      <c r="FL284" s="690"/>
      <c r="FM284" s="940"/>
      <c r="FN284" s="940"/>
      <c r="FO284" s="941"/>
      <c r="FP284" s="941"/>
      <c r="FQ284" s="941"/>
      <c r="FR284" s="941"/>
      <c r="FS284" s="941"/>
      <c r="FT284" s="941"/>
      <c r="FU284" s="690"/>
      <c r="FV284"/>
      <c r="FW284"/>
      <c r="FX284"/>
      <c r="FY284"/>
      <c r="FZ284"/>
      <c r="GA284"/>
      <c r="GB284" s="1612"/>
      <c r="GC284" s="1426"/>
      <c r="GD284" s="1426"/>
      <c r="GE284" s="1426"/>
      <c r="GF284" s="1426"/>
      <c r="GG284" s="1426"/>
      <c r="GH284" s="1426"/>
      <c r="GI284" s="1426"/>
      <c r="GJ284" s="1426"/>
      <c r="GK284" s="1426"/>
      <c r="GL284" s="1426"/>
      <c r="GM284" s="1426"/>
      <c r="GN284" s="1426"/>
      <c r="GO284" s="1426"/>
      <c r="GP284" s="1426"/>
      <c r="GQ284" s="1426"/>
      <c r="GR284" s="1426"/>
      <c r="GS284" s="1426"/>
      <c r="GT284" s="1426"/>
      <c r="GU284" s="1426"/>
      <c r="GV284" s="1426"/>
      <c r="GW284" s="1426"/>
      <c r="GX284" s="1426"/>
      <c r="GY284" s="1426"/>
      <c r="GZ284" s="1426"/>
      <c r="HA284" s="1426"/>
      <c r="HB284" s="1426"/>
      <c r="HC284" s="1426"/>
      <c r="HD284" s="1426"/>
      <c r="HE284" s="1426"/>
      <c r="HF284" s="1426"/>
      <c r="HG284" s="1426"/>
      <c r="HH284" s="1426"/>
      <c r="HI284" s="1426"/>
      <c r="HJ284" s="1426"/>
      <c r="HK284" s="1426"/>
      <c r="HL284" s="1426"/>
      <c r="HM284" s="1426"/>
      <c r="HN284" s="1426"/>
      <c r="HO284" s="1426"/>
      <c r="HP284" s="1426"/>
      <c r="HQ284" s="1426"/>
      <c r="HR284" s="1426"/>
      <c r="HS284" s="1426"/>
      <c r="HT284" s="1426"/>
      <c r="HU284" s="1426"/>
      <c r="HV284" s="1426"/>
      <c r="HW284" s="1426"/>
      <c r="HX284" s="1426"/>
      <c r="HY284" s="1426"/>
      <c r="HZ284" s="1426"/>
      <c r="IA284" s="1426"/>
      <c r="IB284" s="1426"/>
      <c r="IC284" s="1426"/>
      <c r="ID284" s="1426"/>
      <c r="IE284" s="1426"/>
      <c r="IF284" s="1426"/>
      <c r="IG284" s="1426"/>
      <c r="IH284" s="1426"/>
      <c r="II284" s="1426"/>
      <c r="IJ284" s="1426"/>
      <c r="IK284" s="1426"/>
      <c r="IL284" s="1426"/>
      <c r="IM284" s="1426"/>
      <c r="IN284" s="1426"/>
      <c r="IO284" s="1426"/>
      <c r="IP284" s="1426"/>
      <c r="IQ284" s="1426"/>
      <c r="IR284" s="1426"/>
      <c r="IS284" s="1426"/>
      <c r="IT284" s="1426"/>
      <c r="IU284" s="1426"/>
      <c r="IV284" s="1426"/>
      <c r="IW284" s="1426"/>
      <c r="IX284" s="1426"/>
      <c r="IY284" s="1426"/>
      <c r="IZ284" s="1426"/>
      <c r="JA284" s="1426"/>
      <c r="JB284" s="1426"/>
      <c r="JC284" s="1426"/>
      <c r="JD284" s="1426"/>
      <c r="JE284" s="1426"/>
      <c r="JF284" s="1426"/>
      <c r="JG284" s="1426"/>
      <c r="JH284" s="1426"/>
      <c r="JI284" s="1426"/>
      <c r="JJ284" s="1426"/>
      <c r="JK284" s="1426"/>
      <c r="JL284" s="1426"/>
    </row>
    <row r="285" spans="1:272" s="942" customFormat="1" ht="12.75" hidden="1" customHeight="1" outlineLevel="1">
      <c r="A285" s="1071" t="s">
        <v>448</v>
      </c>
      <c r="B285" s="938"/>
      <c r="C285" s="938"/>
      <c r="D285" s="938"/>
      <c r="E285" s="938"/>
      <c r="F285" s="1196"/>
      <c r="G285" s="938"/>
      <c r="H285" s="938"/>
      <c r="I285" s="938"/>
      <c r="J285" s="938"/>
      <c r="K285" s="1196"/>
      <c r="L285" s="938"/>
      <c r="M285" s="938"/>
      <c r="N285" s="938"/>
      <c r="O285" s="938"/>
      <c r="P285" s="1196"/>
      <c r="Q285" s="938"/>
      <c r="R285" s="938"/>
      <c r="S285" s="938"/>
      <c r="T285" s="938"/>
      <c r="U285" s="1196"/>
      <c r="V285" s="938"/>
      <c r="W285" s="938"/>
      <c r="X285" s="938"/>
      <c r="Y285" s="938"/>
      <c r="Z285" s="1196"/>
      <c r="AA285" s="938"/>
      <c r="AB285" s="938"/>
      <c r="AC285" s="938"/>
      <c r="AD285" s="938"/>
      <c r="AE285" s="1196"/>
      <c r="AF285" s="938"/>
      <c r="AG285" s="938"/>
      <c r="AH285" s="938"/>
      <c r="AI285" s="938"/>
      <c r="AJ285" s="1196"/>
      <c r="AK285" s="938"/>
      <c r="AL285" s="938"/>
      <c r="AM285" s="938"/>
      <c r="AN285" s="938"/>
      <c r="AO285" s="1196"/>
      <c r="AP285" s="938"/>
      <c r="AQ285" s="938"/>
      <c r="AR285" s="938"/>
      <c r="AS285" s="938"/>
      <c r="AT285" s="1196"/>
      <c r="AU285" s="938"/>
      <c r="AV285" s="938"/>
      <c r="AW285" s="938"/>
      <c r="AX285" s="938"/>
      <c r="AY285" s="1196"/>
      <c r="AZ285" s="938"/>
      <c r="BA285" s="938"/>
      <c r="BB285" s="938"/>
      <c r="BC285" s="938"/>
      <c r="BD285" s="1196"/>
      <c r="BE285" s="938"/>
      <c r="BF285" s="938"/>
      <c r="BG285" s="938"/>
      <c r="BH285" s="938"/>
      <c r="BI285" s="1196"/>
      <c r="BJ285" s="938"/>
      <c r="BK285" s="938"/>
      <c r="BL285" s="938"/>
      <c r="BM285" s="938"/>
      <c r="BN285" s="1196">
        <f>BN287-BN283-BN284</f>
        <v>591.64499999999998</v>
      </c>
      <c r="BO285" s="938"/>
      <c r="BP285" s="938"/>
      <c r="BQ285" s="938"/>
      <c r="BR285" s="938"/>
      <c r="BS285" s="1196">
        <f>BS287-BS283-BS284</f>
        <v>455.91899999999987</v>
      </c>
      <c r="BT285" s="938"/>
      <c r="BU285" s="1422"/>
      <c r="BV285" s="938"/>
      <c r="BW285" s="938"/>
      <c r="BX285" s="1196">
        <f>BX287-BX283-BX284</f>
        <v>626.45499999999993</v>
      </c>
      <c r="BY285" s="938"/>
      <c r="BZ285" s="1422"/>
      <c r="CA285" s="938"/>
      <c r="CB285" s="938"/>
      <c r="CC285" s="1196">
        <f>CC287-CC283-CC284</f>
        <v>122.18499999999972</v>
      </c>
      <c r="CD285" s="938"/>
      <c r="CE285" s="938"/>
      <c r="CF285" s="938"/>
      <c r="CG285" s="938"/>
      <c r="CH285" s="1196">
        <f>CH287-CH283-CH284</f>
        <v>84.983000000000175</v>
      </c>
      <c r="CI285" s="938"/>
      <c r="CJ285" s="938"/>
      <c r="CK285" s="938"/>
      <c r="CL285" s="938"/>
      <c r="CM285" s="1196">
        <f>CM287-CM283-CM284</f>
        <v>93.427000000000135</v>
      </c>
      <c r="CN285" s="938"/>
      <c r="CO285" s="938"/>
      <c r="CP285" s="938"/>
      <c r="CQ285" s="938"/>
      <c r="CR285" s="1196">
        <f>CR287-CR283-CR284</f>
        <v>703.41400000000021</v>
      </c>
      <c r="CS285" s="938"/>
      <c r="CT285" s="938"/>
      <c r="CU285" s="938"/>
      <c r="CV285" s="938"/>
      <c r="CW285" s="1196">
        <f>CW287-CW283-CW284</f>
        <v>648.6690000000001</v>
      </c>
      <c r="CX285" s="938"/>
      <c r="CY285" s="938"/>
      <c r="CZ285" s="938"/>
      <c r="DA285" s="938"/>
      <c r="DB285" s="1196">
        <f>DB287-DB283-DB284</f>
        <v>444.05000000000018</v>
      </c>
      <c r="DC285" s="938"/>
      <c r="DD285" s="938"/>
      <c r="DE285" s="938"/>
      <c r="DF285" s="938"/>
      <c r="DG285" s="1196">
        <f>DG287-DG283-DG284</f>
        <v>419.06999999999994</v>
      </c>
      <c r="DH285" s="938"/>
      <c r="DI285" s="938"/>
      <c r="DJ285" s="938"/>
      <c r="DK285" s="938"/>
      <c r="DL285" s="1196">
        <f>DL287-DL283-DL284</f>
        <v>413.59300000000007</v>
      </c>
      <c r="DM285" s="938">
        <f>DM287-DM283-DM284</f>
        <v>412.53600000000006</v>
      </c>
      <c r="DN285" s="938">
        <f>DN287-DN283-DN284</f>
        <v>410.25</v>
      </c>
      <c r="DO285" s="938">
        <f>DO287-DO283-DO284</f>
        <v>405.52499999999986</v>
      </c>
      <c r="DP285" s="938">
        <f>+DQ285</f>
        <v>403.48899999999981</v>
      </c>
      <c r="DQ285" s="1196">
        <f>DQ287-DQ283-DQ284</f>
        <v>403.48899999999981</v>
      </c>
      <c r="DR285" s="938">
        <f>DR287-DR283-DR284</f>
        <v>415.25499999999988</v>
      </c>
      <c r="DS285" s="938">
        <f>DS287-DS283-DS284</f>
        <v>412.69700000000012</v>
      </c>
      <c r="DT285" s="938">
        <f>DT287-DT283-DT284</f>
        <v>411.39300000000003</v>
      </c>
      <c r="DU285" s="938">
        <f>+DV285</f>
        <v>415.31700000000001</v>
      </c>
      <c r="DV285" s="1196">
        <f>DV287-DV283-DV284</f>
        <v>415.31700000000001</v>
      </c>
      <c r="DW285" s="938">
        <f>DW287-DW283-DW284</f>
        <v>415.8119999999999</v>
      </c>
      <c r="DX285" s="938">
        <f>DX287-DX283-DX284</f>
        <v>416.21599999999989</v>
      </c>
      <c r="DY285" s="938">
        <f>DY287-DY283-DY284</f>
        <v>419.78800000000001</v>
      </c>
      <c r="DZ285" s="938">
        <f>+EA285</f>
        <v>420.00699999999983</v>
      </c>
      <c r="EA285" s="1196">
        <f>EA287-EA283-EA284</f>
        <v>420.00699999999983</v>
      </c>
      <c r="EB285" s="938">
        <f>EB287-EB283-EB284</f>
        <v>422.15300000000025</v>
      </c>
      <c r="EC285" s="938"/>
      <c r="ED285" s="1423"/>
      <c r="EE285" s="1423"/>
      <c r="EF285" s="1427">
        <v>392.48159771153109</v>
      </c>
      <c r="EG285" s="1423"/>
      <c r="EH285" s="1423"/>
      <c r="EI285" s="1423"/>
      <c r="EJ285" s="1423"/>
      <c r="EK285" s="1427">
        <v>383.64016848726891</v>
      </c>
      <c r="EL285" s="1423"/>
      <c r="EM285" s="1423"/>
      <c r="EN285" s="1423"/>
      <c r="EO285" s="1423"/>
      <c r="EP285" s="1427">
        <v>373.22799932618204</v>
      </c>
      <c r="EQ285" s="1423"/>
      <c r="ER285" s="1423"/>
      <c r="ES285" s="1423"/>
      <c r="ET285" s="1423"/>
      <c r="EU285" s="1427">
        <v>373.22799932618204</v>
      </c>
      <c r="EV285" s="1423"/>
      <c r="EW285" s="1423"/>
      <c r="EX285" s="1423"/>
      <c r="EY285" s="1423"/>
      <c r="EZ285" s="1427">
        <v>373.22799932618204</v>
      </c>
      <c r="FA285" s="1423"/>
      <c r="FB285" s="1423"/>
      <c r="FC285" s="1423"/>
      <c r="FD285" s="1423"/>
      <c r="FE285" s="1427">
        <v>373.22799932618204</v>
      </c>
      <c r="FF285" s="938"/>
      <c r="FG285" s="690"/>
      <c r="FH285" s="754"/>
      <c r="FI285" s="754"/>
      <c r="FJ285" s="754"/>
      <c r="FK285" s="754"/>
      <c r="FL285" s="690"/>
      <c r="FM285" s="940"/>
      <c r="FN285" s="940"/>
      <c r="FO285" s="941"/>
      <c r="FP285" s="941"/>
      <c r="FQ285" s="941"/>
      <c r="FR285" s="941"/>
      <c r="FS285" s="941"/>
      <c r="FT285" s="941"/>
      <c r="FU285" s="690"/>
      <c r="FV285"/>
      <c r="FW285"/>
      <c r="FX285"/>
      <c r="FY285"/>
      <c r="FZ285"/>
      <c r="GA285"/>
      <c r="GB285" s="1612"/>
      <c r="GC285" s="1426"/>
      <c r="GD285" s="1426"/>
      <c r="GE285" s="1426"/>
      <c r="GF285" s="1426"/>
      <c r="GG285" s="1426"/>
      <c r="GH285" s="1426"/>
      <c r="GI285" s="1426"/>
      <c r="GJ285" s="1426"/>
      <c r="GK285" s="1426"/>
      <c r="GL285" s="1426"/>
      <c r="GM285" s="1426"/>
      <c r="GN285" s="1426"/>
      <c r="GO285" s="1426"/>
      <c r="GP285" s="1426"/>
      <c r="GQ285" s="1426"/>
      <c r="GR285" s="1426"/>
      <c r="GS285" s="1426"/>
      <c r="GT285" s="1426"/>
      <c r="GU285" s="1426"/>
      <c r="GV285" s="1426"/>
      <c r="GW285" s="1426"/>
      <c r="GX285" s="1426"/>
      <c r="GY285" s="1426"/>
      <c r="GZ285" s="1426"/>
      <c r="HA285" s="1426"/>
      <c r="HB285" s="1426"/>
      <c r="HC285" s="1426"/>
      <c r="HD285" s="1426"/>
      <c r="HE285" s="1426"/>
      <c r="HF285" s="1426"/>
      <c r="HG285" s="1426"/>
      <c r="HH285" s="1426"/>
      <c r="HI285" s="1426"/>
      <c r="HJ285" s="1426"/>
      <c r="HK285" s="1426"/>
      <c r="HL285" s="1426"/>
      <c r="HM285" s="1426"/>
      <c r="HN285" s="1426"/>
      <c r="HO285" s="1426"/>
      <c r="HP285" s="1426"/>
      <c r="HQ285" s="1426"/>
      <c r="HR285" s="1426"/>
      <c r="HS285" s="1426"/>
      <c r="HT285" s="1426"/>
      <c r="HU285" s="1426"/>
      <c r="HV285" s="1426"/>
      <c r="HW285" s="1426"/>
      <c r="HX285" s="1426"/>
      <c r="HY285" s="1426"/>
      <c r="HZ285" s="1426"/>
      <c r="IA285" s="1426"/>
      <c r="IB285" s="1426"/>
      <c r="IC285" s="1426"/>
      <c r="ID285" s="1426"/>
      <c r="IE285" s="1426"/>
      <c r="IF285" s="1426"/>
      <c r="IG285" s="1426"/>
      <c r="IH285" s="1426"/>
      <c r="II285" s="1426"/>
      <c r="IJ285" s="1426"/>
      <c r="IK285" s="1426"/>
      <c r="IL285" s="1426"/>
      <c r="IM285" s="1426"/>
      <c r="IN285" s="1426"/>
      <c r="IO285" s="1426"/>
      <c r="IP285" s="1426"/>
      <c r="IQ285" s="1426"/>
      <c r="IR285" s="1426"/>
      <c r="IS285" s="1426"/>
      <c r="IT285" s="1426"/>
      <c r="IU285" s="1426"/>
      <c r="IV285" s="1426"/>
      <c r="IW285" s="1426"/>
      <c r="IX285" s="1426"/>
      <c r="IY285" s="1426"/>
      <c r="IZ285" s="1426"/>
      <c r="JA285" s="1426"/>
      <c r="JB285" s="1426"/>
      <c r="JC285" s="1426"/>
      <c r="JD285" s="1426"/>
      <c r="JE285" s="1426"/>
      <c r="JF285" s="1426"/>
      <c r="JG285" s="1426"/>
      <c r="JH285" s="1426"/>
      <c r="JI285" s="1426"/>
      <c r="JJ285" s="1426"/>
      <c r="JK285" s="1426"/>
      <c r="JL285" s="1426"/>
    </row>
    <row r="286" spans="1:272" s="1603" customFormat="1" ht="12.75" hidden="1" customHeight="1" outlineLevel="1">
      <c r="A286" s="1668" t="s">
        <v>245</v>
      </c>
      <c r="B286" s="712"/>
      <c r="C286" s="712"/>
      <c r="D286" s="712"/>
      <c r="E286" s="712"/>
      <c r="F286" s="1635"/>
      <c r="G286" s="712"/>
      <c r="H286" s="712"/>
      <c r="I286" s="712"/>
      <c r="J286" s="712"/>
      <c r="K286" s="1635"/>
      <c r="L286" s="712"/>
      <c r="M286" s="712"/>
      <c r="N286" s="712"/>
      <c r="O286" s="712"/>
      <c r="P286" s="1635"/>
      <c r="Q286" s="712"/>
      <c r="R286" s="712"/>
      <c r="S286" s="712"/>
      <c r="T286" s="712"/>
      <c r="U286" s="1635"/>
      <c r="V286" s="712"/>
      <c r="W286" s="712"/>
      <c r="X286" s="712"/>
      <c r="Y286" s="712"/>
      <c r="Z286" s="1635"/>
      <c r="AA286" s="712"/>
      <c r="AB286" s="712"/>
      <c r="AC286" s="712"/>
      <c r="AD286" s="712"/>
      <c r="AE286" s="1635"/>
      <c r="AF286" s="1048"/>
      <c r="AG286" s="1048"/>
      <c r="AH286" s="1048"/>
      <c r="AI286" s="1048"/>
      <c r="AJ286" s="1635"/>
      <c r="AK286" s="879"/>
      <c r="AL286" s="879"/>
      <c r="AM286" s="879"/>
      <c r="AN286" s="879"/>
      <c r="AO286" s="1635"/>
      <c r="AP286" s="879"/>
      <c r="AQ286" s="879"/>
      <c r="AR286" s="879"/>
      <c r="AS286" s="879"/>
      <c r="AT286" s="1635"/>
      <c r="AU286" s="879"/>
      <c r="AV286" s="879"/>
      <c r="AW286" s="879"/>
      <c r="AX286" s="879"/>
      <c r="AY286" s="1635"/>
      <c r="AZ286" s="879"/>
      <c r="BA286" s="879"/>
      <c r="BB286" s="879"/>
      <c r="BC286" s="879"/>
      <c r="BD286" s="1635"/>
      <c r="BE286" s="879"/>
      <c r="BF286" s="879"/>
      <c r="BG286" s="879"/>
      <c r="BH286" s="879"/>
      <c r="BI286" s="1635"/>
      <c r="BJ286" s="879"/>
      <c r="BK286" s="879"/>
      <c r="BL286" s="879"/>
      <c r="BM286" s="879"/>
      <c r="BN286" s="1635"/>
      <c r="BO286" s="879"/>
      <c r="BP286" s="879"/>
      <c r="BQ286" s="879"/>
      <c r="BR286" s="879"/>
      <c r="BS286" s="1635">
        <f>BS285/CNW!BS$198</f>
        <v>0.15281936458083681</v>
      </c>
      <c r="BT286" s="879"/>
      <c r="BU286" s="879"/>
      <c r="BV286" s="879"/>
      <c r="BW286" s="879"/>
      <c r="BX286" s="1635">
        <f>BX285/CNW!BX$198</f>
        <v>0.19657831878789853</v>
      </c>
      <c r="BY286" s="879"/>
      <c r="BZ286" s="879"/>
      <c r="CA286" s="879"/>
      <c r="CB286" s="879"/>
      <c r="CC286" s="1635">
        <f>CC285/CNW!CC$198</f>
        <v>3.3396983078606716E-2</v>
      </c>
      <c r="CD286" s="879"/>
      <c r="CE286" s="879"/>
      <c r="CF286" s="879"/>
      <c r="CG286" s="879"/>
      <c r="CH286" s="1635">
        <f>CH285/CNW!CH$198</f>
        <v>2.0649119503350123E-2</v>
      </c>
      <c r="CI286" s="879"/>
      <c r="CJ286" s="879"/>
      <c r="CK286" s="879"/>
      <c r="CL286" s="879"/>
      <c r="CM286" s="1635">
        <f>CM285/CNW!CM$198</f>
        <v>2.2131348309762631E-2</v>
      </c>
      <c r="CN286" s="879"/>
      <c r="CO286" s="879"/>
      <c r="CP286" s="879"/>
      <c r="CQ286" s="879"/>
      <c r="CR286" s="1635">
        <f>CR285/CNW!CR$198</f>
        <v>0.16032728543318622</v>
      </c>
      <c r="CS286" s="879"/>
      <c r="CT286" s="879"/>
      <c r="CU286" s="879"/>
      <c r="CV286" s="879"/>
      <c r="CW286" s="1635">
        <f>CW285/CNW!CW$198</f>
        <v>0.12878550084309198</v>
      </c>
      <c r="CX286" s="1669"/>
      <c r="CY286" s="1669"/>
      <c r="CZ286" s="1669"/>
      <c r="DA286" s="1669"/>
      <c r="DB286" s="1635">
        <f>DB285/CNW!DB$198</f>
        <v>0.10401151118501452</v>
      </c>
      <c r="DC286" s="1669"/>
      <c r="DD286" s="1669"/>
      <c r="DE286" s="1669"/>
      <c r="DF286" s="1669"/>
      <c r="DG286" s="1635">
        <f>DG285/CNW!DG$198</f>
        <v>8.4626606680261604E-2</v>
      </c>
      <c r="DH286" s="1669"/>
      <c r="DI286" s="1669"/>
      <c r="DJ286" s="1669"/>
      <c r="DK286" s="1669"/>
      <c r="DL286" s="1635">
        <f>DL285/CNW!DL$198</f>
        <v>7.8185069990621789E-2</v>
      </c>
      <c r="DM286" s="1669"/>
      <c r="DN286" s="1669"/>
      <c r="DO286" s="1669"/>
      <c r="DP286" s="1669"/>
      <c r="DQ286" s="1635">
        <f>DQ285/CNW!DQ$198</f>
        <v>7.2306668917463457E-2</v>
      </c>
      <c r="DR286" s="1669"/>
      <c r="DS286" s="1669"/>
      <c r="DT286" s="1669"/>
      <c r="DU286" s="1669"/>
      <c r="DV286" s="1635">
        <f>DV285/CNW!DV$198</f>
        <v>7.5879771021654732E-2</v>
      </c>
      <c r="DW286" s="1669"/>
      <c r="DX286" s="1669"/>
      <c r="DY286" s="1669"/>
      <c r="DZ286" s="1669"/>
      <c r="EA286" s="1635">
        <f>EA285/CNW!EA$198</f>
        <v>7.2339305647245972E-2</v>
      </c>
      <c r="EB286" s="1669"/>
      <c r="EC286" s="1669"/>
      <c r="ED286" s="1669"/>
      <c r="EE286" s="1669"/>
      <c r="EF286" s="1635">
        <f>EF285/CNW!EF$198</f>
        <v>7.0655502195131684E-2</v>
      </c>
      <c r="EG286" s="1669"/>
      <c r="EH286" s="1669"/>
      <c r="EI286" s="1669"/>
      <c r="EJ286" s="1669"/>
      <c r="EK286" s="1635">
        <f>EK285/CNW!EK$198</f>
        <v>0.11135174541760337</v>
      </c>
      <c r="EL286" s="1669"/>
      <c r="EM286" s="1669"/>
      <c r="EN286" s="1669"/>
      <c r="EO286" s="1669"/>
      <c r="EP286" s="1635">
        <f>EP285/CNW!EP$198</f>
        <v>0.10250137298862519</v>
      </c>
      <c r="EQ286" s="1669"/>
      <c r="ER286" s="1669"/>
      <c r="ES286" s="1669"/>
      <c r="ET286" s="1669"/>
      <c r="EU286" s="1635">
        <f>EU285/CNW!EU$198</f>
        <v>9.7246244073524543E-2</v>
      </c>
      <c r="EV286" s="1669"/>
      <c r="EW286" s="1669"/>
      <c r="EX286" s="1669"/>
      <c r="EY286" s="1669"/>
      <c r="EZ286" s="1635">
        <f>EZ285/CNW!EZ$198</f>
        <v>9.1781870353705206E-2</v>
      </c>
      <c r="FA286" s="1669"/>
      <c r="FB286" s="1669"/>
      <c r="FC286" s="1669"/>
      <c r="FD286" s="1669"/>
      <c r="FE286" s="1635">
        <f>FE285/CNW!FE$198</f>
        <v>8.6739628544490438E-2</v>
      </c>
      <c r="FF286" s="1638"/>
      <c r="FG286" s="690"/>
      <c r="FH286" s="754"/>
      <c r="FI286" s="754"/>
      <c r="FJ286" s="754"/>
      <c r="FK286" s="754"/>
      <c r="FL286" s="690"/>
      <c r="FM286" s="1639"/>
      <c r="FN286" s="1639"/>
      <c r="FO286" s="1640"/>
      <c r="FP286" s="1640"/>
      <c r="FQ286" s="1640"/>
      <c r="FR286" s="1640"/>
      <c r="FS286" s="1640"/>
      <c r="FT286" s="1640"/>
      <c r="FU286" s="690"/>
      <c r="FV286"/>
      <c r="FW286"/>
      <c r="FX286"/>
      <c r="FY286"/>
      <c r="FZ286"/>
      <c r="GA286"/>
      <c r="GB286" s="1671"/>
      <c r="GC286" s="532"/>
      <c r="GD286" s="532"/>
      <c r="GE286" s="532"/>
      <c r="GF286" s="532"/>
      <c r="GG286" s="532"/>
      <c r="GH286" s="532"/>
      <c r="GI286" s="532"/>
      <c r="GJ286" s="532"/>
      <c r="GK286" s="532"/>
      <c r="GL286" s="532"/>
      <c r="GM286" s="532"/>
      <c r="GN286" s="532"/>
      <c r="GO286" s="532"/>
      <c r="GP286" s="532"/>
      <c r="GQ286" s="532"/>
      <c r="GR286" s="532"/>
      <c r="GS286" s="532"/>
      <c r="GT286" s="532"/>
      <c r="GU286" s="532"/>
      <c r="GV286" s="532"/>
      <c r="GW286" s="532"/>
      <c r="GX286" s="532"/>
      <c r="GY286" s="532"/>
      <c r="GZ286" s="532"/>
      <c r="HA286" s="532"/>
      <c r="HB286" s="532"/>
      <c r="HC286" s="532"/>
      <c r="HD286" s="532"/>
      <c r="HE286" s="532"/>
      <c r="HF286" s="532"/>
      <c r="HG286" s="532"/>
      <c r="HH286" s="532"/>
      <c r="HI286" s="532"/>
      <c r="HJ286" s="532"/>
      <c r="HK286" s="532"/>
      <c r="HL286" s="532"/>
      <c r="HM286" s="532"/>
      <c r="HN286" s="532"/>
      <c r="HO286" s="532"/>
      <c r="HP286" s="532"/>
      <c r="HQ286" s="532"/>
      <c r="HR286" s="532"/>
      <c r="HS286" s="532"/>
      <c r="HT286" s="532"/>
      <c r="HU286" s="532"/>
      <c r="HV286" s="532"/>
      <c r="HW286" s="532"/>
      <c r="HX286" s="532"/>
      <c r="HY286" s="532"/>
      <c r="HZ286" s="532"/>
      <c r="IA286" s="532"/>
      <c r="IB286" s="532"/>
      <c r="IC286" s="532"/>
      <c r="ID286" s="532"/>
      <c r="IE286" s="532"/>
      <c r="IF286" s="532"/>
      <c r="IG286" s="532"/>
      <c r="IH286" s="532"/>
      <c r="II286" s="532"/>
      <c r="IJ286" s="532"/>
      <c r="IK286" s="532"/>
      <c r="IL286" s="532"/>
      <c r="IM286" s="532"/>
      <c r="IN286" s="532"/>
      <c r="IO286" s="532"/>
      <c r="IP286" s="532"/>
      <c r="IQ286" s="532"/>
      <c r="IR286" s="532"/>
      <c r="IS286" s="532"/>
      <c r="IT286" s="532"/>
      <c r="IU286" s="532"/>
      <c r="IV286" s="532"/>
      <c r="IW286" s="532"/>
      <c r="IX286" s="532"/>
      <c r="IY286" s="532"/>
      <c r="IZ286" s="532"/>
      <c r="JA286" s="532"/>
      <c r="JB286" s="532"/>
      <c r="JC286" s="532"/>
      <c r="JD286" s="532"/>
      <c r="JE286" s="532"/>
      <c r="JF286" s="532"/>
      <c r="JG286" s="532"/>
      <c r="JH286" s="532"/>
      <c r="JI286" s="532"/>
      <c r="JJ286" s="532"/>
      <c r="JK286" s="532"/>
      <c r="JL286" s="532"/>
    </row>
    <row r="287" spans="1:272" s="942" customFormat="1" ht="12.75" hidden="1" customHeight="1" outlineLevel="1">
      <c r="A287" s="1673" t="s">
        <v>119</v>
      </c>
      <c r="B287" s="1674"/>
      <c r="C287" s="1674"/>
      <c r="D287" s="1674"/>
      <c r="E287" s="1674"/>
      <c r="F287" s="1675"/>
      <c r="G287" s="1674"/>
      <c r="H287" s="1674"/>
      <c r="I287" s="1674"/>
      <c r="J287" s="1674"/>
      <c r="K287" s="1675"/>
      <c r="L287" s="1674"/>
      <c r="M287" s="1674"/>
      <c r="N287" s="1674"/>
      <c r="O287" s="1674"/>
      <c r="P287" s="1675"/>
      <c r="Q287" s="1674"/>
      <c r="R287" s="1674"/>
      <c r="S287" s="1674"/>
      <c r="T287" s="1674"/>
      <c r="U287" s="1675"/>
      <c r="V287" s="1674"/>
      <c r="W287" s="1674"/>
      <c r="X287" s="1674"/>
      <c r="Y287" s="1674"/>
      <c r="Z287" s="1675"/>
      <c r="AA287" s="1674"/>
      <c r="AB287" s="1674"/>
      <c r="AC287" s="1674"/>
      <c r="AD287" s="1674"/>
      <c r="AE287" s="1675"/>
      <c r="AF287" s="1674"/>
      <c r="AG287" s="1674"/>
      <c r="AH287" s="1674"/>
      <c r="AI287" s="1674"/>
      <c r="AJ287" s="1675"/>
      <c r="AK287" s="1674"/>
      <c r="AL287" s="1674"/>
      <c r="AM287" s="1674"/>
      <c r="AN287" s="1674"/>
      <c r="AO287" s="1675"/>
      <c r="AP287" s="1674"/>
      <c r="AQ287" s="1674"/>
      <c r="AR287" s="1674"/>
      <c r="AS287" s="1674"/>
      <c r="AT287" s="1675"/>
      <c r="AU287" s="1674"/>
      <c r="AV287" s="1674"/>
      <c r="AW287" s="1674"/>
      <c r="AX287" s="1674"/>
      <c r="AY287" s="1675"/>
      <c r="AZ287" s="1674"/>
      <c r="BA287" s="1674"/>
      <c r="BB287" s="1674"/>
      <c r="BC287" s="1674"/>
      <c r="BD287" s="1675"/>
      <c r="BE287" s="1674"/>
      <c r="BF287" s="1674"/>
      <c r="BG287" s="1674"/>
      <c r="BH287" s="1674"/>
      <c r="BI287" s="1675"/>
      <c r="BJ287" s="1674"/>
      <c r="BK287" s="1674"/>
      <c r="BL287" s="1674"/>
      <c r="BM287" s="1674"/>
      <c r="BN287" s="1675">
        <v>2990.02</v>
      </c>
      <c r="BO287" s="1674"/>
      <c r="BP287" s="1674"/>
      <c r="BQ287" s="1674"/>
      <c r="BR287" s="1674"/>
      <c r="BS287" s="1675">
        <v>2739.761</v>
      </c>
      <c r="BT287" s="1674"/>
      <c r="BU287" s="1674"/>
      <c r="BV287" s="1674"/>
      <c r="BW287" s="1674"/>
      <c r="BX287" s="1675">
        <v>2773.64</v>
      </c>
      <c r="BY287" s="1674"/>
      <c r="BZ287" s="1674"/>
      <c r="CA287" s="1674"/>
      <c r="CB287" s="1674"/>
      <c r="CC287" s="1675">
        <v>2496.4009999999998</v>
      </c>
      <c r="CD287" s="1674"/>
      <c r="CE287" s="1674"/>
      <c r="CF287" s="1674"/>
      <c r="CG287" s="1674"/>
      <c r="CH287" s="1675">
        <v>2480.5720000000001</v>
      </c>
      <c r="CI287" s="1674"/>
      <c r="CJ287" s="1674"/>
      <c r="CK287" s="1674"/>
      <c r="CL287" s="1674"/>
      <c r="CM287" s="1675">
        <v>2301.8890000000001</v>
      </c>
      <c r="CN287" s="1674"/>
      <c r="CO287" s="1674"/>
      <c r="CP287" s="1674"/>
      <c r="CQ287" s="1674"/>
      <c r="CR287" s="1675">
        <v>3009.308</v>
      </c>
      <c r="CS287" s="1674"/>
      <c r="CT287" s="1674"/>
      <c r="CU287" s="1674"/>
      <c r="CV287" s="1674"/>
      <c r="CW287" s="1675">
        <v>3071.7069999999999</v>
      </c>
      <c r="CX287" s="1674"/>
      <c r="CY287" s="1674"/>
      <c r="CZ287" s="1674"/>
      <c r="DA287" s="1674"/>
      <c r="DB287" s="1675">
        <v>2896.2170000000001</v>
      </c>
      <c r="DC287" s="1674"/>
      <c r="DD287" s="1674"/>
      <c r="DE287" s="1674"/>
      <c r="DF287" s="1674"/>
      <c r="DG287" s="1675">
        <v>2943.732</v>
      </c>
      <c r="DH287" s="1674"/>
      <c r="DI287" s="1674"/>
      <c r="DJ287" s="1674"/>
      <c r="DK287" s="1674"/>
      <c r="DL287" s="1675">
        <v>3100.0160000000001</v>
      </c>
      <c r="DM287" s="1674">
        <v>3172.9279999999999</v>
      </c>
      <c r="DN287" s="1674">
        <v>3218.6610000000001</v>
      </c>
      <c r="DO287" s="1674">
        <v>3161.12</v>
      </c>
      <c r="DP287" s="778">
        <f>+DQ287</f>
        <v>3141.4639999999999</v>
      </c>
      <c r="DQ287" s="1675">
        <v>3141.4639999999999</v>
      </c>
      <c r="DR287" s="1674">
        <v>3173.0419999999999</v>
      </c>
      <c r="DS287" s="1674">
        <v>3183.741</v>
      </c>
      <c r="DT287" s="1674">
        <v>3241.2159999999999</v>
      </c>
      <c r="DU287" s="778">
        <f>+DV287</f>
        <v>3279.931</v>
      </c>
      <c r="DV287" s="1675">
        <v>3279.931</v>
      </c>
      <c r="DW287" s="1674">
        <v>3284.1329999999998</v>
      </c>
      <c r="DX287" s="1674">
        <v>3390.2159999999999</v>
      </c>
      <c r="DY287" s="1674">
        <v>3357.8429999999998</v>
      </c>
      <c r="DZ287" s="778">
        <f>+EA287</f>
        <v>3335.6179999999999</v>
      </c>
      <c r="EA287" s="1675">
        <v>3335.6179999999999</v>
      </c>
      <c r="EB287" s="1674">
        <v>3361.9720000000002</v>
      </c>
      <c r="EC287" s="1674"/>
      <c r="ED287" s="1674"/>
      <c r="EE287" s="1674"/>
      <c r="EF287" s="1675">
        <f>+EF283+EF284+EF285</f>
        <v>3347.0045368542187</v>
      </c>
      <c r="EG287" s="1674"/>
      <c r="EH287" s="1674"/>
      <c r="EI287" s="1674"/>
      <c r="EJ287" s="1674"/>
      <c r="EK287" s="1675">
        <f>+EK283+EK284+EK285</f>
        <v>3049.7366519060843</v>
      </c>
      <c r="EL287" s="1674"/>
      <c r="EM287" s="1674"/>
      <c r="EN287" s="1674"/>
      <c r="EO287" s="1674"/>
      <c r="EP287" s="1675">
        <f>+EP283+EP284+EP285</f>
        <v>3264.9228615110769</v>
      </c>
      <c r="EQ287" s="1674"/>
      <c r="ER287" s="1674"/>
      <c r="ES287" s="1674"/>
      <c r="ET287" s="1674"/>
      <c r="EU287" s="1675">
        <f>+EU283+EU284+EU285</f>
        <v>3525.5115486578807</v>
      </c>
      <c r="EV287" s="1674"/>
      <c r="EW287" s="1674"/>
      <c r="EX287" s="1674"/>
      <c r="EY287" s="1674"/>
      <c r="EZ287" s="1675">
        <f>+EZ283+EZ284+EZ285</f>
        <v>3816.5700919914771</v>
      </c>
      <c r="FA287" s="1674"/>
      <c r="FB287" s="1674"/>
      <c r="FC287" s="1674"/>
      <c r="FD287" s="1674"/>
      <c r="FE287" s="1675">
        <f>+FE283+FE284+FE285</f>
        <v>4131.6461524631713</v>
      </c>
      <c r="FF287" s="938"/>
      <c r="FG287" s="690"/>
      <c r="FH287" s="754"/>
      <c r="FI287" s="754"/>
      <c r="FJ287" s="754"/>
      <c r="FK287" s="754"/>
      <c r="FL287" s="690"/>
      <c r="FM287" s="940"/>
      <c r="FN287" s="940"/>
      <c r="FO287" s="941"/>
      <c r="FP287" s="941"/>
      <c r="FQ287" s="941"/>
      <c r="FR287" s="941"/>
      <c r="FS287" s="941"/>
      <c r="FT287" s="941"/>
      <c r="FU287" s="690"/>
      <c r="FV287"/>
      <c r="FW287"/>
      <c r="FX287"/>
      <c r="FY287"/>
      <c r="FZ287"/>
      <c r="GA287"/>
      <c r="GB287" s="1612"/>
      <c r="GC287" s="1426"/>
      <c r="GD287" s="1426"/>
      <c r="GE287" s="1426"/>
      <c r="GF287" s="1426"/>
      <c r="GG287" s="1426"/>
      <c r="GH287" s="1426"/>
      <c r="GI287" s="1426"/>
      <c r="GJ287" s="1426"/>
      <c r="GK287" s="1426"/>
      <c r="GL287" s="1426"/>
      <c r="GM287" s="1426"/>
      <c r="GN287" s="1426"/>
      <c r="GO287" s="1426"/>
      <c r="GP287" s="1426"/>
      <c r="GQ287" s="1426"/>
      <c r="GR287" s="1426"/>
      <c r="GS287" s="1426"/>
      <c r="GT287" s="1426"/>
      <c r="GU287" s="1426"/>
      <c r="GV287" s="1426"/>
      <c r="GW287" s="1426"/>
      <c r="GX287" s="1426"/>
      <c r="GY287" s="1426"/>
      <c r="GZ287" s="1426"/>
      <c r="HA287" s="1426"/>
      <c r="HB287" s="1426"/>
      <c r="HC287" s="1426"/>
      <c r="HD287" s="1426"/>
      <c r="HE287" s="1426"/>
      <c r="HF287" s="1426"/>
      <c r="HG287" s="1426"/>
      <c r="HH287" s="1426"/>
      <c r="HI287" s="1426"/>
      <c r="HJ287" s="1426"/>
      <c r="HK287" s="1426"/>
      <c r="HL287" s="1426"/>
      <c r="HM287" s="1426"/>
      <c r="HN287" s="1426"/>
      <c r="HO287" s="1426"/>
      <c r="HP287" s="1426"/>
      <c r="HQ287" s="1426"/>
      <c r="HR287" s="1426"/>
      <c r="HS287" s="1426"/>
      <c r="HT287" s="1426"/>
      <c r="HU287" s="1426"/>
      <c r="HV287" s="1426"/>
      <c r="HW287" s="1426"/>
      <c r="HX287" s="1426"/>
      <c r="HY287" s="1426"/>
      <c r="HZ287" s="1426"/>
      <c r="IA287" s="1426"/>
      <c r="IB287" s="1426"/>
      <c r="IC287" s="1426"/>
      <c r="ID287" s="1426"/>
      <c r="IE287" s="1426"/>
      <c r="IF287" s="1426"/>
      <c r="IG287" s="1426"/>
      <c r="IH287" s="1426"/>
      <c r="II287" s="1426"/>
      <c r="IJ287" s="1426"/>
      <c r="IK287" s="1426"/>
      <c r="IL287" s="1426"/>
      <c r="IM287" s="1426"/>
      <c r="IN287" s="1426"/>
      <c r="IO287" s="1426"/>
      <c r="IP287" s="1426"/>
      <c r="IQ287" s="1426"/>
      <c r="IR287" s="1426"/>
      <c r="IS287" s="1426"/>
      <c r="IT287" s="1426"/>
      <c r="IU287" s="1426"/>
      <c r="IV287" s="1426"/>
      <c r="IW287" s="1426"/>
      <c r="IX287" s="1426"/>
      <c r="IY287" s="1426"/>
      <c r="IZ287" s="1426"/>
      <c r="JA287" s="1426"/>
      <c r="JB287" s="1426"/>
      <c r="JC287" s="1426"/>
      <c r="JD287" s="1426"/>
      <c r="JE287" s="1426"/>
      <c r="JF287" s="1426"/>
      <c r="JG287" s="1426"/>
      <c r="JH287" s="1426"/>
      <c r="JI287" s="1426"/>
      <c r="JJ287" s="1426"/>
      <c r="JK287" s="1426"/>
      <c r="JL287" s="1426"/>
    </row>
    <row r="288" spans="1:272" s="533" customFormat="1" ht="12.75" hidden="1" customHeight="1" outlineLevel="1">
      <c r="A288" s="1486" t="s">
        <v>80</v>
      </c>
      <c r="B288" s="1661"/>
      <c r="C288" s="1662"/>
      <c r="D288" s="1662"/>
      <c r="E288" s="1662"/>
      <c r="F288" s="722"/>
      <c r="G288" s="1662"/>
      <c r="H288" s="1662"/>
      <c r="I288" s="1662"/>
      <c r="J288" s="1662"/>
      <c r="K288" s="722"/>
      <c r="L288" s="1662"/>
      <c r="M288" s="1662"/>
      <c r="N288" s="1662"/>
      <c r="O288" s="1662"/>
      <c r="P288" s="722"/>
      <c r="Q288" s="1662"/>
      <c r="R288" s="1662"/>
      <c r="S288" s="1662"/>
      <c r="T288" s="1662"/>
      <c r="U288" s="722"/>
      <c r="V288" s="1662"/>
      <c r="W288" s="1662"/>
      <c r="X288" s="1663"/>
      <c r="Y288" s="1663"/>
      <c r="Z288" s="722"/>
      <c r="AA288" s="1663"/>
      <c r="AB288" s="1663"/>
      <c r="AC288" s="1663"/>
      <c r="AD288" s="1663"/>
      <c r="AE288" s="722"/>
      <c r="AF288" s="723"/>
      <c r="AG288" s="723"/>
      <c r="AH288" s="723"/>
      <c r="AI288" s="723"/>
      <c r="AJ288" s="722"/>
      <c r="AK288" s="723"/>
      <c r="AL288" s="723"/>
      <c r="AM288" s="723"/>
      <c r="AN288" s="723"/>
      <c r="AO288" s="722"/>
      <c r="AP288" s="723"/>
      <c r="AQ288" s="1548"/>
      <c r="AR288" s="1548"/>
      <c r="AS288" s="723"/>
      <c r="AT288" s="722"/>
      <c r="AU288" s="723"/>
      <c r="AV288" s="1548"/>
      <c r="AW288" s="723"/>
      <c r="AX288" s="723"/>
      <c r="AY288" s="722"/>
      <c r="AZ288" s="723"/>
      <c r="BA288" s="1548"/>
      <c r="BB288" s="723"/>
      <c r="BC288" s="723"/>
      <c r="BD288" s="722"/>
      <c r="BE288" s="723"/>
      <c r="BF288" s="1548"/>
      <c r="BG288" s="723"/>
      <c r="BH288" s="723"/>
      <c r="BI288" s="722"/>
      <c r="BJ288" s="723"/>
      <c r="BK288" s="1548"/>
      <c r="BL288" s="723"/>
      <c r="BM288" s="723"/>
      <c r="BN288" s="722"/>
      <c r="BO288" s="723"/>
      <c r="BP288" s="1548"/>
      <c r="BQ288" s="723"/>
      <c r="BR288" s="723"/>
      <c r="BS288" s="722"/>
      <c r="BT288" s="723"/>
      <c r="BU288" s="1548"/>
      <c r="BV288" s="723"/>
      <c r="BW288" s="723"/>
      <c r="BX288" s="722"/>
      <c r="BY288" s="723"/>
      <c r="BZ288" s="1548"/>
      <c r="CA288" s="723"/>
      <c r="CB288" s="723"/>
      <c r="CC288" s="722"/>
      <c r="CD288" s="723"/>
      <c r="CE288" s="723"/>
      <c r="CF288" s="723"/>
      <c r="CG288" s="723"/>
      <c r="CH288" s="722"/>
      <c r="CI288" s="723"/>
      <c r="CJ288" s="723"/>
      <c r="CK288" s="723"/>
      <c r="CL288" s="723"/>
      <c r="CM288" s="722"/>
      <c r="CN288" s="723"/>
      <c r="CO288" s="723"/>
      <c r="CP288" s="723"/>
      <c r="CQ288" s="723"/>
      <c r="CR288" s="722"/>
      <c r="CS288" s="723"/>
      <c r="CT288" s="723"/>
      <c r="CU288" s="723"/>
      <c r="CV288" s="723"/>
      <c r="CW288" s="722"/>
      <c r="CX288" s="723"/>
      <c r="CY288" s="723"/>
      <c r="CZ288" s="723"/>
      <c r="DA288" s="723"/>
      <c r="DB288" s="722"/>
      <c r="DC288" s="723"/>
      <c r="DD288" s="723"/>
      <c r="DE288" s="723"/>
      <c r="DF288" s="723"/>
      <c r="DG288" s="722"/>
      <c r="DH288" s="723"/>
      <c r="DI288" s="723"/>
      <c r="DJ288" s="723"/>
      <c r="DK288" s="723"/>
      <c r="DL288" s="722"/>
      <c r="DM288" s="1065"/>
      <c r="DN288" s="1065"/>
      <c r="DO288" s="1065"/>
      <c r="DP288" s="723"/>
      <c r="DQ288" s="722"/>
      <c r="DR288" s="1065"/>
      <c r="DS288" s="1065"/>
      <c r="DT288" s="1065"/>
      <c r="DU288" s="723"/>
      <c r="DV288" s="722"/>
      <c r="DW288" s="1065"/>
      <c r="DX288" s="1065"/>
      <c r="DY288" s="1065"/>
      <c r="DZ288" s="723"/>
      <c r="EA288" s="722"/>
      <c r="EB288" s="1065"/>
      <c r="EC288" s="1065"/>
      <c r="ED288" s="1065"/>
      <c r="EE288" s="1065"/>
      <c r="EF288" s="722"/>
      <c r="EG288" s="1065"/>
      <c r="EH288" s="1065"/>
      <c r="EI288" s="1065"/>
      <c r="EJ288" s="1065"/>
      <c r="EK288" s="722"/>
      <c r="EL288" s="1065"/>
      <c r="EM288" s="1065"/>
      <c r="EN288" s="1065"/>
      <c r="EO288" s="1065"/>
      <c r="EP288" s="722"/>
      <c r="EQ288" s="1065"/>
      <c r="ER288" s="1065"/>
      <c r="ES288" s="1065"/>
      <c r="ET288" s="1065"/>
      <c r="EU288" s="722"/>
      <c r="EV288" s="1065"/>
      <c r="EW288" s="1065"/>
      <c r="EX288" s="1065"/>
      <c r="EY288" s="1065"/>
      <c r="EZ288" s="722"/>
      <c r="FA288" s="1065"/>
      <c r="FB288" s="1065"/>
      <c r="FC288" s="1065"/>
      <c r="FD288" s="1065"/>
      <c r="FE288" s="722"/>
      <c r="FF288" s="721"/>
      <c r="FG288" s="690"/>
      <c r="FH288" s="754"/>
      <c r="FI288" s="754"/>
      <c r="FJ288" s="754"/>
      <c r="FK288" s="754"/>
      <c r="FL288" s="690"/>
      <c r="FM288" s="708"/>
      <c r="FN288" s="708"/>
      <c r="FO288" s="723"/>
      <c r="FP288" s="723"/>
      <c r="FQ288" s="723"/>
      <c r="FR288" s="723"/>
      <c r="FS288" s="723"/>
      <c r="FT288" s="723"/>
      <c r="FU288" s="690"/>
      <c r="FV288"/>
      <c r="FW288"/>
      <c r="FX288"/>
      <c r="FY288"/>
      <c r="FZ288"/>
      <c r="GA288"/>
      <c r="GB288" s="961"/>
      <c r="GC288" s="532"/>
      <c r="GD288" s="532"/>
      <c r="GE288" s="532"/>
      <c r="GF288" s="532"/>
      <c r="GG288" s="532"/>
      <c r="GH288" s="532"/>
      <c r="GI288" s="532"/>
      <c r="GJ288" s="532"/>
      <c r="GK288" s="532"/>
      <c r="GL288" s="532"/>
      <c r="GM288" s="532"/>
      <c r="GN288" s="532"/>
      <c r="GO288" s="532"/>
      <c r="GP288" s="532"/>
      <c r="GQ288" s="532"/>
      <c r="GR288" s="532"/>
      <c r="GS288" s="532"/>
      <c r="GT288" s="532"/>
      <c r="GU288" s="532"/>
      <c r="GV288" s="532"/>
      <c r="GW288" s="532"/>
      <c r="GX288" s="532"/>
      <c r="GY288" s="532"/>
      <c r="GZ288" s="532"/>
      <c r="HA288" s="532"/>
      <c r="HB288" s="532"/>
      <c r="HC288" s="532"/>
      <c r="HD288" s="532"/>
      <c r="HE288" s="532"/>
      <c r="HF288" s="532"/>
      <c r="HG288" s="532"/>
      <c r="HH288" s="532"/>
      <c r="HI288" s="532"/>
      <c r="HJ288" s="532"/>
      <c r="HK288" s="532"/>
      <c r="HL288" s="532"/>
      <c r="HM288" s="532"/>
      <c r="HN288" s="532"/>
      <c r="HO288" s="532"/>
      <c r="HP288" s="532"/>
      <c r="HQ288" s="532"/>
      <c r="HR288" s="532"/>
      <c r="HS288" s="532"/>
      <c r="HT288" s="532"/>
      <c r="HU288" s="532"/>
      <c r="HV288" s="532"/>
      <c r="HW288" s="532"/>
      <c r="HX288" s="532"/>
      <c r="HY288" s="532"/>
      <c r="HZ288" s="532"/>
      <c r="IA288" s="532"/>
      <c r="IB288" s="532"/>
      <c r="IC288" s="532"/>
      <c r="ID288" s="532"/>
      <c r="IE288" s="532"/>
      <c r="IF288" s="532"/>
      <c r="IG288" s="532"/>
      <c r="IH288" s="532"/>
      <c r="II288" s="532"/>
      <c r="IJ288" s="532"/>
      <c r="IK288" s="532"/>
      <c r="IL288" s="532"/>
      <c r="IM288" s="532"/>
      <c r="IN288" s="532"/>
      <c r="IO288" s="532"/>
      <c r="IP288" s="532"/>
      <c r="IQ288" s="532"/>
      <c r="IR288" s="532"/>
      <c r="IS288" s="532"/>
      <c r="IT288" s="532"/>
      <c r="IU288" s="532"/>
      <c r="IV288" s="532"/>
      <c r="IW288" s="532"/>
      <c r="IX288" s="532"/>
      <c r="IY288" s="532"/>
      <c r="IZ288" s="532"/>
      <c r="JA288" s="532"/>
      <c r="JB288" s="532"/>
      <c r="JC288" s="532"/>
      <c r="JD288" s="532"/>
      <c r="JE288" s="532"/>
      <c r="JF288" s="532"/>
      <c r="JG288" s="532"/>
      <c r="JH288" s="532"/>
      <c r="JI288" s="532"/>
      <c r="JJ288" s="532"/>
      <c r="JK288" s="532"/>
      <c r="JL288" s="532"/>
    </row>
    <row r="289" spans="1:272" s="942" customFormat="1" ht="12.75" hidden="1" customHeight="1" outlineLevel="1">
      <c r="A289" s="1071" t="s">
        <v>449</v>
      </c>
      <c r="B289" s="938"/>
      <c r="C289" s="938"/>
      <c r="D289" s="938"/>
      <c r="E289" s="938"/>
      <c r="F289" s="1196"/>
      <c r="G289" s="938"/>
      <c r="H289" s="938"/>
      <c r="I289" s="938"/>
      <c r="J289" s="938"/>
      <c r="K289" s="1196"/>
      <c r="L289" s="938"/>
      <c r="M289" s="938"/>
      <c r="N289" s="938"/>
      <c r="O289" s="938"/>
      <c r="P289" s="1196"/>
      <c r="Q289" s="938"/>
      <c r="R289" s="938"/>
      <c r="S289" s="938"/>
      <c r="T289" s="938"/>
      <c r="U289" s="1196"/>
      <c r="V289" s="938"/>
      <c r="W289" s="938"/>
      <c r="X289" s="938"/>
      <c r="Y289" s="938"/>
      <c r="Z289" s="1196"/>
      <c r="AA289" s="938"/>
      <c r="AB289" s="938"/>
      <c r="AC289" s="938"/>
      <c r="AD289" s="938"/>
      <c r="AE289" s="1196"/>
      <c r="AF289" s="938"/>
      <c r="AG289" s="938"/>
      <c r="AH289" s="938"/>
      <c r="AI289" s="938"/>
      <c r="AJ289" s="1196"/>
      <c r="AK289" s="938"/>
      <c r="AL289" s="938"/>
      <c r="AM289" s="938"/>
      <c r="AN289" s="938"/>
      <c r="AO289" s="1196"/>
      <c r="AP289" s="938"/>
      <c r="AQ289" s="938"/>
      <c r="AR289" s="938"/>
      <c r="AS289" s="938"/>
      <c r="AT289" s="1196"/>
      <c r="AU289" s="938"/>
      <c r="AV289" s="938"/>
      <c r="AW289" s="938"/>
      <c r="AX289" s="938"/>
      <c r="AY289" s="1196"/>
      <c r="AZ289" s="938"/>
      <c r="BA289" s="938"/>
      <c r="BB289" s="938"/>
      <c r="BC289" s="938"/>
      <c r="BD289" s="1196"/>
      <c r="BE289" s="938"/>
      <c r="BF289" s="938"/>
      <c r="BG289" s="938"/>
      <c r="BH289" s="938"/>
      <c r="BI289" s="1196"/>
      <c r="BJ289" s="938"/>
      <c r="BK289" s="938"/>
      <c r="BL289" s="938"/>
      <c r="BM289" s="938"/>
      <c r="BN289" s="1196">
        <v>11.765000000000001</v>
      </c>
      <c r="BO289" s="938"/>
      <c r="BP289" s="938"/>
      <c r="BQ289" s="938"/>
      <c r="BR289" s="938"/>
      <c r="BS289" s="1196">
        <v>12.289</v>
      </c>
      <c r="BT289" s="938"/>
      <c r="BU289" s="1422"/>
      <c r="BV289" s="938"/>
      <c r="BW289" s="938"/>
      <c r="BX289" s="1196">
        <v>14.055</v>
      </c>
      <c r="BY289" s="938"/>
      <c r="BZ289" s="1422"/>
      <c r="CA289" s="938"/>
      <c r="CB289" s="938"/>
      <c r="CC289" s="1196">
        <v>112.727</v>
      </c>
      <c r="CD289" s="938"/>
      <c r="CE289" s="938"/>
      <c r="CF289" s="938"/>
      <c r="CG289" s="938"/>
      <c r="CH289" s="1196">
        <v>15.032999999999999</v>
      </c>
      <c r="CI289" s="938"/>
      <c r="CJ289" s="938"/>
      <c r="CK289" s="938"/>
      <c r="CL289" s="938"/>
      <c r="CM289" s="1196">
        <v>18.635000000000002</v>
      </c>
      <c r="CN289" s="938"/>
      <c r="CO289" s="938"/>
      <c r="CP289" s="938"/>
      <c r="CQ289" s="938"/>
      <c r="CR289" s="1196">
        <v>27.776</v>
      </c>
      <c r="CS289" s="938"/>
      <c r="CT289" s="938"/>
      <c r="CU289" s="938"/>
      <c r="CV289" s="938"/>
      <c r="CW289" s="1196">
        <v>31.28</v>
      </c>
      <c r="CX289" s="938"/>
      <c r="CY289" s="938"/>
      <c r="CZ289" s="938"/>
      <c r="DA289" s="938"/>
      <c r="DB289" s="1196">
        <f>210.816+10.325</f>
        <v>221.14099999999999</v>
      </c>
      <c r="DC289" s="938"/>
      <c r="DD289" s="938"/>
      <c r="DE289" s="938"/>
      <c r="DF289" s="938"/>
      <c r="DG289" s="1196">
        <f>20.074+18.552</f>
        <v>38.626000000000005</v>
      </c>
      <c r="DH289" s="938"/>
      <c r="DI289" s="938"/>
      <c r="DJ289" s="938"/>
      <c r="DK289" s="938"/>
      <c r="DL289" s="1196">
        <f>14.481+24.026</f>
        <v>38.506999999999998</v>
      </c>
      <c r="DM289" s="938">
        <f>15.804+23.086</f>
        <v>38.89</v>
      </c>
      <c r="DN289" s="938">
        <f>14.215+21.531</f>
        <v>35.745999999999995</v>
      </c>
      <c r="DO289" s="938"/>
      <c r="DP289" s="938">
        <f>+DQ289</f>
        <v>22.99</v>
      </c>
      <c r="DQ289" s="1196">
        <f>6.982+16.008</f>
        <v>22.99</v>
      </c>
      <c r="DR289" s="938">
        <f>2.83+15.48</f>
        <v>18.310000000000002</v>
      </c>
      <c r="DS289" s="938">
        <f>2.285+14.95</f>
        <v>17.234999999999999</v>
      </c>
      <c r="DT289" s="938">
        <f>2.047+14.668</f>
        <v>16.715</v>
      </c>
      <c r="DU289" s="938">
        <f>+DV289</f>
        <v>21.273</v>
      </c>
      <c r="DV289" s="1196">
        <f>1.588+19.685</f>
        <v>21.273</v>
      </c>
      <c r="DW289" s="938">
        <f>19.357+1.876</f>
        <v>21.233000000000001</v>
      </c>
      <c r="DX289" s="938">
        <f>2.388+27.435</f>
        <v>29.823</v>
      </c>
      <c r="DY289" s="1676">
        <v>25.256</v>
      </c>
      <c r="DZ289" s="938">
        <f>+EA289</f>
        <v>16.399000000000001</v>
      </c>
      <c r="EA289" s="1196">
        <f>1.736+14.663</f>
        <v>16.399000000000001</v>
      </c>
      <c r="EB289" s="938">
        <f>1.862+13.298</f>
        <v>15.16</v>
      </c>
      <c r="EC289" s="938"/>
      <c r="ED289" s="1500"/>
      <c r="EE289" s="1500"/>
      <c r="EF289" s="1501">
        <f>EA289</f>
        <v>16.399000000000001</v>
      </c>
      <c r="EG289" s="1500"/>
      <c r="EH289" s="1500"/>
      <c r="EI289" s="1500"/>
      <c r="EJ289" s="1500"/>
      <c r="EK289" s="1501">
        <f>EF289</f>
        <v>16.399000000000001</v>
      </c>
      <c r="EL289" s="1500"/>
      <c r="EM289" s="1500"/>
      <c r="EN289" s="1500"/>
      <c r="EO289" s="1500"/>
      <c r="EP289" s="1501">
        <f>EK289</f>
        <v>16.399000000000001</v>
      </c>
      <c r="EQ289" s="1500"/>
      <c r="ER289" s="1500"/>
      <c r="ES289" s="1500"/>
      <c r="ET289" s="1500"/>
      <c r="EU289" s="1501">
        <f>EP289</f>
        <v>16.399000000000001</v>
      </c>
      <c r="EV289" s="1500"/>
      <c r="EW289" s="1500"/>
      <c r="EX289" s="1500"/>
      <c r="EY289" s="1500"/>
      <c r="EZ289" s="1501">
        <f>EU289</f>
        <v>16.399000000000001</v>
      </c>
      <c r="FA289" s="1500"/>
      <c r="FB289" s="1500"/>
      <c r="FC289" s="1500"/>
      <c r="FD289" s="1500"/>
      <c r="FE289" s="1501">
        <f>EZ289</f>
        <v>16.399000000000001</v>
      </c>
      <c r="FF289" s="938"/>
      <c r="FG289" s="690"/>
      <c r="FH289" s="754"/>
      <c r="FI289" s="754"/>
      <c r="FJ289" s="754"/>
      <c r="FK289" s="754"/>
      <c r="FL289" s="690"/>
      <c r="FM289" s="940"/>
      <c r="FN289" s="940"/>
      <c r="FO289" s="941"/>
      <c r="FP289" s="941"/>
      <c r="FQ289" s="941"/>
      <c r="FR289" s="941"/>
      <c r="FS289" s="941"/>
      <c r="FT289" s="941"/>
      <c r="FU289" s="690"/>
      <c r="FV289"/>
      <c r="FW289"/>
      <c r="FX289"/>
      <c r="FY289"/>
      <c r="FZ289"/>
      <c r="GA289"/>
      <c r="GB289" s="1612"/>
      <c r="GC289" s="1426"/>
      <c r="GD289" s="1426"/>
      <c r="GE289" s="1426"/>
      <c r="GF289" s="1426"/>
      <c r="GG289" s="1426"/>
      <c r="GH289" s="1426"/>
      <c r="GI289" s="1426"/>
      <c r="GJ289" s="1426"/>
      <c r="GK289" s="1426"/>
      <c r="GL289" s="1426"/>
      <c r="GM289" s="1426"/>
      <c r="GN289" s="1426"/>
      <c r="GO289" s="1426"/>
      <c r="GP289" s="1426"/>
      <c r="GQ289" s="1426"/>
      <c r="GR289" s="1426"/>
      <c r="GS289" s="1426"/>
      <c r="GT289" s="1426"/>
      <c r="GU289" s="1426"/>
      <c r="GV289" s="1426"/>
      <c r="GW289" s="1426"/>
      <c r="GX289" s="1426"/>
      <c r="GY289" s="1426"/>
      <c r="GZ289" s="1426"/>
      <c r="HA289" s="1426"/>
      <c r="HB289" s="1426"/>
      <c r="HC289" s="1426"/>
      <c r="HD289" s="1426"/>
      <c r="HE289" s="1426"/>
      <c r="HF289" s="1426"/>
      <c r="HG289" s="1426"/>
      <c r="HH289" s="1426"/>
      <c r="HI289" s="1426"/>
      <c r="HJ289" s="1426"/>
      <c r="HK289" s="1426"/>
      <c r="HL289" s="1426"/>
      <c r="HM289" s="1426"/>
      <c r="HN289" s="1426"/>
      <c r="HO289" s="1426"/>
      <c r="HP289" s="1426"/>
      <c r="HQ289" s="1426"/>
      <c r="HR289" s="1426"/>
      <c r="HS289" s="1426"/>
      <c r="HT289" s="1426"/>
      <c r="HU289" s="1426"/>
      <c r="HV289" s="1426"/>
      <c r="HW289" s="1426"/>
      <c r="HX289" s="1426"/>
      <c r="HY289" s="1426"/>
      <c r="HZ289" s="1426"/>
      <c r="IA289" s="1426"/>
      <c r="IB289" s="1426"/>
      <c r="IC289" s="1426"/>
      <c r="ID289" s="1426"/>
      <c r="IE289" s="1426"/>
      <c r="IF289" s="1426"/>
      <c r="IG289" s="1426"/>
      <c r="IH289" s="1426"/>
      <c r="II289" s="1426"/>
      <c r="IJ289" s="1426"/>
      <c r="IK289" s="1426"/>
      <c r="IL289" s="1426"/>
      <c r="IM289" s="1426"/>
      <c r="IN289" s="1426"/>
      <c r="IO289" s="1426"/>
      <c r="IP289" s="1426"/>
      <c r="IQ289" s="1426"/>
      <c r="IR289" s="1426"/>
      <c r="IS289" s="1426"/>
      <c r="IT289" s="1426"/>
      <c r="IU289" s="1426"/>
      <c r="IV289" s="1426"/>
      <c r="IW289" s="1426"/>
      <c r="IX289" s="1426"/>
      <c r="IY289" s="1426"/>
      <c r="IZ289" s="1426"/>
      <c r="JA289" s="1426"/>
      <c r="JB289" s="1426"/>
      <c r="JC289" s="1426"/>
      <c r="JD289" s="1426"/>
      <c r="JE289" s="1426"/>
      <c r="JF289" s="1426"/>
      <c r="JG289" s="1426"/>
      <c r="JH289" s="1426"/>
      <c r="JI289" s="1426"/>
      <c r="JJ289" s="1426"/>
      <c r="JK289" s="1426"/>
      <c r="JL289" s="1426"/>
    </row>
    <row r="290" spans="1:272" s="942" customFormat="1" ht="12.75" hidden="1" customHeight="1" outlineLevel="1">
      <c r="A290" s="1071" t="s">
        <v>5</v>
      </c>
      <c r="B290" s="938"/>
      <c r="C290" s="938"/>
      <c r="D290" s="938"/>
      <c r="E290" s="938"/>
      <c r="F290" s="1196"/>
      <c r="G290" s="938"/>
      <c r="H290" s="938"/>
      <c r="I290" s="938"/>
      <c r="J290" s="938"/>
      <c r="K290" s="1196"/>
      <c r="L290" s="938"/>
      <c r="M290" s="938"/>
      <c r="N290" s="938"/>
      <c r="O290" s="938"/>
      <c r="P290" s="1196"/>
      <c r="Q290" s="938"/>
      <c r="R290" s="938"/>
      <c r="S290" s="938"/>
      <c r="T290" s="938"/>
      <c r="U290" s="1196"/>
      <c r="V290" s="938"/>
      <c r="W290" s="938"/>
      <c r="X290" s="938"/>
      <c r="Y290" s="938"/>
      <c r="Z290" s="1196"/>
      <c r="AA290" s="938"/>
      <c r="AB290" s="938"/>
      <c r="AC290" s="938"/>
      <c r="AD290" s="938"/>
      <c r="AE290" s="1196"/>
      <c r="AF290" s="938"/>
      <c r="AG290" s="938"/>
      <c r="AH290" s="938"/>
      <c r="AI290" s="938"/>
      <c r="AJ290" s="1196"/>
      <c r="AK290" s="938"/>
      <c r="AL290" s="938"/>
      <c r="AM290" s="938"/>
      <c r="AN290" s="938"/>
      <c r="AO290" s="1196"/>
      <c r="AP290" s="938"/>
      <c r="AQ290" s="938"/>
      <c r="AR290" s="938"/>
      <c r="AS290" s="938"/>
      <c r="AT290" s="1196"/>
      <c r="AU290" s="938"/>
      <c r="AV290" s="938"/>
      <c r="AW290" s="938"/>
      <c r="AX290" s="938"/>
      <c r="AY290" s="1196"/>
      <c r="AZ290" s="938"/>
      <c r="BA290" s="938"/>
      <c r="BB290" s="938"/>
      <c r="BC290" s="938"/>
      <c r="BD290" s="1196"/>
      <c r="BE290" s="938"/>
      <c r="BF290" s="938"/>
      <c r="BG290" s="938"/>
      <c r="BH290" s="938"/>
      <c r="BI290" s="1196"/>
      <c r="BJ290" s="938"/>
      <c r="BK290" s="938"/>
      <c r="BL290" s="938"/>
      <c r="BM290" s="938"/>
      <c r="BN290" s="1196">
        <v>338.73</v>
      </c>
      <c r="BO290" s="938"/>
      <c r="BP290" s="938"/>
      <c r="BQ290" s="938"/>
      <c r="BR290" s="938"/>
      <c r="BS290" s="1196">
        <v>356.60500000000002</v>
      </c>
      <c r="BT290" s="938"/>
      <c r="BU290" s="1422"/>
      <c r="BV290" s="938"/>
      <c r="BW290" s="938"/>
      <c r="BX290" s="1196">
        <v>215.203</v>
      </c>
      <c r="BY290" s="938"/>
      <c r="BZ290" s="1422"/>
      <c r="CA290" s="938"/>
      <c r="CB290" s="938"/>
      <c r="CC290" s="1196">
        <v>252.86699999999999</v>
      </c>
      <c r="CD290" s="938"/>
      <c r="CE290" s="938"/>
      <c r="CF290" s="938"/>
      <c r="CG290" s="938"/>
      <c r="CH290" s="1196">
        <v>276.09699999999998</v>
      </c>
      <c r="CI290" s="938"/>
      <c r="CJ290" s="938"/>
      <c r="CK290" s="938"/>
      <c r="CL290" s="938"/>
      <c r="CM290" s="1196">
        <v>240.87</v>
      </c>
      <c r="CN290" s="938"/>
      <c r="CO290" s="938"/>
      <c r="CP290" s="938"/>
      <c r="CQ290" s="938"/>
      <c r="CR290" s="1196">
        <v>276.10500000000002</v>
      </c>
      <c r="CS290" s="938"/>
      <c r="CT290" s="938"/>
      <c r="CU290" s="938"/>
      <c r="CV290" s="938"/>
      <c r="CW290" s="1196">
        <v>273.78399999999999</v>
      </c>
      <c r="CX290" s="938"/>
      <c r="CY290" s="938"/>
      <c r="CZ290" s="938"/>
      <c r="DA290" s="938"/>
      <c r="DB290" s="1196">
        <v>272.28500000000003</v>
      </c>
      <c r="DC290" s="938"/>
      <c r="DD290" s="938"/>
      <c r="DE290" s="938"/>
      <c r="DF290" s="938"/>
      <c r="DG290" s="1196">
        <v>304.17599999999999</v>
      </c>
      <c r="DH290" s="938"/>
      <c r="DI290" s="938"/>
      <c r="DJ290" s="938"/>
      <c r="DK290" s="938"/>
      <c r="DL290" s="1196">
        <v>345.48899999999998</v>
      </c>
      <c r="DM290" s="938">
        <v>385.85500000000002</v>
      </c>
      <c r="DN290" s="938">
        <v>402.875</v>
      </c>
      <c r="DO290" s="938"/>
      <c r="DP290" s="938">
        <f>+DQ290</f>
        <v>330.66500000000002</v>
      </c>
      <c r="DQ290" s="1196">
        <v>330.66500000000002</v>
      </c>
      <c r="DR290" s="938">
        <v>366.65199999999999</v>
      </c>
      <c r="DS290" s="938">
        <v>353.82799999999997</v>
      </c>
      <c r="DT290" s="938">
        <v>360.98700000000002</v>
      </c>
      <c r="DU290" s="938">
        <f>+DV290</f>
        <v>390.53699999999998</v>
      </c>
      <c r="DV290" s="1196">
        <v>390.53699999999998</v>
      </c>
      <c r="DW290" s="938">
        <v>392.642</v>
      </c>
      <c r="DX290" s="938">
        <v>402.60399999999998</v>
      </c>
      <c r="DY290" s="938">
        <v>405.209</v>
      </c>
      <c r="DZ290" s="938">
        <f>+EA290</f>
        <v>349.995</v>
      </c>
      <c r="EA290" s="1196">
        <v>349.995</v>
      </c>
      <c r="EB290" s="938">
        <v>405.471</v>
      </c>
      <c r="EC290" s="938"/>
      <c r="ED290" s="938"/>
      <c r="EE290" s="938"/>
      <c r="EF290" s="1196">
        <f>EF291*CNW!EF201/360</f>
        <v>332.97544111210516</v>
      </c>
      <c r="EG290" s="938"/>
      <c r="EH290" s="938"/>
      <c r="EI290" s="938"/>
      <c r="EJ290" s="938"/>
      <c r="EK290" s="1196">
        <f>EK291*CNW!EK201/360</f>
        <v>190.1372553275979</v>
      </c>
      <c r="EL290" s="938"/>
      <c r="EM290" s="938"/>
      <c r="EN290" s="938"/>
      <c r="EO290" s="938"/>
      <c r="EP290" s="1196">
        <f>EP291*CNW!EP201/360</f>
        <v>198.12706301357071</v>
      </c>
      <c r="EQ290" s="938"/>
      <c r="ER290" s="938"/>
      <c r="ES290" s="938"/>
      <c r="ET290" s="938"/>
      <c r="EU290" s="1196">
        <f>EU291*CNW!EU201/360</f>
        <v>205.24696012454868</v>
      </c>
      <c r="EV290" s="938"/>
      <c r="EW290" s="938"/>
      <c r="EX290" s="938"/>
      <c r="EY290" s="938"/>
      <c r="EZ290" s="1196">
        <f>EZ291*CNW!EZ201/360</f>
        <v>216.58674488193358</v>
      </c>
      <c r="FA290" s="938"/>
      <c r="FB290" s="938"/>
      <c r="FC290" s="938"/>
      <c r="FD290" s="938"/>
      <c r="FE290" s="1196">
        <f>FE291*CNW!FE201/360</f>
        <v>228.30400238675767</v>
      </c>
      <c r="FF290" s="938"/>
      <c r="FG290" s="690"/>
      <c r="FH290" s="754"/>
      <c r="FI290" s="754"/>
      <c r="FJ290" s="754"/>
      <c r="FK290" s="754"/>
      <c r="FL290" s="690"/>
      <c r="FM290" s="940"/>
      <c r="FN290" s="940"/>
      <c r="FO290" s="941"/>
      <c r="FP290" s="941"/>
      <c r="FQ290" s="941"/>
      <c r="FR290" s="941"/>
      <c r="FS290" s="941"/>
      <c r="FT290" s="941"/>
      <c r="FU290" s="690"/>
      <c r="FV290"/>
      <c r="FW290"/>
      <c r="FX290"/>
      <c r="FY290"/>
      <c r="FZ290"/>
      <c r="GA290"/>
      <c r="GB290" s="1612"/>
      <c r="GC290" s="1426"/>
      <c r="GD290" s="1426"/>
      <c r="GE290" s="1426"/>
      <c r="GF290" s="1426"/>
      <c r="GG290" s="1426"/>
      <c r="GH290" s="1426"/>
      <c r="GI290" s="1426"/>
      <c r="GJ290" s="1426"/>
      <c r="GK290" s="1426"/>
      <c r="GL290" s="1426"/>
      <c r="GM290" s="1426"/>
      <c r="GN290" s="1426"/>
      <c r="GO290" s="1426"/>
      <c r="GP290" s="1426"/>
      <c r="GQ290" s="1426"/>
      <c r="GR290" s="1426"/>
      <c r="GS290" s="1426"/>
      <c r="GT290" s="1426"/>
      <c r="GU290" s="1426"/>
      <c r="GV290" s="1426"/>
      <c r="GW290" s="1426"/>
      <c r="GX290" s="1426"/>
      <c r="GY290" s="1426"/>
      <c r="GZ290" s="1426"/>
      <c r="HA290" s="1426"/>
      <c r="HB290" s="1426"/>
      <c r="HC290" s="1426"/>
      <c r="HD290" s="1426"/>
      <c r="HE290" s="1426"/>
      <c r="HF290" s="1426"/>
      <c r="HG290" s="1426"/>
      <c r="HH290" s="1426"/>
      <c r="HI290" s="1426"/>
      <c r="HJ290" s="1426"/>
      <c r="HK290" s="1426"/>
      <c r="HL290" s="1426"/>
      <c r="HM290" s="1426"/>
      <c r="HN290" s="1426"/>
      <c r="HO290" s="1426"/>
      <c r="HP290" s="1426"/>
      <c r="HQ290" s="1426"/>
      <c r="HR290" s="1426"/>
      <c r="HS290" s="1426"/>
      <c r="HT290" s="1426"/>
      <c r="HU290" s="1426"/>
      <c r="HV290" s="1426"/>
      <c r="HW290" s="1426"/>
      <c r="HX290" s="1426"/>
      <c r="HY290" s="1426"/>
      <c r="HZ290" s="1426"/>
      <c r="IA290" s="1426"/>
      <c r="IB290" s="1426"/>
      <c r="IC290" s="1426"/>
      <c r="ID290" s="1426"/>
      <c r="IE290" s="1426"/>
      <c r="IF290" s="1426"/>
      <c r="IG290" s="1426"/>
      <c r="IH290" s="1426"/>
      <c r="II290" s="1426"/>
      <c r="IJ290" s="1426"/>
      <c r="IK290" s="1426"/>
      <c r="IL290" s="1426"/>
      <c r="IM290" s="1426"/>
      <c r="IN290" s="1426"/>
      <c r="IO290" s="1426"/>
      <c r="IP290" s="1426"/>
      <c r="IQ290" s="1426"/>
      <c r="IR290" s="1426"/>
      <c r="IS290" s="1426"/>
      <c r="IT290" s="1426"/>
      <c r="IU290" s="1426"/>
      <c r="IV290" s="1426"/>
      <c r="IW290" s="1426"/>
      <c r="IX290" s="1426"/>
      <c r="IY290" s="1426"/>
      <c r="IZ290" s="1426"/>
      <c r="JA290" s="1426"/>
      <c r="JB290" s="1426"/>
      <c r="JC290" s="1426"/>
      <c r="JD290" s="1426"/>
      <c r="JE290" s="1426"/>
      <c r="JF290" s="1426"/>
      <c r="JG290" s="1426"/>
      <c r="JH290" s="1426"/>
      <c r="JI290" s="1426"/>
      <c r="JJ290" s="1426"/>
      <c r="JK290" s="1426"/>
      <c r="JL290" s="1426"/>
    </row>
    <row r="291" spans="1:272" s="1681" customFormat="1" ht="12.75" hidden="1" customHeight="1" outlineLevel="1">
      <c r="A291" s="1677" t="s">
        <v>450</v>
      </c>
      <c r="B291" s="724"/>
      <c r="C291" s="724"/>
      <c r="D291" s="724"/>
      <c r="E291" s="724"/>
      <c r="F291" s="1664"/>
      <c r="G291" s="724"/>
      <c r="H291" s="724"/>
      <c r="I291" s="724"/>
      <c r="J291" s="724"/>
      <c r="K291" s="1664"/>
      <c r="L291" s="724"/>
      <c r="M291" s="724"/>
      <c r="N291" s="724"/>
      <c r="O291" s="724"/>
      <c r="P291" s="1664"/>
      <c r="Q291" s="724"/>
      <c r="R291" s="724"/>
      <c r="S291" s="724"/>
      <c r="T291" s="724"/>
      <c r="U291" s="1664"/>
      <c r="V291" s="724"/>
      <c r="W291" s="724"/>
      <c r="X291" s="724"/>
      <c r="Y291" s="724"/>
      <c r="Z291" s="1664"/>
      <c r="AA291" s="724"/>
      <c r="AB291" s="724"/>
      <c r="AC291" s="724"/>
      <c r="AD291" s="724"/>
      <c r="AE291" s="1664"/>
      <c r="AF291" s="724"/>
      <c r="AG291" s="724"/>
      <c r="AH291" s="724"/>
      <c r="AI291" s="724"/>
      <c r="AJ291" s="1664"/>
      <c r="AK291" s="724"/>
      <c r="AL291" s="724"/>
      <c r="AM291" s="724"/>
      <c r="AN291" s="724"/>
      <c r="AO291" s="1664"/>
      <c r="AP291" s="724"/>
      <c r="AQ291" s="724"/>
      <c r="AR291" s="724"/>
      <c r="AS291" s="724"/>
      <c r="AT291" s="1664"/>
      <c r="AU291" s="724"/>
      <c r="AV291" s="724"/>
      <c r="AW291" s="724"/>
      <c r="AX291" s="724"/>
      <c r="AY291" s="1664"/>
      <c r="AZ291" s="724"/>
      <c r="BA291" s="724"/>
      <c r="BB291" s="724"/>
      <c r="BC291" s="724"/>
      <c r="BD291" s="1664"/>
      <c r="BE291" s="724"/>
      <c r="BF291" s="724"/>
      <c r="BG291" s="724"/>
      <c r="BH291" s="724"/>
      <c r="BI291" s="1664"/>
      <c r="BJ291" s="724"/>
      <c r="BK291" s="724"/>
      <c r="BL291" s="724"/>
      <c r="BM291" s="724"/>
      <c r="BN291" s="1664"/>
      <c r="BO291" s="724"/>
      <c r="BP291" s="724"/>
      <c r="BQ291" s="724"/>
      <c r="BR291" s="724"/>
      <c r="BS291" s="1664">
        <f>IF(ISERROR(BS290/(BS201/360)),"",BS290/(BS201/360))</f>
        <v>45.125101452372654</v>
      </c>
      <c r="BT291" s="724"/>
      <c r="BU291" s="724"/>
      <c r="BV291" s="724"/>
      <c r="BW291" s="724"/>
      <c r="BX291" s="1664">
        <f>IF(ISERROR(BX290/(BX201/360)),"",BX290/(BX201/360))</f>
        <v>26.061958185457417</v>
      </c>
      <c r="BY291" s="724"/>
      <c r="BZ291" s="724"/>
      <c r="CA291" s="724"/>
      <c r="CB291" s="724"/>
      <c r="CC291" s="1664">
        <f>IF(ISERROR(CC290/(CC201/360)),"",CC290/(CC201/360))</f>
        <v>26.894362832932963</v>
      </c>
      <c r="CD291" s="724"/>
      <c r="CE291" s="724"/>
      <c r="CF291" s="724"/>
      <c r="CG291" s="724"/>
      <c r="CH291" s="1664">
        <f>IF(ISERROR(CH290/(CH201/360)),"",CH290/(CH201/360))</f>
        <v>26.543329125528857</v>
      </c>
      <c r="CI291" s="724"/>
      <c r="CJ291" s="724"/>
      <c r="CK291" s="724"/>
      <c r="CL291" s="724"/>
      <c r="CM291" s="1664">
        <f>CM290/(CM201/360)</f>
        <v>22.701870590237323</v>
      </c>
      <c r="CN291" s="724"/>
      <c r="CO291" s="724"/>
      <c r="CP291" s="724"/>
      <c r="CQ291" s="724"/>
      <c r="CR291" s="1664">
        <f>CR290/(CR201/360)</f>
        <v>24.108651413685966</v>
      </c>
      <c r="CS291" s="724"/>
      <c r="CT291" s="724"/>
      <c r="CU291" s="724"/>
      <c r="CV291" s="724"/>
      <c r="CW291" s="1664">
        <f>CW290/(CW201/360)</f>
        <v>20.346464170001415</v>
      </c>
      <c r="CX291" s="724"/>
      <c r="CY291" s="724"/>
      <c r="CZ291" s="724"/>
      <c r="DA291" s="724"/>
      <c r="DB291" s="1664">
        <f>DB290/(DB201/360)</f>
        <v>23.61060160635509</v>
      </c>
      <c r="DC291" s="724"/>
      <c r="DD291" s="724"/>
      <c r="DE291" s="724"/>
      <c r="DF291" s="724"/>
      <c r="DG291" s="1664">
        <f>DG290/(DG201/360)</f>
        <v>22.598002517567242</v>
      </c>
      <c r="DH291" s="724"/>
      <c r="DI291" s="724"/>
      <c r="DJ291" s="724"/>
      <c r="DK291" s="724"/>
      <c r="DL291" s="1664">
        <f>DL290/(DL201/360)</f>
        <v>24.425797747248374</v>
      </c>
      <c r="DM291" s="1678"/>
      <c r="DN291" s="1678"/>
      <c r="DO291" s="1678"/>
      <c r="DP291" s="724"/>
      <c r="DQ291" s="1664">
        <f>DQ290/(DQ201/360)</f>
        <v>22.228143615743971</v>
      </c>
      <c r="DR291" s="1678"/>
      <c r="DS291" s="1678"/>
      <c r="DT291" s="1678"/>
      <c r="DU291" s="724"/>
      <c r="DV291" s="1664">
        <f>DV290/(DV201/360)</f>
        <v>26.696899271762859</v>
      </c>
      <c r="DW291" s="1678"/>
      <c r="DX291" s="1678"/>
      <c r="DY291" s="1678"/>
      <c r="DZ291" s="724"/>
      <c r="EA291" s="1664">
        <f>EA290/(EA201/360)</f>
        <v>22.809009470218793</v>
      </c>
      <c r="EB291" s="1678"/>
      <c r="EC291" s="1678"/>
      <c r="ED291" s="1678"/>
      <c r="EE291" s="1678"/>
      <c r="EF291" s="1679">
        <f>EA291</f>
        <v>22.809009470218793</v>
      </c>
      <c r="EG291" s="1678"/>
      <c r="EH291" s="1678"/>
      <c r="EI291" s="1678"/>
      <c r="EJ291" s="1678"/>
      <c r="EK291" s="1679">
        <f>EF291</f>
        <v>22.809009470218793</v>
      </c>
      <c r="EL291" s="1678"/>
      <c r="EM291" s="1678"/>
      <c r="EN291" s="1678"/>
      <c r="EO291" s="1678"/>
      <c r="EP291" s="1679">
        <f>EK291</f>
        <v>22.809009470218793</v>
      </c>
      <c r="EQ291" s="1678"/>
      <c r="ER291" s="1678"/>
      <c r="ES291" s="1678"/>
      <c r="ET291" s="1678"/>
      <c r="EU291" s="1679">
        <f>EP291</f>
        <v>22.809009470218793</v>
      </c>
      <c r="EV291" s="1678"/>
      <c r="EW291" s="1678"/>
      <c r="EX291" s="1678"/>
      <c r="EY291" s="1678"/>
      <c r="EZ291" s="1679">
        <f>EU291</f>
        <v>22.809009470218793</v>
      </c>
      <c r="FA291" s="1678"/>
      <c r="FB291" s="1678"/>
      <c r="FC291" s="1678"/>
      <c r="FD291" s="1678"/>
      <c r="FE291" s="1679">
        <f>EZ291</f>
        <v>22.809009470218793</v>
      </c>
      <c r="FF291" s="724"/>
      <c r="FG291" s="690"/>
      <c r="FH291" s="754"/>
      <c r="FI291" s="754"/>
      <c r="FJ291" s="754"/>
      <c r="FK291" s="754"/>
      <c r="FL291" s="690"/>
      <c r="FM291" s="766"/>
      <c r="FN291" s="766"/>
      <c r="FO291" s="1680"/>
      <c r="FP291" s="1680"/>
      <c r="FQ291" s="1680"/>
      <c r="FR291" s="1680"/>
      <c r="FS291" s="1680"/>
      <c r="FT291" s="1680"/>
      <c r="FU291" s="690"/>
      <c r="FV291"/>
      <c r="FW291"/>
      <c r="FX291"/>
      <c r="FY291"/>
      <c r="FZ291"/>
      <c r="GA291"/>
      <c r="GB291" s="1682"/>
      <c r="GC291" s="1683"/>
      <c r="GD291" s="1683"/>
      <c r="GE291" s="1683"/>
      <c r="GF291" s="1683"/>
      <c r="GG291" s="1683"/>
      <c r="GH291" s="1683"/>
      <c r="GI291" s="1683"/>
      <c r="GJ291" s="1683"/>
      <c r="GK291" s="1683"/>
      <c r="GL291" s="1683"/>
      <c r="GM291" s="1683"/>
      <c r="GN291" s="1683"/>
      <c r="GO291" s="1683"/>
      <c r="GP291" s="1683"/>
      <c r="GQ291" s="1683"/>
      <c r="GR291" s="1683"/>
      <c r="GS291" s="1683"/>
      <c r="GT291" s="1683"/>
      <c r="GU291" s="1683"/>
      <c r="GV291" s="1683"/>
      <c r="GW291" s="1683"/>
      <c r="GX291" s="1683"/>
      <c r="GY291" s="1683"/>
      <c r="GZ291" s="1683"/>
      <c r="HA291" s="1683"/>
      <c r="HB291" s="1683"/>
      <c r="HC291" s="1683"/>
      <c r="HD291" s="1683"/>
      <c r="HE291" s="1683"/>
      <c r="HF291" s="1683"/>
      <c r="HG291" s="1683"/>
      <c r="HH291" s="1683"/>
      <c r="HI291" s="1683"/>
      <c r="HJ291" s="1683"/>
      <c r="HK291" s="1683"/>
      <c r="HL291" s="1683"/>
      <c r="HM291" s="1683"/>
      <c r="HN291" s="1683"/>
      <c r="HO291" s="1683"/>
      <c r="HP291" s="1683"/>
      <c r="HQ291" s="1683"/>
      <c r="HR291" s="1683"/>
      <c r="HS291" s="1683"/>
      <c r="HT291" s="1683"/>
      <c r="HU291" s="1683"/>
      <c r="HV291" s="1683"/>
      <c r="HW291" s="1683"/>
      <c r="HX291" s="1683"/>
      <c r="HY291" s="1683"/>
      <c r="HZ291" s="1683"/>
      <c r="IA291" s="1683"/>
      <c r="IB291" s="1683"/>
      <c r="IC291" s="1683"/>
      <c r="ID291" s="1683"/>
      <c r="IE291" s="1683"/>
      <c r="IF291" s="1683"/>
      <c r="IG291" s="1683"/>
      <c r="IH291" s="1683"/>
      <c r="II291" s="1683"/>
      <c r="IJ291" s="1683"/>
      <c r="IK291" s="1683"/>
      <c r="IL291" s="1683"/>
      <c r="IM291" s="1683"/>
      <c r="IN291" s="1683"/>
      <c r="IO291" s="1683"/>
      <c r="IP291" s="1683"/>
      <c r="IQ291" s="1683"/>
      <c r="IR291" s="1683"/>
      <c r="IS291" s="1683"/>
      <c r="IT291" s="1683"/>
      <c r="IU291" s="1683"/>
      <c r="IV291" s="1683"/>
      <c r="IW291" s="1683"/>
      <c r="IX291" s="1683"/>
      <c r="IY291" s="1683"/>
      <c r="IZ291" s="1683"/>
      <c r="JA291" s="1683"/>
      <c r="JB291" s="1683"/>
      <c r="JC291" s="1683"/>
      <c r="JD291" s="1683"/>
      <c r="JE291" s="1683"/>
      <c r="JF291" s="1683"/>
      <c r="JG291" s="1683"/>
      <c r="JH291" s="1683"/>
      <c r="JI291" s="1683"/>
      <c r="JJ291" s="1683"/>
      <c r="JK291" s="1683"/>
      <c r="JL291" s="1683"/>
    </row>
    <row r="292" spans="1:272" s="942" customFormat="1" ht="12.75" hidden="1" customHeight="1" outlineLevel="1">
      <c r="A292" s="1071" t="s">
        <v>451</v>
      </c>
      <c r="B292" s="938"/>
      <c r="C292" s="938"/>
      <c r="D292" s="938"/>
      <c r="E292" s="938"/>
      <c r="F292" s="1196"/>
      <c r="G292" s="938"/>
      <c r="H292" s="938"/>
      <c r="I292" s="938"/>
      <c r="J292" s="938"/>
      <c r="K292" s="1196"/>
      <c r="L292" s="938"/>
      <c r="M292" s="938"/>
      <c r="N292" s="938"/>
      <c r="O292" s="938"/>
      <c r="P292" s="1196"/>
      <c r="Q292" s="938"/>
      <c r="R292" s="938"/>
      <c r="S292" s="938"/>
      <c r="T292" s="938"/>
      <c r="U292" s="1196"/>
      <c r="V292" s="938"/>
      <c r="W292" s="938"/>
      <c r="X292" s="938"/>
      <c r="Y292" s="938"/>
      <c r="Z292" s="1196"/>
      <c r="AA292" s="938"/>
      <c r="AB292" s="938"/>
      <c r="AC292" s="938"/>
      <c r="AD292" s="938"/>
      <c r="AE292" s="1196"/>
      <c r="AF292" s="938"/>
      <c r="AG292" s="938"/>
      <c r="AH292" s="938"/>
      <c r="AI292" s="938"/>
      <c r="AJ292" s="1196"/>
      <c r="AK292" s="938"/>
      <c r="AL292" s="938"/>
      <c r="AM292" s="938"/>
      <c r="AN292" s="938"/>
      <c r="AO292" s="1196"/>
      <c r="AP292" s="938"/>
      <c r="AQ292" s="938"/>
      <c r="AR292" s="938"/>
      <c r="AS292" s="938"/>
      <c r="AT292" s="1196"/>
      <c r="AU292" s="938"/>
      <c r="AV292" s="938"/>
      <c r="AW292" s="938"/>
      <c r="AX292" s="938"/>
      <c r="AY292" s="1196"/>
      <c r="AZ292" s="938"/>
      <c r="BA292" s="938"/>
      <c r="BB292" s="938"/>
      <c r="BC292" s="938"/>
      <c r="BD292" s="1196"/>
      <c r="BE292" s="938"/>
      <c r="BF292" s="938"/>
      <c r="BG292" s="938"/>
      <c r="BH292" s="938"/>
      <c r="BI292" s="1196"/>
      <c r="BJ292" s="938"/>
      <c r="BK292" s="938"/>
      <c r="BL292" s="938"/>
      <c r="BM292" s="938"/>
      <c r="BN292" s="1196">
        <f>BN294-BN289-BN290</f>
        <v>533.64099999999996</v>
      </c>
      <c r="BO292" s="938"/>
      <c r="BP292" s="938"/>
      <c r="BQ292" s="938"/>
      <c r="BR292" s="938"/>
      <c r="BS292" s="1196">
        <f>BS294-BS289-BS290</f>
        <v>504.15999999999997</v>
      </c>
      <c r="BT292" s="938"/>
      <c r="BU292" s="1422"/>
      <c r="BV292" s="938"/>
      <c r="BW292" s="938"/>
      <c r="BX292" s="1196">
        <f>BX294-BX289-BX290</f>
        <v>592.89200000000005</v>
      </c>
      <c r="BY292" s="938"/>
      <c r="BZ292" s="1422"/>
      <c r="CA292" s="938"/>
      <c r="CB292" s="938"/>
      <c r="CC292" s="1196">
        <f>CC294-CC289-CC290</f>
        <v>347.23700000000008</v>
      </c>
      <c r="CD292" s="938"/>
      <c r="CE292" s="938"/>
      <c r="CF292" s="938"/>
      <c r="CG292" s="938"/>
      <c r="CH292" s="1196">
        <f>CH294-CH289-CH290</f>
        <v>340.3660000000001</v>
      </c>
      <c r="CI292" s="938"/>
      <c r="CJ292" s="938"/>
      <c r="CK292" s="938"/>
      <c r="CL292" s="938"/>
      <c r="CM292" s="1196">
        <f>CM294-CM289-CM290</f>
        <v>300.29699999999991</v>
      </c>
      <c r="CN292" s="938"/>
      <c r="CO292" s="938"/>
      <c r="CP292" s="938"/>
      <c r="CQ292" s="938"/>
      <c r="CR292" s="1196">
        <f>CR294-CR289-CR290</f>
        <v>369.23900000000003</v>
      </c>
      <c r="CS292" s="938"/>
      <c r="CT292" s="938"/>
      <c r="CU292" s="938"/>
      <c r="CV292" s="938"/>
      <c r="CW292" s="1196">
        <f>CW294-CW289-CW290</f>
        <v>353.01300000000003</v>
      </c>
      <c r="CX292" s="938"/>
      <c r="CY292" s="938"/>
      <c r="CZ292" s="938"/>
      <c r="DA292" s="938"/>
      <c r="DB292" s="1196">
        <f>DB294-DB289-DB290</f>
        <v>298.05800000000016</v>
      </c>
      <c r="DC292" s="938"/>
      <c r="DD292" s="938"/>
      <c r="DE292" s="938"/>
      <c r="DF292" s="938"/>
      <c r="DG292" s="1196">
        <f>DG294-DG289-DG290</f>
        <v>309.08800000000002</v>
      </c>
      <c r="DH292" s="938"/>
      <c r="DI292" s="938"/>
      <c r="DJ292" s="938"/>
      <c r="DK292" s="938"/>
      <c r="DL292" s="1196">
        <f>DL294-DL289-DL290</f>
        <v>339.4740000000001</v>
      </c>
      <c r="DM292" s="938">
        <f>DM294-DM289-DM290</f>
        <v>347.39400000000001</v>
      </c>
      <c r="DN292" s="938">
        <f>DN294-DN289-DN290</f>
        <v>358.34500000000003</v>
      </c>
      <c r="DO292" s="938"/>
      <c r="DP292" s="938">
        <f>+DQ292</f>
        <v>354.03699999999998</v>
      </c>
      <c r="DQ292" s="1196">
        <f>DQ294-DQ289-DQ290</f>
        <v>354.03699999999998</v>
      </c>
      <c r="DR292" s="938">
        <f>DR294-DR289-DR290</f>
        <v>334.39899999999994</v>
      </c>
      <c r="DS292" s="938">
        <f>DS294-DS289-DS290</f>
        <v>336.91200000000003</v>
      </c>
      <c r="DT292" s="938">
        <f>DT294-DT289-DT290</f>
        <v>351.41199999999998</v>
      </c>
      <c r="DU292" s="938">
        <f>+DV292</f>
        <v>334.14100000000002</v>
      </c>
      <c r="DV292" s="1196">
        <f>DV294-DV289-DV290</f>
        <v>334.14100000000002</v>
      </c>
      <c r="DW292" s="938">
        <f>DW294-DW289-DW290</f>
        <v>347.88500000000005</v>
      </c>
      <c r="DX292" s="938">
        <f>DX294-DX289-DX290</f>
        <v>363.30300000000005</v>
      </c>
      <c r="DY292" s="938">
        <f>DY294-DY289-DY290</f>
        <v>395.99900000000008</v>
      </c>
      <c r="DZ292" s="938">
        <f>+EA292</f>
        <v>375.726</v>
      </c>
      <c r="EA292" s="1196">
        <f>EA294-EA289-EA290</f>
        <v>375.726</v>
      </c>
      <c r="EB292" s="938">
        <f>EB294-EB289-EB290</f>
        <v>363.43900000000008</v>
      </c>
      <c r="EC292" s="938"/>
      <c r="ED292" s="938"/>
      <c r="EE292" s="938"/>
      <c r="EF292" s="1196">
        <f>EF198*EF293</f>
        <v>376.13435221969149</v>
      </c>
      <c r="EG292" s="938"/>
      <c r="EH292" s="938"/>
      <c r="EI292" s="938"/>
      <c r="EJ292" s="938"/>
      <c r="EK292" s="1196">
        <f>EK198*EK293</f>
        <v>243.62622713477916</v>
      </c>
      <c r="EL292" s="938"/>
      <c r="EM292" s="938"/>
      <c r="EN292" s="938"/>
      <c r="EO292" s="938"/>
      <c r="EP292" s="1196">
        <f>EP198*EP293</f>
        <v>268.4024315221194</v>
      </c>
      <c r="EQ292" s="938"/>
      <c r="ER292" s="938"/>
      <c r="ES292" s="938"/>
      <c r="ET292" s="938"/>
      <c r="EU292" s="1196">
        <f>EU198*EU293</f>
        <v>294.42064333954215</v>
      </c>
      <c r="EV292" s="938"/>
      <c r="EW292" s="938"/>
      <c r="EX292" s="938"/>
      <c r="EY292" s="938"/>
      <c r="EZ292" s="1196">
        <f>EZ198*EZ293</f>
        <v>324.14882836672052</v>
      </c>
      <c r="FA292" s="938"/>
      <c r="FB292" s="938"/>
      <c r="FC292" s="938"/>
      <c r="FD292" s="938"/>
      <c r="FE292" s="1196">
        <f>FE198*FE293</f>
        <v>355.90041433719267</v>
      </c>
      <c r="FF292" s="938"/>
      <c r="FG292" s="690"/>
      <c r="FH292" s="754"/>
      <c r="FI292" s="754"/>
      <c r="FJ292" s="754"/>
      <c r="FK292" s="754"/>
      <c r="FL292" s="690"/>
      <c r="FM292" s="940"/>
      <c r="FN292" s="940"/>
      <c r="FO292" s="941"/>
      <c r="FP292" s="941"/>
      <c r="FQ292" s="941"/>
      <c r="FR292" s="941"/>
      <c r="FS292" s="941"/>
      <c r="FT292" s="941"/>
      <c r="FU292" s="690"/>
      <c r="FV292"/>
      <c r="FW292"/>
      <c r="FX292"/>
      <c r="FY292"/>
      <c r="FZ292"/>
      <c r="GA292"/>
      <c r="GB292" s="1612"/>
      <c r="GC292" s="1426"/>
      <c r="GD292" s="1426"/>
      <c r="GE292" s="1426"/>
      <c r="GF292" s="1426"/>
      <c r="GG292" s="1426"/>
      <c r="GH292" s="1426"/>
      <c r="GI292" s="1426"/>
      <c r="GJ292" s="1426"/>
      <c r="GK292" s="1426"/>
      <c r="GL292" s="1426"/>
      <c r="GM292" s="1426"/>
      <c r="GN292" s="1426"/>
      <c r="GO292" s="1426"/>
      <c r="GP292" s="1426"/>
      <c r="GQ292" s="1426"/>
      <c r="GR292" s="1426"/>
      <c r="GS292" s="1426"/>
      <c r="GT292" s="1426"/>
      <c r="GU292" s="1426"/>
      <c r="GV292" s="1426"/>
      <c r="GW292" s="1426"/>
      <c r="GX292" s="1426"/>
      <c r="GY292" s="1426"/>
      <c r="GZ292" s="1426"/>
      <c r="HA292" s="1426"/>
      <c r="HB292" s="1426"/>
      <c r="HC292" s="1426"/>
      <c r="HD292" s="1426"/>
      <c r="HE292" s="1426"/>
      <c r="HF292" s="1426"/>
      <c r="HG292" s="1426"/>
      <c r="HH292" s="1426"/>
      <c r="HI292" s="1426"/>
      <c r="HJ292" s="1426"/>
      <c r="HK292" s="1426"/>
      <c r="HL292" s="1426"/>
      <c r="HM292" s="1426"/>
      <c r="HN292" s="1426"/>
      <c r="HO292" s="1426"/>
      <c r="HP292" s="1426"/>
      <c r="HQ292" s="1426"/>
      <c r="HR292" s="1426"/>
      <c r="HS292" s="1426"/>
      <c r="HT292" s="1426"/>
      <c r="HU292" s="1426"/>
      <c r="HV292" s="1426"/>
      <c r="HW292" s="1426"/>
      <c r="HX292" s="1426"/>
      <c r="HY292" s="1426"/>
      <c r="HZ292" s="1426"/>
      <c r="IA292" s="1426"/>
      <c r="IB292" s="1426"/>
      <c r="IC292" s="1426"/>
      <c r="ID292" s="1426"/>
      <c r="IE292" s="1426"/>
      <c r="IF292" s="1426"/>
      <c r="IG292" s="1426"/>
      <c r="IH292" s="1426"/>
      <c r="II292" s="1426"/>
      <c r="IJ292" s="1426"/>
      <c r="IK292" s="1426"/>
      <c r="IL292" s="1426"/>
      <c r="IM292" s="1426"/>
      <c r="IN292" s="1426"/>
      <c r="IO292" s="1426"/>
      <c r="IP292" s="1426"/>
      <c r="IQ292" s="1426"/>
      <c r="IR292" s="1426"/>
      <c r="IS292" s="1426"/>
      <c r="IT292" s="1426"/>
      <c r="IU292" s="1426"/>
      <c r="IV292" s="1426"/>
      <c r="IW292" s="1426"/>
      <c r="IX292" s="1426"/>
      <c r="IY292" s="1426"/>
      <c r="IZ292" s="1426"/>
      <c r="JA292" s="1426"/>
      <c r="JB292" s="1426"/>
      <c r="JC292" s="1426"/>
      <c r="JD292" s="1426"/>
      <c r="JE292" s="1426"/>
      <c r="JF292" s="1426"/>
      <c r="JG292" s="1426"/>
      <c r="JH292" s="1426"/>
      <c r="JI292" s="1426"/>
      <c r="JJ292" s="1426"/>
      <c r="JK292" s="1426"/>
      <c r="JL292" s="1426"/>
    </row>
    <row r="293" spans="1:272" s="942" customFormat="1" ht="12.75" hidden="1" customHeight="1" outlineLevel="1">
      <c r="A293" s="1668" t="s">
        <v>245</v>
      </c>
      <c r="B293" s="938"/>
      <c r="C293" s="938"/>
      <c r="D293" s="938"/>
      <c r="E293" s="938"/>
      <c r="F293" s="1196"/>
      <c r="G293" s="938"/>
      <c r="H293" s="938"/>
      <c r="I293" s="938"/>
      <c r="J293" s="938"/>
      <c r="K293" s="1196"/>
      <c r="L293" s="938"/>
      <c r="M293" s="938"/>
      <c r="N293" s="938"/>
      <c r="O293" s="938"/>
      <c r="P293" s="1196"/>
      <c r="Q293" s="938"/>
      <c r="R293" s="938"/>
      <c r="S293" s="938"/>
      <c r="T293" s="938"/>
      <c r="U293" s="1196"/>
      <c r="V293" s="938"/>
      <c r="W293" s="938"/>
      <c r="X293" s="938"/>
      <c r="Y293" s="938"/>
      <c r="Z293" s="1196"/>
      <c r="AA293" s="938"/>
      <c r="AB293" s="938"/>
      <c r="AC293" s="938"/>
      <c r="AD293" s="938"/>
      <c r="AE293" s="1196"/>
      <c r="AF293" s="938"/>
      <c r="AG293" s="938"/>
      <c r="AH293" s="938"/>
      <c r="AI293" s="938"/>
      <c r="AJ293" s="1196"/>
      <c r="AK293" s="938"/>
      <c r="AL293" s="938"/>
      <c r="AM293" s="938"/>
      <c r="AN293" s="938"/>
      <c r="AO293" s="1196"/>
      <c r="AP293" s="938"/>
      <c r="AQ293" s="938"/>
      <c r="AR293" s="938"/>
      <c r="AS293" s="938"/>
      <c r="AT293" s="1196"/>
      <c r="AU293" s="938"/>
      <c r="AV293" s="938"/>
      <c r="AW293" s="938"/>
      <c r="AX293" s="938"/>
      <c r="AY293" s="1196"/>
      <c r="AZ293" s="938"/>
      <c r="BA293" s="938"/>
      <c r="BB293" s="938"/>
      <c r="BC293" s="938"/>
      <c r="BD293" s="1196"/>
      <c r="BE293" s="938"/>
      <c r="BF293" s="938"/>
      <c r="BG293" s="938"/>
      <c r="BH293" s="938"/>
      <c r="BI293" s="1196"/>
      <c r="BJ293" s="938"/>
      <c r="BK293" s="938"/>
      <c r="BL293" s="938"/>
      <c r="BM293" s="938"/>
      <c r="BN293" s="881"/>
      <c r="BO293" s="938"/>
      <c r="BP293" s="938"/>
      <c r="BQ293" s="938"/>
      <c r="BR293" s="938"/>
      <c r="BS293" s="881">
        <f>BS292/BS198</f>
        <v>0.16898925214144334</v>
      </c>
      <c r="BT293" s="938"/>
      <c r="BU293" s="1422"/>
      <c r="BV293" s="938"/>
      <c r="BW293" s="938"/>
      <c r="BX293" s="881">
        <f>BX292/BX198</f>
        <v>0.18604642405726629</v>
      </c>
      <c r="BY293" s="938"/>
      <c r="BZ293" s="1422"/>
      <c r="CA293" s="938"/>
      <c r="CB293" s="938"/>
      <c r="CC293" s="881">
        <f>CC292/CC198</f>
        <v>9.4910735468888896E-2</v>
      </c>
      <c r="CD293" s="938"/>
      <c r="CE293" s="938"/>
      <c r="CF293" s="938"/>
      <c r="CG293" s="938"/>
      <c r="CH293" s="881">
        <f>CH292/CH198</f>
        <v>8.2701931078889374E-2</v>
      </c>
      <c r="CI293" s="938"/>
      <c r="CJ293" s="938"/>
      <c r="CK293" s="938"/>
      <c r="CL293" s="938"/>
      <c r="CM293" s="881">
        <f>CM292/CM198</f>
        <v>7.1135512254238892E-2</v>
      </c>
      <c r="CN293" s="938"/>
      <c r="CO293" s="938"/>
      <c r="CP293" s="938"/>
      <c r="CQ293" s="938"/>
      <c r="CR293" s="881">
        <f>CR292/CR198</f>
        <v>8.4159664928568717E-2</v>
      </c>
      <c r="CS293" s="938"/>
      <c r="CT293" s="938"/>
      <c r="CU293" s="938"/>
      <c r="CV293" s="938"/>
      <c r="CW293" s="881">
        <f>CW292/CW198</f>
        <v>7.0086524882678886E-2</v>
      </c>
      <c r="CX293" s="938"/>
      <c r="CY293" s="938"/>
      <c r="CZ293" s="938"/>
      <c r="DA293" s="938"/>
      <c r="DB293" s="881">
        <f>DB292/DB198</f>
        <v>6.9815252788611781E-2</v>
      </c>
      <c r="DC293" s="938"/>
      <c r="DD293" s="938"/>
      <c r="DE293" s="938"/>
      <c r="DF293" s="938"/>
      <c r="DG293" s="881">
        <f>DG292/DG198</f>
        <v>6.2416943722024248E-2</v>
      </c>
      <c r="DH293" s="938"/>
      <c r="DI293" s="938"/>
      <c r="DJ293" s="938"/>
      <c r="DK293" s="938"/>
      <c r="DL293" s="881">
        <f>DL292/DL198</f>
        <v>6.4173712925500059E-2</v>
      </c>
      <c r="DM293" s="938"/>
      <c r="DN293" s="938"/>
      <c r="DO293" s="938"/>
      <c r="DP293" s="938"/>
      <c r="DQ293" s="881">
        <f>DQ292/DQ198</f>
        <v>6.3444694015281758E-2</v>
      </c>
      <c r="DR293" s="938"/>
      <c r="DS293" s="938"/>
      <c r="DT293" s="938"/>
      <c r="DU293" s="938"/>
      <c r="DV293" s="881">
        <f>DV292/DV198</f>
        <v>6.1048650955647703E-2</v>
      </c>
      <c r="DW293" s="938"/>
      <c r="DX293" s="938"/>
      <c r="DY293" s="938"/>
      <c r="DZ293" s="938"/>
      <c r="EA293" s="881">
        <f>EA292/EA198</f>
        <v>6.4712630869526347E-2</v>
      </c>
      <c r="EB293" s="938"/>
      <c r="EC293" s="938"/>
      <c r="ED293" s="938"/>
      <c r="EE293" s="938"/>
      <c r="EF293" s="1400">
        <f>EA293+0.3%</f>
        <v>6.771263086952635E-2</v>
      </c>
      <c r="EG293" s="938"/>
      <c r="EH293" s="938"/>
      <c r="EI293" s="938"/>
      <c r="EJ293" s="938"/>
      <c r="EK293" s="1400">
        <f>EF293+0.3%</f>
        <v>7.0712630869526352E-2</v>
      </c>
      <c r="EL293" s="938"/>
      <c r="EM293" s="938"/>
      <c r="EN293" s="938"/>
      <c r="EO293" s="938"/>
      <c r="EP293" s="1400">
        <f>EK293+0.3%</f>
        <v>7.3712630869526355E-2</v>
      </c>
      <c r="EQ293" s="938"/>
      <c r="ER293" s="938"/>
      <c r="ES293" s="938"/>
      <c r="ET293" s="938"/>
      <c r="EU293" s="1400">
        <f>EP293+0.3%</f>
        <v>7.6712630869526358E-2</v>
      </c>
      <c r="EV293" s="938"/>
      <c r="EW293" s="938"/>
      <c r="EX293" s="938"/>
      <c r="EY293" s="938"/>
      <c r="EZ293" s="1400">
        <f>EU293+0.3%</f>
        <v>7.971263086952636E-2</v>
      </c>
      <c r="FA293" s="938"/>
      <c r="FB293" s="938"/>
      <c r="FC293" s="938"/>
      <c r="FD293" s="938"/>
      <c r="FE293" s="1400">
        <f>EZ293+0.3%</f>
        <v>8.2712630869526363E-2</v>
      </c>
      <c r="FF293" s="938"/>
      <c r="FG293" s="690"/>
      <c r="FH293" s="754"/>
      <c r="FI293" s="754"/>
      <c r="FJ293" s="754"/>
      <c r="FK293" s="754"/>
      <c r="FL293" s="690"/>
      <c r="FM293" s="940"/>
      <c r="FN293" s="940"/>
      <c r="FO293" s="941"/>
      <c r="FP293" s="941"/>
      <c r="FQ293" s="941"/>
      <c r="FR293" s="941"/>
      <c r="FS293" s="941"/>
      <c r="FT293" s="941"/>
      <c r="FU293" s="690"/>
      <c r="FV293"/>
      <c r="FW293"/>
      <c r="FX293"/>
      <c r="FY293"/>
      <c r="FZ293"/>
      <c r="GA293"/>
      <c r="GB293" s="1612"/>
      <c r="GC293" s="1426"/>
      <c r="GD293" s="1426"/>
      <c r="GE293" s="1426"/>
      <c r="GF293" s="1426"/>
      <c r="GG293" s="1426"/>
      <c r="GH293" s="1426"/>
      <c r="GI293" s="1426"/>
      <c r="GJ293" s="1426"/>
      <c r="GK293" s="1426"/>
      <c r="GL293" s="1426"/>
      <c r="GM293" s="1426"/>
      <c r="GN293" s="1426"/>
      <c r="GO293" s="1426"/>
      <c r="GP293" s="1426"/>
      <c r="GQ293" s="1426"/>
      <c r="GR293" s="1426"/>
      <c r="GS293" s="1426"/>
      <c r="GT293" s="1426"/>
      <c r="GU293" s="1426"/>
      <c r="GV293" s="1426"/>
      <c r="GW293" s="1426"/>
      <c r="GX293" s="1426"/>
      <c r="GY293" s="1426"/>
      <c r="GZ293" s="1426"/>
      <c r="HA293" s="1426"/>
      <c r="HB293" s="1426"/>
      <c r="HC293" s="1426"/>
      <c r="HD293" s="1426"/>
      <c r="HE293" s="1426"/>
      <c r="HF293" s="1426"/>
      <c r="HG293" s="1426"/>
      <c r="HH293" s="1426"/>
      <c r="HI293" s="1426"/>
      <c r="HJ293" s="1426"/>
      <c r="HK293" s="1426"/>
      <c r="HL293" s="1426"/>
      <c r="HM293" s="1426"/>
      <c r="HN293" s="1426"/>
      <c r="HO293" s="1426"/>
      <c r="HP293" s="1426"/>
      <c r="HQ293" s="1426"/>
      <c r="HR293" s="1426"/>
      <c r="HS293" s="1426"/>
      <c r="HT293" s="1426"/>
      <c r="HU293" s="1426"/>
      <c r="HV293" s="1426"/>
      <c r="HW293" s="1426"/>
      <c r="HX293" s="1426"/>
      <c r="HY293" s="1426"/>
      <c r="HZ293" s="1426"/>
      <c r="IA293" s="1426"/>
      <c r="IB293" s="1426"/>
      <c r="IC293" s="1426"/>
      <c r="ID293" s="1426"/>
      <c r="IE293" s="1426"/>
      <c r="IF293" s="1426"/>
      <c r="IG293" s="1426"/>
      <c r="IH293" s="1426"/>
      <c r="II293" s="1426"/>
      <c r="IJ293" s="1426"/>
      <c r="IK293" s="1426"/>
      <c r="IL293" s="1426"/>
      <c r="IM293" s="1426"/>
      <c r="IN293" s="1426"/>
      <c r="IO293" s="1426"/>
      <c r="IP293" s="1426"/>
      <c r="IQ293" s="1426"/>
      <c r="IR293" s="1426"/>
      <c r="IS293" s="1426"/>
      <c r="IT293" s="1426"/>
      <c r="IU293" s="1426"/>
      <c r="IV293" s="1426"/>
      <c r="IW293" s="1426"/>
      <c r="IX293" s="1426"/>
      <c r="IY293" s="1426"/>
      <c r="IZ293" s="1426"/>
      <c r="JA293" s="1426"/>
      <c r="JB293" s="1426"/>
      <c r="JC293" s="1426"/>
      <c r="JD293" s="1426"/>
      <c r="JE293" s="1426"/>
      <c r="JF293" s="1426"/>
      <c r="JG293" s="1426"/>
      <c r="JH293" s="1426"/>
      <c r="JI293" s="1426"/>
      <c r="JJ293" s="1426"/>
      <c r="JK293" s="1426"/>
      <c r="JL293" s="1426"/>
    </row>
    <row r="294" spans="1:272" s="942" customFormat="1" ht="12.75" hidden="1" customHeight="1" outlineLevel="1">
      <c r="A294" s="962" t="s">
        <v>120</v>
      </c>
      <c r="B294" s="778"/>
      <c r="C294" s="778"/>
      <c r="D294" s="778"/>
      <c r="E294" s="778"/>
      <c r="F294" s="1074"/>
      <c r="G294" s="778"/>
      <c r="H294" s="778"/>
      <c r="I294" s="778"/>
      <c r="J294" s="778"/>
      <c r="K294" s="1074"/>
      <c r="L294" s="778"/>
      <c r="M294" s="778"/>
      <c r="N294" s="778"/>
      <c r="O294" s="778"/>
      <c r="P294" s="1074"/>
      <c r="Q294" s="778"/>
      <c r="R294" s="778"/>
      <c r="S294" s="778"/>
      <c r="T294" s="778"/>
      <c r="U294" s="1074"/>
      <c r="V294" s="778"/>
      <c r="W294" s="778"/>
      <c r="X294" s="778"/>
      <c r="Y294" s="778"/>
      <c r="Z294" s="1074"/>
      <c r="AA294" s="778"/>
      <c r="AB294" s="778"/>
      <c r="AC294" s="778"/>
      <c r="AD294" s="778"/>
      <c r="AE294" s="1074"/>
      <c r="AF294" s="778"/>
      <c r="AG294" s="778"/>
      <c r="AH294" s="778"/>
      <c r="AI294" s="778"/>
      <c r="AJ294" s="1074"/>
      <c r="AK294" s="778"/>
      <c r="AL294" s="778"/>
      <c r="AM294" s="778"/>
      <c r="AN294" s="778"/>
      <c r="AO294" s="1074"/>
      <c r="AP294" s="778"/>
      <c r="AQ294" s="778"/>
      <c r="AR294" s="778"/>
      <c r="AS294" s="778"/>
      <c r="AT294" s="1074"/>
      <c r="AU294" s="778"/>
      <c r="AV294" s="778"/>
      <c r="AW294" s="778"/>
      <c r="AX294" s="778"/>
      <c r="AY294" s="1074"/>
      <c r="AZ294" s="778"/>
      <c r="BA294" s="778"/>
      <c r="BB294" s="778"/>
      <c r="BC294" s="778"/>
      <c r="BD294" s="1074"/>
      <c r="BE294" s="778"/>
      <c r="BF294" s="778"/>
      <c r="BG294" s="778"/>
      <c r="BH294" s="778"/>
      <c r="BI294" s="1074"/>
      <c r="BJ294" s="778"/>
      <c r="BK294" s="778"/>
      <c r="BL294" s="778"/>
      <c r="BM294" s="778"/>
      <c r="BN294" s="1074">
        <v>884.13599999999997</v>
      </c>
      <c r="BO294" s="778"/>
      <c r="BP294" s="778"/>
      <c r="BQ294" s="778"/>
      <c r="BR294" s="778"/>
      <c r="BS294" s="1074">
        <v>873.05399999999997</v>
      </c>
      <c r="BT294" s="778"/>
      <c r="BU294" s="778"/>
      <c r="BV294" s="778"/>
      <c r="BW294" s="778"/>
      <c r="BX294" s="1074">
        <v>822.15</v>
      </c>
      <c r="BY294" s="778"/>
      <c r="BZ294" s="778"/>
      <c r="CA294" s="778"/>
      <c r="CB294" s="778"/>
      <c r="CC294" s="1074">
        <v>712.83100000000002</v>
      </c>
      <c r="CD294" s="778"/>
      <c r="CE294" s="778"/>
      <c r="CF294" s="778"/>
      <c r="CG294" s="778"/>
      <c r="CH294" s="1074">
        <v>631.49600000000009</v>
      </c>
      <c r="CI294" s="778"/>
      <c r="CJ294" s="778"/>
      <c r="CK294" s="778"/>
      <c r="CL294" s="778"/>
      <c r="CM294" s="1074">
        <v>559.80199999999991</v>
      </c>
      <c r="CN294" s="778"/>
      <c r="CO294" s="778"/>
      <c r="CP294" s="778"/>
      <c r="CQ294" s="778"/>
      <c r="CR294" s="1074">
        <v>673.12</v>
      </c>
      <c r="CS294" s="778"/>
      <c r="CT294" s="778"/>
      <c r="CU294" s="778"/>
      <c r="CV294" s="778"/>
      <c r="CW294" s="1074">
        <v>658.077</v>
      </c>
      <c r="CX294" s="778"/>
      <c r="CY294" s="778"/>
      <c r="CZ294" s="778"/>
      <c r="DA294" s="778"/>
      <c r="DB294" s="1074">
        <v>791.48400000000015</v>
      </c>
      <c r="DC294" s="778"/>
      <c r="DD294" s="778"/>
      <c r="DE294" s="778"/>
      <c r="DF294" s="778"/>
      <c r="DG294" s="1074">
        <v>651.89</v>
      </c>
      <c r="DH294" s="778"/>
      <c r="DI294" s="778"/>
      <c r="DJ294" s="778"/>
      <c r="DK294" s="778"/>
      <c r="DL294" s="1074">
        <v>723.47</v>
      </c>
      <c r="DM294" s="778">
        <v>772.13900000000001</v>
      </c>
      <c r="DN294" s="778">
        <v>796.96600000000001</v>
      </c>
      <c r="DO294" s="778">
        <v>744.61699999999996</v>
      </c>
      <c r="DP294" s="778">
        <f>+DQ294</f>
        <v>707.69200000000001</v>
      </c>
      <c r="DQ294" s="1074">
        <v>707.69200000000001</v>
      </c>
      <c r="DR294" s="778">
        <v>719.36099999999999</v>
      </c>
      <c r="DS294" s="778">
        <v>707.97500000000002</v>
      </c>
      <c r="DT294" s="778">
        <v>729.11400000000003</v>
      </c>
      <c r="DU294" s="778">
        <f>+DV294</f>
        <v>745.95100000000002</v>
      </c>
      <c r="DV294" s="1074">
        <v>745.95100000000002</v>
      </c>
      <c r="DW294" s="778">
        <v>761.76</v>
      </c>
      <c r="DX294" s="778">
        <v>795.73</v>
      </c>
      <c r="DY294" s="778">
        <v>826.46400000000006</v>
      </c>
      <c r="DZ294" s="778">
        <f>+EA294</f>
        <v>742.12</v>
      </c>
      <c r="EA294" s="1074">
        <v>742.12</v>
      </c>
      <c r="EB294" s="778">
        <v>784.07</v>
      </c>
      <c r="EC294" s="778"/>
      <c r="ED294" s="778"/>
      <c r="EE294" s="778"/>
      <c r="EF294" s="1074">
        <f>+EF289+EF290+EF292</f>
        <v>725.5087933317966</v>
      </c>
      <c r="EG294" s="778"/>
      <c r="EH294" s="778"/>
      <c r="EI294" s="778"/>
      <c r="EJ294" s="778"/>
      <c r="EK294" s="1074">
        <f>+EK289+EK290+EK292</f>
        <v>450.16248246237706</v>
      </c>
      <c r="EL294" s="778"/>
      <c r="EM294" s="778"/>
      <c r="EN294" s="778"/>
      <c r="EO294" s="778"/>
      <c r="EP294" s="1074">
        <f>+EP289+EP290+EP292</f>
        <v>482.92849453569011</v>
      </c>
      <c r="EQ294" s="778"/>
      <c r="ER294" s="778"/>
      <c r="ES294" s="778"/>
      <c r="ET294" s="778"/>
      <c r="EU294" s="1074">
        <f>+EU289+EU290+EU292</f>
        <v>516.0666034640908</v>
      </c>
      <c r="EV294" s="778"/>
      <c r="EW294" s="778"/>
      <c r="EX294" s="778"/>
      <c r="EY294" s="778"/>
      <c r="EZ294" s="1074">
        <f>+EZ289+EZ290+EZ292</f>
        <v>557.13457324865408</v>
      </c>
      <c r="FA294" s="778"/>
      <c r="FB294" s="778"/>
      <c r="FC294" s="778"/>
      <c r="FD294" s="778"/>
      <c r="FE294" s="1074">
        <f>+FE289+FE290+FE292</f>
        <v>600.60341672395032</v>
      </c>
      <c r="FF294" s="778"/>
      <c r="FG294" s="690"/>
      <c r="FH294" s="754"/>
      <c r="FI294" s="754"/>
      <c r="FJ294" s="754"/>
      <c r="FK294" s="754"/>
      <c r="FL294" s="690"/>
      <c r="FM294" s="940"/>
      <c r="FN294" s="940"/>
      <c r="FO294" s="719"/>
      <c r="FP294" s="719"/>
      <c r="FQ294" s="719"/>
      <c r="FR294" s="719"/>
      <c r="FS294" s="719"/>
      <c r="FT294" s="719"/>
      <c r="FU294" s="690"/>
      <c r="FV294"/>
      <c r="FW294"/>
      <c r="FX294"/>
      <c r="FY294"/>
      <c r="FZ294"/>
      <c r="GA294"/>
      <c r="GB294" s="1672"/>
      <c r="GC294" s="1426"/>
      <c r="GD294" s="1426"/>
      <c r="GE294" s="1426"/>
      <c r="GF294" s="1426"/>
      <c r="GG294" s="1426"/>
      <c r="GH294" s="1426"/>
      <c r="GI294" s="1426"/>
      <c r="GJ294" s="1426"/>
      <c r="GK294" s="1426"/>
      <c r="GL294" s="1426"/>
      <c r="GM294" s="1426"/>
      <c r="GN294" s="1426"/>
      <c r="GO294" s="1426"/>
      <c r="GP294" s="1426"/>
      <c r="GQ294" s="1426"/>
      <c r="GR294" s="1426"/>
      <c r="GS294" s="1426"/>
      <c r="GT294" s="1426"/>
      <c r="GU294" s="1426"/>
      <c r="GV294" s="1426"/>
      <c r="GW294" s="1426"/>
      <c r="GX294" s="1426"/>
      <c r="GY294" s="1426"/>
      <c r="GZ294" s="1426"/>
      <c r="HA294" s="1426"/>
      <c r="HB294" s="1426"/>
      <c r="HC294" s="1426"/>
      <c r="HD294" s="1426"/>
      <c r="HE294" s="1426"/>
      <c r="HF294" s="1426"/>
      <c r="HG294" s="1426"/>
      <c r="HH294" s="1426"/>
      <c r="HI294" s="1426"/>
      <c r="HJ294" s="1426"/>
      <c r="HK294" s="1426"/>
      <c r="HL294" s="1426"/>
      <c r="HM294" s="1426"/>
      <c r="HN294" s="1426"/>
      <c r="HO294" s="1426"/>
      <c r="HP294" s="1426"/>
      <c r="HQ294" s="1426"/>
      <c r="HR294" s="1426"/>
      <c r="HS294" s="1426"/>
      <c r="HT294" s="1426"/>
      <c r="HU294" s="1426"/>
      <c r="HV294" s="1426"/>
      <c r="HW294" s="1426"/>
      <c r="HX294" s="1426"/>
      <c r="HY294" s="1426"/>
      <c r="HZ294" s="1426"/>
      <c r="IA294" s="1426"/>
      <c r="IB294" s="1426"/>
      <c r="IC294" s="1426"/>
      <c r="ID294" s="1426"/>
      <c r="IE294" s="1426"/>
      <c r="IF294" s="1426"/>
      <c r="IG294" s="1426"/>
      <c r="IH294" s="1426"/>
      <c r="II294" s="1426"/>
      <c r="IJ294" s="1426"/>
      <c r="IK294" s="1426"/>
      <c r="IL294" s="1426"/>
      <c r="IM294" s="1426"/>
      <c r="IN294" s="1426"/>
      <c r="IO294" s="1426"/>
      <c r="IP294" s="1426"/>
      <c r="IQ294" s="1426"/>
      <c r="IR294" s="1426"/>
      <c r="IS294" s="1426"/>
      <c r="IT294" s="1426"/>
      <c r="IU294" s="1426"/>
      <c r="IV294" s="1426"/>
      <c r="IW294" s="1426"/>
      <c r="IX294" s="1426"/>
      <c r="IY294" s="1426"/>
      <c r="IZ294" s="1426"/>
      <c r="JA294" s="1426"/>
      <c r="JB294" s="1426"/>
      <c r="JC294" s="1426"/>
      <c r="JD294" s="1426"/>
      <c r="JE294" s="1426"/>
      <c r="JF294" s="1426"/>
      <c r="JG294" s="1426"/>
      <c r="JH294" s="1426"/>
      <c r="JI294" s="1426"/>
      <c r="JJ294" s="1426"/>
      <c r="JK294" s="1426"/>
      <c r="JL294" s="1426"/>
    </row>
    <row r="295" spans="1:272" s="942" customFormat="1" ht="12.75" hidden="1" customHeight="1" outlineLevel="1">
      <c r="A295" s="1071" t="s">
        <v>452</v>
      </c>
      <c r="B295" s="938"/>
      <c r="C295" s="938"/>
      <c r="D295" s="938"/>
      <c r="E295" s="938"/>
      <c r="F295" s="1196"/>
      <c r="G295" s="938"/>
      <c r="H295" s="938"/>
      <c r="I295" s="938"/>
      <c r="J295" s="938"/>
      <c r="K295" s="1196"/>
      <c r="L295" s="938"/>
      <c r="M295" s="938"/>
      <c r="N295" s="938"/>
      <c r="O295" s="938"/>
      <c r="P295" s="1196"/>
      <c r="Q295" s="938"/>
      <c r="R295" s="938"/>
      <c r="S295" s="938"/>
      <c r="T295" s="938"/>
      <c r="U295" s="1196"/>
      <c r="V295" s="938"/>
      <c r="W295" s="938"/>
      <c r="X295" s="938"/>
      <c r="Y295" s="938"/>
      <c r="Z295" s="1196"/>
      <c r="AA295" s="938"/>
      <c r="AB295" s="938"/>
      <c r="AC295" s="938"/>
      <c r="AD295" s="938"/>
      <c r="AE295" s="1196"/>
      <c r="AF295" s="938"/>
      <c r="AG295" s="938"/>
      <c r="AH295" s="938"/>
      <c r="AI295" s="938"/>
      <c r="AJ295" s="1196"/>
      <c r="AK295" s="938"/>
      <c r="AL295" s="938"/>
      <c r="AM295" s="938"/>
      <c r="AN295" s="938"/>
      <c r="AO295" s="1196"/>
      <c r="AP295" s="938"/>
      <c r="AQ295" s="938"/>
      <c r="AR295" s="938"/>
      <c r="AS295" s="938"/>
      <c r="AT295" s="1196"/>
      <c r="AU295" s="938"/>
      <c r="AV295" s="938"/>
      <c r="AW295" s="938"/>
      <c r="AX295" s="938"/>
      <c r="AY295" s="1196"/>
      <c r="AZ295" s="938"/>
      <c r="BA295" s="938"/>
      <c r="BB295" s="938"/>
      <c r="BC295" s="938"/>
      <c r="BD295" s="1196"/>
      <c r="BE295" s="938"/>
      <c r="BF295" s="938"/>
      <c r="BG295" s="938"/>
      <c r="BH295" s="938"/>
      <c r="BI295" s="1196"/>
      <c r="BJ295" s="938"/>
      <c r="BK295" s="938"/>
      <c r="BL295" s="938"/>
      <c r="BM295" s="938"/>
      <c r="BN295" s="1196">
        <f>436.055+129.76</f>
        <v>565.81500000000005</v>
      </c>
      <c r="BO295" s="938"/>
      <c r="BP295" s="938"/>
      <c r="BQ295" s="938"/>
      <c r="BR295" s="938"/>
      <c r="BS295" s="1196">
        <f>447.234+110.376</f>
        <v>557.61</v>
      </c>
      <c r="BT295" s="938"/>
      <c r="BU295" s="1422"/>
      <c r="BV295" s="938"/>
      <c r="BW295" s="938"/>
      <c r="BX295" s="1196">
        <v>554.98099999999999</v>
      </c>
      <c r="BY295" s="938"/>
      <c r="BZ295" s="1422"/>
      <c r="CA295" s="938"/>
      <c r="CB295" s="938"/>
      <c r="CC295" s="1196">
        <v>601.34400000000005</v>
      </c>
      <c r="CD295" s="938"/>
      <c r="CE295" s="938"/>
      <c r="CF295" s="938"/>
      <c r="CG295" s="938"/>
      <c r="CH295" s="1196">
        <v>581.46900000000005</v>
      </c>
      <c r="CI295" s="938"/>
      <c r="CJ295" s="938"/>
      <c r="CK295" s="938"/>
      <c r="CL295" s="938"/>
      <c r="CM295" s="1196">
        <v>557.72299999999996</v>
      </c>
      <c r="CN295" s="938"/>
      <c r="CO295" s="938"/>
      <c r="CP295" s="938"/>
      <c r="CQ295" s="938"/>
      <c r="CR295" s="1196">
        <v>955.72199999999998</v>
      </c>
      <c r="CS295" s="938"/>
      <c r="CT295" s="938"/>
      <c r="CU295" s="938"/>
      <c r="CV295" s="938"/>
      <c r="CW295" s="1196">
        <v>926.22400000000005</v>
      </c>
      <c r="CX295" s="938"/>
      <c r="CY295" s="938"/>
      <c r="CZ295" s="938"/>
      <c r="DA295" s="938"/>
      <c r="DB295" s="1196">
        <f>719.501+41.288</f>
        <v>760.78899999999999</v>
      </c>
      <c r="DC295" s="938"/>
      <c r="DD295" s="938"/>
      <c r="DE295" s="938"/>
      <c r="DF295" s="938"/>
      <c r="DG295" s="1196">
        <f>718.215+75.735</f>
        <v>793.95</v>
      </c>
      <c r="DH295" s="938"/>
      <c r="DI295" s="938"/>
      <c r="DJ295" s="938"/>
      <c r="DK295" s="938"/>
      <c r="DL295" s="1196">
        <f>718.336+51.902</f>
        <v>770.23800000000006</v>
      </c>
      <c r="DM295" s="938">
        <v>766.39400000000001</v>
      </c>
      <c r="DN295" s="938">
        <f>718.95+44.19</f>
        <v>763.1400000000001</v>
      </c>
      <c r="DO295" s="938">
        <v>755.74800000000005</v>
      </c>
      <c r="DP295" s="938">
        <f>+DQ295</f>
        <v>749.37099999999998</v>
      </c>
      <c r="DQ295" s="1196">
        <f>719.016+30.355</f>
        <v>749.37099999999998</v>
      </c>
      <c r="DR295" s="938">
        <v>746.76</v>
      </c>
      <c r="DS295" s="938">
        <v>744.125</v>
      </c>
      <c r="DT295" s="938">
        <f>719.12+23.693</f>
        <v>742.81299999999999</v>
      </c>
      <c r="DU295" s="938">
        <f>+DV295</f>
        <v>735.33999999999992</v>
      </c>
      <c r="DV295" s="1196">
        <f>719.155+16.185</f>
        <v>735.33999999999992</v>
      </c>
      <c r="DW295" s="938">
        <f>719.191+17.457</f>
        <v>736.64800000000002</v>
      </c>
      <c r="DX295" s="938">
        <f>719.228+9.527</f>
        <v>728.755</v>
      </c>
      <c r="DY295" s="938">
        <f>719.265+10.791</f>
        <v>730.05600000000004</v>
      </c>
      <c r="DZ295" s="938">
        <f>+EA295</f>
        <v>729.89</v>
      </c>
      <c r="EA295" s="1196">
        <f>719.303+10.587</f>
        <v>729.89</v>
      </c>
      <c r="EB295" s="938">
        <f>719.342+9.765</f>
        <v>729.10699999999997</v>
      </c>
      <c r="EC295" s="938"/>
      <c r="ED295" s="938"/>
      <c r="EE295" s="938"/>
      <c r="EF295" s="1196">
        <f>EA295+EF270-(EF289-EA289)</f>
        <v>729.89</v>
      </c>
      <c r="EG295" s="938"/>
      <c r="EH295" s="938"/>
      <c r="EI295" s="938"/>
      <c r="EJ295" s="938"/>
      <c r="EK295" s="1196">
        <f>EF295+EK270-(EK289-EF289)</f>
        <v>729.89</v>
      </c>
      <c r="EL295" s="938"/>
      <c r="EM295" s="938"/>
      <c r="EN295" s="938"/>
      <c r="EO295" s="938"/>
      <c r="EP295" s="1196">
        <f>EK295+EP270-(EP289-EK289)</f>
        <v>729.89</v>
      </c>
      <c r="EQ295" s="938"/>
      <c r="ER295" s="938"/>
      <c r="ES295" s="938"/>
      <c r="ET295" s="938"/>
      <c r="EU295" s="1196">
        <f>EP295+EU270-(EU289-EP289)</f>
        <v>729.89</v>
      </c>
      <c r="EV295" s="938"/>
      <c r="EW295" s="938"/>
      <c r="EX295" s="938"/>
      <c r="EY295" s="938"/>
      <c r="EZ295" s="1196">
        <f>EU295+EZ270-(EZ289-EU289)</f>
        <v>729.89</v>
      </c>
      <c r="FA295" s="938"/>
      <c r="FB295" s="938"/>
      <c r="FC295" s="938"/>
      <c r="FD295" s="938"/>
      <c r="FE295" s="1196">
        <f>EZ295+FE270-(FE289-EZ289)</f>
        <v>729.89</v>
      </c>
      <c r="FF295" s="938"/>
      <c r="FG295" s="690"/>
      <c r="FH295" s="754"/>
      <c r="FI295" s="754"/>
      <c r="FJ295" s="754"/>
      <c r="FK295" s="754"/>
      <c r="FL295" s="690"/>
      <c r="FM295" s="940"/>
      <c r="FN295" s="940"/>
      <c r="FO295" s="941"/>
      <c r="FP295" s="941"/>
      <c r="FQ295" s="941"/>
      <c r="FR295" s="941"/>
      <c r="FS295" s="941"/>
      <c r="FT295" s="941"/>
      <c r="FU295" s="690"/>
      <c r="FV295"/>
      <c r="FW295"/>
      <c r="FX295"/>
      <c r="FY295"/>
      <c r="FZ295"/>
      <c r="GA295"/>
      <c r="GB295" s="1612"/>
      <c r="GC295" s="1426"/>
      <c r="GD295" s="1426"/>
      <c r="GE295" s="1426"/>
      <c r="GF295" s="1426"/>
      <c r="GG295" s="1426"/>
      <c r="GH295" s="1426"/>
      <c r="GI295" s="1426"/>
      <c r="GJ295" s="1426"/>
      <c r="GK295" s="1426"/>
      <c r="GL295" s="1426"/>
      <c r="GM295" s="1426"/>
      <c r="GN295" s="1426"/>
      <c r="GO295" s="1426"/>
      <c r="GP295" s="1426"/>
      <c r="GQ295" s="1426"/>
      <c r="GR295" s="1426"/>
      <c r="GS295" s="1426"/>
      <c r="GT295" s="1426"/>
      <c r="GU295" s="1426"/>
      <c r="GV295" s="1426"/>
      <c r="GW295" s="1426"/>
      <c r="GX295" s="1426"/>
      <c r="GY295" s="1426"/>
      <c r="GZ295" s="1426"/>
      <c r="HA295" s="1426"/>
      <c r="HB295" s="1426"/>
      <c r="HC295" s="1426"/>
      <c r="HD295" s="1426"/>
      <c r="HE295" s="1426"/>
      <c r="HF295" s="1426"/>
      <c r="HG295" s="1426"/>
      <c r="HH295" s="1426"/>
      <c r="HI295" s="1426"/>
      <c r="HJ295" s="1426"/>
      <c r="HK295" s="1426"/>
      <c r="HL295" s="1426"/>
      <c r="HM295" s="1426"/>
      <c r="HN295" s="1426"/>
      <c r="HO295" s="1426"/>
      <c r="HP295" s="1426"/>
      <c r="HQ295" s="1426"/>
      <c r="HR295" s="1426"/>
      <c r="HS295" s="1426"/>
      <c r="HT295" s="1426"/>
      <c r="HU295" s="1426"/>
      <c r="HV295" s="1426"/>
      <c r="HW295" s="1426"/>
      <c r="HX295" s="1426"/>
      <c r="HY295" s="1426"/>
      <c r="HZ295" s="1426"/>
      <c r="IA295" s="1426"/>
      <c r="IB295" s="1426"/>
      <c r="IC295" s="1426"/>
      <c r="ID295" s="1426"/>
      <c r="IE295" s="1426"/>
      <c r="IF295" s="1426"/>
      <c r="IG295" s="1426"/>
      <c r="IH295" s="1426"/>
      <c r="II295" s="1426"/>
      <c r="IJ295" s="1426"/>
      <c r="IK295" s="1426"/>
      <c r="IL295" s="1426"/>
      <c r="IM295" s="1426"/>
      <c r="IN295" s="1426"/>
      <c r="IO295" s="1426"/>
      <c r="IP295" s="1426"/>
      <c r="IQ295" s="1426"/>
      <c r="IR295" s="1426"/>
      <c r="IS295" s="1426"/>
      <c r="IT295" s="1426"/>
      <c r="IU295" s="1426"/>
      <c r="IV295" s="1426"/>
      <c r="IW295" s="1426"/>
      <c r="IX295" s="1426"/>
      <c r="IY295" s="1426"/>
      <c r="IZ295" s="1426"/>
      <c r="JA295" s="1426"/>
      <c r="JB295" s="1426"/>
      <c r="JC295" s="1426"/>
      <c r="JD295" s="1426"/>
      <c r="JE295" s="1426"/>
      <c r="JF295" s="1426"/>
      <c r="JG295" s="1426"/>
      <c r="JH295" s="1426"/>
      <c r="JI295" s="1426"/>
      <c r="JJ295" s="1426"/>
      <c r="JK295" s="1426"/>
      <c r="JL295" s="1426"/>
    </row>
    <row r="296" spans="1:272" s="942" customFormat="1" ht="12.75" hidden="1" customHeight="1" outlineLevel="1">
      <c r="A296" s="1071" t="s">
        <v>428</v>
      </c>
      <c r="B296" s="938"/>
      <c r="C296" s="938"/>
      <c r="D296" s="938"/>
      <c r="E296" s="938"/>
      <c r="F296" s="1196"/>
      <c r="G296" s="938"/>
      <c r="H296" s="938"/>
      <c r="I296" s="938"/>
      <c r="J296" s="938"/>
      <c r="K296" s="1196"/>
      <c r="L296" s="938"/>
      <c r="M296" s="938"/>
      <c r="N296" s="938"/>
      <c r="O296" s="938"/>
      <c r="P296" s="1196"/>
      <c r="Q296" s="938"/>
      <c r="R296" s="938"/>
      <c r="S296" s="938"/>
      <c r="T296" s="938"/>
      <c r="U296" s="1196"/>
      <c r="V296" s="938"/>
      <c r="W296" s="938"/>
      <c r="X296" s="938"/>
      <c r="Y296" s="938"/>
      <c r="Z296" s="1196"/>
      <c r="AA296" s="938"/>
      <c r="AB296" s="938"/>
      <c r="AC296" s="938"/>
      <c r="AD296" s="938"/>
      <c r="AE296" s="1196"/>
      <c r="AF296" s="938"/>
      <c r="AG296" s="938"/>
      <c r="AH296" s="938"/>
      <c r="AI296" s="938"/>
      <c r="AJ296" s="1196"/>
      <c r="AK296" s="938"/>
      <c r="AL296" s="938"/>
      <c r="AM296" s="938"/>
      <c r="AN296" s="938"/>
      <c r="AO296" s="1196"/>
      <c r="AP296" s="938"/>
      <c r="AQ296" s="938"/>
      <c r="AR296" s="938"/>
      <c r="AS296" s="938"/>
      <c r="AT296" s="1196"/>
      <c r="AU296" s="938"/>
      <c r="AV296" s="938"/>
      <c r="AW296" s="938"/>
      <c r="AX296" s="938"/>
      <c r="AY296" s="1196"/>
      <c r="AZ296" s="938"/>
      <c r="BA296" s="938"/>
      <c r="BB296" s="938"/>
      <c r="BC296" s="938"/>
      <c r="BD296" s="1196"/>
      <c r="BE296" s="938"/>
      <c r="BF296" s="938"/>
      <c r="BG296" s="938"/>
      <c r="BH296" s="938"/>
      <c r="BI296" s="1196"/>
      <c r="BJ296" s="938"/>
      <c r="BK296" s="938"/>
      <c r="BL296" s="938"/>
      <c r="BM296" s="938"/>
      <c r="BN296" s="1196">
        <v>275.76400000000001</v>
      </c>
      <c r="BO296" s="938"/>
      <c r="BP296" s="938"/>
      <c r="BQ296" s="938"/>
      <c r="BR296" s="938"/>
      <c r="BS296" s="1196">
        <v>294.541</v>
      </c>
      <c r="BT296" s="938"/>
      <c r="BU296" s="938"/>
      <c r="BV296" s="938"/>
      <c r="BW296" s="938"/>
      <c r="BX296" s="1196">
        <v>276.685</v>
      </c>
      <c r="BY296" s="938"/>
      <c r="BZ296" s="938"/>
      <c r="CA296" s="938"/>
      <c r="CB296" s="938"/>
      <c r="CC296" s="1196">
        <v>245.989</v>
      </c>
      <c r="CD296" s="938"/>
      <c r="CE296" s="938"/>
      <c r="CF296" s="938"/>
      <c r="CG296" s="938"/>
      <c r="CH296" s="1196">
        <v>212.82400000000001</v>
      </c>
      <c r="CI296" s="938"/>
      <c r="CJ296" s="938"/>
      <c r="CK296" s="938"/>
      <c r="CL296" s="938"/>
      <c r="CM296" s="1196">
        <v>314.55900000000003</v>
      </c>
      <c r="CN296" s="938"/>
      <c r="CO296" s="938"/>
      <c r="CP296" s="938"/>
      <c r="CQ296" s="938"/>
      <c r="CR296" s="1196">
        <v>195.14500000000001</v>
      </c>
      <c r="CS296" s="938"/>
      <c r="CT296" s="938"/>
      <c r="CU296" s="938"/>
      <c r="CV296" s="938"/>
      <c r="CW296" s="1196">
        <v>659.50800000000004</v>
      </c>
      <c r="CX296" s="938"/>
      <c r="CY296" s="938"/>
      <c r="CZ296" s="938"/>
      <c r="DA296" s="938"/>
      <c r="DB296" s="1196">
        <v>439.899</v>
      </c>
      <c r="DC296" s="938"/>
      <c r="DD296" s="938"/>
      <c r="DE296" s="938"/>
      <c r="DF296" s="938"/>
      <c r="DG296" s="1196">
        <v>418.73099999999999</v>
      </c>
      <c r="DH296" s="938"/>
      <c r="DI296" s="938"/>
      <c r="DJ296" s="938"/>
      <c r="DK296" s="938"/>
      <c r="DL296" s="1196">
        <v>610.85</v>
      </c>
      <c r="DM296" s="938">
        <v>601.80999999999995</v>
      </c>
      <c r="DN296" s="938">
        <v>590.29899999999998</v>
      </c>
      <c r="DO296" s="938"/>
      <c r="DP296" s="938">
        <f>+DQ296</f>
        <v>592.66800000000001</v>
      </c>
      <c r="DQ296" s="1427">
        <v>592.66800000000001</v>
      </c>
      <c r="DR296" s="938">
        <v>589.28599999999994</v>
      </c>
      <c r="DS296" s="938">
        <v>556.58699999999999</v>
      </c>
      <c r="DT296" s="938">
        <v>524.85199999999998</v>
      </c>
      <c r="DU296" s="938">
        <f>+DV296</f>
        <v>240.17099999999999</v>
      </c>
      <c r="DV296" s="1196">
        <v>240.17099999999999</v>
      </c>
      <c r="DW296" s="938">
        <v>211.38300000000001</v>
      </c>
      <c r="DX296" s="938">
        <v>206.477</v>
      </c>
      <c r="DY296" s="938">
        <v>146.60499999999999</v>
      </c>
      <c r="DZ296" s="938">
        <f>+EA296</f>
        <v>239.36799999999999</v>
      </c>
      <c r="EA296" s="1196">
        <v>239.36799999999999</v>
      </c>
      <c r="EB296" s="938">
        <v>231.363</v>
      </c>
      <c r="EC296" s="938"/>
      <c r="ED296" s="1423"/>
      <c r="EE296" s="1423"/>
      <c r="EF296" s="1427">
        <v>170.72609903124999</v>
      </c>
      <c r="EG296" s="1423"/>
      <c r="EH296" s="1423"/>
      <c r="EI296" s="1423"/>
      <c r="EJ296" s="1423"/>
      <c r="EK296" s="1427">
        <v>148.67764710042172</v>
      </c>
      <c r="EL296" s="1423"/>
      <c r="EM296" s="1423"/>
      <c r="EN296" s="1423"/>
      <c r="EO296" s="1423"/>
      <c r="EP296" s="1427">
        <v>118.92859235445917</v>
      </c>
      <c r="EQ296" s="1423"/>
      <c r="ER296" s="1423"/>
      <c r="ES296" s="1423"/>
      <c r="ET296" s="1423"/>
      <c r="EU296" s="1427">
        <v>118.92859235445917</v>
      </c>
      <c r="EV296" s="1423"/>
      <c r="EW296" s="1423"/>
      <c r="EX296" s="1423"/>
      <c r="EY296" s="1423"/>
      <c r="EZ296" s="1427">
        <v>118.92859235445917</v>
      </c>
      <c r="FA296" s="1423"/>
      <c r="FB296" s="1423"/>
      <c r="FC296" s="1423"/>
      <c r="FD296" s="1423"/>
      <c r="FE296" s="1427">
        <v>118.92859235445917</v>
      </c>
      <c r="FF296" s="778"/>
      <c r="FG296" s="690"/>
      <c r="FH296" s="754"/>
      <c r="FI296" s="754"/>
      <c r="FJ296" s="754"/>
      <c r="FK296" s="754"/>
      <c r="FL296" s="690"/>
      <c r="FM296" s="940"/>
      <c r="FN296" s="940"/>
      <c r="FO296" s="719"/>
      <c r="FP296" s="719"/>
      <c r="FQ296" s="719"/>
      <c r="FR296" s="719"/>
      <c r="FS296" s="719"/>
      <c r="FT296" s="719"/>
      <c r="FU296" s="690"/>
      <c r="FV296"/>
      <c r="FW296"/>
      <c r="FX296"/>
      <c r="FY296"/>
      <c r="FZ296"/>
      <c r="GA296"/>
      <c r="GB296" s="1650"/>
      <c r="GC296" s="1426"/>
      <c r="GD296" s="1426"/>
      <c r="GE296" s="1426"/>
      <c r="GF296" s="1426"/>
      <c r="GG296" s="1426"/>
      <c r="GH296" s="1426"/>
      <c r="GI296" s="1426"/>
      <c r="GJ296" s="1426"/>
      <c r="GK296" s="1426"/>
      <c r="GL296" s="1426"/>
      <c r="GM296" s="1426"/>
      <c r="GN296" s="1426"/>
      <c r="GO296" s="1426"/>
      <c r="GP296" s="1426"/>
      <c r="GQ296" s="1426"/>
      <c r="GR296" s="1426"/>
      <c r="GS296" s="1426"/>
      <c r="GT296" s="1426"/>
      <c r="GU296" s="1426"/>
      <c r="GV296" s="1426"/>
      <c r="GW296" s="1426"/>
      <c r="GX296" s="1426"/>
      <c r="GY296" s="1426"/>
      <c r="GZ296" s="1426"/>
      <c r="HA296" s="1426"/>
      <c r="HB296" s="1426"/>
      <c r="HC296" s="1426"/>
      <c r="HD296" s="1426"/>
      <c r="HE296" s="1426"/>
      <c r="HF296" s="1426"/>
      <c r="HG296" s="1426"/>
      <c r="HH296" s="1426"/>
      <c r="HI296" s="1426"/>
      <c r="HJ296" s="1426"/>
      <c r="HK296" s="1426"/>
      <c r="HL296" s="1426"/>
      <c r="HM296" s="1426"/>
      <c r="HN296" s="1426"/>
      <c r="HO296" s="1426"/>
      <c r="HP296" s="1426"/>
      <c r="HQ296" s="1426"/>
      <c r="HR296" s="1426"/>
      <c r="HS296" s="1426"/>
      <c r="HT296" s="1426"/>
      <c r="HU296" s="1426"/>
      <c r="HV296" s="1426"/>
      <c r="HW296" s="1426"/>
      <c r="HX296" s="1426"/>
      <c r="HY296" s="1426"/>
      <c r="HZ296" s="1426"/>
      <c r="IA296" s="1426"/>
      <c r="IB296" s="1426"/>
      <c r="IC296" s="1426"/>
      <c r="ID296" s="1426"/>
      <c r="IE296" s="1426"/>
      <c r="IF296" s="1426"/>
      <c r="IG296" s="1426"/>
      <c r="IH296" s="1426"/>
      <c r="II296" s="1426"/>
      <c r="IJ296" s="1426"/>
      <c r="IK296" s="1426"/>
      <c r="IL296" s="1426"/>
      <c r="IM296" s="1426"/>
      <c r="IN296" s="1426"/>
      <c r="IO296" s="1426"/>
      <c r="IP296" s="1426"/>
      <c r="IQ296" s="1426"/>
      <c r="IR296" s="1426"/>
      <c r="IS296" s="1426"/>
      <c r="IT296" s="1426"/>
      <c r="IU296" s="1426"/>
      <c r="IV296" s="1426"/>
      <c r="IW296" s="1426"/>
      <c r="IX296" s="1426"/>
      <c r="IY296" s="1426"/>
      <c r="IZ296" s="1426"/>
      <c r="JA296" s="1426"/>
      <c r="JB296" s="1426"/>
      <c r="JC296" s="1426"/>
      <c r="JD296" s="1426"/>
      <c r="JE296" s="1426"/>
      <c r="JF296" s="1426"/>
      <c r="JG296" s="1426"/>
      <c r="JH296" s="1426"/>
      <c r="JI296" s="1426"/>
      <c r="JJ296" s="1426"/>
      <c r="JK296" s="1426"/>
      <c r="JL296" s="1426"/>
    </row>
    <row r="297" spans="1:272" s="942" customFormat="1" ht="12.75" hidden="1" customHeight="1" outlineLevel="1">
      <c r="A297" s="1071" t="s">
        <v>453</v>
      </c>
      <c r="B297" s="938"/>
      <c r="C297" s="938"/>
      <c r="D297" s="938"/>
      <c r="E297" s="938"/>
      <c r="F297" s="1196"/>
      <c r="G297" s="938"/>
      <c r="H297" s="938"/>
      <c r="I297" s="938"/>
      <c r="J297" s="938"/>
      <c r="K297" s="1196"/>
      <c r="L297" s="938"/>
      <c r="M297" s="938"/>
      <c r="N297" s="938"/>
      <c r="O297" s="938"/>
      <c r="P297" s="1196"/>
      <c r="Q297" s="938"/>
      <c r="R297" s="938"/>
      <c r="S297" s="938"/>
      <c r="T297" s="938"/>
      <c r="U297" s="1196"/>
      <c r="V297" s="938"/>
      <c r="W297" s="938"/>
      <c r="X297" s="938"/>
      <c r="Y297" s="938"/>
      <c r="Z297" s="1196"/>
      <c r="AA297" s="938"/>
      <c r="AB297" s="938"/>
      <c r="AC297" s="938"/>
      <c r="AD297" s="938"/>
      <c r="AE297" s="1196"/>
      <c r="AF297" s="938"/>
      <c r="AG297" s="938"/>
      <c r="AH297" s="938"/>
      <c r="AI297" s="938"/>
      <c r="AJ297" s="1196"/>
      <c r="AK297" s="938"/>
      <c r="AL297" s="938"/>
      <c r="AM297" s="938"/>
      <c r="AN297" s="938"/>
      <c r="AO297" s="1196"/>
      <c r="AP297" s="938"/>
      <c r="AQ297" s="938"/>
      <c r="AR297" s="938"/>
      <c r="AS297" s="938"/>
      <c r="AT297" s="1196"/>
      <c r="AU297" s="938"/>
      <c r="AV297" s="938"/>
      <c r="AW297" s="938"/>
      <c r="AX297" s="938"/>
      <c r="AY297" s="1196"/>
      <c r="AZ297" s="938"/>
      <c r="BA297" s="938"/>
      <c r="BB297" s="938"/>
      <c r="BC297" s="938"/>
      <c r="BD297" s="1196"/>
      <c r="BE297" s="938"/>
      <c r="BF297" s="938"/>
      <c r="BG297" s="938"/>
      <c r="BH297" s="938"/>
      <c r="BI297" s="1196"/>
      <c r="BJ297" s="938"/>
      <c r="BK297" s="938"/>
      <c r="BL297" s="938"/>
      <c r="BM297" s="938"/>
      <c r="BN297" s="1196">
        <f>BN299-BN294-BN295-BN296</f>
        <v>501.21799999999996</v>
      </c>
      <c r="BO297" s="938"/>
      <c r="BP297" s="938"/>
      <c r="BQ297" s="938"/>
      <c r="BR297" s="938"/>
      <c r="BS297" s="1196">
        <f>BS299-BS294-BS295-BS296</f>
        <v>171.55799999999994</v>
      </c>
      <c r="BT297" s="938"/>
      <c r="BU297" s="938"/>
      <c r="BV297" s="938"/>
      <c r="BW297" s="938"/>
      <c r="BX297" s="1196">
        <f>BX299-BX294-BX295-BX296</f>
        <v>301.01600000000025</v>
      </c>
      <c r="BY297" s="938"/>
      <c r="BZ297" s="938"/>
      <c r="CA297" s="938"/>
      <c r="CB297" s="938"/>
      <c r="CC297" s="1196">
        <f>CC299-CC294-CC295-CC296</f>
        <v>158.87000000000003</v>
      </c>
      <c r="CD297" s="938"/>
      <c r="CE297" s="938"/>
      <c r="CF297" s="938"/>
      <c r="CG297" s="938"/>
      <c r="CH297" s="1196">
        <f>CH299-CH294-CH295-CH296</f>
        <v>143.86499999999984</v>
      </c>
      <c r="CI297" s="938"/>
      <c r="CJ297" s="938"/>
      <c r="CK297" s="938"/>
      <c r="CL297" s="938"/>
      <c r="CM297" s="1196">
        <f>CM299-CM294-CM295-CM296</f>
        <v>129.02600000000001</v>
      </c>
      <c r="CN297" s="938"/>
      <c r="CO297" s="938"/>
      <c r="CP297" s="938"/>
      <c r="CQ297" s="938"/>
      <c r="CR297" s="1196">
        <f>CR299-CR294-CR295-CR296</f>
        <v>276.22500000000014</v>
      </c>
      <c r="CS297" s="938"/>
      <c r="CT297" s="938"/>
      <c r="CU297" s="938"/>
      <c r="CV297" s="938"/>
      <c r="CW297" s="1196">
        <f>CW299-CW294-CW295-CW296</f>
        <v>202.3059999999997</v>
      </c>
      <c r="CX297" s="938"/>
      <c r="CY297" s="938"/>
      <c r="CZ297" s="938"/>
      <c r="DA297" s="938"/>
      <c r="DB297" s="1196">
        <f>DB299-DB294-DB295-DB296</f>
        <v>217.31599999999969</v>
      </c>
      <c r="DC297" s="938"/>
      <c r="DD297" s="938"/>
      <c r="DE297" s="938"/>
      <c r="DF297" s="938"/>
      <c r="DG297" s="1196">
        <f>DG299-DG294-DG295-DG296</f>
        <v>259.62899999999991</v>
      </c>
      <c r="DH297" s="938"/>
      <c r="DI297" s="938"/>
      <c r="DJ297" s="938"/>
      <c r="DK297" s="938"/>
      <c r="DL297" s="1196">
        <f>DL299-DL294-DL295-DL296</f>
        <v>236.20400000000006</v>
      </c>
      <c r="DM297" s="938">
        <f>DM299-DM294-DM295-DM296</f>
        <v>247.30599999999981</v>
      </c>
      <c r="DN297" s="938">
        <f>DN299-DN294-DN295-DN296</f>
        <v>245.34500000000003</v>
      </c>
      <c r="DO297" s="938"/>
      <c r="DP297" s="938">
        <f>+DQ297</f>
        <v>253.34800000000018</v>
      </c>
      <c r="DQ297" s="1196">
        <f>DQ299-DQ294-DQ295-DQ296</f>
        <v>253.34800000000018</v>
      </c>
      <c r="DR297" s="938">
        <f>DR299-DR294-DR295-DR296</f>
        <v>259.26200000000006</v>
      </c>
      <c r="DS297" s="938">
        <f>DS299-DS294-DS295-DS296</f>
        <v>275.31700000000001</v>
      </c>
      <c r="DT297" s="938">
        <f>DT299-DT294-DT295-DT296</f>
        <v>300.48299999999972</v>
      </c>
      <c r="DU297" s="938">
        <f>+DV297</f>
        <v>419.78000000000026</v>
      </c>
      <c r="DV297" s="1196">
        <f>DV299-DV294-DV295-DV296</f>
        <v>419.78000000000026</v>
      </c>
      <c r="DW297" s="938">
        <f>DW299-DW294-DW295-DW296</f>
        <v>425.22599999999977</v>
      </c>
      <c r="DX297" s="938">
        <f>DX299-DX294-DX295-DX296</f>
        <v>448.65999999999985</v>
      </c>
      <c r="DY297" s="938">
        <f>DY299-DY294-DY295-DY296</f>
        <v>390.6869999999999</v>
      </c>
      <c r="DZ297" s="938">
        <f>+EA297</f>
        <v>428.40200000000033</v>
      </c>
      <c r="EA297" s="1196">
        <f>EA299-EA294-EA295-EA296</f>
        <v>428.40200000000033</v>
      </c>
      <c r="EB297" s="938">
        <f>EB299-EB294-EB295-EB296</f>
        <v>425.14299999999986</v>
      </c>
      <c r="EC297" s="938"/>
      <c r="ED297" s="1423"/>
      <c r="EE297" s="1423"/>
      <c r="EF297" s="1427">
        <f>+EF198*EF298</f>
        <v>409.86667459561568</v>
      </c>
      <c r="EG297" s="1423"/>
      <c r="EH297" s="1423"/>
      <c r="EI297" s="1423"/>
      <c r="EJ297" s="1423"/>
      <c r="EK297" s="1427">
        <f>+EK198*EK298</f>
        <v>254.21217188428196</v>
      </c>
      <c r="EL297" s="1423"/>
      <c r="EM297" s="1423"/>
      <c r="EN297" s="1423"/>
      <c r="EO297" s="1423"/>
      <c r="EP297" s="1427">
        <f>+EP198*EP298</f>
        <v>268.66669383364217</v>
      </c>
      <c r="EQ297" s="1423"/>
      <c r="ER297" s="1423"/>
      <c r="ES297" s="1423"/>
      <c r="ET297" s="1423"/>
      <c r="EU297" s="1427">
        <f>+EU198*EU298</f>
        <v>283.18528141243024</v>
      </c>
      <c r="EV297" s="1423"/>
      <c r="EW297" s="1423"/>
      <c r="EX297" s="1423"/>
      <c r="EY297" s="1423"/>
      <c r="EZ297" s="1427">
        <f>+EZ198*EZ298</f>
        <v>300.04514931037465</v>
      </c>
      <c r="FA297" s="1423"/>
      <c r="FB297" s="1423"/>
      <c r="FC297" s="1423"/>
      <c r="FD297" s="1423"/>
      <c r="FE297" s="1427">
        <f>+FE198*FE298</f>
        <v>317.48700630113706</v>
      </c>
      <c r="FF297" s="778"/>
      <c r="FG297" s="690"/>
      <c r="FH297" s="754"/>
      <c r="FI297" s="754"/>
      <c r="FJ297" s="754"/>
      <c r="FK297" s="754"/>
      <c r="FL297" s="690"/>
      <c r="FM297" s="940"/>
      <c r="FN297" s="940"/>
      <c r="FO297" s="719"/>
      <c r="FP297" s="719"/>
      <c r="FQ297" s="719"/>
      <c r="FR297" s="719"/>
      <c r="FS297" s="719"/>
      <c r="FT297" s="719"/>
      <c r="FU297" s="690"/>
      <c r="FV297"/>
      <c r="FW297"/>
      <c r="FX297"/>
      <c r="FY297"/>
      <c r="FZ297"/>
      <c r="GA297"/>
      <c r="GB297" s="1650"/>
      <c r="GC297" s="1426"/>
      <c r="GD297" s="1426"/>
      <c r="GE297" s="1426"/>
      <c r="GF297" s="1426"/>
      <c r="GG297" s="1426"/>
      <c r="GH297" s="1426"/>
      <c r="GI297" s="1426"/>
      <c r="GJ297" s="1426"/>
      <c r="GK297" s="1426"/>
      <c r="GL297" s="1426"/>
      <c r="GM297" s="1426"/>
      <c r="GN297" s="1426"/>
      <c r="GO297" s="1426"/>
      <c r="GP297" s="1426"/>
      <c r="GQ297" s="1426"/>
      <c r="GR297" s="1426"/>
      <c r="GS297" s="1426"/>
      <c r="GT297" s="1426"/>
      <c r="GU297" s="1426"/>
      <c r="GV297" s="1426"/>
      <c r="GW297" s="1426"/>
      <c r="GX297" s="1426"/>
      <c r="GY297" s="1426"/>
      <c r="GZ297" s="1426"/>
      <c r="HA297" s="1426"/>
      <c r="HB297" s="1426"/>
      <c r="HC297" s="1426"/>
      <c r="HD297" s="1426"/>
      <c r="HE297" s="1426"/>
      <c r="HF297" s="1426"/>
      <c r="HG297" s="1426"/>
      <c r="HH297" s="1426"/>
      <c r="HI297" s="1426"/>
      <c r="HJ297" s="1426"/>
      <c r="HK297" s="1426"/>
      <c r="HL297" s="1426"/>
      <c r="HM297" s="1426"/>
      <c r="HN297" s="1426"/>
      <c r="HO297" s="1426"/>
      <c r="HP297" s="1426"/>
      <c r="HQ297" s="1426"/>
      <c r="HR297" s="1426"/>
      <c r="HS297" s="1426"/>
      <c r="HT297" s="1426"/>
      <c r="HU297" s="1426"/>
      <c r="HV297" s="1426"/>
      <c r="HW297" s="1426"/>
      <c r="HX297" s="1426"/>
      <c r="HY297" s="1426"/>
      <c r="HZ297" s="1426"/>
      <c r="IA297" s="1426"/>
      <c r="IB297" s="1426"/>
      <c r="IC297" s="1426"/>
      <c r="ID297" s="1426"/>
      <c r="IE297" s="1426"/>
      <c r="IF297" s="1426"/>
      <c r="IG297" s="1426"/>
      <c r="IH297" s="1426"/>
      <c r="II297" s="1426"/>
      <c r="IJ297" s="1426"/>
      <c r="IK297" s="1426"/>
      <c r="IL297" s="1426"/>
      <c r="IM297" s="1426"/>
      <c r="IN297" s="1426"/>
      <c r="IO297" s="1426"/>
      <c r="IP297" s="1426"/>
      <c r="IQ297" s="1426"/>
      <c r="IR297" s="1426"/>
      <c r="IS297" s="1426"/>
      <c r="IT297" s="1426"/>
      <c r="IU297" s="1426"/>
      <c r="IV297" s="1426"/>
      <c r="IW297" s="1426"/>
      <c r="IX297" s="1426"/>
      <c r="IY297" s="1426"/>
      <c r="IZ297" s="1426"/>
      <c r="JA297" s="1426"/>
      <c r="JB297" s="1426"/>
      <c r="JC297" s="1426"/>
      <c r="JD297" s="1426"/>
      <c r="JE297" s="1426"/>
      <c r="JF297" s="1426"/>
      <c r="JG297" s="1426"/>
      <c r="JH297" s="1426"/>
      <c r="JI297" s="1426"/>
      <c r="JJ297" s="1426"/>
      <c r="JK297" s="1426"/>
      <c r="JL297" s="1426"/>
    </row>
    <row r="298" spans="1:272" s="942" customFormat="1" ht="12.75" hidden="1" customHeight="1" outlineLevel="1">
      <c r="A298" s="1668" t="s">
        <v>245</v>
      </c>
      <c r="B298" s="938"/>
      <c r="C298" s="938"/>
      <c r="D298" s="938"/>
      <c r="E298" s="938"/>
      <c r="F298" s="1196"/>
      <c r="G298" s="938"/>
      <c r="H298" s="938"/>
      <c r="I298" s="938"/>
      <c r="J298" s="938"/>
      <c r="K298" s="1196"/>
      <c r="L298" s="938"/>
      <c r="M298" s="938"/>
      <c r="N298" s="938"/>
      <c r="O298" s="938"/>
      <c r="P298" s="1196"/>
      <c r="Q298" s="938"/>
      <c r="R298" s="938"/>
      <c r="S298" s="938"/>
      <c r="T298" s="938"/>
      <c r="U298" s="1196"/>
      <c r="V298" s="938"/>
      <c r="W298" s="938"/>
      <c r="X298" s="938"/>
      <c r="Y298" s="938"/>
      <c r="Z298" s="1196"/>
      <c r="AA298" s="938"/>
      <c r="AB298" s="938"/>
      <c r="AC298" s="938"/>
      <c r="AD298" s="938"/>
      <c r="AE298" s="1196"/>
      <c r="AF298" s="938"/>
      <c r="AG298" s="938"/>
      <c r="AH298" s="938"/>
      <c r="AI298" s="938"/>
      <c r="AJ298" s="1196"/>
      <c r="AK298" s="938"/>
      <c r="AL298" s="938"/>
      <c r="AM298" s="938"/>
      <c r="AN298" s="938"/>
      <c r="AO298" s="1196"/>
      <c r="AP298" s="938"/>
      <c r="AQ298" s="938"/>
      <c r="AR298" s="938"/>
      <c r="AS298" s="938"/>
      <c r="AT298" s="1196"/>
      <c r="AU298" s="938"/>
      <c r="AV298" s="938"/>
      <c r="AW298" s="938"/>
      <c r="AX298" s="938"/>
      <c r="AY298" s="1196"/>
      <c r="AZ298" s="938"/>
      <c r="BA298" s="938"/>
      <c r="BB298" s="938"/>
      <c r="BC298" s="938"/>
      <c r="BD298" s="1196"/>
      <c r="BE298" s="938"/>
      <c r="BF298" s="938"/>
      <c r="BG298" s="938"/>
      <c r="BH298" s="938"/>
      <c r="BI298" s="1196"/>
      <c r="BJ298" s="938"/>
      <c r="BK298" s="938"/>
      <c r="BL298" s="938"/>
      <c r="BM298" s="938"/>
      <c r="BN298" s="1635">
        <f>+BN297/BN198</f>
        <v>0.17786699986550444</v>
      </c>
      <c r="BO298" s="938"/>
      <c r="BP298" s="938"/>
      <c r="BQ298" s="938"/>
      <c r="BR298" s="938"/>
      <c r="BS298" s="1635">
        <f>+BS297/BS198</f>
        <v>5.75044789727105E-2</v>
      </c>
      <c r="BT298" s="938"/>
      <c r="BU298" s="938"/>
      <c r="BV298" s="938"/>
      <c r="BW298" s="938"/>
      <c r="BX298" s="1635">
        <f>+BX297/BX198</f>
        <v>9.4457254245329858E-2</v>
      </c>
      <c r="BY298" s="938"/>
      <c r="BZ298" s="938"/>
      <c r="CA298" s="938"/>
      <c r="CB298" s="938"/>
      <c r="CC298" s="1635">
        <f>+CC297/CC198</f>
        <v>4.3424141275101386E-2</v>
      </c>
      <c r="CD298" s="938"/>
      <c r="CE298" s="938"/>
      <c r="CF298" s="938"/>
      <c r="CG298" s="938"/>
      <c r="CH298" s="1635">
        <f>+CH297/CH198</f>
        <v>3.4956233333130811E-2</v>
      </c>
      <c r="CI298" s="938"/>
      <c r="CJ298" s="938"/>
      <c r="CK298" s="938"/>
      <c r="CL298" s="938"/>
      <c r="CM298" s="1635">
        <f>+CM297/CM198</f>
        <v>3.056417681200755E-2</v>
      </c>
      <c r="CN298" s="938"/>
      <c r="CO298" s="938"/>
      <c r="CP298" s="938"/>
      <c r="CQ298" s="938"/>
      <c r="CR298" s="1635">
        <f>+CR297/CR198</f>
        <v>6.2959230863732979E-2</v>
      </c>
      <c r="CS298" s="938"/>
      <c r="CT298" s="938"/>
      <c r="CU298" s="938"/>
      <c r="CV298" s="938"/>
      <c r="CW298" s="1635">
        <f>+CW297/CW198</f>
        <v>4.0165445756714942E-2</v>
      </c>
      <c r="CX298" s="938"/>
      <c r="CY298" s="938"/>
      <c r="CZ298" s="938"/>
      <c r="DA298" s="938"/>
      <c r="DB298" s="1635">
        <f>+DB297/DB198</f>
        <v>5.0902748710015933E-2</v>
      </c>
      <c r="DC298" s="938"/>
      <c r="DD298" s="938"/>
      <c r="DE298" s="938"/>
      <c r="DF298" s="938"/>
      <c r="DG298" s="1635">
        <f>+DG297/DG198</f>
        <v>5.2429239186268725E-2</v>
      </c>
      <c r="DH298" s="938"/>
      <c r="DI298" s="938"/>
      <c r="DJ298" s="938"/>
      <c r="DK298" s="938"/>
      <c r="DL298" s="1635">
        <f>+DL297/DL198</f>
        <v>4.4651689637070335E-2</v>
      </c>
      <c r="DM298" s="938"/>
      <c r="DN298" s="938"/>
      <c r="DO298" s="938"/>
      <c r="DP298" s="938"/>
      <c r="DQ298" s="1635">
        <f>+DQ297/DQ198</f>
        <v>4.5400865839964791E-2</v>
      </c>
      <c r="DR298" s="938"/>
      <c r="DS298" s="938"/>
      <c r="DT298" s="938"/>
      <c r="DU298" s="938"/>
      <c r="DV298" s="1635">
        <f>+DV297/DV198</f>
        <v>7.669517568380356E-2</v>
      </c>
      <c r="DW298" s="938"/>
      <c r="DX298" s="938"/>
      <c r="DY298" s="938"/>
      <c r="DZ298" s="938"/>
      <c r="EA298" s="1635">
        <f>+EA297/EA198</f>
        <v>7.3785206479633686E-2</v>
      </c>
      <c r="EB298" s="938"/>
      <c r="EC298" s="938"/>
      <c r="ED298" s="938"/>
      <c r="EE298" s="938"/>
      <c r="EF298" s="1400">
        <f>+EA298</f>
        <v>7.3785206479633686E-2</v>
      </c>
      <c r="EG298" s="938"/>
      <c r="EH298" s="938"/>
      <c r="EI298" s="938"/>
      <c r="EJ298" s="938"/>
      <c r="EK298" s="1400">
        <f>+EF298</f>
        <v>7.3785206479633686E-2</v>
      </c>
      <c r="EL298" s="938"/>
      <c r="EM298" s="938"/>
      <c r="EN298" s="938"/>
      <c r="EO298" s="938"/>
      <c r="EP298" s="1400">
        <f>+EK298</f>
        <v>7.3785206479633686E-2</v>
      </c>
      <c r="EQ298" s="938"/>
      <c r="ER298" s="938"/>
      <c r="ES298" s="938"/>
      <c r="ET298" s="938"/>
      <c r="EU298" s="1400">
        <f>+EP298</f>
        <v>7.3785206479633686E-2</v>
      </c>
      <c r="EV298" s="938"/>
      <c r="EW298" s="938"/>
      <c r="EX298" s="938"/>
      <c r="EY298" s="938"/>
      <c r="EZ298" s="1400">
        <f>+EU298</f>
        <v>7.3785206479633686E-2</v>
      </c>
      <c r="FA298" s="938"/>
      <c r="FB298" s="938"/>
      <c r="FC298" s="938"/>
      <c r="FD298" s="938"/>
      <c r="FE298" s="1400">
        <f>+EZ298</f>
        <v>7.3785206479633686E-2</v>
      </c>
      <c r="FF298" s="778"/>
      <c r="FG298" s="690"/>
      <c r="FH298" s="754"/>
      <c r="FI298" s="754"/>
      <c r="FJ298" s="754"/>
      <c r="FK298" s="754"/>
      <c r="FL298" s="690"/>
      <c r="FM298" s="940"/>
      <c r="FN298" s="940"/>
      <c r="FO298" s="719"/>
      <c r="FP298" s="719"/>
      <c r="FQ298" s="719"/>
      <c r="FR298" s="719"/>
      <c r="FS298" s="719"/>
      <c r="FT298" s="719"/>
      <c r="FU298" s="690"/>
      <c r="FV298"/>
      <c r="FW298"/>
      <c r="FX298"/>
      <c r="FY298"/>
      <c r="FZ298"/>
      <c r="GA298"/>
      <c r="GB298" s="1650"/>
      <c r="GC298" s="1426"/>
      <c r="GD298" s="1426"/>
      <c r="GE298" s="1426"/>
      <c r="GF298" s="1426"/>
      <c r="GG298" s="1426"/>
      <c r="GH298" s="1426"/>
      <c r="GI298" s="1426"/>
      <c r="GJ298" s="1426"/>
      <c r="GK298" s="1426"/>
      <c r="GL298" s="1426"/>
      <c r="GM298" s="1426"/>
      <c r="GN298" s="1426"/>
      <c r="GO298" s="1426"/>
      <c r="GP298" s="1426"/>
      <c r="GQ298" s="1426"/>
      <c r="GR298" s="1426"/>
      <c r="GS298" s="1426"/>
      <c r="GT298" s="1426"/>
      <c r="GU298" s="1426"/>
      <c r="GV298" s="1426"/>
      <c r="GW298" s="1426"/>
      <c r="GX298" s="1426"/>
      <c r="GY298" s="1426"/>
      <c r="GZ298" s="1426"/>
      <c r="HA298" s="1426"/>
      <c r="HB298" s="1426"/>
      <c r="HC298" s="1426"/>
      <c r="HD298" s="1426"/>
      <c r="HE298" s="1426"/>
      <c r="HF298" s="1426"/>
      <c r="HG298" s="1426"/>
      <c r="HH298" s="1426"/>
      <c r="HI298" s="1426"/>
      <c r="HJ298" s="1426"/>
      <c r="HK298" s="1426"/>
      <c r="HL298" s="1426"/>
      <c r="HM298" s="1426"/>
      <c r="HN298" s="1426"/>
      <c r="HO298" s="1426"/>
      <c r="HP298" s="1426"/>
      <c r="HQ298" s="1426"/>
      <c r="HR298" s="1426"/>
      <c r="HS298" s="1426"/>
      <c r="HT298" s="1426"/>
      <c r="HU298" s="1426"/>
      <c r="HV298" s="1426"/>
      <c r="HW298" s="1426"/>
      <c r="HX298" s="1426"/>
      <c r="HY298" s="1426"/>
      <c r="HZ298" s="1426"/>
      <c r="IA298" s="1426"/>
      <c r="IB298" s="1426"/>
      <c r="IC298" s="1426"/>
      <c r="ID298" s="1426"/>
      <c r="IE298" s="1426"/>
      <c r="IF298" s="1426"/>
      <c r="IG298" s="1426"/>
      <c r="IH298" s="1426"/>
      <c r="II298" s="1426"/>
      <c r="IJ298" s="1426"/>
      <c r="IK298" s="1426"/>
      <c r="IL298" s="1426"/>
      <c r="IM298" s="1426"/>
      <c r="IN298" s="1426"/>
      <c r="IO298" s="1426"/>
      <c r="IP298" s="1426"/>
      <c r="IQ298" s="1426"/>
      <c r="IR298" s="1426"/>
      <c r="IS298" s="1426"/>
      <c r="IT298" s="1426"/>
      <c r="IU298" s="1426"/>
      <c r="IV298" s="1426"/>
      <c r="IW298" s="1426"/>
      <c r="IX298" s="1426"/>
      <c r="IY298" s="1426"/>
      <c r="IZ298" s="1426"/>
      <c r="JA298" s="1426"/>
      <c r="JB298" s="1426"/>
      <c r="JC298" s="1426"/>
      <c r="JD298" s="1426"/>
      <c r="JE298" s="1426"/>
      <c r="JF298" s="1426"/>
      <c r="JG298" s="1426"/>
      <c r="JH298" s="1426"/>
      <c r="JI298" s="1426"/>
      <c r="JJ298" s="1426"/>
      <c r="JK298" s="1426"/>
      <c r="JL298" s="1426"/>
    </row>
    <row r="299" spans="1:272" s="942" customFormat="1" ht="12.75" hidden="1" customHeight="1" outlineLevel="1">
      <c r="A299" s="1673" t="s">
        <v>121</v>
      </c>
      <c r="B299" s="1674"/>
      <c r="C299" s="1674"/>
      <c r="D299" s="1674"/>
      <c r="E299" s="1674"/>
      <c r="F299" s="1675"/>
      <c r="G299" s="1674"/>
      <c r="H299" s="1674"/>
      <c r="I299" s="1674"/>
      <c r="J299" s="1674"/>
      <c r="K299" s="1675"/>
      <c r="L299" s="1674"/>
      <c r="M299" s="1674"/>
      <c r="N299" s="1674"/>
      <c r="O299" s="1674"/>
      <c r="P299" s="1675"/>
      <c r="Q299" s="1674"/>
      <c r="R299" s="1674"/>
      <c r="S299" s="1674"/>
      <c r="T299" s="1674"/>
      <c r="U299" s="1675"/>
      <c r="V299" s="1674"/>
      <c r="W299" s="1674"/>
      <c r="X299" s="1674"/>
      <c r="Y299" s="1674"/>
      <c r="Z299" s="1675"/>
      <c r="AA299" s="1674"/>
      <c r="AB299" s="1674"/>
      <c r="AC299" s="1674"/>
      <c r="AD299" s="1674"/>
      <c r="AE299" s="1675"/>
      <c r="AF299" s="1674"/>
      <c r="AG299" s="1674"/>
      <c r="AH299" s="1674"/>
      <c r="AI299" s="1674"/>
      <c r="AJ299" s="1675"/>
      <c r="AK299" s="1674"/>
      <c r="AL299" s="1674"/>
      <c r="AM299" s="1674"/>
      <c r="AN299" s="1674"/>
      <c r="AO299" s="1675"/>
      <c r="AP299" s="1674"/>
      <c r="AQ299" s="1674"/>
      <c r="AR299" s="1674"/>
      <c r="AS299" s="1674"/>
      <c r="AT299" s="1675"/>
      <c r="AU299" s="1674"/>
      <c r="AV299" s="1674"/>
      <c r="AW299" s="1674"/>
      <c r="AX299" s="1674"/>
      <c r="AY299" s="1675"/>
      <c r="AZ299" s="1674"/>
      <c r="BA299" s="1674"/>
      <c r="BB299" s="1674"/>
      <c r="BC299" s="1674"/>
      <c r="BD299" s="1675"/>
      <c r="BE299" s="1674"/>
      <c r="BF299" s="1674"/>
      <c r="BG299" s="1674"/>
      <c r="BH299" s="1674"/>
      <c r="BI299" s="1675"/>
      <c r="BJ299" s="1674"/>
      <c r="BK299" s="1674"/>
      <c r="BL299" s="1674"/>
      <c r="BM299" s="1674"/>
      <c r="BN299" s="1675">
        <v>2226.933</v>
      </c>
      <c r="BO299" s="1674"/>
      <c r="BP299" s="1674"/>
      <c r="BQ299" s="1674"/>
      <c r="BR299" s="1674"/>
      <c r="BS299" s="1675">
        <v>1896.7629999999999</v>
      </c>
      <c r="BT299" s="1674"/>
      <c r="BU299" s="1674"/>
      <c r="BV299" s="1674"/>
      <c r="BW299" s="1674"/>
      <c r="BX299" s="1675">
        <v>1954.8320000000001</v>
      </c>
      <c r="BY299" s="1674"/>
      <c r="BZ299" s="1674"/>
      <c r="CA299" s="1674"/>
      <c r="CB299" s="1674"/>
      <c r="CC299" s="1675">
        <v>1719.0340000000001</v>
      </c>
      <c r="CD299" s="1674"/>
      <c r="CE299" s="1674"/>
      <c r="CF299" s="1674"/>
      <c r="CG299" s="1674"/>
      <c r="CH299" s="1675">
        <v>1569.654</v>
      </c>
      <c r="CI299" s="1674"/>
      <c r="CJ299" s="1674"/>
      <c r="CK299" s="1674"/>
      <c r="CL299" s="1674"/>
      <c r="CM299" s="1675">
        <v>1561.11</v>
      </c>
      <c r="CN299" s="1674"/>
      <c r="CO299" s="1674"/>
      <c r="CP299" s="1674"/>
      <c r="CQ299" s="1674"/>
      <c r="CR299" s="1675">
        <v>2100.212</v>
      </c>
      <c r="CS299" s="1674"/>
      <c r="CT299" s="1674"/>
      <c r="CU299" s="1674"/>
      <c r="CV299" s="1674"/>
      <c r="CW299" s="1675">
        <v>2446.1149999999998</v>
      </c>
      <c r="CX299" s="1674"/>
      <c r="CY299" s="1674"/>
      <c r="CZ299" s="1674"/>
      <c r="DA299" s="1674"/>
      <c r="DB299" s="1675">
        <v>2209.4879999999998</v>
      </c>
      <c r="DC299" s="1674"/>
      <c r="DD299" s="1674"/>
      <c r="DE299" s="1674"/>
      <c r="DF299" s="1674"/>
      <c r="DG299" s="1675">
        <v>2124.1999999999998</v>
      </c>
      <c r="DH299" s="1674"/>
      <c r="DI299" s="1674"/>
      <c r="DJ299" s="1674"/>
      <c r="DK299" s="1674"/>
      <c r="DL299" s="1675">
        <v>2340.7620000000002</v>
      </c>
      <c r="DM299" s="1674">
        <v>2387.6489999999999</v>
      </c>
      <c r="DN299" s="1674">
        <v>2395.75</v>
      </c>
      <c r="DO299" s="1674">
        <v>2310.7330000000002</v>
      </c>
      <c r="DP299" s="1674">
        <f>+DQ299</f>
        <v>2303.0790000000002</v>
      </c>
      <c r="DQ299" s="1675">
        <v>2303.0790000000002</v>
      </c>
      <c r="DR299" s="1674">
        <v>2314.6689999999999</v>
      </c>
      <c r="DS299" s="1674">
        <v>2284.0039999999999</v>
      </c>
      <c r="DT299" s="1674">
        <f>3241.216-943.954</f>
        <v>2297.2619999999997</v>
      </c>
      <c r="DU299" s="1674">
        <f>+DV299</f>
        <v>2141.2420000000002</v>
      </c>
      <c r="DV299" s="1675">
        <v>2141.2420000000002</v>
      </c>
      <c r="DW299" s="1674">
        <v>2135.0169999999998</v>
      </c>
      <c r="DX299" s="1674">
        <v>2179.6219999999998</v>
      </c>
      <c r="DY299" s="1674">
        <v>2093.8119999999999</v>
      </c>
      <c r="DZ299" s="1674">
        <f>+EA299</f>
        <v>2139.7800000000002</v>
      </c>
      <c r="EA299" s="1675">
        <v>2139.7800000000002</v>
      </c>
      <c r="EB299" s="1674">
        <v>2169.683</v>
      </c>
      <c r="EC299" s="1674"/>
      <c r="ED299" s="1674"/>
      <c r="EE299" s="1674"/>
      <c r="EF299" s="1675">
        <f>+EF294+EF295+EF296+EF297</f>
        <v>2035.9915669586624</v>
      </c>
      <c r="EG299" s="1674"/>
      <c r="EH299" s="1674"/>
      <c r="EI299" s="1674"/>
      <c r="EJ299" s="1674"/>
      <c r="EK299" s="1675">
        <f>+EK294+EK295+EK296+EK297</f>
        <v>1582.942301447081</v>
      </c>
      <c r="EL299" s="1674"/>
      <c r="EM299" s="1674"/>
      <c r="EN299" s="1674"/>
      <c r="EO299" s="1674"/>
      <c r="EP299" s="1675">
        <f>+EP294+EP295+EP296+EP297</f>
        <v>1600.4137807237917</v>
      </c>
      <c r="EQ299" s="1674"/>
      <c r="ER299" s="1674"/>
      <c r="ES299" s="1674"/>
      <c r="ET299" s="1674"/>
      <c r="EU299" s="1675">
        <f>+EU294+EU295+EU296+EU297</f>
        <v>1648.07047723098</v>
      </c>
      <c r="EV299" s="1674"/>
      <c r="EW299" s="1674"/>
      <c r="EX299" s="1674"/>
      <c r="EY299" s="1674"/>
      <c r="EZ299" s="1675">
        <f>+EZ294+EZ295+EZ296+EZ297</f>
        <v>1705.998314913488</v>
      </c>
      <c r="FA299" s="1674"/>
      <c r="FB299" s="1674"/>
      <c r="FC299" s="1674"/>
      <c r="FD299" s="1674"/>
      <c r="FE299" s="1675">
        <f>+FE294+FE295+FE296+FE297</f>
        <v>1766.9090153795464</v>
      </c>
      <c r="FF299" s="938"/>
      <c r="FG299" s="690"/>
      <c r="FH299" s="754"/>
      <c r="FI299" s="754"/>
      <c r="FJ299" s="754"/>
      <c r="FK299" s="754"/>
      <c r="FL299" s="690"/>
      <c r="FM299" s="940"/>
      <c r="FN299" s="940"/>
      <c r="FO299" s="941"/>
      <c r="FP299" s="941"/>
      <c r="FQ299" s="941"/>
      <c r="FR299" s="941"/>
      <c r="FS299" s="941"/>
      <c r="FT299" s="941"/>
      <c r="FU299" s="690"/>
      <c r="FV299"/>
      <c r="FW299"/>
      <c r="FX299"/>
      <c r="FY299"/>
      <c r="FZ299"/>
      <c r="GA299"/>
      <c r="GB299" s="1612"/>
      <c r="GC299" s="1426"/>
      <c r="GD299" s="1426"/>
      <c r="GE299" s="1426"/>
      <c r="GF299" s="1426"/>
      <c r="GG299" s="1426"/>
      <c r="GH299" s="1426"/>
      <c r="GI299" s="1426"/>
      <c r="GJ299" s="1426"/>
      <c r="GK299" s="1426"/>
      <c r="GL299" s="1426"/>
      <c r="GM299" s="1426"/>
      <c r="GN299" s="1426"/>
      <c r="GO299" s="1426"/>
      <c r="GP299" s="1426"/>
      <c r="GQ299" s="1426"/>
      <c r="GR299" s="1426"/>
      <c r="GS299" s="1426"/>
      <c r="GT299" s="1426"/>
      <c r="GU299" s="1426"/>
      <c r="GV299" s="1426"/>
      <c r="GW299" s="1426"/>
      <c r="GX299" s="1426"/>
      <c r="GY299" s="1426"/>
      <c r="GZ299" s="1426"/>
      <c r="HA299" s="1426"/>
      <c r="HB299" s="1426"/>
      <c r="HC299" s="1426"/>
      <c r="HD299" s="1426"/>
      <c r="HE299" s="1426"/>
      <c r="HF299" s="1426"/>
      <c r="HG299" s="1426"/>
      <c r="HH299" s="1426"/>
      <c r="HI299" s="1426"/>
      <c r="HJ299" s="1426"/>
      <c r="HK299" s="1426"/>
      <c r="HL299" s="1426"/>
      <c r="HM299" s="1426"/>
      <c r="HN299" s="1426"/>
      <c r="HO299" s="1426"/>
      <c r="HP299" s="1426"/>
      <c r="HQ299" s="1426"/>
      <c r="HR299" s="1426"/>
      <c r="HS299" s="1426"/>
      <c r="HT299" s="1426"/>
      <c r="HU299" s="1426"/>
      <c r="HV299" s="1426"/>
      <c r="HW299" s="1426"/>
      <c r="HX299" s="1426"/>
      <c r="HY299" s="1426"/>
      <c r="HZ299" s="1426"/>
      <c r="IA299" s="1426"/>
      <c r="IB299" s="1426"/>
      <c r="IC299" s="1426"/>
      <c r="ID299" s="1426"/>
      <c r="IE299" s="1426"/>
      <c r="IF299" s="1426"/>
      <c r="IG299" s="1426"/>
      <c r="IH299" s="1426"/>
      <c r="II299" s="1426"/>
      <c r="IJ299" s="1426"/>
      <c r="IK299" s="1426"/>
      <c r="IL299" s="1426"/>
      <c r="IM299" s="1426"/>
      <c r="IN299" s="1426"/>
      <c r="IO299" s="1426"/>
      <c r="IP299" s="1426"/>
      <c r="IQ299" s="1426"/>
      <c r="IR299" s="1426"/>
      <c r="IS299" s="1426"/>
      <c r="IT299" s="1426"/>
      <c r="IU299" s="1426"/>
      <c r="IV299" s="1426"/>
      <c r="IW299" s="1426"/>
      <c r="IX299" s="1426"/>
      <c r="IY299" s="1426"/>
      <c r="IZ299" s="1426"/>
      <c r="JA299" s="1426"/>
      <c r="JB299" s="1426"/>
      <c r="JC299" s="1426"/>
      <c r="JD299" s="1426"/>
      <c r="JE299" s="1426"/>
      <c r="JF299" s="1426"/>
      <c r="JG299" s="1426"/>
      <c r="JH299" s="1426"/>
      <c r="JI299" s="1426"/>
      <c r="JJ299" s="1426"/>
      <c r="JK299" s="1426"/>
      <c r="JL299" s="1426"/>
    </row>
    <row r="300" spans="1:272" s="533" customFormat="1" ht="12.75" hidden="1" customHeight="1" outlineLevel="1">
      <c r="A300" s="1486" t="s">
        <v>454</v>
      </c>
      <c r="B300" s="1661"/>
      <c r="C300" s="1662"/>
      <c r="D300" s="1662"/>
      <c r="E300" s="1662"/>
      <c r="F300" s="722"/>
      <c r="G300" s="1662"/>
      <c r="H300" s="1662"/>
      <c r="I300" s="1662"/>
      <c r="J300" s="1662"/>
      <c r="K300" s="722"/>
      <c r="L300" s="1662"/>
      <c r="M300" s="1662"/>
      <c r="N300" s="1662"/>
      <c r="O300" s="1662"/>
      <c r="P300" s="722"/>
      <c r="Q300" s="1662"/>
      <c r="R300" s="1662"/>
      <c r="S300" s="1662"/>
      <c r="T300" s="1662"/>
      <c r="U300" s="722"/>
      <c r="V300" s="1662"/>
      <c r="W300" s="1662"/>
      <c r="X300" s="1663"/>
      <c r="Y300" s="1663"/>
      <c r="Z300" s="722"/>
      <c r="AA300" s="1663"/>
      <c r="AB300" s="1663"/>
      <c r="AC300" s="1663"/>
      <c r="AD300" s="1663"/>
      <c r="AE300" s="722"/>
      <c r="AF300" s="723"/>
      <c r="AG300" s="723"/>
      <c r="AH300" s="723"/>
      <c r="AI300" s="723"/>
      <c r="AJ300" s="722"/>
      <c r="AK300" s="723"/>
      <c r="AL300" s="723"/>
      <c r="AM300" s="723"/>
      <c r="AN300" s="723"/>
      <c r="AO300" s="722"/>
      <c r="AP300" s="723"/>
      <c r="AQ300" s="1548"/>
      <c r="AR300" s="1548"/>
      <c r="AS300" s="723"/>
      <c r="AT300" s="722"/>
      <c r="AU300" s="723"/>
      <c r="AV300" s="1548"/>
      <c r="AW300" s="723"/>
      <c r="AX300" s="723"/>
      <c r="AY300" s="722"/>
      <c r="AZ300" s="723"/>
      <c r="BA300" s="1548"/>
      <c r="BB300" s="723"/>
      <c r="BC300" s="723"/>
      <c r="BD300" s="722"/>
      <c r="BE300" s="723"/>
      <c r="BF300" s="1548"/>
      <c r="BG300" s="723"/>
      <c r="BH300" s="723"/>
      <c r="BI300" s="722"/>
      <c r="BJ300" s="723"/>
      <c r="BK300" s="1548"/>
      <c r="BL300" s="723"/>
      <c r="BM300" s="723"/>
      <c r="BN300" s="722"/>
      <c r="BO300" s="723"/>
      <c r="BP300" s="1548"/>
      <c r="BQ300" s="723"/>
      <c r="BR300" s="723"/>
      <c r="BS300" s="722"/>
      <c r="BT300" s="723"/>
      <c r="BU300" s="1548"/>
      <c r="BV300" s="723"/>
      <c r="BW300" s="723"/>
      <c r="BX300" s="722"/>
      <c r="BY300" s="723"/>
      <c r="BZ300" s="1548"/>
      <c r="CA300" s="723"/>
      <c r="CB300" s="723"/>
      <c r="CC300" s="722"/>
      <c r="CD300" s="723"/>
      <c r="CE300" s="723"/>
      <c r="CF300" s="723"/>
      <c r="CG300" s="723"/>
      <c r="CH300" s="722"/>
      <c r="CI300" s="723"/>
      <c r="CJ300" s="723"/>
      <c r="CK300" s="723"/>
      <c r="CL300" s="723"/>
      <c r="CM300" s="722"/>
      <c r="CN300" s="723"/>
      <c r="CO300" s="723"/>
      <c r="CP300" s="723"/>
      <c r="CQ300" s="723"/>
      <c r="CR300" s="722"/>
      <c r="CS300" s="723"/>
      <c r="CT300" s="723"/>
      <c r="CU300" s="723"/>
      <c r="CV300" s="723"/>
      <c r="CW300" s="722"/>
      <c r="CX300" s="723"/>
      <c r="CY300" s="723"/>
      <c r="CZ300" s="723"/>
      <c r="DA300" s="723"/>
      <c r="DB300" s="722"/>
      <c r="DC300" s="723"/>
      <c r="DD300" s="723"/>
      <c r="DE300" s="723"/>
      <c r="DF300" s="723"/>
      <c r="DG300" s="722"/>
      <c r="DH300" s="723"/>
      <c r="DI300" s="723"/>
      <c r="DJ300" s="723"/>
      <c r="DK300" s="723"/>
      <c r="DL300" s="722"/>
      <c r="DM300" s="1065"/>
      <c r="DN300" s="1065"/>
      <c r="DO300" s="1065"/>
      <c r="DP300" s="723"/>
      <c r="DQ300" s="722"/>
      <c r="DR300" s="1065"/>
      <c r="DS300" s="1065"/>
      <c r="DT300" s="1065"/>
      <c r="DU300" s="723"/>
      <c r="DV300" s="722"/>
      <c r="DW300" s="1065"/>
      <c r="DX300" s="1065"/>
      <c r="DY300" s="1065"/>
      <c r="DZ300" s="723"/>
      <c r="EA300" s="722"/>
      <c r="EB300" s="1065"/>
      <c r="EC300" s="1065"/>
      <c r="ED300" s="1065"/>
      <c r="EE300" s="1065"/>
      <c r="EF300" s="722"/>
      <c r="EG300" s="1065"/>
      <c r="EH300" s="1065"/>
      <c r="EI300" s="1065"/>
      <c r="EJ300" s="1065"/>
      <c r="EK300" s="722"/>
      <c r="EL300" s="1065"/>
      <c r="EM300" s="1065"/>
      <c r="EN300" s="1065"/>
      <c r="EO300" s="1065"/>
      <c r="EP300" s="722"/>
      <c r="EQ300" s="1065"/>
      <c r="ER300" s="1065"/>
      <c r="ES300" s="1065"/>
      <c r="ET300" s="1065"/>
      <c r="EU300" s="722"/>
      <c r="EV300" s="1065"/>
      <c r="EW300" s="1065"/>
      <c r="EX300" s="1065"/>
      <c r="EY300" s="1065"/>
      <c r="EZ300" s="722"/>
      <c r="FA300" s="1065"/>
      <c r="FB300" s="1065"/>
      <c r="FC300" s="1065"/>
      <c r="FD300" s="1065"/>
      <c r="FE300" s="722"/>
      <c r="FF300" s="721"/>
      <c r="FG300" s="690"/>
      <c r="FH300" s="754"/>
      <c r="FI300" s="754"/>
      <c r="FJ300" s="754"/>
      <c r="FK300" s="754"/>
      <c r="FL300" s="690"/>
      <c r="FM300" s="708"/>
      <c r="FN300" s="708"/>
      <c r="FO300" s="723"/>
      <c r="FP300" s="723"/>
      <c r="FQ300" s="723"/>
      <c r="FR300" s="723"/>
      <c r="FS300" s="723"/>
      <c r="FT300" s="723"/>
      <c r="FU300" s="690"/>
      <c r="FV300"/>
      <c r="FW300"/>
      <c r="FX300"/>
      <c r="FY300"/>
      <c r="FZ300"/>
      <c r="GA300"/>
      <c r="GB300" s="961"/>
      <c r="GC300" s="532"/>
      <c r="GD300" s="532"/>
      <c r="GE300" s="532"/>
      <c r="GF300" s="532"/>
      <c r="GG300" s="532"/>
      <c r="GH300" s="532"/>
      <c r="GI300" s="532"/>
      <c r="GJ300" s="532"/>
      <c r="GK300" s="532"/>
      <c r="GL300" s="532"/>
      <c r="GM300" s="532"/>
      <c r="GN300" s="532"/>
      <c r="GO300" s="532"/>
      <c r="GP300" s="532"/>
      <c r="GQ300" s="532"/>
      <c r="GR300" s="532"/>
      <c r="GS300" s="532"/>
      <c r="GT300" s="532"/>
      <c r="GU300" s="532"/>
      <c r="GV300" s="532"/>
      <c r="GW300" s="532"/>
      <c r="GX300" s="532"/>
      <c r="GY300" s="532"/>
      <c r="GZ300" s="532"/>
      <c r="HA300" s="532"/>
      <c r="HB300" s="532"/>
      <c r="HC300" s="532"/>
      <c r="HD300" s="532"/>
      <c r="HE300" s="532"/>
      <c r="HF300" s="532"/>
      <c r="HG300" s="532"/>
      <c r="HH300" s="532"/>
      <c r="HI300" s="532"/>
      <c r="HJ300" s="532"/>
      <c r="HK300" s="532"/>
      <c r="HL300" s="532"/>
      <c r="HM300" s="532"/>
      <c r="HN300" s="532"/>
      <c r="HO300" s="532"/>
      <c r="HP300" s="532"/>
      <c r="HQ300" s="532"/>
      <c r="HR300" s="532"/>
      <c r="HS300" s="532"/>
      <c r="HT300" s="532"/>
      <c r="HU300" s="532"/>
      <c r="HV300" s="532"/>
      <c r="HW300" s="532"/>
      <c r="HX300" s="532"/>
      <c r="HY300" s="532"/>
      <c r="HZ300" s="532"/>
      <c r="IA300" s="532"/>
      <c r="IB300" s="532"/>
      <c r="IC300" s="532"/>
      <c r="ID300" s="532"/>
      <c r="IE300" s="532"/>
      <c r="IF300" s="532"/>
      <c r="IG300" s="532"/>
      <c r="IH300" s="532"/>
      <c r="II300" s="532"/>
      <c r="IJ300" s="532"/>
      <c r="IK300" s="532"/>
      <c r="IL300" s="532"/>
      <c r="IM300" s="532"/>
      <c r="IN300" s="532"/>
      <c r="IO300" s="532"/>
      <c r="IP300" s="532"/>
      <c r="IQ300" s="532"/>
      <c r="IR300" s="532"/>
      <c r="IS300" s="532"/>
      <c r="IT300" s="532"/>
      <c r="IU300" s="532"/>
      <c r="IV300" s="532"/>
      <c r="IW300" s="532"/>
      <c r="IX300" s="532"/>
      <c r="IY300" s="532"/>
      <c r="IZ300" s="532"/>
      <c r="JA300" s="532"/>
      <c r="JB300" s="532"/>
      <c r="JC300" s="532"/>
      <c r="JD300" s="532"/>
      <c r="JE300" s="532"/>
      <c r="JF300" s="532"/>
      <c r="JG300" s="532"/>
      <c r="JH300" s="532"/>
      <c r="JI300" s="532"/>
      <c r="JJ300" s="532"/>
      <c r="JK300" s="532"/>
      <c r="JL300" s="532"/>
    </row>
    <row r="301" spans="1:272" s="942" customFormat="1" ht="12.75" hidden="1" customHeight="1" outlineLevel="1">
      <c r="A301" s="1071" t="s">
        <v>6</v>
      </c>
      <c r="B301" s="938"/>
      <c r="C301" s="938"/>
      <c r="D301" s="938"/>
      <c r="E301" s="938"/>
      <c r="F301" s="1196"/>
      <c r="G301" s="938"/>
      <c r="H301" s="938"/>
      <c r="I301" s="938"/>
      <c r="J301" s="938"/>
      <c r="K301" s="1196"/>
      <c r="L301" s="938"/>
      <c r="M301" s="938"/>
      <c r="N301" s="938"/>
      <c r="O301" s="938"/>
      <c r="P301" s="1196"/>
      <c r="Q301" s="938"/>
      <c r="R301" s="938"/>
      <c r="S301" s="938"/>
      <c r="T301" s="938"/>
      <c r="U301" s="1196"/>
      <c r="V301" s="938"/>
      <c r="W301" s="938"/>
      <c r="X301" s="938"/>
      <c r="Y301" s="938"/>
      <c r="Z301" s="1196"/>
      <c r="AA301" s="938"/>
      <c r="AB301" s="938"/>
      <c r="AC301" s="938"/>
      <c r="AD301" s="938"/>
      <c r="AE301" s="1196"/>
      <c r="AF301" s="938"/>
      <c r="AG301" s="938"/>
      <c r="AH301" s="938"/>
      <c r="AI301" s="938"/>
      <c r="AJ301" s="1196"/>
      <c r="AK301" s="938"/>
      <c r="AL301" s="938"/>
      <c r="AM301" s="938"/>
      <c r="AN301" s="938"/>
      <c r="AO301" s="1196"/>
      <c r="AP301" s="938"/>
      <c r="AQ301" s="938"/>
      <c r="AR301" s="938"/>
      <c r="AS301" s="938"/>
      <c r="AT301" s="1196"/>
      <c r="AU301" s="938"/>
      <c r="AV301" s="938"/>
      <c r="AW301" s="938"/>
      <c r="AX301" s="938"/>
      <c r="AY301" s="1196"/>
      <c r="AZ301" s="938"/>
      <c r="BA301" s="938"/>
      <c r="BB301" s="938"/>
      <c r="BC301" s="938"/>
      <c r="BD301" s="1196"/>
      <c r="BE301" s="938"/>
      <c r="BF301" s="938"/>
      <c r="BG301" s="938"/>
      <c r="BH301" s="938"/>
      <c r="BI301" s="1196"/>
      <c r="BJ301" s="938"/>
      <c r="BK301" s="938"/>
      <c r="BL301" s="938"/>
      <c r="BM301" s="938"/>
      <c r="BN301" s="1196">
        <f>49.256+125</f>
        <v>174.256</v>
      </c>
      <c r="BO301" s="938"/>
      <c r="BP301" s="938"/>
      <c r="BQ301" s="938"/>
      <c r="BR301" s="938"/>
      <c r="BS301" s="1196">
        <f>53.524+125</f>
        <v>178.524</v>
      </c>
      <c r="BT301" s="938"/>
      <c r="BU301" s="938"/>
      <c r="BV301" s="938"/>
      <c r="BW301" s="938"/>
      <c r="BX301" s="1196">
        <v>58.468000000000004</v>
      </c>
      <c r="BY301" s="938"/>
      <c r="BZ301" s="938"/>
      <c r="CA301" s="938"/>
      <c r="CB301" s="938"/>
      <c r="CC301" s="1196">
        <v>63.892000000000003</v>
      </c>
      <c r="CD301" s="938"/>
      <c r="CE301" s="938"/>
      <c r="CF301" s="938"/>
      <c r="CG301" s="938"/>
      <c r="CH301" s="1196">
        <v>56.921999999999997</v>
      </c>
      <c r="CI301" s="938"/>
      <c r="CJ301" s="938"/>
      <c r="CK301" s="938"/>
      <c r="CL301" s="938"/>
      <c r="CM301" s="1196">
        <v>60.348999999999997</v>
      </c>
      <c r="CN301" s="938"/>
      <c r="CO301" s="938"/>
      <c r="CP301" s="938"/>
      <c r="CQ301" s="938"/>
      <c r="CR301" s="1196">
        <v>64.522999999999996</v>
      </c>
      <c r="CS301" s="938"/>
      <c r="CT301" s="938"/>
      <c r="CU301" s="938"/>
      <c r="CV301" s="938"/>
      <c r="CW301" s="1196">
        <v>69.251000000000005</v>
      </c>
      <c r="CX301" s="938"/>
      <c r="CY301" s="938"/>
      <c r="CZ301" s="938"/>
      <c r="DA301" s="938"/>
      <c r="DB301" s="1196">
        <v>0</v>
      </c>
      <c r="DC301" s="938"/>
      <c r="DD301" s="938"/>
      <c r="DE301" s="938"/>
      <c r="DF301" s="938"/>
      <c r="DG301" s="1196">
        <v>0</v>
      </c>
      <c r="DH301" s="938"/>
      <c r="DI301" s="938"/>
      <c r="DJ301" s="938"/>
      <c r="DK301" s="938"/>
      <c r="DL301" s="1196">
        <v>0</v>
      </c>
      <c r="DM301" s="938"/>
      <c r="DN301" s="938"/>
      <c r="DO301" s="938"/>
      <c r="DP301" s="938"/>
      <c r="DQ301" s="1196">
        <v>0</v>
      </c>
      <c r="DR301" s="938">
        <v>0</v>
      </c>
      <c r="DS301" s="938">
        <v>0</v>
      </c>
      <c r="DT301" s="938"/>
      <c r="DU301" s="938"/>
      <c r="DV301" s="1196">
        <v>0</v>
      </c>
      <c r="DW301" s="938"/>
      <c r="DX301" s="938"/>
      <c r="DY301" s="938"/>
      <c r="DZ301" s="938"/>
      <c r="EA301" s="1196">
        <v>0</v>
      </c>
      <c r="EB301" s="938"/>
      <c r="EC301" s="938"/>
      <c r="ED301" s="938"/>
      <c r="EE301" s="938"/>
      <c r="EF301" s="1196">
        <f>EA301</f>
        <v>0</v>
      </c>
      <c r="EG301" s="938"/>
      <c r="EH301" s="938"/>
      <c r="EI301" s="938"/>
      <c r="EJ301" s="938"/>
      <c r="EK301" s="1196">
        <f>EF301</f>
        <v>0</v>
      </c>
      <c r="EL301" s="938"/>
      <c r="EM301" s="938"/>
      <c r="EN301" s="938"/>
      <c r="EO301" s="938"/>
      <c r="EP301" s="1196">
        <f>EK301</f>
        <v>0</v>
      </c>
      <c r="EQ301" s="938"/>
      <c r="ER301" s="938"/>
      <c r="ES301" s="938"/>
      <c r="ET301" s="938"/>
      <c r="EU301" s="1196">
        <f>EP301</f>
        <v>0</v>
      </c>
      <c r="EV301" s="938"/>
      <c r="EW301" s="938"/>
      <c r="EX301" s="938"/>
      <c r="EY301" s="938"/>
      <c r="EZ301" s="1196">
        <f>EU301</f>
        <v>0</v>
      </c>
      <c r="FA301" s="938"/>
      <c r="FB301" s="938"/>
      <c r="FC301" s="938"/>
      <c r="FD301" s="938"/>
      <c r="FE301" s="1196">
        <f>EZ301</f>
        <v>0</v>
      </c>
      <c r="FF301" s="778"/>
      <c r="FG301" s="690"/>
      <c r="FH301" s="754"/>
      <c r="FI301" s="754"/>
      <c r="FJ301" s="754"/>
      <c r="FK301" s="754"/>
      <c r="FL301" s="690"/>
      <c r="FM301" s="940"/>
      <c r="FN301" s="940"/>
      <c r="FO301" s="719"/>
      <c r="FP301" s="719"/>
      <c r="FQ301" s="719"/>
      <c r="FR301" s="719"/>
      <c r="FS301" s="719"/>
      <c r="FT301" s="719"/>
      <c r="FU301" s="690"/>
      <c r="FV301"/>
      <c r="FW301"/>
      <c r="FX301"/>
      <c r="FY301"/>
      <c r="FZ301"/>
      <c r="GA301"/>
      <c r="GB301" s="1650"/>
      <c r="GC301" s="1426"/>
      <c r="GD301" s="1426"/>
      <c r="GE301" s="1426"/>
      <c r="GF301" s="1426"/>
      <c r="GG301" s="1426"/>
      <c r="GH301" s="1426"/>
      <c r="GI301" s="1426"/>
      <c r="GJ301" s="1426"/>
      <c r="GK301" s="1426"/>
      <c r="GL301" s="1426"/>
      <c r="GM301" s="1426"/>
      <c r="GN301" s="1426"/>
      <c r="GO301" s="1426"/>
      <c r="GP301" s="1426"/>
      <c r="GQ301" s="1426"/>
      <c r="GR301" s="1426"/>
      <c r="GS301" s="1426"/>
      <c r="GT301" s="1426"/>
      <c r="GU301" s="1426"/>
      <c r="GV301" s="1426"/>
      <c r="GW301" s="1426"/>
      <c r="GX301" s="1426"/>
      <c r="GY301" s="1426"/>
      <c r="GZ301" s="1426"/>
      <c r="HA301" s="1426"/>
      <c r="HB301" s="1426"/>
      <c r="HC301" s="1426"/>
      <c r="HD301" s="1426"/>
      <c r="HE301" s="1426"/>
      <c r="HF301" s="1426"/>
      <c r="HG301" s="1426"/>
      <c r="HH301" s="1426"/>
      <c r="HI301" s="1426"/>
      <c r="HJ301" s="1426"/>
      <c r="HK301" s="1426"/>
      <c r="HL301" s="1426"/>
      <c r="HM301" s="1426"/>
      <c r="HN301" s="1426"/>
      <c r="HO301" s="1426"/>
      <c r="HP301" s="1426"/>
      <c r="HQ301" s="1426"/>
      <c r="HR301" s="1426"/>
      <c r="HS301" s="1426"/>
      <c r="HT301" s="1426"/>
      <c r="HU301" s="1426"/>
      <c r="HV301" s="1426"/>
      <c r="HW301" s="1426"/>
      <c r="HX301" s="1426"/>
      <c r="HY301" s="1426"/>
      <c r="HZ301" s="1426"/>
      <c r="IA301" s="1426"/>
      <c r="IB301" s="1426"/>
      <c r="IC301" s="1426"/>
      <c r="ID301" s="1426"/>
      <c r="IE301" s="1426"/>
      <c r="IF301" s="1426"/>
      <c r="IG301" s="1426"/>
      <c r="IH301" s="1426"/>
      <c r="II301" s="1426"/>
      <c r="IJ301" s="1426"/>
      <c r="IK301" s="1426"/>
      <c r="IL301" s="1426"/>
      <c r="IM301" s="1426"/>
      <c r="IN301" s="1426"/>
      <c r="IO301" s="1426"/>
      <c r="IP301" s="1426"/>
      <c r="IQ301" s="1426"/>
      <c r="IR301" s="1426"/>
      <c r="IS301" s="1426"/>
      <c r="IT301" s="1426"/>
      <c r="IU301" s="1426"/>
      <c r="IV301" s="1426"/>
      <c r="IW301" s="1426"/>
      <c r="IX301" s="1426"/>
      <c r="IY301" s="1426"/>
      <c r="IZ301" s="1426"/>
      <c r="JA301" s="1426"/>
      <c r="JB301" s="1426"/>
      <c r="JC301" s="1426"/>
      <c r="JD301" s="1426"/>
      <c r="JE301" s="1426"/>
      <c r="JF301" s="1426"/>
      <c r="JG301" s="1426"/>
      <c r="JH301" s="1426"/>
      <c r="JI301" s="1426"/>
      <c r="JJ301" s="1426"/>
      <c r="JK301" s="1426"/>
      <c r="JL301" s="1426"/>
    </row>
    <row r="302" spans="1:272" s="942" customFormat="1" ht="12.75" hidden="1" customHeight="1" outlineLevel="1">
      <c r="A302" s="1071" t="s">
        <v>455</v>
      </c>
      <c r="B302" s="938"/>
      <c r="C302" s="938"/>
      <c r="D302" s="938"/>
      <c r="E302" s="938"/>
      <c r="F302" s="1196"/>
      <c r="G302" s="938"/>
      <c r="H302" s="938"/>
      <c r="I302" s="938"/>
      <c r="J302" s="938"/>
      <c r="K302" s="1196"/>
      <c r="L302" s="938"/>
      <c r="M302" s="938"/>
      <c r="N302" s="938"/>
      <c r="O302" s="938"/>
      <c r="P302" s="1196"/>
      <c r="Q302" s="938"/>
      <c r="R302" s="938"/>
      <c r="S302" s="938"/>
      <c r="T302" s="938"/>
      <c r="U302" s="1196"/>
      <c r="V302" s="938"/>
      <c r="W302" s="938"/>
      <c r="X302" s="938"/>
      <c r="Y302" s="938"/>
      <c r="Z302" s="1196"/>
      <c r="AA302" s="938"/>
      <c r="AB302" s="938"/>
      <c r="AC302" s="938"/>
      <c r="AD302" s="938"/>
      <c r="AE302" s="1196"/>
      <c r="AF302" s="938"/>
      <c r="AG302" s="938"/>
      <c r="AH302" s="938"/>
      <c r="AI302" s="938"/>
      <c r="AJ302" s="1196"/>
      <c r="AK302" s="938"/>
      <c r="AL302" s="938"/>
      <c r="AM302" s="938"/>
      <c r="AN302" s="938"/>
      <c r="AO302" s="1196"/>
      <c r="AP302" s="938"/>
      <c r="AQ302" s="938"/>
      <c r="AR302" s="938"/>
      <c r="AS302" s="938"/>
      <c r="AT302" s="1196"/>
      <c r="AU302" s="938"/>
      <c r="AV302" s="938"/>
      <c r="AW302" s="938"/>
      <c r="AX302" s="938"/>
      <c r="AY302" s="1196"/>
      <c r="AZ302" s="938"/>
      <c r="BA302" s="938"/>
      <c r="BB302" s="938"/>
      <c r="BC302" s="938"/>
      <c r="BD302" s="1196"/>
      <c r="BE302" s="938"/>
      <c r="BF302" s="938"/>
      <c r="BG302" s="938"/>
      <c r="BH302" s="938"/>
      <c r="BI302" s="1196"/>
      <c r="BJ302" s="938"/>
      <c r="BK302" s="938"/>
      <c r="BL302" s="938"/>
      <c r="BM302" s="938"/>
      <c r="BN302" s="1196">
        <v>34.725000000000001</v>
      </c>
      <c r="BO302" s="938"/>
      <c r="BP302" s="938"/>
      <c r="BQ302" s="938"/>
      <c r="BR302" s="938"/>
      <c r="BS302" s="1196">
        <v>35.029000000000003</v>
      </c>
      <c r="BT302" s="938"/>
      <c r="BU302" s="938"/>
      <c r="BV302" s="938"/>
      <c r="BW302" s="938"/>
      <c r="BX302" s="1196">
        <v>35.273000000000003</v>
      </c>
      <c r="BY302" s="938"/>
      <c r="BZ302" s="938"/>
      <c r="CA302" s="938"/>
      <c r="CB302" s="938"/>
      <c r="CC302" s="1196">
        <v>36.590000000000003</v>
      </c>
      <c r="CD302" s="938"/>
      <c r="CE302" s="938"/>
      <c r="CF302" s="938"/>
      <c r="CG302" s="938"/>
      <c r="CH302" s="1196">
        <v>38.253</v>
      </c>
      <c r="CI302" s="938"/>
      <c r="CJ302" s="938"/>
      <c r="CK302" s="938"/>
      <c r="CL302" s="938"/>
      <c r="CM302" s="1196">
        <v>38.433999999999997</v>
      </c>
      <c r="CN302" s="938"/>
      <c r="CO302" s="938"/>
      <c r="CP302" s="938"/>
      <c r="CQ302" s="938"/>
      <c r="CR302" s="1196">
        <v>38.615000000000002</v>
      </c>
      <c r="CS302" s="938"/>
      <c r="CT302" s="938"/>
      <c r="CU302" s="938"/>
      <c r="CV302" s="938"/>
      <c r="CW302" s="1196">
        <v>38.850999999999999</v>
      </c>
      <c r="CX302" s="938"/>
      <c r="CY302" s="938"/>
      <c r="CZ302" s="938"/>
      <c r="DA302" s="938"/>
      <c r="DB302" s="1196">
        <v>38.970999999999997</v>
      </c>
      <c r="DC302" s="938"/>
      <c r="DD302" s="938"/>
      <c r="DE302" s="938"/>
      <c r="DF302" s="938"/>
      <c r="DG302" s="1196">
        <v>39.143000000000001</v>
      </c>
      <c r="DH302" s="938"/>
      <c r="DI302" s="938"/>
      <c r="DJ302" s="938"/>
      <c r="DK302" s="938"/>
      <c r="DL302" s="1196">
        <v>39.393999999999998</v>
      </c>
      <c r="DM302" s="938"/>
      <c r="DN302" s="938"/>
      <c r="DO302" s="938"/>
      <c r="DP302" s="938"/>
      <c r="DQ302" s="1196">
        <v>39.701000000000001</v>
      </c>
      <c r="DR302" s="938">
        <v>39.942</v>
      </c>
      <c r="DS302" s="938">
        <v>40.08</v>
      </c>
      <c r="DT302" s="938"/>
      <c r="DU302" s="938"/>
      <c r="DV302" s="1196">
        <v>40.348999999999997</v>
      </c>
      <c r="DW302" s="938"/>
      <c r="DX302" s="938"/>
      <c r="DY302" s="938"/>
      <c r="DZ302" s="938"/>
      <c r="EA302" s="1196">
        <v>41.100999999999999</v>
      </c>
      <c r="EB302" s="938"/>
      <c r="EC302" s="938"/>
      <c r="ED302" s="938"/>
      <c r="EE302" s="938"/>
      <c r="EF302" s="1196">
        <f>EA302</f>
        <v>41.100999999999999</v>
      </c>
      <c r="EG302" s="938"/>
      <c r="EH302" s="938"/>
      <c r="EI302" s="938"/>
      <c r="EJ302" s="938"/>
      <c r="EK302" s="1196">
        <f>EF302</f>
        <v>41.100999999999999</v>
      </c>
      <c r="EL302" s="938"/>
      <c r="EM302" s="938"/>
      <c r="EN302" s="938"/>
      <c r="EO302" s="938"/>
      <c r="EP302" s="1196">
        <f>EK302</f>
        <v>41.100999999999999</v>
      </c>
      <c r="EQ302" s="938"/>
      <c r="ER302" s="938"/>
      <c r="ES302" s="938"/>
      <c r="ET302" s="938"/>
      <c r="EU302" s="1196">
        <f>EP302</f>
        <v>41.100999999999999</v>
      </c>
      <c r="EV302" s="938"/>
      <c r="EW302" s="938"/>
      <c r="EX302" s="938"/>
      <c r="EY302" s="938"/>
      <c r="EZ302" s="1196">
        <f>EU302</f>
        <v>41.100999999999999</v>
      </c>
      <c r="FA302" s="938"/>
      <c r="FB302" s="938"/>
      <c r="FC302" s="938"/>
      <c r="FD302" s="938"/>
      <c r="FE302" s="1196">
        <f>EZ302</f>
        <v>41.100999999999999</v>
      </c>
      <c r="FF302" s="778"/>
      <c r="FG302" s="690"/>
      <c r="FH302" s="754"/>
      <c r="FI302" s="754"/>
      <c r="FJ302" s="754"/>
      <c r="FK302" s="754"/>
      <c r="FL302" s="690"/>
      <c r="FM302" s="940"/>
      <c r="FN302" s="940"/>
      <c r="FO302" s="719"/>
      <c r="FP302" s="719"/>
      <c r="FQ302" s="719"/>
      <c r="FR302" s="719"/>
      <c r="FS302" s="719"/>
      <c r="FT302" s="719"/>
      <c r="FU302" s="690"/>
      <c r="FV302"/>
      <c r="FW302"/>
      <c r="FX302"/>
      <c r="FY302"/>
      <c r="FZ302"/>
      <c r="GA302"/>
      <c r="GB302" s="1650"/>
      <c r="GC302" s="1426"/>
      <c r="GD302" s="1426"/>
      <c r="GE302" s="1426"/>
      <c r="GF302" s="1426"/>
      <c r="GG302" s="1426"/>
      <c r="GH302" s="1426"/>
      <c r="GI302" s="1426"/>
      <c r="GJ302" s="1426"/>
      <c r="GK302" s="1426"/>
      <c r="GL302" s="1426"/>
      <c r="GM302" s="1426"/>
      <c r="GN302" s="1426"/>
      <c r="GO302" s="1426"/>
      <c r="GP302" s="1426"/>
      <c r="GQ302" s="1426"/>
      <c r="GR302" s="1426"/>
      <c r="GS302" s="1426"/>
      <c r="GT302" s="1426"/>
      <c r="GU302" s="1426"/>
      <c r="GV302" s="1426"/>
      <c r="GW302" s="1426"/>
      <c r="GX302" s="1426"/>
      <c r="GY302" s="1426"/>
      <c r="GZ302" s="1426"/>
      <c r="HA302" s="1426"/>
      <c r="HB302" s="1426"/>
      <c r="HC302" s="1426"/>
      <c r="HD302" s="1426"/>
      <c r="HE302" s="1426"/>
      <c r="HF302" s="1426"/>
      <c r="HG302" s="1426"/>
      <c r="HH302" s="1426"/>
      <c r="HI302" s="1426"/>
      <c r="HJ302" s="1426"/>
      <c r="HK302" s="1426"/>
      <c r="HL302" s="1426"/>
      <c r="HM302" s="1426"/>
      <c r="HN302" s="1426"/>
      <c r="HO302" s="1426"/>
      <c r="HP302" s="1426"/>
      <c r="HQ302" s="1426"/>
      <c r="HR302" s="1426"/>
      <c r="HS302" s="1426"/>
      <c r="HT302" s="1426"/>
      <c r="HU302" s="1426"/>
      <c r="HV302" s="1426"/>
      <c r="HW302" s="1426"/>
      <c r="HX302" s="1426"/>
      <c r="HY302" s="1426"/>
      <c r="HZ302" s="1426"/>
      <c r="IA302" s="1426"/>
      <c r="IB302" s="1426"/>
      <c r="IC302" s="1426"/>
      <c r="ID302" s="1426"/>
      <c r="IE302" s="1426"/>
      <c r="IF302" s="1426"/>
      <c r="IG302" s="1426"/>
      <c r="IH302" s="1426"/>
      <c r="II302" s="1426"/>
      <c r="IJ302" s="1426"/>
      <c r="IK302" s="1426"/>
      <c r="IL302" s="1426"/>
      <c r="IM302" s="1426"/>
      <c r="IN302" s="1426"/>
      <c r="IO302" s="1426"/>
      <c r="IP302" s="1426"/>
      <c r="IQ302" s="1426"/>
      <c r="IR302" s="1426"/>
      <c r="IS302" s="1426"/>
      <c r="IT302" s="1426"/>
      <c r="IU302" s="1426"/>
      <c r="IV302" s="1426"/>
      <c r="IW302" s="1426"/>
      <c r="IX302" s="1426"/>
      <c r="IY302" s="1426"/>
      <c r="IZ302" s="1426"/>
      <c r="JA302" s="1426"/>
      <c r="JB302" s="1426"/>
      <c r="JC302" s="1426"/>
      <c r="JD302" s="1426"/>
      <c r="JE302" s="1426"/>
      <c r="JF302" s="1426"/>
      <c r="JG302" s="1426"/>
      <c r="JH302" s="1426"/>
      <c r="JI302" s="1426"/>
      <c r="JJ302" s="1426"/>
      <c r="JK302" s="1426"/>
      <c r="JL302" s="1426"/>
    </row>
    <row r="303" spans="1:272" s="942" customFormat="1" ht="12.75" hidden="1" customHeight="1" outlineLevel="1">
      <c r="A303" s="1071" t="s">
        <v>456</v>
      </c>
      <c r="B303" s="938"/>
      <c r="C303" s="938"/>
      <c r="D303" s="938"/>
      <c r="E303" s="938"/>
      <c r="F303" s="1196"/>
      <c r="G303" s="938"/>
      <c r="H303" s="938"/>
      <c r="I303" s="938"/>
      <c r="J303" s="938"/>
      <c r="K303" s="1196"/>
      <c r="L303" s="938"/>
      <c r="M303" s="938"/>
      <c r="N303" s="938"/>
      <c r="O303" s="938"/>
      <c r="P303" s="1196"/>
      <c r="Q303" s="938"/>
      <c r="R303" s="938"/>
      <c r="S303" s="938"/>
      <c r="T303" s="938"/>
      <c r="U303" s="1196"/>
      <c r="V303" s="938"/>
      <c r="W303" s="938"/>
      <c r="X303" s="938"/>
      <c r="Y303" s="938"/>
      <c r="Z303" s="1196"/>
      <c r="AA303" s="938"/>
      <c r="AB303" s="938"/>
      <c r="AC303" s="938"/>
      <c r="AD303" s="938"/>
      <c r="AE303" s="1196"/>
      <c r="AF303" s="938"/>
      <c r="AG303" s="938"/>
      <c r="AH303" s="938"/>
      <c r="AI303" s="938"/>
      <c r="AJ303" s="1196"/>
      <c r="AK303" s="938"/>
      <c r="AL303" s="938"/>
      <c r="AM303" s="938"/>
      <c r="AN303" s="938"/>
      <c r="AO303" s="1196"/>
      <c r="AP303" s="938"/>
      <c r="AQ303" s="938"/>
      <c r="AR303" s="938"/>
      <c r="AS303" s="938"/>
      <c r="AT303" s="1196"/>
      <c r="AU303" s="938"/>
      <c r="AV303" s="938"/>
      <c r="AW303" s="938"/>
      <c r="AX303" s="938"/>
      <c r="AY303" s="1196"/>
      <c r="AZ303" s="938"/>
      <c r="BA303" s="938"/>
      <c r="BB303" s="938"/>
      <c r="BC303" s="938"/>
      <c r="BD303" s="1196"/>
      <c r="BE303" s="938"/>
      <c r="BF303" s="938"/>
      <c r="BG303" s="938"/>
      <c r="BH303" s="938"/>
      <c r="BI303" s="1196"/>
      <c r="BJ303" s="938"/>
      <c r="BK303" s="938"/>
      <c r="BL303" s="938"/>
      <c r="BM303" s="938"/>
      <c r="BN303" s="1196">
        <v>332.06599999999997</v>
      </c>
      <c r="BO303" s="938"/>
      <c r="BP303" s="938"/>
      <c r="BQ303" s="938"/>
      <c r="BR303" s="938"/>
      <c r="BS303" s="1196">
        <v>345.05399999999997</v>
      </c>
      <c r="BT303" s="938"/>
      <c r="BU303" s="938"/>
      <c r="BV303" s="938"/>
      <c r="BW303" s="938"/>
      <c r="BX303" s="1196">
        <v>356.7</v>
      </c>
      <c r="BY303" s="938"/>
      <c r="BZ303" s="938"/>
      <c r="CA303" s="938"/>
      <c r="CB303" s="938"/>
      <c r="CC303" s="1196">
        <v>429.13400000000001</v>
      </c>
      <c r="CD303" s="938"/>
      <c r="CE303" s="938"/>
      <c r="CF303" s="938"/>
      <c r="CG303" s="938"/>
      <c r="CH303" s="1196">
        <v>528.74300000000005</v>
      </c>
      <c r="CI303" s="938"/>
      <c r="CJ303" s="938"/>
      <c r="CK303" s="938"/>
      <c r="CL303" s="938"/>
      <c r="CM303" s="1196">
        <v>549.26700000000005</v>
      </c>
      <c r="CN303" s="938"/>
      <c r="CO303" s="938"/>
      <c r="CP303" s="938"/>
      <c r="CQ303" s="938"/>
      <c r="CR303" s="1196">
        <v>568.19000000000005</v>
      </c>
      <c r="CS303" s="938"/>
      <c r="CT303" s="938"/>
      <c r="CU303" s="938"/>
      <c r="CV303" s="938"/>
      <c r="CW303" s="1196">
        <v>584.22900000000004</v>
      </c>
      <c r="CX303" s="938"/>
      <c r="CY303" s="938"/>
      <c r="CZ303" s="938"/>
      <c r="DA303" s="938"/>
      <c r="DB303" s="1196">
        <v>567.58399999999995</v>
      </c>
      <c r="DC303" s="938"/>
      <c r="DD303" s="938"/>
      <c r="DE303" s="938"/>
      <c r="DF303" s="938"/>
      <c r="DG303" s="1196">
        <v>580.00800000000004</v>
      </c>
      <c r="DH303" s="938"/>
      <c r="DI303" s="938"/>
      <c r="DJ303" s="938"/>
      <c r="DK303" s="938"/>
      <c r="DL303" s="1196">
        <v>595.99199999999996</v>
      </c>
      <c r="DM303" s="938"/>
      <c r="DN303" s="938"/>
      <c r="DO303" s="938"/>
      <c r="DP303" s="938"/>
      <c r="DQ303" s="1196">
        <v>614.33399999999995</v>
      </c>
      <c r="DR303" s="938">
        <v>624.24400000000003</v>
      </c>
      <c r="DS303" s="938">
        <v>631.80899999999997</v>
      </c>
      <c r="DT303" s="938"/>
      <c r="DU303" s="938"/>
      <c r="DV303" s="1196">
        <v>653.48699999999997</v>
      </c>
      <c r="DW303" s="938"/>
      <c r="DX303" s="938"/>
      <c r="DY303" s="938"/>
      <c r="DZ303" s="938"/>
      <c r="EA303" s="1196">
        <v>706.75599999999997</v>
      </c>
      <c r="EB303" s="938"/>
      <c r="EC303" s="938"/>
      <c r="ED303" s="938"/>
      <c r="EE303" s="938"/>
      <c r="EF303" s="1196">
        <f>EA303</f>
        <v>706.75599999999997</v>
      </c>
      <c r="EG303" s="938"/>
      <c r="EH303" s="938"/>
      <c r="EI303" s="938"/>
      <c r="EJ303" s="938"/>
      <c r="EK303" s="1196">
        <f>EF303</f>
        <v>706.75599999999997</v>
      </c>
      <c r="EL303" s="938"/>
      <c r="EM303" s="938"/>
      <c r="EN303" s="938"/>
      <c r="EO303" s="938"/>
      <c r="EP303" s="1196">
        <f>EK303</f>
        <v>706.75599999999997</v>
      </c>
      <c r="EQ303" s="938"/>
      <c r="ER303" s="938"/>
      <c r="ES303" s="938"/>
      <c r="ET303" s="938"/>
      <c r="EU303" s="1196">
        <f>EP303</f>
        <v>706.75599999999997</v>
      </c>
      <c r="EV303" s="938"/>
      <c r="EW303" s="938"/>
      <c r="EX303" s="938"/>
      <c r="EY303" s="938"/>
      <c r="EZ303" s="1196">
        <f>EU303</f>
        <v>706.75599999999997</v>
      </c>
      <c r="FA303" s="938"/>
      <c r="FB303" s="938"/>
      <c r="FC303" s="938"/>
      <c r="FD303" s="938"/>
      <c r="FE303" s="1196">
        <f>EZ303</f>
        <v>706.75599999999997</v>
      </c>
      <c r="FF303" s="778"/>
      <c r="FG303" s="690"/>
      <c r="FH303" s="754"/>
      <c r="FI303" s="754"/>
      <c r="FJ303" s="754"/>
      <c r="FK303" s="754"/>
      <c r="FL303" s="690"/>
      <c r="FM303" s="940"/>
      <c r="FN303" s="940"/>
      <c r="FO303" s="719"/>
      <c r="FP303" s="719"/>
      <c r="FQ303" s="719"/>
      <c r="FR303" s="719"/>
      <c r="FS303" s="719"/>
      <c r="FT303" s="719"/>
      <c r="FU303" s="690"/>
      <c r="FV303"/>
      <c r="FW303"/>
      <c r="FX303"/>
      <c r="FY303"/>
      <c r="FZ303"/>
      <c r="GA303"/>
      <c r="GB303" s="1650"/>
      <c r="GC303" s="1426"/>
      <c r="GD303" s="1426"/>
      <c r="GE303" s="1426"/>
      <c r="GF303" s="1426"/>
      <c r="GG303" s="1426"/>
      <c r="GH303" s="1426"/>
      <c r="GI303" s="1426"/>
      <c r="GJ303" s="1426"/>
      <c r="GK303" s="1426"/>
      <c r="GL303" s="1426"/>
      <c r="GM303" s="1426"/>
      <c r="GN303" s="1426"/>
      <c r="GO303" s="1426"/>
      <c r="GP303" s="1426"/>
      <c r="GQ303" s="1426"/>
      <c r="GR303" s="1426"/>
      <c r="GS303" s="1426"/>
      <c r="GT303" s="1426"/>
      <c r="GU303" s="1426"/>
      <c r="GV303" s="1426"/>
      <c r="GW303" s="1426"/>
      <c r="GX303" s="1426"/>
      <c r="GY303" s="1426"/>
      <c r="GZ303" s="1426"/>
      <c r="HA303" s="1426"/>
      <c r="HB303" s="1426"/>
      <c r="HC303" s="1426"/>
      <c r="HD303" s="1426"/>
      <c r="HE303" s="1426"/>
      <c r="HF303" s="1426"/>
      <c r="HG303" s="1426"/>
      <c r="HH303" s="1426"/>
      <c r="HI303" s="1426"/>
      <c r="HJ303" s="1426"/>
      <c r="HK303" s="1426"/>
      <c r="HL303" s="1426"/>
      <c r="HM303" s="1426"/>
      <c r="HN303" s="1426"/>
      <c r="HO303" s="1426"/>
      <c r="HP303" s="1426"/>
      <c r="HQ303" s="1426"/>
      <c r="HR303" s="1426"/>
      <c r="HS303" s="1426"/>
      <c r="HT303" s="1426"/>
      <c r="HU303" s="1426"/>
      <c r="HV303" s="1426"/>
      <c r="HW303" s="1426"/>
      <c r="HX303" s="1426"/>
      <c r="HY303" s="1426"/>
      <c r="HZ303" s="1426"/>
      <c r="IA303" s="1426"/>
      <c r="IB303" s="1426"/>
      <c r="IC303" s="1426"/>
      <c r="ID303" s="1426"/>
      <c r="IE303" s="1426"/>
      <c r="IF303" s="1426"/>
      <c r="IG303" s="1426"/>
      <c r="IH303" s="1426"/>
      <c r="II303" s="1426"/>
      <c r="IJ303" s="1426"/>
      <c r="IK303" s="1426"/>
      <c r="IL303" s="1426"/>
      <c r="IM303" s="1426"/>
      <c r="IN303" s="1426"/>
      <c r="IO303" s="1426"/>
      <c r="IP303" s="1426"/>
      <c r="IQ303" s="1426"/>
      <c r="IR303" s="1426"/>
      <c r="IS303" s="1426"/>
      <c r="IT303" s="1426"/>
      <c r="IU303" s="1426"/>
      <c r="IV303" s="1426"/>
      <c r="IW303" s="1426"/>
      <c r="IX303" s="1426"/>
      <c r="IY303" s="1426"/>
      <c r="IZ303" s="1426"/>
      <c r="JA303" s="1426"/>
      <c r="JB303" s="1426"/>
      <c r="JC303" s="1426"/>
      <c r="JD303" s="1426"/>
      <c r="JE303" s="1426"/>
      <c r="JF303" s="1426"/>
      <c r="JG303" s="1426"/>
      <c r="JH303" s="1426"/>
      <c r="JI303" s="1426"/>
      <c r="JJ303" s="1426"/>
      <c r="JK303" s="1426"/>
      <c r="JL303" s="1426"/>
    </row>
    <row r="304" spans="1:272" s="942" customFormat="1" ht="12.75" hidden="1" customHeight="1" outlineLevel="1">
      <c r="A304" s="1071" t="s">
        <v>457</v>
      </c>
      <c r="B304" s="938"/>
      <c r="C304" s="938"/>
      <c r="D304" s="938"/>
      <c r="E304" s="938"/>
      <c r="F304" s="1196"/>
      <c r="G304" s="938"/>
      <c r="H304" s="938"/>
      <c r="I304" s="938"/>
      <c r="J304" s="938"/>
      <c r="K304" s="1196"/>
      <c r="L304" s="938"/>
      <c r="M304" s="938"/>
      <c r="N304" s="938"/>
      <c r="O304" s="938"/>
      <c r="P304" s="1196"/>
      <c r="Q304" s="938"/>
      <c r="R304" s="938"/>
      <c r="S304" s="938"/>
      <c r="T304" s="938"/>
      <c r="U304" s="1196"/>
      <c r="V304" s="938"/>
      <c r="W304" s="938"/>
      <c r="X304" s="938"/>
      <c r="Y304" s="938"/>
      <c r="Z304" s="1196"/>
      <c r="AA304" s="938"/>
      <c r="AB304" s="938"/>
      <c r="AC304" s="938"/>
      <c r="AD304" s="938"/>
      <c r="AE304" s="1196"/>
      <c r="AF304" s="938"/>
      <c r="AG304" s="938"/>
      <c r="AH304" s="938"/>
      <c r="AI304" s="938"/>
      <c r="AJ304" s="1196"/>
      <c r="AK304" s="938"/>
      <c r="AL304" s="938"/>
      <c r="AM304" s="938"/>
      <c r="AN304" s="938"/>
      <c r="AO304" s="1196"/>
      <c r="AP304" s="938"/>
      <c r="AQ304" s="938"/>
      <c r="AR304" s="938"/>
      <c r="AS304" s="938"/>
      <c r="AT304" s="1196"/>
      <c r="AU304" s="938"/>
      <c r="AV304" s="938"/>
      <c r="AW304" s="938"/>
      <c r="AX304" s="938"/>
      <c r="AY304" s="1196"/>
      <c r="AZ304" s="938"/>
      <c r="BA304" s="938"/>
      <c r="BB304" s="938"/>
      <c r="BC304" s="938"/>
      <c r="BD304" s="1196"/>
      <c r="BE304" s="938"/>
      <c r="BF304" s="938"/>
      <c r="BG304" s="938"/>
      <c r="BH304" s="938"/>
      <c r="BI304" s="1196"/>
      <c r="BJ304" s="938"/>
      <c r="BK304" s="938"/>
      <c r="BL304" s="938"/>
      <c r="BM304" s="938"/>
      <c r="BN304" s="1196">
        <v>432.91800000000001</v>
      </c>
      <c r="BO304" s="938"/>
      <c r="BP304" s="938"/>
      <c r="BQ304" s="938"/>
      <c r="BR304" s="938"/>
      <c r="BS304" s="1196">
        <v>506.81599999999997</v>
      </c>
      <c r="BT304" s="938"/>
      <c r="BU304" s="938"/>
      <c r="BV304" s="938"/>
      <c r="BW304" s="938"/>
      <c r="BX304" s="1196">
        <v>570.75099999999998</v>
      </c>
      <c r="BY304" s="938"/>
      <c r="BZ304" s="938"/>
      <c r="CA304" s="938"/>
      <c r="CB304" s="938"/>
      <c r="CC304" s="1196">
        <v>426.3</v>
      </c>
      <c r="CD304" s="938"/>
      <c r="CE304" s="938"/>
      <c r="CF304" s="938"/>
      <c r="CG304" s="938"/>
      <c r="CH304" s="1196">
        <v>620.56500000000005</v>
      </c>
      <c r="CI304" s="938"/>
      <c r="CJ304" s="938"/>
      <c r="CK304" s="938"/>
      <c r="CL304" s="938"/>
      <c r="CM304" s="1196">
        <v>847.06799999999998</v>
      </c>
      <c r="CN304" s="938"/>
      <c r="CO304" s="938"/>
      <c r="CP304" s="938"/>
      <c r="CQ304" s="938"/>
      <c r="CR304" s="1196">
        <v>972.24300000000005</v>
      </c>
      <c r="CS304" s="938"/>
      <c r="CT304" s="938"/>
      <c r="CU304" s="938"/>
      <c r="CV304" s="938"/>
      <c r="CW304" s="1196">
        <v>1020.93</v>
      </c>
      <c r="CX304" s="938"/>
      <c r="CY304" s="938"/>
      <c r="CZ304" s="938"/>
      <c r="DA304" s="938"/>
      <c r="DB304" s="1196">
        <v>890.91499999999996</v>
      </c>
      <c r="DC304" s="938"/>
      <c r="DD304" s="938"/>
      <c r="DE304" s="938"/>
      <c r="DF304" s="938"/>
      <c r="DG304" s="1196">
        <v>821.18700000000001</v>
      </c>
      <c r="DH304" s="938"/>
      <c r="DI304" s="938"/>
      <c r="DJ304" s="938"/>
      <c r="DK304" s="938"/>
      <c r="DL304" s="1196">
        <v>884.75800000000004</v>
      </c>
      <c r="DM304" s="938"/>
      <c r="DN304" s="938"/>
      <c r="DO304" s="938"/>
      <c r="DP304" s="938"/>
      <c r="DQ304" s="1196">
        <v>966.93899999999996</v>
      </c>
      <c r="DR304" s="938">
        <v>975.327</v>
      </c>
      <c r="DS304" s="938">
        <v>1006.9349999999999</v>
      </c>
      <c r="DT304" s="938"/>
      <c r="DU304" s="938"/>
      <c r="DV304" s="1196">
        <v>1043.472</v>
      </c>
      <c r="DW304" s="938"/>
      <c r="DX304" s="938"/>
      <c r="DY304" s="938"/>
      <c r="DZ304" s="938"/>
      <c r="EA304" s="1196">
        <v>1151.7909999999999</v>
      </c>
      <c r="EB304" s="938"/>
      <c r="EC304" s="938"/>
      <c r="ED304" s="938"/>
      <c r="EE304" s="938"/>
      <c r="EF304" s="1196">
        <f>EA304+EF254+EF268</f>
        <v>1264.3362267986918</v>
      </c>
      <c r="EG304" s="938"/>
      <c r="EH304" s="938"/>
      <c r="EI304" s="938"/>
      <c r="EJ304" s="938"/>
      <c r="EK304" s="1196">
        <f>EF304+EK254+EK268</f>
        <v>1445.332623215867</v>
      </c>
      <c r="EL304" s="938"/>
      <c r="EM304" s="938"/>
      <c r="EN304" s="938"/>
      <c r="EO304" s="938"/>
      <c r="EP304" s="1196">
        <f>EK304+EP254+EP268</f>
        <v>1658.7199802910311</v>
      </c>
      <c r="EQ304" s="938"/>
      <c r="ER304" s="938"/>
      <c r="ES304" s="938"/>
      <c r="ET304" s="938"/>
      <c r="EU304" s="1196">
        <f>EP304+EU254+EU268</f>
        <v>1911.2742234114403</v>
      </c>
      <c r="EV304" s="938"/>
      <c r="EW304" s="938"/>
      <c r="EX304" s="938"/>
      <c r="EY304" s="938"/>
      <c r="EZ304" s="1196">
        <f>EU304+EZ254+EZ268</f>
        <v>2186.8155389464923</v>
      </c>
      <c r="FA304" s="938"/>
      <c r="FB304" s="938"/>
      <c r="FC304" s="938"/>
      <c r="FD304" s="938"/>
      <c r="FE304" s="1196">
        <f>EZ304+FE254+FE268</f>
        <v>2486.2409376099313</v>
      </c>
      <c r="FF304" s="778"/>
      <c r="FG304" s="690"/>
      <c r="FH304" s="754"/>
      <c r="FI304" s="754"/>
      <c r="FJ304" s="754"/>
      <c r="FK304" s="754"/>
      <c r="FL304" s="690"/>
      <c r="FM304" s="940"/>
      <c r="FN304" s="940"/>
      <c r="FO304" s="719"/>
      <c r="FP304" s="719"/>
      <c r="FQ304" s="719"/>
      <c r="FR304" s="719"/>
      <c r="FS304" s="719"/>
      <c r="FT304" s="719"/>
      <c r="FU304" s="690"/>
      <c r="FV304"/>
      <c r="FW304"/>
      <c r="FX304"/>
      <c r="FY304"/>
      <c r="FZ304"/>
      <c r="GA304"/>
      <c r="GB304" s="1650"/>
      <c r="GC304" s="1426"/>
      <c r="GD304" s="1426"/>
      <c r="GE304" s="1426"/>
      <c r="GF304" s="1426"/>
      <c r="GG304" s="1426"/>
      <c r="GH304" s="1426"/>
      <c r="GI304" s="1426"/>
      <c r="GJ304" s="1426"/>
      <c r="GK304" s="1426"/>
      <c r="GL304" s="1426"/>
      <c r="GM304" s="1426"/>
      <c r="GN304" s="1426"/>
      <c r="GO304" s="1426"/>
      <c r="GP304" s="1426"/>
      <c r="GQ304" s="1426"/>
      <c r="GR304" s="1426"/>
      <c r="GS304" s="1426"/>
      <c r="GT304" s="1426"/>
      <c r="GU304" s="1426"/>
      <c r="GV304" s="1426"/>
      <c r="GW304" s="1426"/>
      <c r="GX304" s="1426"/>
      <c r="GY304" s="1426"/>
      <c r="GZ304" s="1426"/>
      <c r="HA304" s="1426"/>
      <c r="HB304" s="1426"/>
      <c r="HC304" s="1426"/>
      <c r="HD304" s="1426"/>
      <c r="HE304" s="1426"/>
      <c r="HF304" s="1426"/>
      <c r="HG304" s="1426"/>
      <c r="HH304" s="1426"/>
      <c r="HI304" s="1426"/>
      <c r="HJ304" s="1426"/>
      <c r="HK304" s="1426"/>
      <c r="HL304" s="1426"/>
      <c r="HM304" s="1426"/>
      <c r="HN304" s="1426"/>
      <c r="HO304" s="1426"/>
      <c r="HP304" s="1426"/>
      <c r="HQ304" s="1426"/>
      <c r="HR304" s="1426"/>
      <c r="HS304" s="1426"/>
      <c r="HT304" s="1426"/>
      <c r="HU304" s="1426"/>
      <c r="HV304" s="1426"/>
      <c r="HW304" s="1426"/>
      <c r="HX304" s="1426"/>
      <c r="HY304" s="1426"/>
      <c r="HZ304" s="1426"/>
      <c r="IA304" s="1426"/>
      <c r="IB304" s="1426"/>
      <c r="IC304" s="1426"/>
      <c r="ID304" s="1426"/>
      <c r="IE304" s="1426"/>
      <c r="IF304" s="1426"/>
      <c r="IG304" s="1426"/>
      <c r="IH304" s="1426"/>
      <c r="II304" s="1426"/>
      <c r="IJ304" s="1426"/>
      <c r="IK304" s="1426"/>
      <c r="IL304" s="1426"/>
      <c r="IM304" s="1426"/>
      <c r="IN304" s="1426"/>
      <c r="IO304" s="1426"/>
      <c r="IP304" s="1426"/>
      <c r="IQ304" s="1426"/>
      <c r="IR304" s="1426"/>
      <c r="IS304" s="1426"/>
      <c r="IT304" s="1426"/>
      <c r="IU304" s="1426"/>
      <c r="IV304" s="1426"/>
      <c r="IW304" s="1426"/>
      <c r="IX304" s="1426"/>
      <c r="IY304" s="1426"/>
      <c r="IZ304" s="1426"/>
      <c r="JA304" s="1426"/>
      <c r="JB304" s="1426"/>
      <c r="JC304" s="1426"/>
      <c r="JD304" s="1426"/>
      <c r="JE304" s="1426"/>
      <c r="JF304" s="1426"/>
      <c r="JG304" s="1426"/>
      <c r="JH304" s="1426"/>
      <c r="JI304" s="1426"/>
      <c r="JJ304" s="1426"/>
      <c r="JK304" s="1426"/>
      <c r="JL304" s="1426"/>
    </row>
    <row r="305" spans="1:272" s="942" customFormat="1" ht="12.75" hidden="1" customHeight="1" outlineLevel="1">
      <c r="A305" s="1071" t="s">
        <v>458</v>
      </c>
      <c r="B305" s="938"/>
      <c r="C305" s="938"/>
      <c r="D305" s="938"/>
      <c r="E305" s="938"/>
      <c r="F305" s="1196"/>
      <c r="G305" s="938"/>
      <c r="H305" s="938"/>
      <c r="I305" s="938"/>
      <c r="J305" s="938"/>
      <c r="K305" s="1196"/>
      <c r="L305" s="938"/>
      <c r="M305" s="938"/>
      <c r="N305" s="938"/>
      <c r="O305" s="938"/>
      <c r="P305" s="1196"/>
      <c r="Q305" s="938"/>
      <c r="R305" s="938"/>
      <c r="S305" s="938"/>
      <c r="T305" s="938"/>
      <c r="U305" s="1196"/>
      <c r="V305" s="938"/>
      <c r="W305" s="938"/>
      <c r="X305" s="938"/>
      <c r="Y305" s="938"/>
      <c r="Z305" s="1196"/>
      <c r="AA305" s="938"/>
      <c r="AB305" s="938"/>
      <c r="AC305" s="938"/>
      <c r="AD305" s="938"/>
      <c r="AE305" s="1196"/>
      <c r="AF305" s="938"/>
      <c r="AG305" s="938"/>
      <c r="AH305" s="938"/>
      <c r="AI305" s="938"/>
      <c r="AJ305" s="1196"/>
      <c r="AK305" s="938"/>
      <c r="AL305" s="938"/>
      <c r="AM305" s="938"/>
      <c r="AN305" s="938"/>
      <c r="AO305" s="1196"/>
      <c r="AP305" s="938"/>
      <c r="AQ305" s="938"/>
      <c r="AR305" s="938"/>
      <c r="AS305" s="938"/>
      <c r="AT305" s="1196"/>
      <c r="AU305" s="938"/>
      <c r="AV305" s="938"/>
      <c r="AW305" s="938"/>
      <c r="AX305" s="938"/>
      <c r="AY305" s="1196"/>
      <c r="AZ305" s="938"/>
      <c r="BA305" s="938"/>
      <c r="BB305" s="938"/>
      <c r="BC305" s="938"/>
      <c r="BD305" s="1196"/>
      <c r="BE305" s="938"/>
      <c r="BF305" s="938"/>
      <c r="BG305" s="938"/>
      <c r="BH305" s="938"/>
      <c r="BI305" s="1196"/>
      <c r="BJ305" s="938"/>
      <c r="BK305" s="938"/>
      <c r="BL305" s="938"/>
      <c r="BM305" s="938"/>
      <c r="BN305" s="1196">
        <v>-164.441</v>
      </c>
      <c r="BO305" s="938"/>
      <c r="BP305" s="938"/>
      <c r="BQ305" s="938"/>
      <c r="BR305" s="938"/>
      <c r="BS305" s="1196">
        <v>-161.84100000000001</v>
      </c>
      <c r="BT305" s="938"/>
      <c r="BU305" s="938"/>
      <c r="BV305" s="938"/>
      <c r="BW305" s="938"/>
      <c r="BX305" s="1196">
        <v>-159.273</v>
      </c>
      <c r="BY305" s="938"/>
      <c r="BZ305" s="938"/>
      <c r="CA305" s="938"/>
      <c r="CB305" s="938"/>
      <c r="CC305" s="1196">
        <v>-157.06899999999999</v>
      </c>
      <c r="CD305" s="938"/>
      <c r="CE305" s="938"/>
      <c r="CF305" s="938"/>
      <c r="CG305" s="938"/>
      <c r="CH305" s="1196">
        <v>-293.38</v>
      </c>
      <c r="CI305" s="938"/>
      <c r="CJ305" s="938"/>
      <c r="CK305" s="938"/>
      <c r="CL305" s="938"/>
      <c r="CM305" s="1196">
        <v>-638.92899999999997</v>
      </c>
      <c r="CN305" s="938"/>
      <c r="CO305" s="938"/>
      <c r="CP305" s="938"/>
      <c r="CQ305" s="938"/>
      <c r="CR305" s="1196">
        <v>-720.58299999999997</v>
      </c>
      <c r="CS305" s="938"/>
      <c r="CT305" s="938"/>
      <c r="CU305" s="938"/>
      <c r="CV305" s="938"/>
      <c r="CW305" s="1196">
        <v>-713.09500000000003</v>
      </c>
      <c r="CX305" s="938"/>
      <c r="CY305" s="938"/>
      <c r="CZ305" s="938"/>
      <c r="DA305" s="938"/>
      <c r="DB305" s="1196">
        <v>-575.21900000000005</v>
      </c>
      <c r="DC305" s="938"/>
      <c r="DD305" s="938"/>
      <c r="DE305" s="938"/>
      <c r="DF305" s="938"/>
      <c r="DG305" s="1196">
        <v>-340.91199999999998</v>
      </c>
      <c r="DH305" s="938"/>
      <c r="DI305" s="938"/>
      <c r="DJ305" s="938"/>
      <c r="DK305" s="938"/>
      <c r="DL305" s="1196">
        <v>-322.45400000000001</v>
      </c>
      <c r="DM305" s="938"/>
      <c r="DN305" s="938"/>
      <c r="DO305" s="938"/>
      <c r="DP305" s="938"/>
      <c r="DQ305" s="1196">
        <v>-326.12799999999999</v>
      </c>
      <c r="DR305" s="938">
        <v>-328.221</v>
      </c>
      <c r="DS305" s="938">
        <v>-328.988</v>
      </c>
      <c r="DT305" s="938"/>
      <c r="DU305" s="938"/>
      <c r="DV305" s="1196">
        <v>-329.08800000000002</v>
      </c>
      <c r="DW305" s="938"/>
      <c r="DX305" s="938"/>
      <c r="DY305" s="938"/>
      <c r="DZ305" s="938"/>
      <c r="EA305" s="1196">
        <v>-349.40100000000001</v>
      </c>
      <c r="EB305" s="938"/>
      <c r="EC305" s="938"/>
      <c r="ED305" s="938"/>
      <c r="EE305" s="938"/>
      <c r="EF305" s="1196">
        <f>EA305+EF269</f>
        <v>-372.3150453913978</v>
      </c>
      <c r="EG305" s="938"/>
      <c r="EH305" s="938"/>
      <c r="EI305" s="938"/>
      <c r="EJ305" s="938"/>
      <c r="EK305" s="1196">
        <f>EF305+EK269</f>
        <v>-404.95307400473996</v>
      </c>
      <c r="EL305" s="938"/>
      <c r="EM305" s="938"/>
      <c r="EN305" s="938"/>
      <c r="EO305" s="938"/>
      <c r="EP305" s="1196">
        <f>EK305+EP269</f>
        <v>-442.74516303055179</v>
      </c>
      <c r="EQ305" s="938"/>
      <c r="ER305" s="938"/>
      <c r="ES305" s="938"/>
      <c r="ET305" s="938"/>
      <c r="EU305" s="1196">
        <f>EP305+EU269</f>
        <v>-485.14999220539977</v>
      </c>
      <c r="EV305" s="938"/>
      <c r="EW305" s="938"/>
      <c r="EX305" s="938"/>
      <c r="EY305" s="938"/>
      <c r="EZ305" s="1196">
        <f>EU305+EZ269</f>
        <v>-530.34317878341778</v>
      </c>
      <c r="FA305" s="938"/>
      <c r="FB305" s="938"/>
      <c r="FC305" s="938"/>
      <c r="FD305" s="938"/>
      <c r="FE305" s="1196">
        <f>EZ305+FE269</f>
        <v>-578.38579413527509</v>
      </c>
      <c r="FF305" s="778"/>
      <c r="FG305" s="690"/>
      <c r="FH305" s="754"/>
      <c r="FI305" s="754"/>
      <c r="FJ305" s="754"/>
      <c r="FK305" s="754"/>
      <c r="FL305" s="690"/>
      <c r="FM305" s="940"/>
      <c r="FN305" s="940"/>
      <c r="FO305" s="719"/>
      <c r="FP305" s="719"/>
      <c r="FQ305" s="719"/>
      <c r="FR305" s="719"/>
      <c r="FS305" s="719"/>
      <c r="FT305" s="719"/>
      <c r="FU305" s="690"/>
      <c r="FV305"/>
      <c r="FW305"/>
      <c r="FX305"/>
      <c r="FY305"/>
      <c r="FZ305"/>
      <c r="GA305"/>
      <c r="GB305" s="1650"/>
      <c r="GC305" s="1426"/>
      <c r="GD305" s="1426"/>
      <c r="GE305" s="1426"/>
      <c r="GF305" s="1426"/>
      <c r="GG305" s="1426"/>
      <c r="GH305" s="1426"/>
      <c r="GI305" s="1426"/>
      <c r="GJ305" s="1426"/>
      <c r="GK305" s="1426"/>
      <c r="GL305" s="1426"/>
      <c r="GM305" s="1426"/>
      <c r="GN305" s="1426"/>
      <c r="GO305" s="1426"/>
      <c r="GP305" s="1426"/>
      <c r="GQ305" s="1426"/>
      <c r="GR305" s="1426"/>
      <c r="GS305" s="1426"/>
      <c r="GT305" s="1426"/>
      <c r="GU305" s="1426"/>
      <c r="GV305" s="1426"/>
      <c r="GW305" s="1426"/>
      <c r="GX305" s="1426"/>
      <c r="GY305" s="1426"/>
      <c r="GZ305" s="1426"/>
      <c r="HA305" s="1426"/>
      <c r="HB305" s="1426"/>
      <c r="HC305" s="1426"/>
      <c r="HD305" s="1426"/>
      <c r="HE305" s="1426"/>
      <c r="HF305" s="1426"/>
      <c r="HG305" s="1426"/>
      <c r="HH305" s="1426"/>
      <c r="HI305" s="1426"/>
      <c r="HJ305" s="1426"/>
      <c r="HK305" s="1426"/>
      <c r="HL305" s="1426"/>
      <c r="HM305" s="1426"/>
      <c r="HN305" s="1426"/>
      <c r="HO305" s="1426"/>
      <c r="HP305" s="1426"/>
      <c r="HQ305" s="1426"/>
      <c r="HR305" s="1426"/>
      <c r="HS305" s="1426"/>
      <c r="HT305" s="1426"/>
      <c r="HU305" s="1426"/>
      <c r="HV305" s="1426"/>
      <c r="HW305" s="1426"/>
      <c r="HX305" s="1426"/>
      <c r="HY305" s="1426"/>
      <c r="HZ305" s="1426"/>
      <c r="IA305" s="1426"/>
      <c r="IB305" s="1426"/>
      <c r="IC305" s="1426"/>
      <c r="ID305" s="1426"/>
      <c r="IE305" s="1426"/>
      <c r="IF305" s="1426"/>
      <c r="IG305" s="1426"/>
      <c r="IH305" s="1426"/>
      <c r="II305" s="1426"/>
      <c r="IJ305" s="1426"/>
      <c r="IK305" s="1426"/>
      <c r="IL305" s="1426"/>
      <c r="IM305" s="1426"/>
      <c r="IN305" s="1426"/>
      <c r="IO305" s="1426"/>
      <c r="IP305" s="1426"/>
      <c r="IQ305" s="1426"/>
      <c r="IR305" s="1426"/>
      <c r="IS305" s="1426"/>
      <c r="IT305" s="1426"/>
      <c r="IU305" s="1426"/>
      <c r="IV305" s="1426"/>
      <c r="IW305" s="1426"/>
      <c r="IX305" s="1426"/>
      <c r="IY305" s="1426"/>
      <c r="IZ305" s="1426"/>
      <c r="JA305" s="1426"/>
      <c r="JB305" s="1426"/>
      <c r="JC305" s="1426"/>
      <c r="JD305" s="1426"/>
      <c r="JE305" s="1426"/>
      <c r="JF305" s="1426"/>
      <c r="JG305" s="1426"/>
      <c r="JH305" s="1426"/>
      <c r="JI305" s="1426"/>
      <c r="JJ305" s="1426"/>
      <c r="JK305" s="1426"/>
      <c r="JL305" s="1426"/>
    </row>
    <row r="306" spans="1:272" s="942" customFormat="1" ht="12.75" hidden="1" customHeight="1" outlineLevel="1">
      <c r="A306" s="1071" t="s">
        <v>459</v>
      </c>
      <c r="B306" s="938"/>
      <c r="C306" s="938"/>
      <c r="D306" s="938"/>
      <c r="E306" s="938"/>
      <c r="F306" s="1196"/>
      <c r="G306" s="938"/>
      <c r="H306" s="938"/>
      <c r="I306" s="938"/>
      <c r="J306" s="938"/>
      <c r="K306" s="1196"/>
      <c r="L306" s="938"/>
      <c r="M306" s="938"/>
      <c r="N306" s="938"/>
      <c r="O306" s="938"/>
      <c r="P306" s="1196"/>
      <c r="Q306" s="938"/>
      <c r="R306" s="938"/>
      <c r="S306" s="938"/>
      <c r="T306" s="938"/>
      <c r="U306" s="1196"/>
      <c r="V306" s="938"/>
      <c r="W306" s="938"/>
      <c r="X306" s="938"/>
      <c r="Y306" s="938"/>
      <c r="Z306" s="1196"/>
      <c r="AA306" s="938"/>
      <c r="AB306" s="938"/>
      <c r="AC306" s="938"/>
      <c r="AD306" s="938"/>
      <c r="AE306" s="1196"/>
      <c r="AF306" s="938"/>
      <c r="AG306" s="938"/>
      <c r="AH306" s="938"/>
      <c r="AI306" s="938"/>
      <c r="AJ306" s="1196"/>
      <c r="AK306" s="938"/>
      <c r="AL306" s="938"/>
      <c r="AM306" s="938"/>
      <c r="AN306" s="938"/>
      <c r="AO306" s="1196"/>
      <c r="AP306" s="938"/>
      <c r="AQ306" s="938"/>
      <c r="AR306" s="938"/>
      <c r="AS306" s="938"/>
      <c r="AT306" s="1196"/>
      <c r="AU306" s="938"/>
      <c r="AV306" s="938"/>
      <c r="AW306" s="938"/>
      <c r="AX306" s="938"/>
      <c r="AY306" s="1196"/>
      <c r="AZ306" s="938"/>
      <c r="BA306" s="938"/>
      <c r="BB306" s="938"/>
      <c r="BC306" s="938"/>
      <c r="BD306" s="1196"/>
      <c r="BE306" s="938"/>
      <c r="BF306" s="938"/>
      <c r="BG306" s="938"/>
      <c r="BH306" s="938"/>
      <c r="BI306" s="1196"/>
      <c r="BJ306" s="938"/>
      <c r="BK306" s="938"/>
      <c r="BL306" s="938"/>
      <c r="BM306" s="938"/>
      <c r="BN306" s="1196">
        <f>-1.013-45.424</f>
        <v>-46.436999999999998</v>
      </c>
      <c r="BO306" s="938"/>
      <c r="BP306" s="938"/>
      <c r="BQ306" s="938"/>
      <c r="BR306" s="938"/>
      <c r="BS306" s="1196">
        <f>-3.71-56.874</f>
        <v>-60.584000000000003</v>
      </c>
      <c r="BT306" s="938"/>
      <c r="BU306" s="938"/>
      <c r="BV306" s="938"/>
      <c r="BW306" s="938"/>
      <c r="BX306" s="1196">
        <f>-6.188-36.923</f>
        <v>-43.111000000000004</v>
      </c>
      <c r="BY306" s="938"/>
      <c r="BZ306" s="938"/>
      <c r="CA306" s="938"/>
      <c r="CB306" s="938"/>
      <c r="CC306" s="1196">
        <f>-15.736+-5.744</f>
        <v>-21.48</v>
      </c>
      <c r="CD306" s="938"/>
      <c r="CE306" s="938"/>
      <c r="CF306" s="938"/>
      <c r="CG306" s="938"/>
      <c r="CH306" s="1196">
        <f>-37.107+-3.078</f>
        <v>-40.185000000000002</v>
      </c>
      <c r="CI306" s="938"/>
      <c r="CJ306" s="938"/>
      <c r="CK306" s="938"/>
      <c r="CL306" s="938"/>
      <c r="CM306" s="1196">
        <v>-115.41</v>
      </c>
      <c r="CN306" s="938"/>
      <c r="CO306" s="938"/>
      <c r="CP306" s="938"/>
      <c r="CQ306" s="938"/>
      <c r="CR306" s="1196">
        <v>-13.891999999999999</v>
      </c>
      <c r="CS306" s="938"/>
      <c r="CT306" s="938"/>
      <c r="CU306" s="938"/>
      <c r="CV306" s="938"/>
      <c r="CW306" s="1196">
        <v>-374.57400000000001</v>
      </c>
      <c r="CX306" s="938"/>
      <c r="CY306" s="938"/>
      <c r="CZ306" s="938"/>
      <c r="DA306" s="938"/>
      <c r="DB306" s="1196">
        <v>-235.52199999999999</v>
      </c>
      <c r="DC306" s="938"/>
      <c r="DD306" s="938"/>
      <c r="DE306" s="938"/>
      <c r="DF306" s="938"/>
      <c r="DG306" s="1196">
        <v>-279.89400000000001</v>
      </c>
      <c r="DH306" s="938"/>
      <c r="DI306" s="938"/>
      <c r="DJ306" s="938"/>
      <c r="DK306" s="938"/>
      <c r="DL306" s="1196">
        <v>-438.43599999999998</v>
      </c>
      <c r="DM306" s="938"/>
      <c r="DN306" s="938"/>
      <c r="DO306" s="938"/>
      <c r="DP306" s="938"/>
      <c r="DQ306" s="1196">
        <v>-456.46100000000001</v>
      </c>
      <c r="DR306" s="938">
        <v>-452.91899999999998</v>
      </c>
      <c r="DS306" s="938">
        <v>-450.09899999999999</v>
      </c>
      <c r="DT306" s="938"/>
      <c r="DU306" s="938"/>
      <c r="DV306" s="1196">
        <v>-269.53100000000001</v>
      </c>
      <c r="DW306" s="938"/>
      <c r="DX306" s="938"/>
      <c r="DY306" s="938"/>
      <c r="DZ306" s="938"/>
      <c r="EA306" s="1196">
        <v>-354.40899999999999</v>
      </c>
      <c r="EB306" s="938"/>
      <c r="EC306" s="938"/>
      <c r="ED306" s="1423"/>
      <c r="EE306" s="1423"/>
      <c r="EF306" s="1427">
        <v>-328.86521151173747</v>
      </c>
      <c r="EG306" s="1423"/>
      <c r="EH306" s="1423"/>
      <c r="EI306" s="1423"/>
      <c r="EJ306" s="1423"/>
      <c r="EK306" s="1427">
        <v>-321.4421987521232</v>
      </c>
      <c r="EL306" s="1423"/>
      <c r="EM306" s="1423"/>
      <c r="EN306" s="1423"/>
      <c r="EO306" s="1423"/>
      <c r="EP306" s="1427">
        <v>-299.32273647319363</v>
      </c>
      <c r="EQ306" s="1423"/>
      <c r="ER306" s="1423"/>
      <c r="ES306" s="1423"/>
      <c r="ET306" s="1423"/>
      <c r="EU306" s="1427">
        <v>-299.32273647319363</v>
      </c>
      <c r="EV306" s="1423"/>
      <c r="EW306" s="1423"/>
      <c r="EX306" s="1423"/>
      <c r="EY306" s="1423"/>
      <c r="EZ306" s="1427">
        <v>-299.32273647319363</v>
      </c>
      <c r="FA306" s="1423"/>
      <c r="FB306" s="1423"/>
      <c r="FC306" s="1423"/>
      <c r="FD306" s="1423"/>
      <c r="FE306" s="1427">
        <v>-299.32273647319363</v>
      </c>
      <c r="FF306" s="778"/>
      <c r="FG306" s="690"/>
      <c r="FH306" s="754"/>
      <c r="FI306" s="754"/>
      <c r="FJ306" s="754"/>
      <c r="FK306" s="754"/>
      <c r="FL306" s="690"/>
      <c r="FM306" s="940"/>
      <c r="FN306" s="940"/>
      <c r="FO306" s="719"/>
      <c r="FP306" s="719"/>
      <c r="FQ306" s="719"/>
      <c r="FR306" s="719"/>
      <c r="FS306" s="719"/>
      <c r="FT306" s="719"/>
      <c r="FU306" s="690"/>
      <c r="FV306"/>
      <c r="FW306"/>
      <c r="FX306"/>
      <c r="FY306"/>
      <c r="FZ306"/>
      <c r="GA306"/>
      <c r="GB306" s="1650"/>
      <c r="GC306" s="1426"/>
      <c r="GD306" s="1426"/>
      <c r="GE306" s="1426"/>
      <c r="GF306" s="1426"/>
      <c r="GG306" s="1426"/>
      <c r="GH306" s="1426"/>
      <c r="GI306" s="1426"/>
      <c r="GJ306" s="1426"/>
      <c r="GK306" s="1426"/>
      <c r="GL306" s="1426"/>
      <c r="GM306" s="1426"/>
      <c r="GN306" s="1426"/>
      <c r="GO306" s="1426"/>
      <c r="GP306" s="1426"/>
      <c r="GQ306" s="1426"/>
      <c r="GR306" s="1426"/>
      <c r="GS306" s="1426"/>
      <c r="GT306" s="1426"/>
      <c r="GU306" s="1426"/>
      <c r="GV306" s="1426"/>
      <c r="GW306" s="1426"/>
      <c r="GX306" s="1426"/>
      <c r="GY306" s="1426"/>
      <c r="GZ306" s="1426"/>
      <c r="HA306" s="1426"/>
      <c r="HB306" s="1426"/>
      <c r="HC306" s="1426"/>
      <c r="HD306" s="1426"/>
      <c r="HE306" s="1426"/>
      <c r="HF306" s="1426"/>
      <c r="HG306" s="1426"/>
      <c r="HH306" s="1426"/>
      <c r="HI306" s="1426"/>
      <c r="HJ306" s="1426"/>
      <c r="HK306" s="1426"/>
      <c r="HL306" s="1426"/>
      <c r="HM306" s="1426"/>
      <c r="HN306" s="1426"/>
      <c r="HO306" s="1426"/>
      <c r="HP306" s="1426"/>
      <c r="HQ306" s="1426"/>
      <c r="HR306" s="1426"/>
      <c r="HS306" s="1426"/>
      <c r="HT306" s="1426"/>
      <c r="HU306" s="1426"/>
      <c r="HV306" s="1426"/>
      <c r="HW306" s="1426"/>
      <c r="HX306" s="1426"/>
      <c r="HY306" s="1426"/>
      <c r="HZ306" s="1426"/>
      <c r="IA306" s="1426"/>
      <c r="IB306" s="1426"/>
      <c r="IC306" s="1426"/>
      <c r="ID306" s="1426"/>
      <c r="IE306" s="1426"/>
      <c r="IF306" s="1426"/>
      <c r="IG306" s="1426"/>
      <c r="IH306" s="1426"/>
      <c r="II306" s="1426"/>
      <c r="IJ306" s="1426"/>
      <c r="IK306" s="1426"/>
      <c r="IL306" s="1426"/>
      <c r="IM306" s="1426"/>
      <c r="IN306" s="1426"/>
      <c r="IO306" s="1426"/>
      <c r="IP306" s="1426"/>
      <c r="IQ306" s="1426"/>
      <c r="IR306" s="1426"/>
      <c r="IS306" s="1426"/>
      <c r="IT306" s="1426"/>
      <c r="IU306" s="1426"/>
      <c r="IV306" s="1426"/>
      <c r="IW306" s="1426"/>
      <c r="IX306" s="1426"/>
      <c r="IY306" s="1426"/>
      <c r="IZ306" s="1426"/>
      <c r="JA306" s="1426"/>
      <c r="JB306" s="1426"/>
      <c r="JC306" s="1426"/>
      <c r="JD306" s="1426"/>
      <c r="JE306" s="1426"/>
      <c r="JF306" s="1426"/>
      <c r="JG306" s="1426"/>
      <c r="JH306" s="1426"/>
      <c r="JI306" s="1426"/>
      <c r="JJ306" s="1426"/>
      <c r="JK306" s="1426"/>
      <c r="JL306" s="1426"/>
    </row>
    <row r="307" spans="1:272" s="1399" customFormat="1" ht="12.75" hidden="1" customHeight="1" outlineLevel="1">
      <c r="A307" s="965" t="s">
        <v>460</v>
      </c>
      <c r="B307" s="1684"/>
      <c r="C307" s="1685"/>
      <c r="D307" s="1685"/>
      <c r="E307" s="1685"/>
      <c r="F307" s="1298"/>
      <c r="G307" s="1685"/>
      <c r="H307" s="1685"/>
      <c r="I307" s="1685"/>
      <c r="J307" s="1685"/>
      <c r="K307" s="1298"/>
      <c r="L307" s="1685"/>
      <c r="M307" s="1685"/>
      <c r="N307" s="1685"/>
      <c r="O307" s="1685"/>
      <c r="P307" s="1298"/>
      <c r="Q307" s="1685"/>
      <c r="R307" s="1685"/>
      <c r="S307" s="1685"/>
      <c r="T307" s="1685"/>
      <c r="U307" s="1298"/>
      <c r="V307" s="1685"/>
      <c r="W307" s="1685"/>
      <c r="X307" s="1685"/>
      <c r="Y307" s="1685"/>
      <c r="Z307" s="1298"/>
      <c r="AA307" s="1685"/>
      <c r="AB307" s="1685"/>
      <c r="AC307" s="1685"/>
      <c r="AD307" s="1685"/>
      <c r="AE307" s="1298"/>
      <c r="AF307" s="780"/>
      <c r="AG307" s="780"/>
      <c r="AH307" s="780"/>
      <c r="AI307" s="780"/>
      <c r="AJ307" s="1298"/>
      <c r="AK307" s="780"/>
      <c r="AL307" s="780"/>
      <c r="AM307" s="780"/>
      <c r="AN307" s="780"/>
      <c r="AO307" s="1298"/>
      <c r="AP307" s="780"/>
      <c r="AQ307" s="1686"/>
      <c r="AR307" s="1686"/>
      <c r="AS307" s="780"/>
      <c r="AT307" s="1298"/>
      <c r="AU307" s="780"/>
      <c r="AV307" s="1686"/>
      <c r="AW307" s="780"/>
      <c r="AX307" s="780"/>
      <c r="AY307" s="1298"/>
      <c r="AZ307" s="780"/>
      <c r="BA307" s="1686"/>
      <c r="BB307" s="780"/>
      <c r="BC307" s="780"/>
      <c r="BD307" s="1298"/>
      <c r="BE307" s="780"/>
      <c r="BF307" s="1686"/>
      <c r="BG307" s="780"/>
      <c r="BH307" s="780"/>
      <c r="BI307" s="1298"/>
      <c r="BJ307" s="780"/>
      <c r="BK307" s="1686"/>
      <c r="BL307" s="780"/>
      <c r="BM307" s="780"/>
      <c r="BN307" s="1298">
        <f>SUM(BN301:BN306)</f>
        <v>763.08699999999999</v>
      </c>
      <c r="BO307" s="780"/>
      <c r="BP307" s="1686"/>
      <c r="BQ307" s="780"/>
      <c r="BR307" s="780"/>
      <c r="BS307" s="1298">
        <f>SUM(BS301:BS306)</f>
        <v>842.99800000000005</v>
      </c>
      <c r="BT307" s="780"/>
      <c r="BU307" s="1686"/>
      <c r="BV307" s="780"/>
      <c r="BW307" s="780"/>
      <c r="BX307" s="1298">
        <f>SUM(BX301:BX306)</f>
        <v>818.80799999999999</v>
      </c>
      <c r="BY307" s="780"/>
      <c r="BZ307" s="1686"/>
      <c r="CA307" s="780"/>
      <c r="CB307" s="780"/>
      <c r="CC307" s="1298">
        <f>SUM(CC301:CC306)</f>
        <v>777.36699999999996</v>
      </c>
      <c r="CD307" s="780"/>
      <c r="CE307" s="780"/>
      <c r="CF307" s="780"/>
      <c r="CG307" s="780"/>
      <c r="CH307" s="1298">
        <f>SUM(CH301:CH306)</f>
        <v>910.91800000000012</v>
      </c>
      <c r="CI307" s="780"/>
      <c r="CJ307" s="780"/>
      <c r="CK307" s="780"/>
      <c r="CL307" s="780"/>
      <c r="CM307" s="1298">
        <f>SUM(CM301:CM306)</f>
        <v>740.779</v>
      </c>
      <c r="CN307" s="780"/>
      <c r="CO307" s="780"/>
      <c r="CP307" s="780"/>
      <c r="CQ307" s="780"/>
      <c r="CR307" s="1298">
        <f>SUM(CR301:CR306)</f>
        <v>909.09600000000012</v>
      </c>
      <c r="CS307" s="780"/>
      <c r="CT307" s="780"/>
      <c r="CU307" s="780"/>
      <c r="CV307" s="780"/>
      <c r="CW307" s="1298">
        <f>SUM(CW301:CW306)</f>
        <v>625.59199999999987</v>
      </c>
      <c r="CX307" s="780"/>
      <c r="CY307" s="780"/>
      <c r="CZ307" s="780"/>
      <c r="DA307" s="780"/>
      <c r="DB307" s="1298">
        <f>SUM(DB301:DB306)</f>
        <v>686.72899999999981</v>
      </c>
      <c r="DC307" s="780"/>
      <c r="DD307" s="780"/>
      <c r="DE307" s="780"/>
      <c r="DF307" s="780"/>
      <c r="DG307" s="1298">
        <f>SUM(DG301:DG306)</f>
        <v>819.53200000000015</v>
      </c>
      <c r="DH307" s="780"/>
      <c r="DI307" s="780"/>
      <c r="DJ307" s="780"/>
      <c r="DK307" s="780"/>
      <c r="DL307" s="1298">
        <f>SUM(DL301:DL306)</f>
        <v>759.25400000000013</v>
      </c>
      <c r="DM307" s="780">
        <v>785.279</v>
      </c>
      <c r="DN307" s="780">
        <v>822.91099999999994</v>
      </c>
      <c r="DO307" s="780">
        <v>850.38699999999994</v>
      </c>
      <c r="DP307" s="780">
        <f>+DQ307</f>
        <v>838.38499999999999</v>
      </c>
      <c r="DQ307" s="1298">
        <f>SUM(DQ301:DQ306)</f>
        <v>838.38499999999999</v>
      </c>
      <c r="DR307" s="780">
        <v>858.37300000000005</v>
      </c>
      <c r="DS307" s="780">
        <v>899.73699999999997</v>
      </c>
      <c r="DT307" s="780">
        <v>943.95399999999995</v>
      </c>
      <c r="DU307" s="780">
        <f>+DV307</f>
        <v>1138.6890000000001</v>
      </c>
      <c r="DV307" s="1298">
        <f>SUM(DV301:DV306)</f>
        <v>1138.6890000000001</v>
      </c>
      <c r="DW307" s="780">
        <v>1149.116</v>
      </c>
      <c r="DX307" s="780">
        <v>1210.5940000000001</v>
      </c>
      <c r="DY307" s="780">
        <v>1264.0309999999999</v>
      </c>
      <c r="DZ307" s="780">
        <f>+EA307</f>
        <v>1195.8379999999997</v>
      </c>
      <c r="EA307" s="1298">
        <f>SUM(EA301:EA306)</f>
        <v>1195.8379999999997</v>
      </c>
      <c r="EB307" s="780">
        <v>1192.289</v>
      </c>
      <c r="EC307" s="780"/>
      <c r="ED307" s="780"/>
      <c r="EE307" s="780"/>
      <c r="EF307" s="1298">
        <f>SUM(EF301:EF306)</f>
        <v>1311.0129698955566</v>
      </c>
      <c r="EG307" s="780"/>
      <c r="EH307" s="780"/>
      <c r="EI307" s="780"/>
      <c r="EJ307" s="780"/>
      <c r="EK307" s="1298">
        <f>SUM(EK301:EK306)</f>
        <v>1466.7943504590039</v>
      </c>
      <c r="EL307" s="780"/>
      <c r="EM307" s="780"/>
      <c r="EN307" s="780"/>
      <c r="EO307" s="780"/>
      <c r="EP307" s="1298">
        <f>SUM(EP301:EP306)</f>
        <v>1664.5090807872855</v>
      </c>
      <c r="EQ307" s="780"/>
      <c r="ER307" s="780"/>
      <c r="ES307" s="780"/>
      <c r="ET307" s="780"/>
      <c r="EU307" s="1298">
        <f>SUM(EU301:EU306)</f>
        <v>1874.6584947328467</v>
      </c>
      <c r="EV307" s="780"/>
      <c r="EW307" s="780"/>
      <c r="EX307" s="780"/>
      <c r="EY307" s="780"/>
      <c r="EZ307" s="1298">
        <f>SUM(EZ301:EZ306)</f>
        <v>2105.0066236898806</v>
      </c>
      <c r="FA307" s="780"/>
      <c r="FB307" s="780"/>
      <c r="FC307" s="780"/>
      <c r="FD307" s="780"/>
      <c r="FE307" s="1298">
        <f>SUM(FE301:FE306)</f>
        <v>2356.3894070014621</v>
      </c>
      <c r="FF307" s="778"/>
      <c r="FG307" s="690"/>
      <c r="FH307" s="754"/>
      <c r="FI307" s="754"/>
      <c r="FJ307" s="754"/>
      <c r="FK307" s="754"/>
      <c r="FL307" s="690"/>
      <c r="FM307" s="940"/>
      <c r="FN307" s="940"/>
      <c r="FO307" s="719"/>
      <c r="FP307" s="719"/>
      <c r="FQ307" s="719"/>
      <c r="FR307" s="719"/>
      <c r="FS307" s="719"/>
      <c r="FT307" s="719"/>
      <c r="FU307" s="690"/>
      <c r="FV307"/>
      <c r="FW307"/>
      <c r="FX307"/>
      <c r="FY307"/>
      <c r="FZ307"/>
      <c r="GA307"/>
      <c r="GB307" s="943"/>
      <c r="GC307" s="965"/>
      <c r="GD307" s="965"/>
      <c r="GE307" s="965"/>
      <c r="GF307" s="965"/>
      <c r="GG307" s="965"/>
      <c r="GH307" s="965"/>
      <c r="GI307" s="965"/>
      <c r="GJ307" s="965"/>
      <c r="GK307" s="965"/>
      <c r="GL307" s="965"/>
      <c r="GM307" s="965"/>
      <c r="GN307" s="965"/>
      <c r="GO307" s="965"/>
      <c r="GP307" s="965"/>
      <c r="GQ307" s="965"/>
      <c r="GR307" s="965"/>
      <c r="GS307" s="965"/>
      <c r="GT307" s="965"/>
      <c r="GU307" s="965"/>
      <c r="GV307" s="965"/>
      <c r="GW307" s="965"/>
      <c r="GX307" s="965"/>
      <c r="GY307" s="965"/>
      <c r="GZ307" s="965"/>
      <c r="HA307" s="965"/>
      <c r="HB307" s="965"/>
      <c r="HC307" s="965"/>
      <c r="HD307" s="965"/>
      <c r="HE307" s="965"/>
      <c r="HF307" s="965"/>
      <c r="HG307" s="965"/>
      <c r="HH307" s="965"/>
      <c r="HI307" s="965"/>
      <c r="HJ307" s="965"/>
      <c r="HK307" s="965"/>
      <c r="HL307" s="965"/>
      <c r="HM307" s="965"/>
      <c r="HN307" s="965"/>
      <c r="HO307" s="965"/>
      <c r="HP307" s="965"/>
      <c r="HQ307" s="965"/>
      <c r="HR307" s="965"/>
      <c r="HS307" s="965"/>
      <c r="HT307" s="965"/>
      <c r="HU307" s="965"/>
      <c r="HV307" s="965"/>
      <c r="HW307" s="965"/>
      <c r="HX307" s="965"/>
      <c r="HY307" s="965"/>
      <c r="HZ307" s="965"/>
      <c r="IA307" s="965"/>
      <c r="IB307" s="965"/>
      <c r="IC307" s="965"/>
      <c r="ID307" s="965"/>
      <c r="IE307" s="965"/>
      <c r="IF307" s="965"/>
      <c r="IG307" s="965"/>
      <c r="IH307" s="965"/>
      <c r="II307" s="965"/>
      <c r="IJ307" s="965"/>
      <c r="IK307" s="965"/>
      <c r="IL307" s="965"/>
      <c r="IM307" s="965"/>
      <c r="IN307" s="965"/>
      <c r="IO307" s="965"/>
      <c r="IP307" s="965"/>
      <c r="IQ307" s="965"/>
      <c r="IR307" s="965"/>
      <c r="IS307" s="965"/>
      <c r="IT307" s="965"/>
      <c r="IU307" s="965"/>
      <c r="IV307" s="965"/>
      <c r="IW307" s="965"/>
      <c r="IX307" s="965"/>
      <c r="IY307" s="965"/>
      <c r="IZ307" s="965"/>
      <c r="JA307" s="965"/>
      <c r="JB307" s="965"/>
      <c r="JC307" s="965"/>
      <c r="JD307" s="965"/>
      <c r="JE307" s="965"/>
      <c r="JF307" s="965"/>
      <c r="JG307" s="965"/>
      <c r="JH307" s="965"/>
      <c r="JI307" s="965"/>
      <c r="JJ307" s="965"/>
      <c r="JK307" s="965"/>
      <c r="JL307" s="965"/>
    </row>
    <row r="308" spans="1:272" s="1399" customFormat="1" ht="12.75" hidden="1" customHeight="1" outlineLevel="1">
      <c r="A308" s="965" t="s">
        <v>461</v>
      </c>
      <c r="B308" s="1684"/>
      <c r="C308" s="1685"/>
      <c r="D308" s="1685"/>
      <c r="E308" s="1685"/>
      <c r="F308" s="1298"/>
      <c r="G308" s="1685"/>
      <c r="H308" s="1685"/>
      <c r="I308" s="1685"/>
      <c r="J308" s="1685"/>
      <c r="K308" s="1298"/>
      <c r="L308" s="1685"/>
      <c r="M308" s="1685"/>
      <c r="N308" s="1685"/>
      <c r="O308" s="1685"/>
      <c r="P308" s="1298"/>
      <c r="Q308" s="1685"/>
      <c r="R308" s="1685"/>
      <c r="S308" s="1685"/>
      <c r="T308" s="1685"/>
      <c r="U308" s="1298"/>
      <c r="V308" s="1685"/>
      <c r="W308" s="1685"/>
      <c r="X308" s="1685"/>
      <c r="Y308" s="1685"/>
      <c r="Z308" s="1298"/>
      <c r="AA308" s="1685"/>
      <c r="AB308" s="1685"/>
      <c r="AC308" s="1685"/>
      <c r="AD308" s="1685"/>
      <c r="AE308" s="1298"/>
      <c r="AF308" s="780"/>
      <c r="AG308" s="780"/>
      <c r="AH308" s="780"/>
      <c r="AI308" s="780"/>
      <c r="AJ308" s="1298"/>
      <c r="AK308" s="780"/>
      <c r="AL308" s="780"/>
      <c r="AM308" s="780"/>
      <c r="AN308" s="780"/>
      <c r="AO308" s="1298"/>
      <c r="AP308" s="780"/>
      <c r="AQ308" s="1686"/>
      <c r="AR308" s="1686"/>
      <c r="AS308" s="780"/>
      <c r="AT308" s="1298"/>
      <c r="AU308" s="780"/>
      <c r="AV308" s="1686"/>
      <c r="AW308" s="780"/>
      <c r="AX308" s="780"/>
      <c r="AY308" s="1298"/>
      <c r="AZ308" s="780"/>
      <c r="BA308" s="1686"/>
      <c r="BB308" s="780"/>
      <c r="BC308" s="780"/>
      <c r="BD308" s="1298"/>
      <c r="BE308" s="780"/>
      <c r="BF308" s="1686"/>
      <c r="BG308" s="780"/>
      <c r="BH308" s="780"/>
      <c r="BI308" s="1298"/>
      <c r="BJ308" s="780"/>
      <c r="BK308" s="1686"/>
      <c r="BL308" s="780"/>
      <c r="BM308" s="780"/>
      <c r="BN308" s="1298">
        <f>BN299+BN307</f>
        <v>2990.02</v>
      </c>
      <c r="BO308" s="780"/>
      <c r="BP308" s="1686"/>
      <c r="BQ308" s="780"/>
      <c r="BR308" s="780"/>
      <c r="BS308" s="1298">
        <f>BS299+BS307</f>
        <v>2739.761</v>
      </c>
      <c r="BT308" s="780"/>
      <c r="BU308" s="1686"/>
      <c r="BV308" s="780"/>
      <c r="BW308" s="780"/>
      <c r="BX308" s="1298">
        <f>BX299+BX307</f>
        <v>2773.6400000000003</v>
      </c>
      <c r="BY308" s="780"/>
      <c r="BZ308" s="1686"/>
      <c r="CA308" s="780"/>
      <c r="CB308" s="780"/>
      <c r="CC308" s="1298">
        <f>CC299+CC307</f>
        <v>2496.4009999999998</v>
      </c>
      <c r="CD308" s="780"/>
      <c r="CE308" s="780"/>
      <c r="CF308" s="780"/>
      <c r="CG308" s="780"/>
      <c r="CH308" s="1298">
        <f>CH299+CH307</f>
        <v>2480.5720000000001</v>
      </c>
      <c r="CI308" s="780"/>
      <c r="CJ308" s="780"/>
      <c r="CK308" s="780"/>
      <c r="CL308" s="780"/>
      <c r="CM308" s="1298">
        <f>CM299+CM307</f>
        <v>2301.8890000000001</v>
      </c>
      <c r="CN308" s="780"/>
      <c r="CO308" s="780"/>
      <c r="CP308" s="780"/>
      <c r="CQ308" s="780"/>
      <c r="CR308" s="1298">
        <f>CR299+CR307</f>
        <v>3009.308</v>
      </c>
      <c r="CS308" s="780"/>
      <c r="CT308" s="780"/>
      <c r="CU308" s="780"/>
      <c r="CV308" s="780"/>
      <c r="CW308" s="1298">
        <f>CW299+CW307</f>
        <v>3071.7069999999994</v>
      </c>
      <c r="CX308" s="780"/>
      <c r="CY308" s="780"/>
      <c r="CZ308" s="780"/>
      <c r="DA308" s="780"/>
      <c r="DB308" s="1298">
        <f>DB299+DB307</f>
        <v>2896.2169999999996</v>
      </c>
      <c r="DC308" s="780"/>
      <c r="DD308" s="780"/>
      <c r="DE308" s="780"/>
      <c r="DF308" s="780"/>
      <c r="DG308" s="1298">
        <f>DG299+DG307</f>
        <v>2943.732</v>
      </c>
      <c r="DH308" s="780"/>
      <c r="DI308" s="780"/>
      <c r="DJ308" s="780"/>
      <c r="DK308" s="780"/>
      <c r="DL308" s="1298">
        <f>DL299+DL307</f>
        <v>3100.0160000000005</v>
      </c>
      <c r="DM308" s="780">
        <f>DM299+DM307</f>
        <v>3172.9279999999999</v>
      </c>
      <c r="DN308" s="780">
        <f>DN299+DN307</f>
        <v>3218.6610000000001</v>
      </c>
      <c r="DO308" s="780">
        <f>DO299+DO307</f>
        <v>3161.12</v>
      </c>
      <c r="DP308" s="780">
        <f>+DQ308</f>
        <v>3141.4639999999999</v>
      </c>
      <c r="DQ308" s="1298">
        <f>DQ299+DQ307</f>
        <v>3141.4639999999999</v>
      </c>
      <c r="DR308" s="780">
        <v>3173.0419999999999</v>
      </c>
      <c r="DS308" s="780">
        <v>3183.741</v>
      </c>
      <c r="DT308" s="780">
        <f>DT299+DT307</f>
        <v>3241.2159999999994</v>
      </c>
      <c r="DU308" s="780">
        <f>+DV308</f>
        <v>3279.9310000000005</v>
      </c>
      <c r="DV308" s="1298">
        <f>DV299+DV307</f>
        <v>3279.9310000000005</v>
      </c>
      <c r="DW308" s="780">
        <f>DW299+DW307</f>
        <v>3284.1329999999998</v>
      </c>
      <c r="DX308" s="780">
        <f>DX299+DX307</f>
        <v>3390.2159999999999</v>
      </c>
      <c r="DY308" s="780">
        <f>DY299+DY307</f>
        <v>3357.8429999999998</v>
      </c>
      <c r="DZ308" s="780">
        <f>+EA308</f>
        <v>3335.6179999999999</v>
      </c>
      <c r="EA308" s="1298">
        <f>EA299+EA307</f>
        <v>3335.6179999999999</v>
      </c>
      <c r="EB308" s="780">
        <f>EB299+EB307</f>
        <v>3361.9719999999998</v>
      </c>
      <c r="EC308" s="780"/>
      <c r="ED308" s="780"/>
      <c r="EE308" s="780"/>
      <c r="EF308" s="1298">
        <f>EF299+EF307</f>
        <v>3347.0045368542187</v>
      </c>
      <c r="EG308" s="780"/>
      <c r="EH308" s="780"/>
      <c r="EI308" s="780"/>
      <c r="EJ308" s="780"/>
      <c r="EK308" s="1298">
        <f>EK299+EK307</f>
        <v>3049.7366519060852</v>
      </c>
      <c r="EL308" s="780"/>
      <c r="EM308" s="780"/>
      <c r="EN308" s="780"/>
      <c r="EO308" s="780"/>
      <c r="EP308" s="1298">
        <f>EP299+EP307</f>
        <v>3264.9228615110769</v>
      </c>
      <c r="EQ308" s="780"/>
      <c r="ER308" s="780"/>
      <c r="ES308" s="780"/>
      <c r="ET308" s="780"/>
      <c r="EU308" s="1298">
        <f>EU299+EU307</f>
        <v>3522.7289719638266</v>
      </c>
      <c r="EV308" s="780"/>
      <c r="EW308" s="780"/>
      <c r="EX308" s="780"/>
      <c r="EY308" s="780"/>
      <c r="EZ308" s="1298">
        <f>EZ299+EZ307</f>
        <v>3811.0049386033688</v>
      </c>
      <c r="FA308" s="780"/>
      <c r="FB308" s="780"/>
      <c r="FC308" s="780"/>
      <c r="FD308" s="780"/>
      <c r="FE308" s="1298">
        <f>FE299+FE307</f>
        <v>4123.298422381009</v>
      </c>
      <c r="FF308" s="778"/>
      <c r="FG308" s="690"/>
      <c r="FH308" s="754"/>
      <c r="FI308" s="754"/>
      <c r="FJ308" s="754"/>
      <c r="FK308" s="754"/>
      <c r="FL308" s="690"/>
      <c r="FM308" s="940"/>
      <c r="FN308" s="940"/>
      <c r="FO308" s="719"/>
      <c r="FP308" s="719"/>
      <c r="FQ308" s="719"/>
      <c r="FR308" s="719"/>
      <c r="FS308" s="719"/>
      <c r="FT308" s="719"/>
      <c r="FU308" s="690"/>
      <c r="FV308"/>
      <c r="FW308"/>
      <c r="FX308"/>
      <c r="FY308"/>
      <c r="FZ308"/>
      <c r="GA308"/>
      <c r="GB308" s="943"/>
      <c r="GC308" s="965"/>
      <c r="GD308" s="965"/>
      <c r="GE308" s="965"/>
      <c r="GF308" s="965"/>
      <c r="GG308" s="965"/>
      <c r="GH308" s="965"/>
      <c r="GI308" s="965"/>
      <c r="GJ308" s="965"/>
      <c r="GK308" s="965"/>
      <c r="GL308" s="965"/>
      <c r="GM308" s="965"/>
      <c r="GN308" s="965"/>
      <c r="GO308" s="965"/>
      <c r="GP308" s="965"/>
      <c r="GQ308" s="965"/>
      <c r="GR308" s="965"/>
      <c r="GS308" s="965"/>
      <c r="GT308" s="965"/>
      <c r="GU308" s="965"/>
      <c r="GV308" s="965"/>
      <c r="GW308" s="965"/>
      <c r="GX308" s="965"/>
      <c r="GY308" s="965"/>
      <c r="GZ308" s="965"/>
      <c r="HA308" s="965"/>
      <c r="HB308" s="965"/>
      <c r="HC308" s="965"/>
      <c r="HD308" s="965"/>
      <c r="HE308" s="965"/>
      <c r="HF308" s="965"/>
      <c r="HG308" s="965"/>
      <c r="HH308" s="965"/>
      <c r="HI308" s="965"/>
      <c r="HJ308" s="965"/>
      <c r="HK308" s="965"/>
      <c r="HL308" s="965"/>
      <c r="HM308" s="965"/>
      <c r="HN308" s="965"/>
      <c r="HO308" s="965"/>
      <c r="HP308" s="965"/>
      <c r="HQ308" s="965"/>
      <c r="HR308" s="965"/>
      <c r="HS308" s="965"/>
      <c r="HT308" s="965"/>
      <c r="HU308" s="965"/>
      <c r="HV308" s="965"/>
      <c r="HW308" s="965"/>
      <c r="HX308" s="965"/>
      <c r="HY308" s="965"/>
      <c r="HZ308" s="965"/>
      <c r="IA308" s="965"/>
      <c r="IB308" s="965"/>
      <c r="IC308" s="965"/>
      <c r="ID308" s="965"/>
      <c r="IE308" s="965"/>
      <c r="IF308" s="965"/>
      <c r="IG308" s="965"/>
      <c r="IH308" s="965"/>
      <c r="II308" s="965"/>
      <c r="IJ308" s="965"/>
      <c r="IK308" s="965"/>
      <c r="IL308" s="965"/>
      <c r="IM308" s="965"/>
      <c r="IN308" s="965"/>
      <c r="IO308" s="965"/>
      <c r="IP308" s="965"/>
      <c r="IQ308" s="965"/>
      <c r="IR308" s="965"/>
      <c r="IS308" s="965"/>
      <c r="IT308" s="965"/>
      <c r="IU308" s="965"/>
      <c r="IV308" s="965"/>
      <c r="IW308" s="965"/>
      <c r="IX308" s="965"/>
      <c r="IY308" s="965"/>
      <c r="IZ308" s="965"/>
      <c r="JA308" s="965"/>
      <c r="JB308" s="965"/>
      <c r="JC308" s="965"/>
      <c r="JD308" s="965"/>
      <c r="JE308" s="965"/>
      <c r="JF308" s="965"/>
      <c r="JG308" s="965"/>
      <c r="JH308" s="965"/>
      <c r="JI308" s="965"/>
      <c r="JJ308" s="965"/>
      <c r="JK308" s="965"/>
      <c r="JL308" s="965"/>
    </row>
    <row r="309" spans="1:272" s="1694" customFormat="1" ht="12.75" hidden="1" customHeight="1" outlineLevel="1">
      <c r="A309" s="1687" t="s">
        <v>462</v>
      </c>
      <c r="B309" s="1688"/>
      <c r="C309" s="1688"/>
      <c r="D309" s="1688"/>
      <c r="E309" s="1688"/>
      <c r="F309" s="1689"/>
      <c r="G309" s="1688"/>
      <c r="H309" s="1688"/>
      <c r="I309" s="1688"/>
      <c r="J309" s="1688"/>
      <c r="K309" s="1689"/>
      <c r="L309" s="1688"/>
      <c r="M309" s="1688"/>
      <c r="N309" s="1688"/>
      <c r="O309" s="1688"/>
      <c r="P309" s="1689"/>
      <c r="Q309" s="1688"/>
      <c r="R309" s="1688"/>
      <c r="S309" s="1688"/>
      <c r="T309" s="1688"/>
      <c r="U309" s="1689"/>
      <c r="V309" s="1688"/>
      <c r="W309" s="1688"/>
      <c r="X309" s="1688"/>
      <c r="Y309" s="1688"/>
      <c r="Z309" s="1689"/>
      <c r="AA309" s="1688"/>
      <c r="AB309" s="1688"/>
      <c r="AC309" s="1688"/>
      <c r="AD309" s="1688"/>
      <c r="AE309" s="1689"/>
      <c r="AF309" s="1688"/>
      <c r="AG309" s="1688"/>
      <c r="AH309" s="1688"/>
      <c r="AI309" s="1688"/>
      <c r="AJ309" s="1689"/>
      <c r="AK309" s="1688"/>
      <c r="AL309" s="1688"/>
      <c r="AM309" s="1688"/>
      <c r="AN309" s="1688"/>
      <c r="AO309" s="1689"/>
      <c r="AP309" s="1688"/>
      <c r="AQ309" s="1688"/>
      <c r="AR309" s="1688"/>
      <c r="AS309" s="1688"/>
      <c r="AT309" s="1689"/>
      <c r="AU309" s="1688"/>
      <c r="AV309" s="1688"/>
      <c r="AW309" s="1688"/>
      <c r="AX309" s="1688"/>
      <c r="AY309" s="1689"/>
      <c r="AZ309" s="1688"/>
      <c r="BA309" s="1688"/>
      <c r="BB309" s="1688"/>
      <c r="BC309" s="1688"/>
      <c r="BD309" s="1689"/>
      <c r="BE309" s="1688"/>
      <c r="BF309" s="1688"/>
      <c r="BG309" s="1688"/>
      <c r="BH309" s="1688"/>
      <c r="BI309" s="1689"/>
      <c r="BJ309" s="1688"/>
      <c r="BK309" s="1688"/>
      <c r="BL309" s="1688"/>
      <c r="BM309" s="1688"/>
      <c r="BN309" s="1689">
        <f>BN308-BN287</f>
        <v>0</v>
      </c>
      <c r="BO309" s="1688"/>
      <c r="BP309" s="1688"/>
      <c r="BQ309" s="1688"/>
      <c r="BR309" s="1688"/>
      <c r="BS309" s="1689">
        <f>BS308-BS287</f>
        <v>0</v>
      </c>
      <c r="BT309" s="1690"/>
      <c r="BU309" s="1690"/>
      <c r="BV309" s="1690"/>
      <c r="BW309" s="1690"/>
      <c r="BX309" s="1689">
        <f>BX308-BX287</f>
        <v>0</v>
      </c>
      <c r="BY309" s="1691"/>
      <c r="BZ309" s="1691"/>
      <c r="CA309" s="1691"/>
      <c r="CB309" s="1691"/>
      <c r="CC309" s="1689">
        <f>CC308-CC287</f>
        <v>0</v>
      </c>
      <c r="CD309" s="1691"/>
      <c r="CE309" s="1691"/>
      <c r="CF309" s="1691"/>
      <c r="CG309" s="1691"/>
      <c r="CH309" s="1689">
        <f>CH308-CH287</f>
        <v>0</v>
      </c>
      <c r="CI309" s="1691"/>
      <c r="CJ309" s="1691"/>
      <c r="CK309" s="1691"/>
      <c r="CL309" s="1691"/>
      <c r="CM309" s="1689">
        <f>CM308-CM287</f>
        <v>0</v>
      </c>
      <c r="CN309" s="1691"/>
      <c r="CO309" s="1691"/>
      <c r="CP309" s="1691"/>
      <c r="CQ309" s="1691"/>
      <c r="CR309" s="1689">
        <f>CR308-CR287</f>
        <v>0</v>
      </c>
      <c r="CS309" s="1691"/>
      <c r="CT309" s="1691"/>
      <c r="CU309" s="1691"/>
      <c r="CV309" s="1691"/>
      <c r="CW309" s="1689">
        <f>CW308-CW287</f>
        <v>0</v>
      </c>
      <c r="CX309" s="1691"/>
      <c r="CY309" s="1691"/>
      <c r="CZ309" s="1691"/>
      <c r="DA309" s="1691"/>
      <c r="DB309" s="1689">
        <f>DB308-DB287</f>
        <v>0</v>
      </c>
      <c r="DC309" s="1691"/>
      <c r="DD309" s="1691"/>
      <c r="DE309" s="1691"/>
      <c r="DF309" s="1691"/>
      <c r="DG309" s="1689">
        <f>DG308-DG287</f>
        <v>0</v>
      </c>
      <c r="DH309" s="1691"/>
      <c r="DI309" s="1691"/>
      <c r="DJ309" s="1691"/>
      <c r="DK309" s="1691"/>
      <c r="DL309" s="1689">
        <f t="shared" ref="DL309:EB309" si="589">DL308-DL287</f>
        <v>0</v>
      </c>
      <c r="DM309" s="1691">
        <f t="shared" si="589"/>
        <v>0</v>
      </c>
      <c r="DN309" s="1691">
        <f t="shared" si="589"/>
        <v>0</v>
      </c>
      <c r="DO309" s="1691">
        <f t="shared" si="589"/>
        <v>0</v>
      </c>
      <c r="DP309" s="1691">
        <f t="shared" si="589"/>
        <v>0</v>
      </c>
      <c r="DQ309" s="1689">
        <f t="shared" si="589"/>
        <v>0</v>
      </c>
      <c r="DR309" s="1691">
        <f t="shared" si="589"/>
        <v>0</v>
      </c>
      <c r="DS309" s="1691">
        <f t="shared" si="589"/>
        <v>0</v>
      </c>
      <c r="DT309" s="1691">
        <f t="shared" si="589"/>
        <v>0</v>
      </c>
      <c r="DU309" s="1691">
        <f t="shared" si="589"/>
        <v>0</v>
      </c>
      <c r="DV309" s="1689">
        <f t="shared" si="589"/>
        <v>0</v>
      </c>
      <c r="DW309" s="1691">
        <f t="shared" si="589"/>
        <v>0</v>
      </c>
      <c r="DX309" s="1691">
        <f t="shared" si="589"/>
        <v>0</v>
      </c>
      <c r="DY309" s="1691">
        <f t="shared" si="589"/>
        <v>0</v>
      </c>
      <c r="DZ309" s="1691">
        <f t="shared" si="589"/>
        <v>0</v>
      </c>
      <c r="EA309" s="1689">
        <f t="shared" si="589"/>
        <v>0</v>
      </c>
      <c r="EB309" s="1691">
        <f t="shared" si="589"/>
        <v>0</v>
      </c>
      <c r="EC309" s="1691"/>
      <c r="ED309" s="1691"/>
      <c r="EE309" s="1691"/>
      <c r="EF309" s="1689">
        <f>EF308-EF287</f>
        <v>0</v>
      </c>
      <c r="EG309" s="1691"/>
      <c r="EH309" s="1691"/>
      <c r="EI309" s="1691"/>
      <c r="EJ309" s="1691"/>
      <c r="EK309" s="1689">
        <f>EK308-EK287</f>
        <v>0</v>
      </c>
      <c r="EL309" s="1691"/>
      <c r="EM309" s="1691"/>
      <c r="EN309" s="1691"/>
      <c r="EO309" s="1691"/>
      <c r="EP309" s="1689">
        <f>EP308-EP287</f>
        <v>0</v>
      </c>
      <c r="EQ309" s="1691"/>
      <c r="ER309" s="1691"/>
      <c r="ES309" s="1691"/>
      <c r="ET309" s="1691"/>
      <c r="EU309" s="1689">
        <f>EU308-EU287</f>
        <v>-2.7825766940541143</v>
      </c>
      <c r="EV309" s="1691"/>
      <c r="EW309" s="1691"/>
      <c r="EX309" s="1691"/>
      <c r="EY309" s="1691"/>
      <c r="EZ309" s="1689">
        <f>EZ308-EZ287</f>
        <v>-5.5651533881082287</v>
      </c>
      <c r="FA309" s="1691"/>
      <c r="FB309" s="1691"/>
      <c r="FC309" s="1691"/>
      <c r="FD309" s="1691"/>
      <c r="FE309" s="1689">
        <f>FE308-FE287</f>
        <v>-8.347730082162343</v>
      </c>
      <c r="FF309" s="1692"/>
      <c r="FG309" s="690"/>
      <c r="FH309" s="754"/>
      <c r="FI309" s="754"/>
      <c r="FJ309" s="754"/>
      <c r="FK309" s="754"/>
      <c r="FL309" s="690"/>
      <c r="FM309" s="747"/>
      <c r="FN309" s="747"/>
      <c r="FO309" s="1693"/>
      <c r="FP309" s="1693"/>
      <c r="FQ309" s="1693"/>
      <c r="FR309" s="1693"/>
      <c r="FS309" s="1693"/>
      <c r="FT309" s="1693"/>
      <c r="FU309" s="690"/>
      <c r="FV309"/>
      <c r="FW309"/>
      <c r="FX309"/>
      <c r="FY309"/>
      <c r="FZ309"/>
      <c r="GA309"/>
      <c r="GB309" s="1695"/>
      <c r="GC309" s="1696"/>
      <c r="GD309" s="1696"/>
      <c r="GE309" s="1696"/>
      <c r="GF309" s="1696"/>
      <c r="GG309" s="1696"/>
      <c r="GH309" s="1696"/>
      <c r="GI309" s="1696"/>
      <c r="GJ309" s="1696"/>
      <c r="GK309" s="1696"/>
      <c r="GL309" s="1696"/>
      <c r="GM309" s="1696"/>
      <c r="GN309" s="1696"/>
      <c r="GO309" s="1696"/>
      <c r="GP309" s="1696"/>
      <c r="GQ309" s="1696"/>
      <c r="GR309" s="1696"/>
      <c r="GS309" s="1696"/>
      <c r="GT309" s="1696"/>
      <c r="GU309" s="1696"/>
      <c r="GV309" s="1696"/>
      <c r="GW309" s="1696"/>
      <c r="GX309" s="1696"/>
      <c r="GY309" s="1696"/>
      <c r="GZ309" s="1696"/>
      <c r="HA309" s="1696"/>
      <c r="HB309" s="1696"/>
      <c r="HC309" s="1696"/>
      <c r="HD309" s="1696"/>
      <c r="HE309" s="1696"/>
      <c r="HF309" s="1696"/>
      <c r="HG309" s="1696"/>
      <c r="HH309" s="1696"/>
      <c r="HI309" s="1696"/>
      <c r="HJ309" s="1696"/>
      <c r="HK309" s="1696"/>
      <c r="HL309" s="1696"/>
      <c r="HM309" s="1696"/>
      <c r="HN309" s="1696"/>
      <c r="HO309" s="1696"/>
      <c r="HP309" s="1696"/>
      <c r="HQ309" s="1696"/>
      <c r="HR309" s="1696"/>
      <c r="HS309" s="1696"/>
      <c r="HT309" s="1696"/>
      <c r="HU309" s="1696"/>
      <c r="HV309" s="1696"/>
      <c r="HW309" s="1696"/>
      <c r="HX309" s="1696"/>
      <c r="HY309" s="1696"/>
      <c r="HZ309" s="1696"/>
      <c r="IA309" s="1696"/>
      <c r="IB309" s="1696"/>
      <c r="IC309" s="1696"/>
      <c r="ID309" s="1696"/>
      <c r="IE309" s="1696"/>
      <c r="IF309" s="1696"/>
      <c r="IG309" s="1696"/>
      <c r="IH309" s="1696"/>
      <c r="II309" s="1696"/>
      <c r="IJ309" s="1696"/>
      <c r="IK309" s="1696"/>
      <c r="IL309" s="1696"/>
      <c r="IM309" s="1696"/>
      <c r="IN309" s="1696"/>
      <c r="IO309" s="1696"/>
      <c r="IP309" s="1696"/>
      <c r="IQ309" s="1696"/>
      <c r="IR309" s="1696"/>
      <c r="IS309" s="1696"/>
      <c r="IT309" s="1696"/>
      <c r="IU309" s="1696"/>
      <c r="IV309" s="1696"/>
      <c r="IW309" s="1696"/>
      <c r="IX309" s="1696"/>
      <c r="IY309" s="1696"/>
      <c r="IZ309" s="1696"/>
      <c r="JA309" s="1696"/>
      <c r="JB309" s="1696"/>
      <c r="JC309" s="1696"/>
      <c r="JD309" s="1696"/>
      <c r="JE309" s="1696"/>
      <c r="JF309" s="1696"/>
      <c r="JG309" s="1696"/>
      <c r="JH309" s="1696"/>
      <c r="JI309" s="1696"/>
      <c r="JJ309" s="1696"/>
      <c r="JK309" s="1696"/>
      <c r="JL309" s="1696"/>
    </row>
    <row r="310" spans="1:272" s="1694" customFormat="1" ht="12.75" hidden="1" customHeight="1" outlineLevel="1">
      <c r="A310" s="1687"/>
      <c r="B310" s="1688"/>
      <c r="C310" s="1688"/>
      <c r="D310" s="1688"/>
      <c r="E310" s="1688"/>
      <c r="F310" s="1689"/>
      <c r="G310" s="1688"/>
      <c r="H310" s="1688"/>
      <c r="I310" s="1688"/>
      <c r="J310" s="1688"/>
      <c r="K310" s="1689"/>
      <c r="L310" s="1688"/>
      <c r="M310" s="1688"/>
      <c r="N310" s="1688"/>
      <c r="O310" s="1688"/>
      <c r="P310" s="1689"/>
      <c r="Q310" s="1688"/>
      <c r="R310" s="1688"/>
      <c r="S310" s="1688"/>
      <c r="T310" s="1688"/>
      <c r="U310" s="1689"/>
      <c r="V310" s="1688"/>
      <c r="W310" s="1688"/>
      <c r="X310" s="1688"/>
      <c r="Y310" s="1688"/>
      <c r="Z310" s="1689"/>
      <c r="AA310" s="1688"/>
      <c r="AB310" s="1688"/>
      <c r="AC310" s="1688"/>
      <c r="AD310" s="1688"/>
      <c r="AE310" s="1689"/>
      <c r="AF310" s="1688"/>
      <c r="AG310" s="1688"/>
      <c r="AH310" s="1688"/>
      <c r="AI310" s="1688"/>
      <c r="AJ310" s="1689"/>
      <c r="AK310" s="1688"/>
      <c r="AL310" s="1688"/>
      <c r="AM310" s="1688"/>
      <c r="AN310" s="1688"/>
      <c r="AO310" s="1689"/>
      <c r="AP310" s="1688"/>
      <c r="AQ310" s="1688"/>
      <c r="AR310" s="1688"/>
      <c r="AS310" s="1688"/>
      <c r="AT310" s="1689"/>
      <c r="AU310" s="1688"/>
      <c r="AV310" s="1688"/>
      <c r="AW310" s="1688"/>
      <c r="AX310" s="1688"/>
      <c r="AY310" s="1689"/>
      <c r="AZ310" s="1688"/>
      <c r="BA310" s="1688"/>
      <c r="BB310" s="1688"/>
      <c r="BC310" s="1688"/>
      <c r="BD310" s="1689"/>
      <c r="BE310" s="1688"/>
      <c r="BF310" s="1688"/>
      <c r="BG310" s="1688"/>
      <c r="BH310" s="1688"/>
      <c r="BI310" s="1689"/>
      <c r="BJ310" s="1688"/>
      <c r="BK310" s="1688"/>
      <c r="BL310" s="1688"/>
      <c r="BM310" s="1688"/>
      <c r="BN310" s="1689"/>
      <c r="BO310" s="1688"/>
      <c r="BP310" s="1688"/>
      <c r="BQ310" s="1688"/>
      <c r="BR310" s="1688"/>
      <c r="BS310" s="1689"/>
      <c r="BT310" s="1690"/>
      <c r="BU310" s="1690"/>
      <c r="BV310" s="1690"/>
      <c r="BW310" s="1690"/>
      <c r="BX310" s="1689"/>
      <c r="BY310" s="1691"/>
      <c r="BZ310" s="1691"/>
      <c r="CA310" s="1691"/>
      <c r="CB310" s="1691"/>
      <c r="CC310" s="1689"/>
      <c r="CD310" s="1691"/>
      <c r="CE310" s="1691"/>
      <c r="CF310" s="1691"/>
      <c r="CG310" s="1691"/>
      <c r="CH310" s="1689"/>
      <c r="CI310" s="1691"/>
      <c r="CJ310" s="1691"/>
      <c r="CK310" s="1691"/>
      <c r="CL310" s="1691"/>
      <c r="CM310" s="1689"/>
      <c r="CN310" s="1691"/>
      <c r="CO310" s="1691"/>
      <c r="CP310" s="1691"/>
      <c r="CQ310" s="1691"/>
      <c r="CR310" s="1689"/>
      <c r="CS310" s="1691"/>
      <c r="CT310" s="1691"/>
      <c r="CU310" s="1691"/>
      <c r="CV310" s="1691"/>
      <c r="CW310" s="1689"/>
      <c r="CX310" s="1691"/>
      <c r="CY310" s="1691"/>
      <c r="CZ310" s="1691"/>
      <c r="DA310" s="1691"/>
      <c r="DB310" s="1689"/>
      <c r="DC310" s="1691"/>
      <c r="DD310" s="1691"/>
      <c r="DE310" s="1691"/>
      <c r="DF310" s="1691"/>
      <c r="DG310" s="1689"/>
      <c r="DH310" s="1691"/>
      <c r="DI310" s="1691"/>
      <c r="DJ310" s="1691"/>
      <c r="DK310" s="1691"/>
      <c r="DL310" s="1689"/>
      <c r="DM310" s="1691"/>
      <c r="DN310" s="1691"/>
      <c r="DO310" s="1691"/>
      <c r="DP310" s="1691"/>
      <c r="DQ310" s="1689"/>
      <c r="DR310" s="1691"/>
      <c r="DS310" s="1691"/>
      <c r="DT310" s="1691"/>
      <c r="DU310" s="1691"/>
      <c r="DV310" s="1689"/>
      <c r="DW310" s="1691"/>
      <c r="DX310" s="1691"/>
      <c r="DY310" s="1691"/>
      <c r="DZ310" s="1691"/>
      <c r="EA310" s="1689"/>
      <c r="EB310" s="1691"/>
      <c r="EC310" s="1691"/>
      <c r="ED310" s="1691"/>
      <c r="EE310" s="1691"/>
      <c r="EF310" s="1689"/>
      <c r="EG310" s="1691"/>
      <c r="EH310" s="1691"/>
      <c r="EI310" s="1691"/>
      <c r="EJ310" s="1691"/>
      <c r="EK310" s="1689"/>
      <c r="EL310" s="1691"/>
      <c r="EM310" s="1691"/>
      <c r="EN310" s="1691"/>
      <c r="EO310" s="1691"/>
      <c r="EP310" s="1689"/>
      <c r="EQ310" s="1691"/>
      <c r="ER310" s="1691"/>
      <c r="ES310" s="1691"/>
      <c r="ET310" s="1691"/>
      <c r="EU310" s="1689"/>
      <c r="EV310" s="1691"/>
      <c r="EW310" s="1691"/>
      <c r="EX310" s="1691"/>
      <c r="EY310" s="1691"/>
      <c r="EZ310" s="1689"/>
      <c r="FA310" s="1691"/>
      <c r="FB310" s="1691"/>
      <c r="FC310" s="1691"/>
      <c r="FD310" s="1691"/>
      <c r="FE310" s="1689"/>
      <c r="FF310" s="1692"/>
      <c r="FG310" s="690"/>
      <c r="FH310" s="754"/>
      <c r="FI310" s="754"/>
      <c r="FJ310" s="754"/>
      <c r="FK310" s="754"/>
      <c r="FL310" s="690"/>
      <c r="FM310" s="747"/>
      <c r="FN310" s="747"/>
      <c r="FO310" s="1693"/>
      <c r="FP310" s="1693"/>
      <c r="FQ310" s="1693"/>
      <c r="FR310" s="1693"/>
      <c r="FS310" s="1693"/>
      <c r="FT310" s="1693"/>
      <c r="FU310" s="690"/>
      <c r="FV310"/>
      <c r="FW310"/>
      <c r="FX310"/>
      <c r="FY310"/>
      <c r="FZ310"/>
      <c r="GA310"/>
      <c r="GB310" s="1695"/>
      <c r="GC310" s="1696"/>
      <c r="GD310" s="1696"/>
      <c r="GE310" s="1696"/>
      <c r="GF310" s="1696"/>
      <c r="GG310" s="1696"/>
      <c r="GH310" s="1696"/>
      <c r="GI310" s="1696"/>
      <c r="GJ310" s="1696"/>
      <c r="GK310" s="1696"/>
      <c r="GL310" s="1696"/>
      <c r="GM310" s="1696"/>
      <c r="GN310" s="1696"/>
      <c r="GO310" s="1696"/>
      <c r="GP310" s="1696"/>
      <c r="GQ310" s="1696"/>
      <c r="GR310" s="1696"/>
      <c r="GS310" s="1696"/>
      <c r="GT310" s="1696"/>
      <c r="GU310" s="1696"/>
      <c r="GV310" s="1696"/>
      <c r="GW310" s="1696"/>
      <c r="GX310" s="1696"/>
      <c r="GY310" s="1696"/>
      <c r="GZ310" s="1696"/>
      <c r="HA310" s="1696"/>
      <c r="HB310" s="1696"/>
      <c r="HC310" s="1696"/>
      <c r="HD310" s="1696"/>
      <c r="HE310" s="1696"/>
      <c r="HF310" s="1696"/>
      <c r="HG310" s="1696"/>
      <c r="HH310" s="1696"/>
      <c r="HI310" s="1696"/>
      <c r="HJ310" s="1696"/>
      <c r="HK310" s="1696"/>
      <c r="HL310" s="1696"/>
      <c r="HM310" s="1696"/>
      <c r="HN310" s="1696"/>
      <c r="HO310" s="1696"/>
      <c r="HP310" s="1696"/>
      <c r="HQ310" s="1696"/>
      <c r="HR310" s="1696"/>
      <c r="HS310" s="1696"/>
      <c r="HT310" s="1696"/>
      <c r="HU310" s="1696"/>
      <c r="HV310" s="1696"/>
      <c r="HW310" s="1696"/>
      <c r="HX310" s="1696"/>
      <c r="HY310" s="1696"/>
      <c r="HZ310" s="1696"/>
      <c r="IA310" s="1696"/>
      <c r="IB310" s="1696"/>
      <c r="IC310" s="1696"/>
      <c r="ID310" s="1696"/>
      <c r="IE310" s="1696"/>
      <c r="IF310" s="1696"/>
      <c r="IG310" s="1696"/>
      <c r="IH310" s="1696"/>
      <c r="II310" s="1696"/>
      <c r="IJ310" s="1696"/>
      <c r="IK310" s="1696"/>
      <c r="IL310" s="1696"/>
      <c r="IM310" s="1696"/>
      <c r="IN310" s="1696"/>
      <c r="IO310" s="1696"/>
      <c r="IP310" s="1696"/>
      <c r="IQ310" s="1696"/>
      <c r="IR310" s="1696"/>
      <c r="IS310" s="1696"/>
      <c r="IT310" s="1696"/>
      <c r="IU310" s="1696"/>
      <c r="IV310" s="1696"/>
      <c r="IW310" s="1696"/>
      <c r="IX310" s="1696"/>
      <c r="IY310" s="1696"/>
      <c r="IZ310" s="1696"/>
      <c r="JA310" s="1696"/>
      <c r="JB310" s="1696"/>
      <c r="JC310" s="1696"/>
      <c r="JD310" s="1696"/>
      <c r="JE310" s="1696"/>
      <c r="JF310" s="1696"/>
      <c r="JG310" s="1696"/>
      <c r="JH310" s="1696"/>
      <c r="JI310" s="1696"/>
      <c r="JJ310" s="1696"/>
      <c r="JK310" s="1696"/>
      <c r="JL310" s="1696"/>
    </row>
    <row r="311" spans="1:272" s="942" customFormat="1" ht="12.75" hidden="1" customHeight="1" outlineLevel="1">
      <c r="A311" s="1071" t="s">
        <v>162</v>
      </c>
      <c r="B311" s="938"/>
      <c r="C311" s="938"/>
      <c r="D311" s="938"/>
      <c r="E311" s="938"/>
      <c r="F311" s="1196"/>
      <c r="G311" s="938"/>
      <c r="H311" s="938"/>
      <c r="I311" s="938"/>
      <c r="J311" s="938"/>
      <c r="K311" s="1196"/>
      <c r="L311" s="938"/>
      <c r="M311" s="938"/>
      <c r="N311" s="938"/>
      <c r="O311" s="938"/>
      <c r="P311" s="1196"/>
      <c r="Q311" s="938"/>
      <c r="R311" s="938"/>
      <c r="S311" s="938"/>
      <c r="T311" s="938"/>
      <c r="U311" s="1196"/>
      <c r="V311" s="938"/>
      <c r="W311" s="938"/>
      <c r="X311" s="938"/>
      <c r="Y311" s="938"/>
      <c r="Z311" s="1196"/>
      <c r="AA311" s="938"/>
      <c r="AB311" s="938"/>
      <c r="AC311" s="938"/>
      <c r="AD311" s="938"/>
      <c r="AE311" s="1196"/>
      <c r="AF311" s="938"/>
      <c r="AG311" s="938"/>
      <c r="AH311" s="938"/>
      <c r="AI311" s="938"/>
      <c r="AJ311" s="1196"/>
      <c r="AK311" s="938"/>
      <c r="AL311" s="938"/>
      <c r="AM311" s="938"/>
      <c r="AN311" s="938"/>
      <c r="AO311" s="1196"/>
      <c r="AP311" s="938"/>
      <c r="AQ311" s="938"/>
      <c r="AR311" s="938"/>
      <c r="AS311" s="938"/>
      <c r="AT311" s="1196"/>
      <c r="AU311" s="938"/>
      <c r="AV311" s="938"/>
      <c r="AW311" s="938"/>
      <c r="AX311" s="938"/>
      <c r="AY311" s="1196"/>
      <c r="AZ311" s="938"/>
      <c r="BA311" s="938"/>
      <c r="BB311" s="938"/>
      <c r="BC311" s="938"/>
      <c r="BD311" s="1196"/>
      <c r="BE311" s="938"/>
      <c r="BF311" s="938"/>
      <c r="BG311" s="938"/>
      <c r="BH311" s="938"/>
      <c r="BI311" s="1196"/>
      <c r="BJ311" s="938"/>
      <c r="BK311" s="938"/>
      <c r="BL311" s="938"/>
      <c r="BM311" s="938"/>
      <c r="BN311" s="1196"/>
      <c r="BO311" s="938"/>
      <c r="BP311" s="938"/>
      <c r="BQ311" s="938"/>
      <c r="BR311" s="938"/>
      <c r="BS311" s="1196">
        <f>BS204*(1-BS220)</f>
        <v>80.823825263648558</v>
      </c>
      <c r="BT311" s="938"/>
      <c r="BU311" s="938"/>
      <c r="BV311" s="938"/>
      <c r="BW311" s="938"/>
      <c r="BX311" s="1196">
        <f>BX204*(1-BX220)</f>
        <v>131.11148951087824</v>
      </c>
      <c r="BY311" s="938"/>
      <c r="BZ311" s="938"/>
      <c r="CA311" s="938"/>
      <c r="CB311" s="938"/>
      <c r="CC311" s="1196">
        <f>CC204*(1-CC220)</f>
        <v>167.9972452223945</v>
      </c>
      <c r="CD311" s="938"/>
      <c r="CE311" s="938"/>
      <c r="CF311" s="938"/>
      <c r="CG311" s="938"/>
      <c r="CH311" s="1196">
        <f>CH204*(1-CH220)</f>
        <v>242.5293871822814</v>
      </c>
      <c r="CI311" s="938"/>
      <c r="CJ311" s="938"/>
      <c r="CK311" s="938"/>
      <c r="CL311" s="938"/>
      <c r="CM311" s="1196">
        <f>CM204*(1-CM220)</f>
        <v>291.53573731167234</v>
      </c>
      <c r="CN311" s="938"/>
      <c r="CO311" s="938"/>
      <c r="CP311" s="938"/>
      <c r="CQ311" s="938"/>
      <c r="CR311" s="1196">
        <f>CR204*(1-CR220)</f>
        <v>166.44785336417524</v>
      </c>
      <c r="CS311" s="938"/>
      <c r="CT311" s="938"/>
      <c r="CU311" s="938"/>
      <c r="CV311" s="938"/>
      <c r="CW311" s="1196">
        <f>CW204*(1-CW220)</f>
        <v>93.404901576524978</v>
      </c>
      <c r="CX311" s="938"/>
      <c r="CY311" s="938"/>
      <c r="CZ311" s="938"/>
      <c r="DA311" s="938"/>
      <c r="DB311" s="1196">
        <f>DB204*(1-DB220)</f>
        <v>71.739698552466038</v>
      </c>
      <c r="DC311" s="938"/>
      <c r="DD311" s="938"/>
      <c r="DE311" s="938"/>
      <c r="DF311" s="938"/>
      <c r="DG311" s="1196">
        <f>DG204*(1-DG220)</f>
        <v>60.06360088210274</v>
      </c>
      <c r="DH311" s="938"/>
      <c r="DI311" s="938"/>
      <c r="DJ311" s="938"/>
      <c r="DK311" s="938"/>
      <c r="DL311" s="1196">
        <f>DL204*(1-DL220)</f>
        <v>124.16085711802536</v>
      </c>
      <c r="DM311" s="938"/>
      <c r="DN311" s="938"/>
      <c r="DO311" s="938"/>
      <c r="DP311" s="938"/>
      <c r="DQ311" s="1196">
        <f>DQ204*(1-DQ220)</f>
        <v>138.03610677013162</v>
      </c>
      <c r="DR311" s="938"/>
      <c r="DS311" s="938"/>
      <c r="DT311" s="938"/>
      <c r="DU311" s="938"/>
      <c r="DV311" s="1196">
        <f>DV204*(1-DV220)</f>
        <v>128.87501035484527</v>
      </c>
      <c r="DW311" s="938"/>
      <c r="DX311" s="938"/>
      <c r="DY311" s="938"/>
      <c r="DZ311" s="938"/>
      <c r="EA311" s="1196">
        <f>EA204*(1-EA220)</f>
        <v>169.29260500592022</v>
      </c>
      <c r="EB311" s="938"/>
      <c r="EC311" s="938"/>
      <c r="ED311" s="938"/>
      <c r="EE311" s="938"/>
      <c r="EF311" s="1196">
        <f>EF204*(1-EF220)</f>
        <v>180.67591641073849</v>
      </c>
      <c r="EG311" s="938"/>
      <c r="EH311" s="938"/>
      <c r="EI311" s="938"/>
      <c r="EJ311" s="938"/>
      <c r="EK311" s="1196">
        <f>EK204*(1-EK220)</f>
        <v>268.812786278175</v>
      </c>
      <c r="EL311" s="938"/>
      <c r="EM311" s="938"/>
      <c r="EN311" s="938"/>
      <c r="EO311" s="938"/>
      <c r="EP311" s="1196">
        <f>EP204*(1-EP220)</f>
        <v>311.03874462846011</v>
      </c>
      <c r="EQ311" s="938"/>
      <c r="ER311" s="938"/>
      <c r="ES311" s="938"/>
      <c r="ET311" s="938"/>
      <c r="EU311" s="1196">
        <f>EU204*(1-EU220)</f>
        <v>362.09666038128051</v>
      </c>
      <c r="EV311" s="938"/>
      <c r="EW311" s="938"/>
      <c r="EX311" s="938"/>
      <c r="EY311" s="938"/>
      <c r="EZ311" s="1196">
        <f>EZ204*(1-EZ220)</f>
        <v>392.05673768887777</v>
      </c>
      <c r="FA311" s="938"/>
      <c r="FB311" s="938"/>
      <c r="FC311" s="938"/>
      <c r="FD311" s="938"/>
      <c r="FE311" s="1196">
        <f>FE204*(1-FE220)</f>
        <v>423.18438657372712</v>
      </c>
      <c r="FF311" s="778"/>
      <c r="FG311" s="690"/>
      <c r="FH311" s="754"/>
      <c r="FI311" s="754"/>
      <c r="FJ311" s="754"/>
      <c r="FK311" s="754"/>
      <c r="FL311" s="690"/>
      <c r="FM311" s="940"/>
      <c r="FN311" s="940"/>
      <c r="FO311" s="719"/>
      <c r="FP311" s="719"/>
      <c r="FQ311" s="719"/>
      <c r="FR311" s="719"/>
      <c r="FS311" s="719"/>
      <c r="FT311" s="719"/>
      <c r="FU311" s="690"/>
      <c r="FV311"/>
      <c r="FW311"/>
      <c r="FX311"/>
      <c r="FY311"/>
      <c r="FZ311"/>
      <c r="GA311"/>
      <c r="GB311" s="1650"/>
      <c r="GC311" s="1426"/>
      <c r="GD311" s="1426"/>
      <c r="GE311" s="1426"/>
      <c r="GF311" s="1426"/>
      <c r="GG311" s="1426"/>
      <c r="GH311" s="1426"/>
      <c r="GI311" s="1426"/>
      <c r="GJ311" s="1426"/>
      <c r="GK311" s="1426"/>
      <c r="GL311" s="1426"/>
      <c r="GM311" s="1426"/>
      <c r="GN311" s="1426"/>
      <c r="GO311" s="1426"/>
      <c r="GP311" s="1426"/>
      <c r="GQ311" s="1426"/>
      <c r="GR311" s="1426"/>
      <c r="GS311" s="1426"/>
      <c r="GT311" s="1426"/>
      <c r="GU311" s="1426"/>
      <c r="GV311" s="1426"/>
      <c r="GW311" s="1426"/>
      <c r="GX311" s="1426"/>
      <c r="GY311" s="1426"/>
      <c r="GZ311" s="1426"/>
      <c r="HA311" s="1426"/>
      <c r="HB311" s="1426"/>
      <c r="HC311" s="1426"/>
      <c r="HD311" s="1426"/>
      <c r="HE311" s="1426"/>
      <c r="HF311" s="1426"/>
      <c r="HG311" s="1426"/>
      <c r="HH311" s="1426"/>
      <c r="HI311" s="1426"/>
      <c r="HJ311" s="1426"/>
      <c r="HK311" s="1426"/>
      <c r="HL311" s="1426"/>
      <c r="HM311" s="1426"/>
      <c r="HN311" s="1426"/>
      <c r="HO311" s="1426"/>
      <c r="HP311" s="1426"/>
      <c r="HQ311" s="1426"/>
      <c r="HR311" s="1426"/>
      <c r="HS311" s="1426"/>
      <c r="HT311" s="1426"/>
      <c r="HU311" s="1426"/>
      <c r="HV311" s="1426"/>
      <c r="HW311" s="1426"/>
      <c r="HX311" s="1426"/>
      <c r="HY311" s="1426"/>
      <c r="HZ311" s="1426"/>
      <c r="IA311" s="1426"/>
      <c r="IB311" s="1426"/>
      <c r="IC311" s="1426"/>
      <c r="ID311" s="1426"/>
      <c r="IE311" s="1426"/>
      <c r="IF311" s="1426"/>
      <c r="IG311" s="1426"/>
      <c r="IH311" s="1426"/>
      <c r="II311" s="1426"/>
      <c r="IJ311" s="1426"/>
      <c r="IK311" s="1426"/>
      <c r="IL311" s="1426"/>
      <c r="IM311" s="1426"/>
      <c r="IN311" s="1426"/>
      <c r="IO311" s="1426"/>
      <c r="IP311" s="1426"/>
      <c r="IQ311" s="1426"/>
      <c r="IR311" s="1426"/>
      <c r="IS311" s="1426"/>
      <c r="IT311" s="1426"/>
      <c r="IU311" s="1426"/>
      <c r="IV311" s="1426"/>
      <c r="IW311" s="1426"/>
      <c r="IX311" s="1426"/>
      <c r="IY311" s="1426"/>
      <c r="IZ311" s="1426"/>
      <c r="JA311" s="1426"/>
      <c r="JB311" s="1426"/>
      <c r="JC311" s="1426"/>
      <c r="JD311" s="1426"/>
      <c r="JE311" s="1426"/>
      <c r="JF311" s="1426"/>
      <c r="JG311" s="1426"/>
      <c r="JH311" s="1426"/>
      <c r="JI311" s="1426"/>
      <c r="JJ311" s="1426"/>
      <c r="JK311" s="1426"/>
      <c r="JL311" s="1426"/>
    </row>
    <row r="312" spans="1:272" s="942" customFormat="1" ht="12.75" hidden="1" customHeight="1" outlineLevel="1">
      <c r="A312" s="1071" t="s">
        <v>463</v>
      </c>
      <c r="B312" s="938"/>
      <c r="C312" s="938"/>
      <c r="D312" s="938"/>
      <c r="E312" s="938"/>
      <c r="F312" s="1196"/>
      <c r="G312" s="938"/>
      <c r="H312" s="938"/>
      <c r="I312" s="938"/>
      <c r="J312" s="938"/>
      <c r="K312" s="1196"/>
      <c r="L312" s="938"/>
      <c r="M312" s="938"/>
      <c r="N312" s="938"/>
      <c r="O312" s="938"/>
      <c r="P312" s="1196"/>
      <c r="Q312" s="938"/>
      <c r="R312" s="938"/>
      <c r="S312" s="938"/>
      <c r="T312" s="938"/>
      <c r="U312" s="1196"/>
      <c r="V312" s="938"/>
      <c r="W312" s="938"/>
      <c r="X312" s="938"/>
      <c r="Y312" s="938"/>
      <c r="Z312" s="1196"/>
      <c r="AA312" s="938"/>
      <c r="AB312" s="938"/>
      <c r="AC312" s="938"/>
      <c r="AD312" s="938"/>
      <c r="AE312" s="1196"/>
      <c r="AF312" s="938"/>
      <c r="AG312" s="938"/>
      <c r="AH312" s="938"/>
      <c r="AI312" s="938"/>
      <c r="AJ312" s="1196"/>
      <c r="AK312" s="938"/>
      <c r="AL312" s="938"/>
      <c r="AM312" s="938"/>
      <c r="AN312" s="938"/>
      <c r="AO312" s="1196"/>
      <c r="AP312" s="938"/>
      <c r="AQ312" s="938"/>
      <c r="AR312" s="938"/>
      <c r="AS312" s="938"/>
      <c r="AT312" s="1196"/>
      <c r="AU312" s="938"/>
      <c r="AV312" s="938"/>
      <c r="AW312" s="938"/>
      <c r="AX312" s="938"/>
      <c r="AY312" s="1196"/>
      <c r="AZ312" s="938"/>
      <c r="BA312" s="938"/>
      <c r="BB312" s="938"/>
      <c r="BC312" s="938"/>
      <c r="BD312" s="1196"/>
      <c r="BE312" s="938"/>
      <c r="BF312" s="938"/>
      <c r="BG312" s="938"/>
      <c r="BH312" s="938"/>
      <c r="BI312" s="1196"/>
      <c r="BJ312" s="938"/>
      <c r="BK312" s="938"/>
      <c r="BL312" s="938"/>
      <c r="BM312" s="938"/>
      <c r="BN312" s="1196"/>
      <c r="BO312" s="938"/>
      <c r="BP312" s="938"/>
      <c r="BQ312" s="938"/>
      <c r="BR312" s="938"/>
      <c r="BS312" s="1196">
        <f>AVERAGE((BS289+BS295+BS296+BS307-BS278),(BN289+BN295+BN296+BN307-BN278))</f>
        <v>1326.3510000000001</v>
      </c>
      <c r="BT312" s="938"/>
      <c r="BU312" s="938"/>
      <c r="BV312" s="938"/>
      <c r="BW312" s="938"/>
      <c r="BX312" s="1196">
        <f>AVERAGE((BX289+BX295+BX296+BX307-BX278),(BS289+BS295+BS296+BS307-BS278))</f>
        <v>1531.69</v>
      </c>
      <c r="BY312" s="938"/>
      <c r="BZ312" s="938"/>
      <c r="CA312" s="938"/>
      <c r="CB312" s="938"/>
      <c r="CC312" s="1196">
        <f>AVERAGE((CC289+CC295+CC296+CC307-CC278),(BX289+BX295+BX296+BX307-BX278))</f>
        <v>1508.4380000000001</v>
      </c>
      <c r="CD312" s="938"/>
      <c r="CE312" s="938"/>
      <c r="CF312" s="938"/>
      <c r="CG312" s="938"/>
      <c r="CH312" s="1196">
        <f>AVERAGE((CH289+CH295+CH296+CH307-CH278),(CC289+CC295+CC296+CC307-CC278))</f>
        <v>1298.2495000000001</v>
      </c>
      <c r="CI312" s="938"/>
      <c r="CJ312" s="938"/>
      <c r="CK312" s="938"/>
      <c r="CL312" s="938"/>
      <c r="CM312" s="1196">
        <f>AVERAGE((CM289+CM295+CM296+CM307-CM278),(CH289+CH295+CH296+CH307-CH278))</f>
        <v>1288.8130000000001</v>
      </c>
      <c r="CN312" s="938"/>
      <c r="CO312" s="938"/>
      <c r="CP312" s="938"/>
      <c r="CQ312" s="938"/>
      <c r="CR312" s="1196">
        <f>AVERAGE((CR289+CR295+CR296+CR307-CR278),(CM289+CM295+CM296+CM307-CM278))</f>
        <v>1641.549</v>
      </c>
      <c r="CS312" s="938"/>
      <c r="CT312" s="938"/>
      <c r="CU312" s="938"/>
      <c r="CV312" s="938"/>
      <c r="CW312" s="1196">
        <f>AVERAGE((CW289+CW295+CW296+CW307-CW278),(CR289+CR295+CR296+CR307-CR278))</f>
        <v>1937.8960000000004</v>
      </c>
      <c r="CX312" s="938"/>
      <c r="CY312" s="938"/>
      <c r="CZ312" s="938"/>
      <c r="DA312" s="938"/>
      <c r="DB312" s="1196">
        <f>AVERAGE((DB289+DB295+DB296+DB307-DB278),(CW289+CW295+CW296+CW307-CW278))</f>
        <v>1798.1670000000004</v>
      </c>
      <c r="DC312" s="938"/>
      <c r="DD312" s="938"/>
      <c r="DE312" s="938"/>
      <c r="DF312" s="938"/>
      <c r="DG312" s="1196">
        <f>AVERAGE((DG289+DG295+DG296+DG307-DG278),(DB289+DB295+DB296+DB307-DB278))</f>
        <v>1640.701</v>
      </c>
      <c r="DH312" s="938"/>
      <c r="DI312" s="938"/>
      <c r="DJ312" s="938"/>
      <c r="DK312" s="938"/>
      <c r="DL312" s="1196">
        <f>AVERAGE((DL289+DL295+DL296+DL307-DL278),(DG289+DG295+DG296+DG307-DG278))</f>
        <v>1695.1289999999999</v>
      </c>
      <c r="DM312" s="938"/>
      <c r="DN312" s="938"/>
      <c r="DO312" s="938"/>
      <c r="DP312" s="938"/>
      <c r="DQ312" s="1196">
        <f>AVERAGE((DQ289+DQ295+DQ296+DQ307-DQ278),(DL289+DL295+DL296+DL307-DL278))</f>
        <v>1757.2345</v>
      </c>
      <c r="DR312" s="938"/>
      <c r="DS312" s="938"/>
      <c r="DT312" s="938"/>
      <c r="DU312" s="938"/>
      <c r="DV312" s="1196">
        <f>AVERAGE((DV289+DV295+DV296+DV307-DV278),(DQ289+DQ295+DQ296+DQ307-DQ278))</f>
        <v>1712.3004999999998</v>
      </c>
      <c r="DW312" s="938"/>
      <c r="DX312" s="938"/>
      <c r="DY312" s="938"/>
      <c r="DZ312" s="938"/>
      <c r="EA312" s="1196">
        <f>AVERAGE((EA289+EA295+EA296+EA307-EA278),(DV289+DV295+DV296+DV307-DV278))</f>
        <v>1699.8535000000002</v>
      </c>
      <c r="EB312" s="938"/>
      <c r="EC312" s="938"/>
      <c r="ED312" s="938"/>
      <c r="EE312" s="938"/>
      <c r="EF312" s="1196">
        <f>AVERAGE((EF289+EF295+EF296+EF307-EF278),(EA289+EA295+EA296+EA307-EA278))</f>
        <v>1777.176492443268</v>
      </c>
      <c r="EG312" s="938"/>
      <c r="EH312" s="938"/>
      <c r="EI312" s="938"/>
      <c r="EJ312" s="938"/>
      <c r="EK312" s="1196">
        <f>AVERAGE((EK289+EK295+EK296+EK307-EK278),(EF289+EF295+EF296+EF307-EF278))</f>
        <v>1902.2585110650634</v>
      </c>
      <c r="EL312" s="938"/>
      <c r="EM312" s="938"/>
      <c r="EN312" s="938"/>
      <c r="EO312" s="938"/>
      <c r="EP312" s="1196">
        <f>AVERAGE((EP289+EP295+EP296+EP307-EP278),(EK289+EK295+EK296+EK307-EK278))</f>
        <v>2005.1130899526243</v>
      </c>
      <c r="EQ312" s="938"/>
      <c r="ER312" s="938"/>
      <c r="ES312" s="938"/>
      <c r="ET312" s="938"/>
      <c r="EU312" s="1196">
        <f>AVERAGE((EU289+EU295+EU296+EU307-EU278),(EP289+EP295+EP296+EP307-EP278))</f>
        <v>2018.1478701651654</v>
      </c>
      <c r="EV312" s="938"/>
      <c r="EW312" s="938"/>
      <c r="EX312" s="938"/>
      <c r="EY312" s="938"/>
      <c r="EZ312" s="1196">
        <f>AVERAGE((EZ289+EZ295+EZ296+EZ307-EZ278),(EU289+EU295+EU296+EU307-EU278))</f>
        <v>2024.1400774225874</v>
      </c>
      <c r="FA312" s="938"/>
      <c r="FB312" s="938"/>
      <c r="FC312" s="938"/>
      <c r="FD312" s="938"/>
      <c r="FE312" s="1196">
        <f>AVERAGE((FE289+FE295+FE296+FE307-FE278),(EZ289+EZ295+EZ296+EZ307-EZ278))</f>
        <v>2016.5812647501543</v>
      </c>
      <c r="FF312" s="778"/>
      <c r="FG312" s="690"/>
      <c r="FH312" s="754"/>
      <c r="FI312" s="754"/>
      <c r="FJ312" s="754"/>
      <c r="FK312" s="754"/>
      <c r="FL312" s="690"/>
      <c r="FM312" s="940"/>
      <c r="FN312" s="940"/>
      <c r="FO312" s="719"/>
      <c r="FP312" s="719"/>
      <c r="FQ312" s="719"/>
      <c r="FR312" s="719"/>
      <c r="FS312" s="719"/>
      <c r="FT312" s="719"/>
      <c r="FU312" s="690"/>
      <c r="FV312"/>
      <c r="FW312"/>
      <c r="FX312"/>
      <c r="FY312"/>
      <c r="FZ312"/>
      <c r="GA312"/>
      <c r="GB312" s="1650"/>
      <c r="GC312" s="1426"/>
      <c r="GD312" s="1426"/>
      <c r="GE312" s="1426"/>
      <c r="GF312" s="1426"/>
      <c r="GG312" s="1426"/>
      <c r="GH312" s="1426"/>
      <c r="GI312" s="1426"/>
      <c r="GJ312" s="1426"/>
      <c r="GK312" s="1426"/>
      <c r="GL312" s="1426"/>
      <c r="GM312" s="1426"/>
      <c r="GN312" s="1426"/>
      <c r="GO312" s="1426"/>
      <c r="GP312" s="1426"/>
      <c r="GQ312" s="1426"/>
      <c r="GR312" s="1426"/>
      <c r="GS312" s="1426"/>
      <c r="GT312" s="1426"/>
      <c r="GU312" s="1426"/>
      <c r="GV312" s="1426"/>
      <c r="GW312" s="1426"/>
      <c r="GX312" s="1426"/>
      <c r="GY312" s="1426"/>
      <c r="GZ312" s="1426"/>
      <c r="HA312" s="1426"/>
      <c r="HB312" s="1426"/>
      <c r="HC312" s="1426"/>
      <c r="HD312" s="1426"/>
      <c r="HE312" s="1426"/>
      <c r="HF312" s="1426"/>
      <c r="HG312" s="1426"/>
      <c r="HH312" s="1426"/>
      <c r="HI312" s="1426"/>
      <c r="HJ312" s="1426"/>
      <c r="HK312" s="1426"/>
      <c r="HL312" s="1426"/>
      <c r="HM312" s="1426"/>
      <c r="HN312" s="1426"/>
      <c r="HO312" s="1426"/>
      <c r="HP312" s="1426"/>
      <c r="HQ312" s="1426"/>
      <c r="HR312" s="1426"/>
      <c r="HS312" s="1426"/>
      <c r="HT312" s="1426"/>
      <c r="HU312" s="1426"/>
      <c r="HV312" s="1426"/>
      <c r="HW312" s="1426"/>
      <c r="HX312" s="1426"/>
      <c r="HY312" s="1426"/>
      <c r="HZ312" s="1426"/>
      <c r="IA312" s="1426"/>
      <c r="IB312" s="1426"/>
      <c r="IC312" s="1426"/>
      <c r="ID312" s="1426"/>
      <c r="IE312" s="1426"/>
      <c r="IF312" s="1426"/>
      <c r="IG312" s="1426"/>
      <c r="IH312" s="1426"/>
      <c r="II312" s="1426"/>
      <c r="IJ312" s="1426"/>
      <c r="IK312" s="1426"/>
      <c r="IL312" s="1426"/>
      <c r="IM312" s="1426"/>
      <c r="IN312" s="1426"/>
      <c r="IO312" s="1426"/>
      <c r="IP312" s="1426"/>
      <c r="IQ312" s="1426"/>
      <c r="IR312" s="1426"/>
      <c r="IS312" s="1426"/>
      <c r="IT312" s="1426"/>
      <c r="IU312" s="1426"/>
      <c r="IV312" s="1426"/>
      <c r="IW312" s="1426"/>
      <c r="IX312" s="1426"/>
      <c r="IY312" s="1426"/>
      <c r="IZ312" s="1426"/>
      <c r="JA312" s="1426"/>
      <c r="JB312" s="1426"/>
      <c r="JC312" s="1426"/>
      <c r="JD312" s="1426"/>
      <c r="JE312" s="1426"/>
      <c r="JF312" s="1426"/>
      <c r="JG312" s="1426"/>
      <c r="JH312" s="1426"/>
      <c r="JI312" s="1426"/>
      <c r="JJ312" s="1426"/>
      <c r="JK312" s="1426"/>
      <c r="JL312" s="1426"/>
    </row>
    <row r="313" spans="1:272" s="942" customFormat="1" ht="12.75" hidden="1" customHeight="1" outlineLevel="1">
      <c r="A313" s="1071" t="s">
        <v>464</v>
      </c>
      <c r="B313" s="938"/>
      <c r="C313" s="938"/>
      <c r="D313" s="938"/>
      <c r="E313" s="938"/>
      <c r="F313" s="1196"/>
      <c r="G313" s="938"/>
      <c r="H313" s="938"/>
      <c r="I313" s="938"/>
      <c r="J313" s="938"/>
      <c r="K313" s="1196"/>
      <c r="L313" s="938"/>
      <c r="M313" s="938"/>
      <c r="N313" s="938"/>
      <c r="O313" s="938"/>
      <c r="P313" s="1196"/>
      <c r="Q313" s="938"/>
      <c r="R313" s="938"/>
      <c r="S313" s="938"/>
      <c r="T313" s="938"/>
      <c r="U313" s="1196"/>
      <c r="V313" s="938"/>
      <c r="W313" s="938"/>
      <c r="X313" s="938"/>
      <c r="Y313" s="938"/>
      <c r="Z313" s="1196"/>
      <c r="AA313" s="938"/>
      <c r="AB313" s="938"/>
      <c r="AC313" s="938"/>
      <c r="AD313" s="938"/>
      <c r="AE313" s="1196"/>
      <c r="AF313" s="938"/>
      <c r="AG313" s="938"/>
      <c r="AH313" s="938"/>
      <c r="AI313" s="938"/>
      <c r="AJ313" s="1196"/>
      <c r="AK313" s="938"/>
      <c r="AL313" s="938"/>
      <c r="AM313" s="938"/>
      <c r="AN313" s="938"/>
      <c r="AO313" s="1196"/>
      <c r="AP313" s="938"/>
      <c r="AQ313" s="938"/>
      <c r="AR313" s="938"/>
      <c r="AS313" s="938"/>
      <c r="AT313" s="1196"/>
      <c r="AU313" s="938"/>
      <c r="AV313" s="938"/>
      <c r="AW313" s="938"/>
      <c r="AX313" s="938"/>
      <c r="AY313" s="1196"/>
      <c r="AZ313" s="938"/>
      <c r="BA313" s="938"/>
      <c r="BB313" s="938"/>
      <c r="BC313" s="938"/>
      <c r="BD313" s="1196"/>
      <c r="BE313" s="938"/>
      <c r="BF313" s="938"/>
      <c r="BG313" s="938"/>
      <c r="BH313" s="938"/>
      <c r="BI313" s="1196"/>
      <c r="BJ313" s="938"/>
      <c r="BK313" s="938"/>
      <c r="BL313" s="938"/>
      <c r="BM313" s="938"/>
      <c r="BN313" s="881"/>
      <c r="BO313" s="938"/>
      <c r="BP313" s="938"/>
      <c r="BQ313" s="938"/>
      <c r="BR313" s="938"/>
      <c r="BS313" s="881">
        <f>BS311/BS312</f>
        <v>6.0936980681319315E-2</v>
      </c>
      <c r="BT313" s="938"/>
      <c r="BU313" s="1422"/>
      <c r="BV313" s="938"/>
      <c r="BW313" s="938"/>
      <c r="BX313" s="881">
        <f>BX311/BX312</f>
        <v>8.5599233207031611E-2</v>
      </c>
      <c r="BY313" s="938"/>
      <c r="BZ313" s="1422"/>
      <c r="CA313" s="938"/>
      <c r="CB313" s="938"/>
      <c r="CC313" s="881">
        <f>CC311/CC312</f>
        <v>0.1113716607659012</v>
      </c>
      <c r="CD313" s="938"/>
      <c r="CE313" s="938"/>
      <c r="CF313" s="938"/>
      <c r="CG313" s="938"/>
      <c r="CH313" s="881">
        <f>CH311/CH312</f>
        <v>0.186812617437774</v>
      </c>
      <c r="CI313" s="938"/>
      <c r="CJ313" s="938"/>
      <c r="CK313" s="938"/>
      <c r="CL313" s="938"/>
      <c r="CM313" s="881">
        <f>CM311/CM312</f>
        <v>0.22620483911294526</v>
      </c>
      <c r="CN313" s="938"/>
      <c r="CO313" s="938"/>
      <c r="CP313" s="938"/>
      <c r="CQ313" s="938"/>
      <c r="CR313" s="881">
        <f>CR311/CR312</f>
        <v>0.10139682297889083</v>
      </c>
      <c r="CS313" s="938"/>
      <c r="CT313" s="938"/>
      <c r="CU313" s="938"/>
      <c r="CV313" s="938"/>
      <c r="CW313" s="881">
        <f>CW311/CW312</f>
        <v>4.8199130178567355E-2</v>
      </c>
      <c r="CX313" s="938"/>
      <c r="CY313" s="938"/>
      <c r="CZ313" s="938"/>
      <c r="DA313" s="938"/>
      <c r="DB313" s="881">
        <f>DB311/DB312</f>
        <v>3.9896015527181861E-2</v>
      </c>
      <c r="DC313" s="938"/>
      <c r="DD313" s="938"/>
      <c r="DE313" s="938"/>
      <c r="DF313" s="938"/>
      <c r="DG313" s="881">
        <f>DG311/DG312</f>
        <v>3.6608498978243288E-2</v>
      </c>
      <c r="DH313" s="938"/>
      <c r="DI313" s="938"/>
      <c r="DJ313" s="938"/>
      <c r="DK313" s="938"/>
      <c r="DL313" s="881">
        <f>DL311/DL312</f>
        <v>7.3245668688356677E-2</v>
      </c>
      <c r="DM313" s="938"/>
      <c r="DN313" s="938"/>
      <c r="DO313" s="938"/>
      <c r="DP313" s="938"/>
      <c r="DQ313" s="881">
        <f>DQ311/DQ312</f>
        <v>7.8553037042086091E-2</v>
      </c>
      <c r="DR313" s="938"/>
      <c r="DS313" s="938"/>
      <c r="DT313" s="938"/>
      <c r="DU313" s="938"/>
      <c r="DV313" s="881">
        <f>DV311/DV312</f>
        <v>7.5264248509444034E-2</v>
      </c>
      <c r="DW313" s="938"/>
      <c r="DX313" s="938"/>
      <c r="DY313" s="938"/>
      <c r="DZ313" s="938"/>
      <c r="EA313" s="881">
        <f>EA311/EA312</f>
        <v>9.9592467824974454E-2</v>
      </c>
      <c r="EB313" s="938"/>
      <c r="EC313" s="938"/>
      <c r="ED313" s="938"/>
      <c r="EE313" s="938"/>
      <c r="EF313" s="881">
        <f>EF311/EF312</f>
        <v>0.10166458828315057</v>
      </c>
      <c r="EG313" s="938"/>
      <c r="EH313" s="938"/>
      <c r="EI313" s="938"/>
      <c r="EJ313" s="938"/>
      <c r="EK313" s="881">
        <f>EK311/EK312</f>
        <v>0.1413124371448696</v>
      </c>
      <c r="EL313" s="938"/>
      <c r="EM313" s="938"/>
      <c r="EN313" s="938"/>
      <c r="EO313" s="938"/>
      <c r="EP313" s="881">
        <f>EP311/EP312</f>
        <v>0.15512279391473582</v>
      </c>
      <c r="EQ313" s="938"/>
      <c r="ER313" s="938"/>
      <c r="ES313" s="938"/>
      <c r="ET313" s="938"/>
      <c r="EU313" s="881">
        <f>EU311/EU312</f>
        <v>0.17942028219748163</v>
      </c>
      <c r="EV313" s="938"/>
      <c r="EW313" s="938"/>
      <c r="EX313" s="938"/>
      <c r="EY313" s="938"/>
      <c r="EZ313" s="881">
        <f>EZ311/EZ312</f>
        <v>0.19369051680854921</v>
      </c>
      <c r="FA313" s="938"/>
      <c r="FB313" s="938"/>
      <c r="FC313" s="938"/>
      <c r="FD313" s="938"/>
      <c r="FE313" s="881">
        <f>FE311/FE312</f>
        <v>0.2098523843154706</v>
      </c>
      <c r="FF313" s="938"/>
      <c r="FG313" s="690"/>
      <c r="FH313" s="754"/>
      <c r="FI313" s="754"/>
      <c r="FJ313" s="754"/>
      <c r="FK313" s="754"/>
      <c r="FL313" s="690"/>
      <c r="FM313" s="940"/>
      <c r="FN313" s="940"/>
      <c r="FO313" s="941"/>
      <c r="FP313" s="941"/>
      <c r="FQ313" s="941"/>
      <c r="FR313" s="941"/>
      <c r="FS313" s="941"/>
      <c r="FT313" s="941"/>
      <c r="FU313" s="690"/>
      <c r="FV313"/>
      <c r="FW313"/>
      <c r="FX313"/>
      <c r="FY313"/>
      <c r="FZ313"/>
      <c r="GA313"/>
      <c r="GB313" s="1612"/>
      <c r="GC313" s="1426"/>
      <c r="GD313" s="1426"/>
      <c r="GE313" s="1426"/>
      <c r="GF313" s="1426"/>
      <c r="GG313" s="1426"/>
      <c r="GH313" s="1426"/>
      <c r="GI313" s="1426"/>
      <c r="GJ313" s="1426"/>
      <c r="GK313" s="1426"/>
      <c r="GL313" s="1426"/>
      <c r="GM313" s="1426"/>
      <c r="GN313" s="1426"/>
      <c r="GO313" s="1426"/>
      <c r="GP313" s="1426"/>
      <c r="GQ313" s="1426"/>
      <c r="GR313" s="1426"/>
      <c r="GS313" s="1426"/>
      <c r="GT313" s="1426"/>
      <c r="GU313" s="1426"/>
      <c r="GV313" s="1426"/>
      <c r="GW313" s="1426"/>
      <c r="GX313" s="1426"/>
      <c r="GY313" s="1426"/>
      <c r="GZ313" s="1426"/>
      <c r="HA313" s="1426"/>
      <c r="HB313" s="1426"/>
      <c r="HC313" s="1426"/>
      <c r="HD313" s="1426"/>
      <c r="HE313" s="1426"/>
      <c r="HF313" s="1426"/>
      <c r="HG313" s="1426"/>
      <c r="HH313" s="1426"/>
      <c r="HI313" s="1426"/>
      <c r="HJ313" s="1426"/>
      <c r="HK313" s="1426"/>
      <c r="HL313" s="1426"/>
      <c r="HM313" s="1426"/>
      <c r="HN313" s="1426"/>
      <c r="HO313" s="1426"/>
      <c r="HP313" s="1426"/>
      <c r="HQ313" s="1426"/>
      <c r="HR313" s="1426"/>
      <c r="HS313" s="1426"/>
      <c r="HT313" s="1426"/>
      <c r="HU313" s="1426"/>
      <c r="HV313" s="1426"/>
      <c r="HW313" s="1426"/>
      <c r="HX313" s="1426"/>
      <c r="HY313" s="1426"/>
      <c r="HZ313" s="1426"/>
      <c r="IA313" s="1426"/>
      <c r="IB313" s="1426"/>
      <c r="IC313" s="1426"/>
      <c r="ID313" s="1426"/>
      <c r="IE313" s="1426"/>
      <c r="IF313" s="1426"/>
      <c r="IG313" s="1426"/>
      <c r="IH313" s="1426"/>
      <c r="II313" s="1426"/>
      <c r="IJ313" s="1426"/>
      <c r="IK313" s="1426"/>
      <c r="IL313" s="1426"/>
      <c r="IM313" s="1426"/>
      <c r="IN313" s="1426"/>
      <c r="IO313" s="1426"/>
      <c r="IP313" s="1426"/>
      <c r="IQ313" s="1426"/>
      <c r="IR313" s="1426"/>
      <c r="IS313" s="1426"/>
      <c r="IT313" s="1426"/>
      <c r="IU313" s="1426"/>
      <c r="IV313" s="1426"/>
      <c r="IW313" s="1426"/>
      <c r="IX313" s="1426"/>
      <c r="IY313" s="1426"/>
      <c r="IZ313" s="1426"/>
      <c r="JA313" s="1426"/>
      <c r="JB313" s="1426"/>
      <c r="JC313" s="1426"/>
      <c r="JD313" s="1426"/>
      <c r="JE313" s="1426"/>
      <c r="JF313" s="1426"/>
      <c r="JG313" s="1426"/>
      <c r="JH313" s="1426"/>
      <c r="JI313" s="1426"/>
      <c r="JJ313" s="1426"/>
      <c r="JK313" s="1426"/>
      <c r="JL313" s="1426"/>
    </row>
    <row r="314" spans="1:272" s="1694" customFormat="1" ht="12.75" hidden="1" customHeight="1" outlineLevel="1">
      <c r="A314" s="1697"/>
      <c r="B314" s="1688"/>
      <c r="C314" s="1688"/>
      <c r="D314" s="1688"/>
      <c r="E314" s="1688"/>
      <c r="F314" s="1689"/>
      <c r="G314" s="1688"/>
      <c r="H314" s="1688"/>
      <c r="I314" s="1688"/>
      <c r="J314" s="1688"/>
      <c r="K314" s="1689"/>
      <c r="L314" s="1688"/>
      <c r="M314" s="1688"/>
      <c r="N314" s="1688"/>
      <c r="O314" s="1688"/>
      <c r="P314" s="1689"/>
      <c r="Q314" s="1688"/>
      <c r="R314" s="1688"/>
      <c r="S314" s="1688"/>
      <c r="T314" s="1688"/>
      <c r="U314" s="1689"/>
      <c r="V314" s="1688"/>
      <c r="W314" s="1688"/>
      <c r="X314" s="1688"/>
      <c r="Y314" s="1688"/>
      <c r="Z314" s="1689"/>
      <c r="AA314" s="1688"/>
      <c r="AB314" s="1688"/>
      <c r="AC314" s="1688"/>
      <c r="AD314" s="1688"/>
      <c r="AE314" s="1689"/>
      <c r="AF314" s="1688"/>
      <c r="AG314" s="1688"/>
      <c r="AH314" s="1688"/>
      <c r="AI314" s="1688"/>
      <c r="AJ314" s="1689"/>
      <c r="AK314" s="1688"/>
      <c r="AL314" s="1688"/>
      <c r="AM314" s="1688"/>
      <c r="AN314" s="1688"/>
      <c r="AO314" s="1689"/>
      <c r="AP314" s="1688"/>
      <c r="AQ314" s="1688"/>
      <c r="AR314" s="1688"/>
      <c r="AS314" s="1688"/>
      <c r="AT314" s="1689"/>
      <c r="AU314" s="1688"/>
      <c r="AV314" s="1688"/>
      <c r="AW314" s="1688"/>
      <c r="AX314" s="1688"/>
      <c r="AY314" s="1689"/>
      <c r="AZ314" s="1688"/>
      <c r="BA314" s="1688"/>
      <c r="BB314" s="1688"/>
      <c r="BC314" s="1688"/>
      <c r="BD314" s="1689"/>
      <c r="BE314" s="1688"/>
      <c r="BF314" s="1688"/>
      <c r="BG314" s="1688"/>
      <c r="BH314" s="1688"/>
      <c r="BI314" s="1689"/>
      <c r="BJ314" s="1688"/>
      <c r="BK314" s="1688"/>
      <c r="BL314" s="1688"/>
      <c r="BM314" s="1688"/>
      <c r="BN314" s="1689"/>
      <c r="BO314" s="1688"/>
      <c r="BP314" s="1688"/>
      <c r="BQ314" s="1688"/>
      <c r="BR314" s="1688"/>
      <c r="BS314" s="1689"/>
      <c r="BT314" s="1690"/>
      <c r="BU314" s="1690"/>
      <c r="BV314" s="1690"/>
      <c r="BW314" s="1690"/>
      <c r="BX314" s="1689"/>
      <c r="BY314" s="1691"/>
      <c r="BZ314" s="1691"/>
      <c r="CA314" s="1691"/>
      <c r="CB314" s="1691"/>
      <c r="CC314" s="1689"/>
      <c r="CD314" s="1691"/>
      <c r="CE314" s="1691"/>
      <c r="CF314" s="1691"/>
      <c r="CG314" s="1691"/>
      <c r="CH314" s="1689"/>
      <c r="CI314" s="1691"/>
      <c r="CJ314" s="1691"/>
      <c r="CK314" s="1691"/>
      <c r="CL314" s="1691"/>
      <c r="CM314" s="1689"/>
      <c r="CN314" s="1691"/>
      <c r="CO314" s="1691"/>
      <c r="CP314" s="1691"/>
      <c r="CQ314" s="1691"/>
      <c r="CR314" s="1689"/>
      <c r="CS314" s="1691"/>
      <c r="CT314" s="1691"/>
      <c r="CU314" s="1691"/>
      <c r="CV314" s="1691"/>
      <c r="CW314" s="1689"/>
      <c r="CX314" s="1691"/>
      <c r="CY314" s="1691"/>
      <c r="CZ314" s="1691"/>
      <c r="DA314" s="1691"/>
      <c r="DB314" s="1689"/>
      <c r="DC314" s="1691"/>
      <c r="DD314" s="1691"/>
      <c r="DE314" s="1691"/>
      <c r="DF314" s="1691"/>
      <c r="DG314" s="1689"/>
      <c r="DH314" s="1691"/>
      <c r="DI314" s="1691"/>
      <c r="DJ314" s="1691"/>
      <c r="DK314" s="1691"/>
      <c r="DL314" s="1689"/>
      <c r="DM314" s="1691"/>
      <c r="DN314" s="1691"/>
      <c r="DO314" s="1691"/>
      <c r="DP314" s="1691"/>
      <c r="DQ314" s="1689"/>
      <c r="DR314" s="1691"/>
      <c r="DS314" s="1691"/>
      <c r="DT314" s="1691"/>
      <c r="DU314" s="1691"/>
      <c r="DV314" s="1689"/>
      <c r="DW314" s="1691"/>
      <c r="DX314" s="1691"/>
      <c r="DY314" s="1691"/>
      <c r="DZ314" s="1691"/>
      <c r="EA314" s="1689"/>
      <c r="EB314" s="1691"/>
      <c r="EC314" s="1691"/>
      <c r="ED314" s="1691"/>
      <c r="EE314" s="1691"/>
      <c r="EF314" s="1689"/>
      <c r="EG314" s="1691"/>
      <c r="EH314" s="1691"/>
      <c r="EI314" s="1691"/>
      <c r="EJ314" s="1691"/>
      <c r="EK314" s="1689"/>
      <c r="EL314" s="1691"/>
      <c r="EM314" s="1691"/>
      <c r="EN314" s="1691"/>
      <c r="EO314" s="1691"/>
      <c r="EP314" s="1689"/>
      <c r="EQ314" s="1691"/>
      <c r="ER314" s="1691"/>
      <c r="ES314" s="1691"/>
      <c r="ET314" s="1691"/>
      <c r="EU314" s="1689"/>
      <c r="EV314" s="1691"/>
      <c r="EW314" s="1691"/>
      <c r="EX314" s="1691"/>
      <c r="EY314" s="1691"/>
      <c r="EZ314" s="1689"/>
      <c r="FA314" s="1691"/>
      <c r="FB314" s="1691"/>
      <c r="FC314" s="1691"/>
      <c r="FD314" s="1691"/>
      <c r="FE314" s="1689"/>
      <c r="FF314" s="1692"/>
      <c r="FG314" s="690"/>
      <c r="FH314" s="754"/>
      <c r="FI314" s="754"/>
      <c r="FJ314" s="754"/>
      <c r="FK314" s="754"/>
      <c r="FL314" s="690"/>
      <c r="FM314" s="747"/>
      <c r="FN314" s="747"/>
      <c r="FO314" s="1693"/>
      <c r="FP314" s="1693"/>
      <c r="FQ314" s="1693"/>
      <c r="FR314" s="1693"/>
      <c r="FS314" s="1693"/>
      <c r="FT314" s="1693"/>
      <c r="FU314" s="690"/>
      <c r="FV314"/>
      <c r="FW314"/>
      <c r="FX314"/>
      <c r="FY314"/>
      <c r="FZ314"/>
      <c r="GA314"/>
      <c r="GB314" s="1695"/>
      <c r="GC314" s="1696"/>
      <c r="GD314" s="1696"/>
      <c r="GE314" s="1696"/>
      <c r="GF314" s="1696"/>
      <c r="GG314" s="1696"/>
      <c r="GH314" s="1696"/>
      <c r="GI314" s="1696"/>
      <c r="GJ314" s="1696"/>
      <c r="GK314" s="1696"/>
      <c r="GL314" s="1696"/>
      <c r="GM314" s="1696"/>
      <c r="GN314" s="1696"/>
      <c r="GO314" s="1696"/>
      <c r="GP314" s="1696"/>
      <c r="GQ314" s="1696"/>
      <c r="GR314" s="1696"/>
      <c r="GS314" s="1696"/>
      <c r="GT314" s="1696"/>
      <c r="GU314" s="1696"/>
      <c r="GV314" s="1696"/>
      <c r="GW314" s="1696"/>
      <c r="GX314" s="1696"/>
      <c r="GY314" s="1696"/>
      <c r="GZ314" s="1696"/>
      <c r="HA314" s="1696"/>
      <c r="HB314" s="1696"/>
      <c r="HC314" s="1696"/>
      <c r="HD314" s="1696"/>
      <c r="HE314" s="1696"/>
      <c r="HF314" s="1696"/>
      <c r="HG314" s="1696"/>
      <c r="HH314" s="1696"/>
      <c r="HI314" s="1696"/>
      <c r="HJ314" s="1696"/>
      <c r="HK314" s="1696"/>
      <c r="HL314" s="1696"/>
      <c r="HM314" s="1696"/>
      <c r="HN314" s="1696"/>
      <c r="HO314" s="1696"/>
      <c r="HP314" s="1696"/>
      <c r="HQ314" s="1696"/>
      <c r="HR314" s="1696"/>
      <c r="HS314" s="1696"/>
      <c r="HT314" s="1696"/>
      <c r="HU314" s="1696"/>
      <c r="HV314" s="1696"/>
      <c r="HW314" s="1696"/>
      <c r="HX314" s="1696"/>
      <c r="HY314" s="1696"/>
      <c r="HZ314" s="1696"/>
      <c r="IA314" s="1696"/>
      <c r="IB314" s="1696"/>
      <c r="IC314" s="1696"/>
      <c r="ID314" s="1696"/>
      <c r="IE314" s="1696"/>
      <c r="IF314" s="1696"/>
      <c r="IG314" s="1696"/>
      <c r="IH314" s="1696"/>
      <c r="II314" s="1696"/>
      <c r="IJ314" s="1696"/>
      <c r="IK314" s="1696"/>
      <c r="IL314" s="1696"/>
      <c r="IM314" s="1696"/>
      <c r="IN314" s="1696"/>
      <c r="IO314" s="1696"/>
      <c r="IP314" s="1696"/>
      <c r="IQ314" s="1696"/>
      <c r="IR314" s="1696"/>
      <c r="IS314" s="1696"/>
      <c r="IT314" s="1696"/>
      <c r="IU314" s="1696"/>
      <c r="IV314" s="1696"/>
      <c r="IW314" s="1696"/>
      <c r="IX314" s="1696"/>
      <c r="IY314" s="1696"/>
      <c r="IZ314" s="1696"/>
      <c r="JA314" s="1696"/>
      <c r="JB314" s="1696"/>
      <c r="JC314" s="1696"/>
      <c r="JD314" s="1696"/>
      <c r="JE314" s="1696"/>
      <c r="JF314" s="1696"/>
      <c r="JG314" s="1696"/>
      <c r="JH314" s="1696"/>
      <c r="JI314" s="1696"/>
      <c r="JJ314" s="1696"/>
      <c r="JK314" s="1696"/>
      <c r="JL314" s="1696"/>
    </row>
    <row r="315" spans="1:272" s="1383" customFormat="1" ht="12.75" hidden="1" customHeight="1" outlineLevel="1">
      <c r="A315" s="1399" t="s">
        <v>72</v>
      </c>
      <c r="B315" s="1698"/>
      <c r="C315" s="1699"/>
      <c r="D315" s="1699"/>
      <c r="E315" s="1699"/>
      <c r="F315" s="939"/>
      <c r="G315" s="1699"/>
      <c r="H315" s="1699"/>
      <c r="I315" s="1699"/>
      <c r="J315" s="1699"/>
      <c r="K315" s="939"/>
      <c r="L315" s="1699"/>
      <c r="M315" s="1699"/>
      <c r="N315" s="1699"/>
      <c r="O315" s="1699"/>
      <c r="P315" s="939"/>
      <c r="Q315" s="1699"/>
      <c r="R315" s="1699"/>
      <c r="S315" s="1699"/>
      <c r="T315" s="1699"/>
      <c r="U315" s="939"/>
      <c r="V315" s="1699"/>
      <c r="W315" s="1699"/>
      <c r="X315" s="1699"/>
      <c r="Y315" s="1699"/>
      <c r="Z315" s="939"/>
      <c r="AA315" s="1699"/>
      <c r="AB315" s="1699"/>
      <c r="AC315" s="1699"/>
      <c r="AD315" s="1699"/>
      <c r="AE315" s="939"/>
      <c r="AF315" s="941"/>
      <c r="AG315" s="941"/>
      <c r="AH315" s="941"/>
      <c r="AI315" s="941"/>
      <c r="AJ315" s="939"/>
      <c r="AK315" s="941"/>
      <c r="AL315" s="941"/>
      <c r="AM315" s="941"/>
      <c r="AN315" s="941"/>
      <c r="AO315" s="939"/>
      <c r="AP315" s="941"/>
      <c r="AQ315" s="1700"/>
      <c r="AR315" s="1700"/>
      <c r="AS315" s="941"/>
      <c r="AT315" s="939"/>
      <c r="AU315" s="941"/>
      <c r="AV315" s="1700"/>
      <c r="AW315" s="941"/>
      <c r="AX315" s="941"/>
      <c r="AY315" s="939"/>
      <c r="AZ315" s="941"/>
      <c r="BA315" s="1700"/>
      <c r="BB315" s="941"/>
      <c r="BC315" s="941"/>
      <c r="BD315" s="939"/>
      <c r="BE315" s="941"/>
      <c r="BF315" s="1700"/>
      <c r="BG315" s="941"/>
      <c r="BH315" s="941"/>
      <c r="BI315" s="939"/>
      <c r="BJ315" s="941"/>
      <c r="BK315" s="1700"/>
      <c r="BL315" s="941"/>
      <c r="BM315" s="941"/>
      <c r="BN315" s="939"/>
      <c r="BO315" s="941"/>
      <c r="BP315" s="1700"/>
      <c r="BQ315" s="941"/>
      <c r="BR315" s="941"/>
      <c r="BS315" s="939"/>
      <c r="BT315" s="941"/>
      <c r="BU315" s="1700"/>
      <c r="BV315" s="941"/>
      <c r="BW315" s="941"/>
      <c r="BX315" s="939"/>
      <c r="BY315" s="941"/>
      <c r="BZ315" s="1700"/>
      <c r="CA315" s="941"/>
      <c r="CB315" s="941"/>
      <c r="CC315" s="939"/>
      <c r="CD315" s="941"/>
      <c r="CE315" s="941"/>
      <c r="CF315" s="941"/>
      <c r="CG315" s="941"/>
      <c r="CH315" s="939"/>
      <c r="CI315" s="941"/>
      <c r="CJ315" s="941"/>
      <c r="CK315" s="941"/>
      <c r="CL315" s="941"/>
      <c r="CM315" s="939"/>
      <c r="CN315" s="941"/>
      <c r="CO315" s="941"/>
      <c r="CP315" s="941"/>
      <c r="CQ315" s="941"/>
      <c r="CR315" s="939"/>
      <c r="CS315" s="941"/>
      <c r="CT315" s="941"/>
      <c r="CU315" s="941"/>
      <c r="CV315" s="941"/>
      <c r="CW315" s="939"/>
      <c r="CX315" s="941"/>
      <c r="CY315" s="941"/>
      <c r="CZ315" s="941"/>
      <c r="DA315" s="941"/>
      <c r="DB315" s="939"/>
      <c r="DC315" s="941"/>
      <c r="DD315" s="941"/>
      <c r="DE315" s="941"/>
      <c r="DF315" s="941"/>
      <c r="DG315" s="939"/>
      <c r="DH315" s="941"/>
      <c r="DI315" s="941"/>
      <c r="DJ315" s="941"/>
      <c r="DK315" s="941"/>
      <c r="DL315" s="939"/>
      <c r="DM315" s="941"/>
      <c r="DN315" s="941"/>
      <c r="DO315" s="941"/>
      <c r="DP315" s="941"/>
      <c r="DQ315" s="939"/>
      <c r="DR315" s="941"/>
      <c r="DS315" s="941"/>
      <c r="DT315" s="941"/>
      <c r="DU315" s="941"/>
      <c r="DV315" s="939"/>
      <c r="DW315" s="941"/>
      <c r="DX315" s="941"/>
      <c r="DY315" s="941"/>
      <c r="DZ315" s="941"/>
      <c r="EA315" s="939"/>
      <c r="EB315" s="941"/>
      <c r="EC315" s="941"/>
      <c r="ED315" s="941"/>
      <c r="EE315" s="941"/>
      <c r="EF315" s="939"/>
      <c r="EG315" s="941"/>
      <c r="EH315" s="941"/>
      <c r="EI315" s="941"/>
      <c r="EJ315" s="941"/>
      <c r="EK315" s="939"/>
      <c r="EL315" s="941"/>
      <c r="EM315" s="941"/>
      <c r="EN315" s="941"/>
      <c r="EO315" s="941"/>
      <c r="EP315" s="939"/>
      <c r="EQ315" s="941"/>
      <c r="ER315" s="941"/>
      <c r="ES315" s="941"/>
      <c r="ET315" s="941"/>
      <c r="EU315" s="939"/>
      <c r="EV315" s="941"/>
      <c r="EW315" s="941"/>
      <c r="EX315" s="941"/>
      <c r="EY315" s="941"/>
      <c r="EZ315" s="939"/>
      <c r="FA315" s="941"/>
      <c r="FB315" s="941"/>
      <c r="FC315" s="941"/>
      <c r="FD315" s="941"/>
      <c r="FE315" s="939"/>
      <c r="FF315" s="938"/>
      <c r="FG315" s="690"/>
      <c r="FH315" s="754"/>
      <c r="FI315" s="754"/>
      <c r="FJ315" s="754"/>
      <c r="FK315" s="754"/>
      <c r="FL315" s="690"/>
      <c r="FM315" s="940"/>
      <c r="FN315" s="940"/>
      <c r="FO315" s="941"/>
      <c r="FP315" s="941"/>
      <c r="FQ315" s="941"/>
      <c r="FR315" s="941"/>
      <c r="FS315" s="941"/>
      <c r="FT315" s="941"/>
      <c r="FU315" s="690"/>
      <c r="FV315"/>
      <c r="FW315"/>
      <c r="FX315"/>
      <c r="FY315"/>
      <c r="FZ315"/>
      <c r="GA315"/>
      <c r="GB315" s="943"/>
      <c r="GC315" s="1426"/>
      <c r="GD315" s="1426"/>
      <c r="GE315" s="1426"/>
      <c r="GF315" s="1426"/>
      <c r="GG315" s="1426"/>
      <c r="GH315" s="1426"/>
      <c r="GI315" s="1426"/>
      <c r="GJ315" s="1426"/>
      <c r="GK315" s="1426"/>
      <c r="GL315" s="1426"/>
      <c r="GM315" s="1426"/>
      <c r="GN315" s="1426"/>
      <c r="GO315" s="1426"/>
      <c r="GP315" s="1426"/>
      <c r="GQ315" s="1426"/>
      <c r="GR315" s="1426"/>
      <c r="GS315" s="1426"/>
      <c r="GT315" s="1426"/>
      <c r="GU315" s="1426"/>
      <c r="GV315" s="1426"/>
      <c r="GW315" s="1426"/>
      <c r="GX315" s="1426"/>
      <c r="GY315" s="1426"/>
      <c r="GZ315" s="1426"/>
      <c r="HA315" s="1426"/>
      <c r="HB315" s="1426"/>
      <c r="HC315" s="1426"/>
      <c r="HD315" s="1426"/>
      <c r="HE315" s="1426"/>
      <c r="HF315" s="1426"/>
      <c r="HG315" s="1426"/>
      <c r="HH315" s="1426"/>
      <c r="HI315" s="1426"/>
      <c r="HJ315" s="1426"/>
      <c r="HK315" s="1426"/>
      <c r="HL315" s="1426"/>
      <c r="HM315" s="1426"/>
      <c r="HN315" s="1426"/>
      <c r="HO315" s="1426"/>
      <c r="HP315" s="1426"/>
      <c r="HQ315" s="1426"/>
      <c r="HR315" s="1426"/>
      <c r="HS315" s="1426"/>
      <c r="HT315" s="1426"/>
      <c r="HU315" s="1426"/>
      <c r="HV315" s="1426"/>
      <c r="HW315" s="1426"/>
      <c r="HX315" s="1426"/>
      <c r="HY315" s="1426"/>
      <c r="HZ315" s="1426"/>
      <c r="IA315" s="1426"/>
      <c r="IB315" s="1426"/>
      <c r="IC315" s="1426"/>
      <c r="ID315" s="1426"/>
      <c r="IE315" s="1426"/>
      <c r="IF315" s="1426"/>
      <c r="IG315" s="1426"/>
      <c r="IH315" s="1426"/>
      <c r="II315" s="1426"/>
      <c r="IJ315" s="1426"/>
      <c r="IK315" s="1426"/>
      <c r="IL315" s="1426"/>
      <c r="IM315" s="1426"/>
      <c r="IN315" s="1426"/>
      <c r="IO315" s="1426"/>
      <c r="IP315" s="1426"/>
      <c r="IQ315" s="1426"/>
      <c r="IR315" s="1426"/>
      <c r="IS315" s="1426"/>
      <c r="IT315" s="1426"/>
      <c r="IU315" s="1426"/>
      <c r="IV315" s="1426"/>
      <c r="IW315" s="1426"/>
      <c r="IX315" s="1426"/>
      <c r="IY315" s="1426"/>
      <c r="IZ315" s="1426"/>
      <c r="JA315" s="1426"/>
      <c r="JB315" s="1426"/>
      <c r="JC315" s="1426"/>
      <c r="JD315" s="1426"/>
      <c r="JE315" s="1426"/>
      <c r="JF315" s="1426"/>
      <c r="JG315" s="1426"/>
      <c r="JH315" s="1426"/>
      <c r="JI315" s="1426"/>
      <c r="JJ315" s="1426"/>
      <c r="JK315" s="1426"/>
      <c r="JL315" s="1426"/>
    </row>
    <row r="316" spans="1:272" s="749" customFormat="1" ht="12.75" hidden="1" customHeight="1" outlineLevel="1">
      <c r="A316" s="1701" t="s">
        <v>73</v>
      </c>
      <c r="B316" s="712"/>
      <c r="C316" s="712"/>
      <c r="D316" s="712"/>
      <c r="E316" s="712"/>
      <c r="F316" s="1196"/>
      <c r="G316" s="712"/>
      <c r="H316" s="712"/>
      <c r="I316" s="712"/>
      <c r="J316" s="712"/>
      <c r="K316" s="1196"/>
      <c r="L316" s="712"/>
      <c r="M316" s="712"/>
      <c r="N316" s="712"/>
      <c r="O316" s="712"/>
      <c r="P316" s="1196"/>
      <c r="Q316" s="712"/>
      <c r="R316" s="712"/>
      <c r="S316" s="712"/>
      <c r="T316" s="712"/>
      <c r="U316" s="1196"/>
      <c r="V316" s="712"/>
      <c r="W316" s="712"/>
      <c r="X316" s="712"/>
      <c r="Y316" s="712"/>
      <c r="Z316" s="1196"/>
      <c r="AA316" s="712"/>
      <c r="AB316" s="712"/>
      <c r="AC316" s="712"/>
      <c r="AD316" s="712"/>
      <c r="AE316" s="1196"/>
      <c r="AF316" s="712"/>
      <c r="AG316" s="712"/>
      <c r="AH316" s="712"/>
      <c r="AI316" s="712"/>
      <c r="AJ316" s="1196"/>
      <c r="AK316" s="712"/>
      <c r="AL316" s="712"/>
      <c r="AM316" s="712"/>
      <c r="AN316" s="712"/>
      <c r="AO316" s="1196"/>
      <c r="AP316" s="712"/>
      <c r="AQ316" s="712"/>
      <c r="AR316" s="712"/>
      <c r="AS316" s="712"/>
      <c r="AT316" s="1196"/>
      <c r="AU316" s="712"/>
      <c r="AV316" s="712"/>
      <c r="AW316" s="712"/>
      <c r="AX316" s="712"/>
      <c r="AY316" s="1196"/>
      <c r="AZ316" s="712"/>
      <c r="BA316" s="712"/>
      <c r="BB316" s="712"/>
      <c r="BC316" s="712"/>
      <c r="BD316" s="1196"/>
      <c r="BE316" s="712"/>
      <c r="BF316" s="712"/>
      <c r="BG316" s="712"/>
      <c r="BH316" s="712"/>
      <c r="BI316" s="1196"/>
      <c r="BJ316" s="712"/>
      <c r="BK316" s="712"/>
      <c r="BL316" s="712"/>
      <c r="BM316" s="712"/>
      <c r="BN316" s="1196">
        <f>(+(BN301-BI301)+(BN302-BI302)+(BN304-BI304-BN246+BN317)+(BN303-BI303)+(BN305-BI305)-((1-CNW!BN318)*CNW!BN274))-40.064053</f>
        <v>644.0809999999999</v>
      </c>
      <c r="BO316" s="712"/>
      <c r="BP316" s="712"/>
      <c r="BQ316" s="712"/>
      <c r="BR316" s="712"/>
      <c r="BS316" s="1196">
        <f>(+(BS301-BN301)+(BS302-BN302)+(BS304-BN304-BS246+BS317)+(BS303-BN303)+(BS305-BN305)-((1-CNW!BS318)*CNW!BS274))-2841.841223</f>
        <v>-2807.9755</v>
      </c>
      <c r="BT316" s="712"/>
      <c r="BU316" s="712"/>
      <c r="BV316" s="712"/>
      <c r="BW316" s="712"/>
      <c r="BX316" s="1196">
        <f>(+(BX301-BS301)+(BX302-BS302)+(BX304-BS304-BX246+BX317)+(BX303-BS303)+(BX305-BS305)-((1-CNW!BX318)*CNW!BX274))+84.243107</f>
        <v>53.373999999999782</v>
      </c>
      <c r="BY316" s="712"/>
      <c r="BZ316" s="712"/>
      <c r="CA316" s="712"/>
      <c r="CB316" s="712"/>
      <c r="CC316" s="1196">
        <f>(+(CC301-BX301)+(CC302-BX302)+(CC304-BX304-CC246+CC317)+(CC303-BX303)+(CC305-BX305)-((1-CNW!CC318)*CNW!CC274))-33.010083</f>
        <v>64.146000000000043</v>
      </c>
      <c r="CD316" s="712"/>
      <c r="CE316" s="712"/>
      <c r="CF316" s="712"/>
      <c r="CG316" s="712"/>
      <c r="CH316" s="1196">
        <f>(+(CH301-CC301)+(CH302-CC302)+(CH304-CC304-CH246+CH317)+(CH303-CC303)+(CH305-CC305)-((1-CNW!CH318)*CNW!CH274))-17.036805+16.081</f>
        <v>-44.446633591476839</v>
      </c>
      <c r="CI316" s="1702"/>
      <c r="CJ316" s="1702"/>
      <c r="CK316" s="1702"/>
      <c r="CL316" s="1702"/>
      <c r="CM316" s="1196">
        <f>(+(CM301-CH301)+(CM302-CH302)+(CM304-CH304-CM246+CM317)+(CM303-CH303)+(CM305-CH305)-((1-CNW!CM318)*CNW!CM274))-69.790913</f>
        <v>-436.59300000000007</v>
      </c>
      <c r="CN316" s="712"/>
      <c r="CO316" s="712"/>
      <c r="CP316" s="712"/>
      <c r="CQ316" s="712"/>
      <c r="CR316" s="1196">
        <f>(+(CR301-CM301)+(CR302-CM302)+(CR304-CM304-CR246+CR317)+(CR303-CM303)+(CR305-CM305)-((1-CNW!CR318)*CNW!CR274))</f>
        <v>-61.980486999999975</v>
      </c>
      <c r="CS316" s="712"/>
      <c r="CT316" s="712"/>
      <c r="CU316" s="712"/>
      <c r="CV316" s="712"/>
      <c r="CW316" s="1196">
        <f>(+(CW301-CR301)+(CW302-CR302)+(CW304-CR304-CW246+CW317)+(CW303-CR303)+(CW305-CR305)-((1-CNW!CW318)*CNW!CW274))</f>
        <v>22.255906999999866</v>
      </c>
      <c r="CX316" s="938"/>
      <c r="CY316" s="938"/>
      <c r="CZ316" s="938"/>
      <c r="DA316" s="938"/>
      <c r="DB316" s="1196">
        <v>118.16199999999978</v>
      </c>
      <c r="DC316" s="938"/>
      <c r="DD316" s="938"/>
      <c r="DE316" s="938"/>
      <c r="DF316" s="938"/>
      <c r="DG316" s="1196">
        <f>(+(DG301-DB301)+(DG302-DB302)+(DG304-DB304-DG246+DG317)+(DG303-DB303)+(DG305-DB305)-((1-CNW!DG318)*CNW!DG274))</f>
        <v>194.30500000000021</v>
      </c>
      <c r="DH316" s="938"/>
      <c r="DI316" s="938"/>
      <c r="DJ316" s="938"/>
      <c r="DK316" s="938"/>
      <c r="DL316" s="1196">
        <f>(+(DL301-DG301)+(DL302-DG302)+(DL303-DG303)+(DL305-DG305)-((1-CNW!DL318)*CNW!DL274))</f>
        <v>34.692999999999891</v>
      </c>
      <c r="DM316" s="938"/>
      <c r="DN316" s="938"/>
      <c r="DO316" s="938"/>
      <c r="DP316" s="938"/>
      <c r="DQ316" s="1196">
        <f>(+(DQ301-DL301)+(DQ302-DL302)+(DQ303-DL303)+(DQ305-DL305)-((1-CNW!DQ318)*CNW!DQ274))</f>
        <v>14.975000000000009</v>
      </c>
      <c r="DR316" s="938"/>
      <c r="DS316" s="938"/>
      <c r="DT316" s="938"/>
      <c r="DU316" s="938"/>
      <c r="DV316" s="1196">
        <f>(+(DV301-DQ301)+(DV302-DQ302)+(DV303-DQ303)+(DV305-DQ305)-((1-CNW!DV318)*CNW!DV274))</f>
        <v>36.84099999999998</v>
      </c>
      <c r="DW316" s="938"/>
      <c r="DX316" s="938"/>
      <c r="DY316" s="938"/>
      <c r="DZ316" s="938"/>
      <c r="EA316" s="1196">
        <f>(+(EA301-DV301)+(EA302-DV302)+(EA303-DV303)+(EA305-DV305)-((1-CNW!EA318)*CNW!EA274))</f>
        <v>33.70800000000002</v>
      </c>
      <c r="EB316" s="938"/>
      <c r="EC316" s="938"/>
      <c r="ED316" s="938"/>
      <c r="EE316" s="938"/>
      <c r="EF316" s="1196">
        <f>(+(EF301-EA301)+(EF302-EA302)+(EF303-EA303)+(EF305-EA305)-((1-CNW!EF318)*CNW!EF274))</f>
        <v>-22.914045391397792</v>
      </c>
      <c r="EG316" s="938"/>
      <c r="EH316" s="938"/>
      <c r="EI316" s="938"/>
      <c r="EJ316" s="938"/>
      <c r="EK316" s="1196">
        <f>(+(EK301-EF301)+(EK302-EF302)+(EK303-EF303)+(EK305-EF305)-((1-CNW!EK318)*CNW!EK274))</f>
        <v>-32.638028613342158</v>
      </c>
      <c r="EL316" s="938"/>
      <c r="EM316" s="938"/>
      <c r="EN316" s="938"/>
      <c r="EO316" s="938"/>
      <c r="EP316" s="1196">
        <f>(+(EP301-EK301)+(EP302-EK302)+(EP303-EK303)+(EP305-EK305)-((1-CNW!EP318)*CNW!EP274))</f>
        <v>-37.792089025811833</v>
      </c>
      <c r="EQ316" s="938"/>
      <c r="ER316" s="938"/>
      <c r="ES316" s="938"/>
      <c r="ET316" s="938"/>
      <c r="EU316" s="1196">
        <f>(+(EU301-EP301)+(EU302-EP302)+(EU303-EP303)+(EU305-EP305)-((1-CNW!EU318)*CNW!EU274))</f>
        <v>-42.404829174847976</v>
      </c>
      <c r="EV316" s="938"/>
      <c r="EW316" s="938"/>
      <c r="EX316" s="938"/>
      <c r="EY316" s="938"/>
      <c r="EZ316" s="1196">
        <f>(+(EZ301-EU301)+(EZ302-EU302)+(EZ303-EU303)+(EZ305-EU305)-((1-CNW!EZ318)*CNW!EZ274))</f>
        <v>-45.193186578018015</v>
      </c>
      <c r="FA316" s="938"/>
      <c r="FB316" s="938"/>
      <c r="FC316" s="938"/>
      <c r="FD316" s="938"/>
      <c r="FE316" s="1196">
        <f>(+(FE301-EZ301)+(FE302-EZ302)+(FE303-EZ303)+(FE305-EZ305)-((1-CNW!FE318)*CNW!FE274))</f>
        <v>-48.042615351857307</v>
      </c>
      <c r="FF316" s="712"/>
      <c r="FG316" s="690"/>
      <c r="FH316" s="754"/>
      <c r="FI316" s="754"/>
      <c r="FJ316" s="754"/>
      <c r="FK316" s="754"/>
      <c r="FL316" s="690"/>
      <c r="FM316" s="747"/>
      <c r="FN316" s="747"/>
      <c r="FO316" s="748"/>
      <c r="FP316" s="748"/>
      <c r="FQ316" s="748"/>
      <c r="FR316" s="748"/>
      <c r="FS316" s="748"/>
      <c r="FT316" s="748"/>
      <c r="FU316" s="690"/>
      <c r="FV316"/>
      <c r="FW316"/>
      <c r="FX316"/>
      <c r="FY316"/>
      <c r="FZ316"/>
      <c r="GA316"/>
      <c r="GB316" s="931"/>
      <c r="GC316" s="532"/>
      <c r="GD316" s="532"/>
      <c r="GE316" s="532"/>
      <c r="GF316" s="532"/>
      <c r="GG316" s="532"/>
      <c r="GH316" s="532"/>
      <c r="GI316" s="532"/>
      <c r="GJ316" s="532"/>
      <c r="GK316" s="532"/>
      <c r="GL316" s="532"/>
      <c r="GM316" s="532"/>
      <c r="GN316" s="532"/>
      <c r="GO316" s="532"/>
      <c r="GP316" s="532"/>
      <c r="GQ316" s="532"/>
      <c r="GR316" s="532"/>
      <c r="GS316" s="532"/>
      <c r="GT316" s="532"/>
      <c r="GU316" s="532"/>
      <c r="GV316" s="532"/>
      <c r="GW316" s="532"/>
      <c r="GX316" s="532"/>
      <c r="GY316" s="532"/>
      <c r="GZ316" s="532"/>
      <c r="HA316" s="532"/>
      <c r="HB316" s="532"/>
      <c r="HC316" s="532"/>
      <c r="HD316" s="532"/>
      <c r="HE316" s="532"/>
      <c r="HF316" s="532"/>
      <c r="HG316" s="532"/>
      <c r="HH316" s="532"/>
      <c r="HI316" s="532"/>
      <c r="HJ316" s="532"/>
      <c r="HK316" s="532"/>
      <c r="HL316" s="532"/>
      <c r="HM316" s="532"/>
      <c r="HN316" s="532"/>
      <c r="HO316" s="532"/>
      <c r="HP316" s="532"/>
      <c r="HQ316" s="532"/>
      <c r="HR316" s="532"/>
      <c r="HS316" s="532"/>
      <c r="HT316" s="532"/>
      <c r="HU316" s="532"/>
      <c r="HV316" s="532"/>
      <c r="HW316" s="532"/>
      <c r="HX316" s="532"/>
      <c r="HY316" s="532"/>
      <c r="HZ316" s="532"/>
      <c r="IA316" s="532"/>
      <c r="IB316" s="532"/>
      <c r="IC316" s="532"/>
      <c r="ID316" s="532"/>
      <c r="IE316" s="532"/>
      <c r="IF316" s="532"/>
      <c r="IG316" s="532"/>
      <c r="IH316" s="532"/>
      <c r="II316" s="532"/>
      <c r="IJ316" s="532"/>
      <c r="IK316" s="532"/>
      <c r="IL316" s="532"/>
      <c r="IM316" s="532"/>
      <c r="IN316" s="532"/>
      <c r="IO316" s="532"/>
      <c r="IP316" s="532"/>
      <c r="IQ316" s="532"/>
      <c r="IR316" s="532"/>
      <c r="IS316" s="532"/>
      <c r="IT316" s="532"/>
      <c r="IU316" s="532"/>
      <c r="IV316" s="532"/>
      <c r="IW316" s="532"/>
      <c r="IX316" s="532"/>
      <c r="IY316" s="532"/>
      <c r="IZ316" s="532"/>
      <c r="JA316" s="532"/>
      <c r="JB316" s="532"/>
      <c r="JC316" s="532"/>
      <c r="JD316" s="532"/>
      <c r="JE316" s="532"/>
      <c r="JF316" s="532"/>
      <c r="JG316" s="532"/>
      <c r="JH316" s="532"/>
      <c r="JI316" s="532"/>
      <c r="JJ316" s="532"/>
      <c r="JK316" s="532"/>
      <c r="JL316" s="532"/>
    </row>
    <row r="317" spans="1:272" s="749" customFormat="1" ht="12.75" hidden="1" customHeight="1" outlineLevel="1">
      <c r="A317" s="712" t="s">
        <v>465</v>
      </c>
      <c r="B317" s="712"/>
      <c r="C317" s="712"/>
      <c r="D317" s="712"/>
      <c r="E317" s="712"/>
      <c r="F317" s="1196"/>
      <c r="G317" s="712"/>
      <c r="H317" s="712"/>
      <c r="I317" s="712"/>
      <c r="J317" s="712"/>
      <c r="K317" s="1196"/>
      <c r="L317" s="712"/>
      <c r="M317" s="712"/>
      <c r="N317" s="712"/>
      <c r="O317" s="712"/>
      <c r="P317" s="1196"/>
      <c r="Q317" s="712"/>
      <c r="R317" s="712"/>
      <c r="S317" s="712"/>
      <c r="T317" s="712"/>
      <c r="U317" s="1196"/>
      <c r="V317" s="712"/>
      <c r="W317" s="712"/>
      <c r="X317" s="712"/>
      <c r="Y317" s="712"/>
      <c r="Z317" s="1196"/>
      <c r="AA317" s="712"/>
      <c r="AB317" s="712"/>
      <c r="AC317" s="712"/>
      <c r="AD317" s="712"/>
      <c r="AE317" s="1196"/>
      <c r="AF317" s="712"/>
      <c r="AG317" s="712"/>
      <c r="AH317" s="712"/>
      <c r="AI317" s="712"/>
      <c r="AJ317" s="1196"/>
      <c r="AK317" s="712"/>
      <c r="AL317" s="712"/>
      <c r="AM317" s="712"/>
      <c r="AN317" s="712"/>
      <c r="AO317" s="1196"/>
      <c r="AP317" s="712"/>
      <c r="AQ317" s="712"/>
      <c r="AR317" s="712"/>
      <c r="AS317" s="712"/>
      <c r="AT317" s="1196"/>
      <c r="AU317" s="712"/>
      <c r="AV317" s="712"/>
      <c r="AW317" s="712"/>
      <c r="AX317" s="712"/>
      <c r="AY317" s="1196"/>
      <c r="AZ317" s="712"/>
      <c r="BA317" s="712"/>
      <c r="BB317" s="712"/>
      <c r="BC317" s="712"/>
      <c r="BD317" s="1196"/>
      <c r="BE317" s="712"/>
      <c r="BF317" s="712"/>
      <c r="BG317" s="712"/>
      <c r="BH317" s="712"/>
      <c r="BI317" s="1196"/>
      <c r="BJ317" s="712"/>
      <c r="BK317" s="712"/>
      <c r="BL317" s="712"/>
      <c r="BM317" s="712"/>
      <c r="BN317" s="1196">
        <f>-BN268</f>
        <v>8.8129999999999988</v>
      </c>
      <c r="BO317" s="712"/>
      <c r="BP317" s="712"/>
      <c r="BQ317" s="712"/>
      <c r="BR317" s="712"/>
      <c r="BS317" s="1196">
        <f>-BS268</f>
        <v>30.146999999999998</v>
      </c>
      <c r="BT317" s="712"/>
      <c r="BU317" s="712"/>
      <c r="BV317" s="712"/>
      <c r="BW317" s="712"/>
      <c r="BX317" s="1196">
        <f>-BX268</f>
        <v>30.042000000000002</v>
      </c>
      <c r="BY317" s="712"/>
      <c r="BZ317" s="712"/>
      <c r="CA317" s="712"/>
      <c r="CB317" s="712"/>
      <c r="CC317" s="1196">
        <f>-CC268</f>
        <v>30.264000000000003</v>
      </c>
      <c r="CD317" s="712"/>
      <c r="CE317" s="712"/>
      <c r="CF317" s="712"/>
      <c r="CG317" s="712"/>
      <c r="CH317" s="1196">
        <f>-CH268</f>
        <v>21.036000000000001</v>
      </c>
      <c r="CI317" s="712"/>
      <c r="CJ317" s="712"/>
      <c r="CK317" s="712"/>
      <c r="CL317" s="712"/>
      <c r="CM317" s="1196">
        <f>-CM268</f>
        <v>19.693000000000001</v>
      </c>
      <c r="CN317" s="712"/>
      <c r="CO317" s="712"/>
      <c r="CP317" s="712"/>
      <c r="CQ317" s="712"/>
      <c r="CR317" s="1196">
        <f>-CR268</f>
        <v>18.190999999999999</v>
      </c>
      <c r="CS317" s="712"/>
      <c r="CT317" s="712"/>
      <c r="CU317" s="712"/>
      <c r="CV317" s="712"/>
      <c r="CW317" s="1196">
        <f>-CW268</f>
        <v>18.274000000000001</v>
      </c>
      <c r="CX317" s="938"/>
      <c r="CY317" s="938"/>
      <c r="CZ317" s="938"/>
      <c r="DA317" s="938"/>
      <c r="DB317" s="1196">
        <f>-DB268</f>
        <v>19.079000000000001</v>
      </c>
      <c r="DC317" s="938"/>
      <c r="DD317" s="938"/>
      <c r="DE317" s="938"/>
      <c r="DF317" s="938"/>
      <c r="DG317" s="1196">
        <f>-DG268</f>
        <v>20.844999999999999</v>
      </c>
      <c r="DH317" s="938"/>
      <c r="DI317" s="938"/>
      <c r="DJ317" s="938"/>
      <c r="DK317" s="938"/>
      <c r="DL317" s="1196">
        <f>-DL268</f>
        <v>22.177</v>
      </c>
      <c r="DM317" s="938"/>
      <c r="DN317" s="938"/>
      <c r="DO317" s="938"/>
      <c r="DP317" s="938"/>
      <c r="DQ317" s="1196">
        <f>-DQ268</f>
        <v>22.356999999999999</v>
      </c>
      <c r="DR317" s="938"/>
      <c r="DS317" s="938"/>
      <c r="DT317" s="938"/>
      <c r="DU317" s="938"/>
      <c r="DV317" s="1196">
        <f>-DV268</f>
        <v>22.62</v>
      </c>
      <c r="DW317" s="938"/>
      <c r="DX317" s="938"/>
      <c r="DY317" s="938"/>
      <c r="DZ317" s="938"/>
      <c r="EA317" s="1196">
        <f>-EA268</f>
        <v>28.72</v>
      </c>
      <c r="EB317" s="938"/>
      <c r="EC317" s="938"/>
      <c r="ED317" s="938"/>
      <c r="EE317" s="938"/>
      <c r="EF317" s="1196">
        <f>-EF268</f>
        <v>34.48414425</v>
      </c>
      <c r="EG317" s="938"/>
      <c r="EH317" s="938"/>
      <c r="EI317" s="938"/>
      <c r="EJ317" s="938"/>
      <c r="EK317" s="1196">
        <f>-EK268</f>
        <v>55.001794860999809</v>
      </c>
      <c r="EL317" s="938"/>
      <c r="EM317" s="938"/>
      <c r="EN317" s="938"/>
      <c r="EO317" s="938"/>
      <c r="EP317" s="1196">
        <f>-EP268</f>
        <v>64.836792553296007</v>
      </c>
      <c r="EQ317" s="938"/>
      <c r="ER317" s="938"/>
      <c r="ES317" s="938"/>
      <c r="ET317" s="938"/>
      <c r="EU317" s="1196">
        <f>-EU268</f>
        <v>76.727822260871278</v>
      </c>
      <c r="EV317" s="938"/>
      <c r="EW317" s="938"/>
      <c r="EX317" s="938"/>
      <c r="EY317" s="938"/>
      <c r="EZ317" s="1196">
        <f>-EZ268</f>
        <v>83.700827153825884</v>
      </c>
      <c r="FA317" s="938"/>
      <c r="FB317" s="938"/>
      <c r="FC317" s="938"/>
      <c r="FD317" s="938"/>
      <c r="FE317" s="1196">
        <f>-FE268</f>
        <v>90.94439291028813</v>
      </c>
      <c r="FF317" s="712"/>
      <c r="FG317" s="690"/>
      <c r="FH317" s="754"/>
      <c r="FI317" s="754"/>
      <c r="FJ317" s="754"/>
      <c r="FK317" s="754"/>
      <c r="FL317" s="690"/>
      <c r="FM317" s="747"/>
      <c r="FN317" s="747"/>
      <c r="FO317" s="748"/>
      <c r="FP317" s="748"/>
      <c r="FQ317" s="748"/>
      <c r="FR317" s="748"/>
      <c r="FS317" s="748"/>
      <c r="FT317" s="748"/>
      <c r="FU317" s="690"/>
      <c r="FV317"/>
      <c r="FW317"/>
      <c r="FX317"/>
      <c r="FY317"/>
      <c r="FZ317"/>
      <c r="GA317"/>
      <c r="GB317" s="931"/>
      <c r="GC317" s="532"/>
      <c r="GD317" s="532"/>
      <c r="GE317" s="532"/>
      <c r="GF317" s="532"/>
      <c r="GG317" s="532"/>
      <c r="GH317" s="532"/>
      <c r="GI317" s="532"/>
      <c r="GJ317" s="532"/>
      <c r="GK317" s="532"/>
      <c r="GL317" s="532"/>
      <c r="GM317" s="532"/>
      <c r="GN317" s="532"/>
      <c r="GO317" s="532"/>
      <c r="GP317" s="532"/>
      <c r="GQ317" s="532"/>
      <c r="GR317" s="532"/>
      <c r="GS317" s="532"/>
      <c r="GT317" s="532"/>
      <c r="GU317" s="532"/>
      <c r="GV317" s="532"/>
      <c r="GW317" s="532"/>
      <c r="GX317" s="532"/>
      <c r="GY317" s="532"/>
      <c r="GZ317" s="532"/>
      <c r="HA317" s="532"/>
      <c r="HB317" s="532"/>
      <c r="HC317" s="532"/>
      <c r="HD317" s="532"/>
      <c r="HE317" s="532"/>
      <c r="HF317" s="532"/>
      <c r="HG317" s="532"/>
      <c r="HH317" s="532"/>
      <c r="HI317" s="532"/>
      <c r="HJ317" s="532"/>
      <c r="HK317" s="532"/>
      <c r="HL317" s="532"/>
      <c r="HM317" s="532"/>
      <c r="HN317" s="532"/>
      <c r="HO317" s="532"/>
      <c r="HP317" s="532"/>
      <c r="HQ317" s="532"/>
      <c r="HR317" s="532"/>
      <c r="HS317" s="532"/>
      <c r="HT317" s="532"/>
      <c r="HU317" s="532"/>
      <c r="HV317" s="532"/>
      <c r="HW317" s="532"/>
      <c r="HX317" s="532"/>
      <c r="HY317" s="532"/>
      <c r="HZ317" s="532"/>
      <c r="IA317" s="532"/>
      <c r="IB317" s="532"/>
      <c r="IC317" s="532"/>
      <c r="ID317" s="532"/>
      <c r="IE317" s="532"/>
      <c r="IF317" s="532"/>
      <c r="IG317" s="532"/>
      <c r="IH317" s="532"/>
      <c r="II317" s="532"/>
      <c r="IJ317" s="532"/>
      <c r="IK317" s="532"/>
      <c r="IL317" s="532"/>
      <c r="IM317" s="532"/>
      <c r="IN317" s="532"/>
      <c r="IO317" s="532"/>
      <c r="IP317" s="532"/>
      <c r="IQ317" s="532"/>
      <c r="IR317" s="532"/>
      <c r="IS317" s="532"/>
      <c r="IT317" s="532"/>
      <c r="IU317" s="532"/>
      <c r="IV317" s="532"/>
      <c r="IW317" s="532"/>
      <c r="IX317" s="532"/>
      <c r="IY317" s="532"/>
      <c r="IZ317" s="532"/>
      <c r="JA317" s="532"/>
      <c r="JB317" s="532"/>
      <c r="JC317" s="532"/>
      <c r="JD317" s="532"/>
      <c r="JE317" s="532"/>
      <c r="JF317" s="532"/>
      <c r="JG317" s="532"/>
      <c r="JH317" s="532"/>
      <c r="JI317" s="532"/>
      <c r="JJ317" s="532"/>
      <c r="JK317" s="532"/>
      <c r="JL317" s="532"/>
    </row>
    <row r="318" spans="1:272" s="799" customFormat="1" ht="12.75" hidden="1" customHeight="1" outlineLevel="1">
      <c r="A318" s="721" t="s">
        <v>173</v>
      </c>
      <c r="B318" s="721"/>
      <c r="C318" s="721"/>
      <c r="D318" s="721"/>
      <c r="E318" s="721"/>
      <c r="F318" s="741"/>
      <c r="G318" s="721"/>
      <c r="H318" s="721"/>
      <c r="I318" s="721"/>
      <c r="J318" s="721"/>
      <c r="K318" s="741"/>
      <c r="L318" s="721"/>
      <c r="M318" s="721"/>
      <c r="N318" s="721"/>
      <c r="O318" s="721"/>
      <c r="P318" s="741"/>
      <c r="Q318" s="721"/>
      <c r="R318" s="721"/>
      <c r="S318" s="721"/>
      <c r="T318" s="721"/>
      <c r="U318" s="741"/>
      <c r="V318" s="721"/>
      <c r="W318" s="721"/>
      <c r="X318" s="721"/>
      <c r="Y318" s="721"/>
      <c r="Z318" s="741"/>
      <c r="AA318" s="721"/>
      <c r="AB318" s="721"/>
      <c r="AC318" s="721"/>
      <c r="AD318" s="721"/>
      <c r="AE318" s="741"/>
      <c r="AF318" s="721"/>
      <c r="AG318" s="721"/>
      <c r="AH318" s="721"/>
      <c r="AI318" s="721"/>
      <c r="AJ318" s="741"/>
      <c r="AK318" s="721"/>
      <c r="AL318" s="721"/>
      <c r="AM318" s="721"/>
      <c r="AN318" s="721"/>
      <c r="AO318" s="741"/>
      <c r="AP318" s="721"/>
      <c r="AQ318" s="721"/>
      <c r="AR318" s="721"/>
      <c r="AS318" s="721"/>
      <c r="AT318" s="741"/>
      <c r="AU318" s="721"/>
      <c r="AV318" s="721"/>
      <c r="AW318" s="721"/>
      <c r="AX318" s="721"/>
      <c r="AY318" s="741"/>
      <c r="AZ318" s="721"/>
      <c r="BA318" s="721"/>
      <c r="BB318" s="721"/>
      <c r="BC318" s="721"/>
      <c r="BD318" s="741"/>
      <c r="BE318" s="721"/>
      <c r="BF318" s="721"/>
      <c r="BG318" s="721"/>
      <c r="BH318" s="721"/>
      <c r="BI318" s="741"/>
      <c r="BJ318" s="721"/>
      <c r="BK318" s="721"/>
      <c r="BL318" s="721"/>
      <c r="BM318" s="721"/>
      <c r="BN318" s="741">
        <v>0.38300000000000001</v>
      </c>
      <c r="BO318" s="721"/>
      <c r="BP318" s="721"/>
      <c r="BQ318" s="721"/>
      <c r="BR318" s="721"/>
      <c r="BS318" s="741">
        <v>0.39099999999999996</v>
      </c>
      <c r="BT318" s="721"/>
      <c r="BU318" s="721"/>
      <c r="BV318" s="721"/>
      <c r="BW318" s="721"/>
      <c r="BX318" s="741">
        <v>0.40899999999999997</v>
      </c>
      <c r="BY318" s="721"/>
      <c r="BZ318" s="721"/>
      <c r="CA318" s="721"/>
      <c r="CB318" s="721"/>
      <c r="CC318" s="741">
        <v>0.40099999999999997</v>
      </c>
      <c r="CD318" s="721"/>
      <c r="CE318" s="721"/>
      <c r="CF318" s="721"/>
      <c r="CG318" s="721"/>
      <c r="CH318" s="741">
        <v>0.40099999999999997</v>
      </c>
      <c r="CI318" s="721"/>
      <c r="CJ318" s="721"/>
      <c r="CK318" s="721"/>
      <c r="CL318" s="721"/>
      <c r="CM318" s="741">
        <v>0.40099999999999997</v>
      </c>
      <c r="CN318" s="721"/>
      <c r="CO318" s="721"/>
      <c r="CP318" s="721"/>
      <c r="CQ318" s="721"/>
      <c r="CR318" s="741">
        <v>0.40099999999999997</v>
      </c>
      <c r="CS318" s="721"/>
      <c r="CT318" s="721"/>
      <c r="CU318" s="721"/>
      <c r="CV318" s="721"/>
      <c r="CW318" s="741">
        <v>0.40099999999999997</v>
      </c>
      <c r="CX318" s="721"/>
      <c r="CY318" s="721"/>
      <c r="CZ318" s="721"/>
      <c r="DA318" s="721"/>
      <c r="DB318" s="741">
        <v>0.40099999999999997</v>
      </c>
      <c r="DC318" s="721"/>
      <c r="DD318" s="721"/>
      <c r="DE318" s="721"/>
      <c r="DF318" s="721"/>
      <c r="DG318" s="741">
        <v>0.40099999999999997</v>
      </c>
      <c r="DH318" s="721"/>
      <c r="DI318" s="721"/>
      <c r="DJ318" s="721"/>
      <c r="DK318" s="721"/>
      <c r="DL318" s="741">
        <v>0.40099999999999997</v>
      </c>
      <c r="DM318" s="721"/>
      <c r="DN318" s="721"/>
      <c r="DO318" s="721"/>
      <c r="DP318" s="721"/>
      <c r="DQ318" s="741">
        <v>0.40099999999999997</v>
      </c>
      <c r="DR318" s="721"/>
      <c r="DS318" s="721"/>
      <c r="DT318" s="721"/>
      <c r="DU318" s="721"/>
      <c r="DV318" s="741">
        <v>0.40099999999999997</v>
      </c>
      <c r="DW318" s="721"/>
      <c r="DX318" s="721"/>
      <c r="DY318" s="721"/>
      <c r="DZ318" s="721"/>
      <c r="EA318" s="741">
        <v>0.40099999999999997</v>
      </c>
      <c r="EB318" s="721"/>
      <c r="EC318" s="721"/>
      <c r="ED318" s="721"/>
      <c r="EE318" s="721"/>
      <c r="EF318" s="741">
        <v>0.40099999999999997</v>
      </c>
      <c r="EG318" s="721"/>
      <c r="EH318" s="721"/>
      <c r="EI318" s="721"/>
      <c r="EJ318" s="721"/>
      <c r="EK318" s="741">
        <v>0.40099999999999997</v>
      </c>
      <c r="EL318" s="721"/>
      <c r="EM318" s="721"/>
      <c r="EN318" s="721"/>
      <c r="EO318" s="721"/>
      <c r="EP318" s="741">
        <v>0.40099999999999997</v>
      </c>
      <c r="EQ318" s="721"/>
      <c r="ER318" s="721"/>
      <c r="ES318" s="721"/>
      <c r="ET318" s="721"/>
      <c r="EU318" s="741">
        <v>0.40099999999999997</v>
      </c>
      <c r="EV318" s="721"/>
      <c r="EW318" s="721"/>
      <c r="EX318" s="721"/>
      <c r="EY318" s="721"/>
      <c r="EZ318" s="741">
        <v>0.40099999999999997</v>
      </c>
      <c r="FA318" s="721"/>
      <c r="FB318" s="721"/>
      <c r="FC318" s="721"/>
      <c r="FD318" s="721"/>
      <c r="FE318" s="741">
        <v>0.40099999999999997</v>
      </c>
      <c r="FF318" s="721"/>
      <c r="FG318" s="690"/>
      <c r="FH318" s="754"/>
      <c r="FI318" s="754"/>
      <c r="FJ318" s="754"/>
      <c r="FK318" s="754"/>
      <c r="FL318" s="690"/>
      <c r="FM318" s="708"/>
      <c r="FN318" s="708"/>
      <c r="FO318" s="723"/>
      <c r="FP318" s="723"/>
      <c r="FQ318" s="723"/>
      <c r="FR318" s="723"/>
      <c r="FS318" s="723"/>
      <c r="FT318" s="723"/>
      <c r="FU318" s="690"/>
      <c r="FV318"/>
      <c r="FW318"/>
      <c r="FX318"/>
      <c r="FY318"/>
      <c r="FZ318"/>
      <c r="GA318"/>
      <c r="GB318" s="879"/>
      <c r="GC318" s="950"/>
      <c r="GD318" s="950"/>
      <c r="GE318" s="950"/>
      <c r="GF318" s="950"/>
      <c r="GG318" s="950"/>
      <c r="GH318" s="950"/>
      <c r="GI318" s="950"/>
      <c r="GJ318" s="950"/>
      <c r="GK318" s="950"/>
      <c r="GL318" s="950"/>
      <c r="GM318" s="950"/>
      <c r="GN318" s="950"/>
      <c r="GO318" s="950"/>
      <c r="GP318" s="950"/>
      <c r="GQ318" s="950"/>
      <c r="GR318" s="950"/>
      <c r="GS318" s="950"/>
      <c r="GT318" s="950"/>
      <c r="GU318" s="950"/>
      <c r="GV318" s="950"/>
      <c r="GW318" s="950"/>
      <c r="GX318" s="950"/>
      <c r="GY318" s="950"/>
      <c r="GZ318" s="950"/>
      <c r="HA318" s="950"/>
      <c r="HB318" s="950"/>
      <c r="HC318" s="950"/>
      <c r="HD318" s="950"/>
      <c r="HE318" s="950"/>
      <c r="HF318" s="950"/>
      <c r="HG318" s="950"/>
      <c r="HH318" s="950"/>
      <c r="HI318" s="950"/>
      <c r="HJ318" s="950"/>
      <c r="HK318" s="950"/>
      <c r="HL318" s="950"/>
      <c r="HM318" s="950"/>
      <c r="HN318" s="950"/>
      <c r="HO318" s="950"/>
      <c r="HP318" s="950"/>
      <c r="HQ318" s="950"/>
      <c r="HR318" s="950"/>
      <c r="HS318" s="950"/>
      <c r="HT318" s="950"/>
      <c r="HU318" s="950"/>
      <c r="HV318" s="950"/>
      <c r="HW318" s="950"/>
      <c r="HX318" s="950"/>
      <c r="HY318" s="950"/>
      <c r="HZ318" s="950"/>
      <c r="IA318" s="950"/>
      <c r="IB318" s="950"/>
      <c r="IC318" s="950"/>
      <c r="ID318" s="950"/>
      <c r="IE318" s="950"/>
      <c r="IF318" s="950"/>
      <c r="IG318" s="950"/>
      <c r="IH318" s="950"/>
      <c r="II318" s="950"/>
      <c r="IJ318" s="950"/>
      <c r="IK318" s="950"/>
      <c r="IL318" s="950"/>
      <c r="IM318" s="950"/>
      <c r="IN318" s="950"/>
      <c r="IO318" s="950"/>
      <c r="IP318" s="950"/>
      <c r="IQ318" s="950"/>
      <c r="IR318" s="950"/>
      <c r="IS318" s="950"/>
      <c r="IT318" s="950"/>
      <c r="IU318" s="950"/>
      <c r="IV318" s="950"/>
      <c r="IW318" s="950"/>
      <c r="IX318" s="950"/>
      <c r="IY318" s="950"/>
      <c r="IZ318" s="950"/>
      <c r="JA318" s="950"/>
      <c r="JB318" s="950"/>
      <c r="JC318" s="950"/>
      <c r="JD318" s="950"/>
      <c r="JE318" s="950"/>
      <c r="JF318" s="950"/>
      <c r="JG318" s="950"/>
      <c r="JH318" s="950"/>
      <c r="JI318" s="950"/>
      <c r="JJ318" s="950"/>
      <c r="JK318" s="950"/>
      <c r="JL318" s="950"/>
    </row>
    <row r="319" spans="1:272" s="799" customFormat="1" ht="12.75" hidden="1" customHeight="1" outlineLevel="1">
      <c r="A319" s="721" t="s">
        <v>83</v>
      </c>
      <c r="B319" s="721"/>
      <c r="C319" s="721"/>
      <c r="D319" s="721"/>
      <c r="E319" s="721"/>
      <c r="F319" s="741"/>
      <c r="G319" s="721"/>
      <c r="H319" s="721"/>
      <c r="I319" s="721"/>
      <c r="J319" s="721"/>
      <c r="K319" s="741"/>
      <c r="L319" s="721"/>
      <c r="M319" s="721"/>
      <c r="N319" s="721"/>
      <c r="O319" s="721"/>
      <c r="P319" s="741"/>
      <c r="Q319" s="721"/>
      <c r="R319" s="721"/>
      <c r="S319" s="721"/>
      <c r="T319" s="721"/>
      <c r="U319" s="741"/>
      <c r="V319" s="721"/>
      <c r="W319" s="721"/>
      <c r="X319" s="721"/>
      <c r="Y319" s="721"/>
      <c r="Z319" s="741"/>
      <c r="AA319" s="721"/>
      <c r="AB319" s="721"/>
      <c r="AC319" s="721"/>
      <c r="AD319" s="721"/>
      <c r="AE319" s="741"/>
      <c r="AF319" s="721"/>
      <c r="AG319" s="721"/>
      <c r="AH319" s="721"/>
      <c r="AI319" s="721"/>
      <c r="AJ319" s="741"/>
      <c r="AK319" s="721"/>
      <c r="AL319" s="721"/>
      <c r="AM319" s="721"/>
      <c r="AN319" s="721"/>
      <c r="AO319" s="741"/>
      <c r="AP319" s="721"/>
      <c r="AQ319" s="721"/>
      <c r="AR319" s="721"/>
      <c r="AS319" s="721"/>
      <c r="AT319" s="741"/>
      <c r="AU319" s="721"/>
      <c r="AV319" s="721"/>
      <c r="AW319" s="721"/>
      <c r="AX319" s="721"/>
      <c r="AY319" s="741"/>
      <c r="AZ319" s="721"/>
      <c r="BA319" s="721"/>
      <c r="BB319" s="721"/>
      <c r="BC319" s="721"/>
      <c r="BD319" s="741"/>
      <c r="BE319" s="721"/>
      <c r="BF319" s="721"/>
      <c r="BG319" s="721"/>
      <c r="BH319" s="721"/>
      <c r="BI319" s="741"/>
      <c r="BJ319" s="721"/>
      <c r="BK319" s="721"/>
      <c r="BL319" s="721"/>
      <c r="BM319" s="721"/>
      <c r="BN319" s="1196">
        <v>122.282</v>
      </c>
      <c r="BO319" s="938"/>
      <c r="BP319" s="938"/>
      <c r="BQ319" s="938"/>
      <c r="BR319" s="938"/>
      <c r="BS319" s="1196">
        <f>122.282</f>
        <v>122.282</v>
      </c>
      <c r="BT319" s="938"/>
      <c r="BU319" s="938"/>
      <c r="BV319" s="938"/>
      <c r="BW319" s="938"/>
      <c r="BX319" s="1196">
        <v>122.282</v>
      </c>
      <c r="BY319" s="938"/>
      <c r="BZ319" s="938"/>
      <c r="CA319" s="938"/>
      <c r="CB319" s="938"/>
      <c r="CC319" s="1196">
        <v>122.282</v>
      </c>
      <c r="CD319" s="938"/>
      <c r="CE319" s="938"/>
      <c r="CF319" s="938"/>
      <c r="CG319" s="938"/>
      <c r="CH319" s="1196">
        <v>122.282</v>
      </c>
      <c r="CI319" s="938"/>
      <c r="CJ319" s="938"/>
      <c r="CK319" s="938"/>
      <c r="CL319" s="938"/>
      <c r="CM319" s="1196">
        <v>122.282</v>
      </c>
      <c r="CN319" s="938"/>
      <c r="CO319" s="938"/>
      <c r="CP319" s="938"/>
      <c r="CQ319" s="938"/>
      <c r="CR319" s="1196">
        <v>122.282</v>
      </c>
      <c r="CS319" s="938"/>
      <c r="CT319" s="938"/>
      <c r="CU319" s="938"/>
      <c r="CV319" s="938"/>
      <c r="CW319" s="1196">
        <v>122.282</v>
      </c>
      <c r="CX319" s="938"/>
      <c r="CY319" s="938"/>
      <c r="CZ319" s="938"/>
      <c r="DA319" s="938"/>
      <c r="DB319" s="1196">
        <v>122.282</v>
      </c>
      <c r="DC319" s="938"/>
      <c r="DD319" s="938"/>
      <c r="DE319" s="938"/>
      <c r="DF319" s="938"/>
      <c r="DG319" s="1196">
        <v>122.282</v>
      </c>
      <c r="DH319" s="938"/>
      <c r="DI319" s="938"/>
      <c r="DJ319" s="938"/>
      <c r="DK319" s="938"/>
      <c r="DL319" s="1196">
        <v>122.282</v>
      </c>
      <c r="DM319" s="938"/>
      <c r="DN319" s="938"/>
      <c r="DO319" s="938"/>
      <c r="DP319" s="938"/>
      <c r="DQ319" s="1196">
        <v>122.282</v>
      </c>
      <c r="DR319" s="938"/>
      <c r="DS319" s="938"/>
      <c r="DT319" s="938"/>
      <c r="DU319" s="938"/>
      <c r="DV319" s="1196">
        <v>122.282</v>
      </c>
      <c r="DW319" s="938"/>
      <c r="DX319" s="938"/>
      <c r="DY319" s="938"/>
      <c r="DZ319" s="938"/>
      <c r="EA319" s="1196">
        <v>122.282</v>
      </c>
      <c r="EB319" s="938"/>
      <c r="EC319" s="938"/>
      <c r="ED319" s="938"/>
      <c r="EE319" s="938"/>
      <c r="EF319" s="1196">
        <v>122.282</v>
      </c>
      <c r="EG319" s="938"/>
      <c r="EH319" s="938"/>
      <c r="EI319" s="938"/>
      <c r="EJ319" s="938"/>
      <c r="EK319" s="1196">
        <v>122.282</v>
      </c>
      <c r="EL319" s="938"/>
      <c r="EM319" s="938"/>
      <c r="EN319" s="938"/>
      <c r="EO319" s="938"/>
      <c r="EP319" s="1196">
        <v>122.282</v>
      </c>
      <c r="EQ319" s="938"/>
      <c r="ER319" s="938"/>
      <c r="ES319" s="938"/>
      <c r="ET319" s="938"/>
      <c r="EU319" s="1196">
        <v>122.282</v>
      </c>
      <c r="EV319" s="938"/>
      <c r="EW319" s="938"/>
      <c r="EX319" s="938"/>
      <c r="EY319" s="938"/>
      <c r="EZ319" s="1196">
        <v>122.282</v>
      </c>
      <c r="FA319" s="938"/>
      <c r="FB319" s="938"/>
      <c r="FC319" s="938"/>
      <c r="FD319" s="938"/>
      <c r="FE319" s="1196">
        <v>122.282</v>
      </c>
      <c r="FF319" s="721"/>
      <c r="FG319" s="690"/>
      <c r="FH319" s="754"/>
      <c r="FI319" s="754"/>
      <c r="FJ319" s="754"/>
      <c r="FK319" s="754"/>
      <c r="FL319" s="690"/>
      <c r="FM319" s="708"/>
      <c r="FN319" s="708"/>
      <c r="FO319" s="723"/>
      <c r="FP319" s="723"/>
      <c r="FQ319" s="723"/>
      <c r="FR319" s="723"/>
      <c r="FS319" s="723"/>
      <c r="FT319" s="723"/>
      <c r="FU319" s="690"/>
      <c r="FV319"/>
      <c r="FW319"/>
      <c r="FX319"/>
      <c r="FY319"/>
      <c r="FZ319"/>
      <c r="GA319"/>
      <c r="GB319" s="879"/>
      <c r="GC319" s="950"/>
      <c r="GD319" s="950"/>
      <c r="GE319" s="950"/>
      <c r="GF319" s="950"/>
      <c r="GG319" s="950"/>
      <c r="GH319" s="950"/>
      <c r="GI319" s="950"/>
      <c r="GJ319" s="950"/>
      <c r="GK319" s="950"/>
      <c r="GL319" s="950"/>
      <c r="GM319" s="950"/>
      <c r="GN319" s="950"/>
      <c r="GO319" s="950"/>
      <c r="GP319" s="950"/>
      <c r="GQ319" s="950"/>
      <c r="GR319" s="950"/>
      <c r="GS319" s="950"/>
      <c r="GT319" s="950"/>
      <c r="GU319" s="950"/>
      <c r="GV319" s="950"/>
      <c r="GW319" s="950"/>
      <c r="GX319" s="950"/>
      <c r="GY319" s="950"/>
      <c r="GZ319" s="950"/>
      <c r="HA319" s="950"/>
      <c r="HB319" s="950"/>
      <c r="HC319" s="950"/>
      <c r="HD319" s="950"/>
      <c r="HE319" s="950"/>
      <c r="HF319" s="950"/>
      <c r="HG319" s="950"/>
      <c r="HH319" s="950"/>
      <c r="HI319" s="950"/>
      <c r="HJ319" s="950"/>
      <c r="HK319" s="950"/>
      <c r="HL319" s="950"/>
      <c r="HM319" s="950"/>
      <c r="HN319" s="950"/>
      <c r="HO319" s="950"/>
      <c r="HP319" s="950"/>
      <c r="HQ319" s="950"/>
      <c r="HR319" s="950"/>
      <c r="HS319" s="950"/>
      <c r="HT319" s="950"/>
      <c r="HU319" s="950"/>
      <c r="HV319" s="950"/>
      <c r="HW319" s="950"/>
      <c r="HX319" s="950"/>
      <c r="HY319" s="950"/>
      <c r="HZ319" s="950"/>
      <c r="IA319" s="950"/>
      <c r="IB319" s="950"/>
      <c r="IC319" s="950"/>
      <c r="ID319" s="950"/>
      <c r="IE319" s="950"/>
      <c r="IF319" s="950"/>
      <c r="IG319" s="950"/>
      <c r="IH319" s="950"/>
      <c r="II319" s="950"/>
      <c r="IJ319" s="950"/>
      <c r="IK319" s="950"/>
      <c r="IL319" s="950"/>
      <c r="IM319" s="950"/>
      <c r="IN319" s="950"/>
      <c r="IO319" s="950"/>
      <c r="IP319" s="950"/>
      <c r="IQ319" s="950"/>
      <c r="IR319" s="950"/>
      <c r="IS319" s="950"/>
      <c r="IT319" s="950"/>
      <c r="IU319" s="950"/>
      <c r="IV319" s="950"/>
      <c r="IW319" s="950"/>
      <c r="IX319" s="950"/>
      <c r="IY319" s="950"/>
      <c r="IZ319" s="950"/>
      <c r="JA319" s="950"/>
      <c r="JB319" s="950"/>
      <c r="JC319" s="950"/>
      <c r="JD319" s="950"/>
      <c r="JE319" s="950"/>
      <c r="JF319" s="950"/>
      <c r="JG319" s="950"/>
      <c r="JH319" s="950"/>
      <c r="JI319" s="950"/>
      <c r="JJ319" s="950"/>
      <c r="JK319" s="950"/>
      <c r="JL319" s="950"/>
    </row>
    <row r="320" spans="1:272" s="749" customFormat="1" ht="12.75" hidden="1" customHeight="1" outlineLevel="1">
      <c r="A320" s="1703" t="s">
        <v>466</v>
      </c>
      <c r="B320" s="1704"/>
      <c r="C320" s="1705"/>
      <c r="D320" s="1705"/>
      <c r="E320" s="1705"/>
      <c r="F320" s="1706"/>
      <c r="G320" s="1705"/>
      <c r="H320" s="1705"/>
      <c r="I320" s="1705"/>
      <c r="J320" s="1705"/>
      <c r="K320" s="1706"/>
      <c r="L320" s="1705"/>
      <c r="M320" s="1705"/>
      <c r="N320" s="1705"/>
      <c r="O320" s="1705"/>
      <c r="P320" s="1706"/>
      <c r="Q320" s="1705"/>
      <c r="R320" s="1705"/>
      <c r="S320" s="1705"/>
      <c r="T320" s="1705"/>
      <c r="U320" s="1706"/>
      <c r="V320" s="1705"/>
      <c r="W320" s="1705"/>
      <c r="X320" s="1705"/>
      <c r="Y320" s="1705"/>
      <c r="Z320" s="1706"/>
      <c r="AA320" s="1705"/>
      <c r="AB320" s="1705"/>
      <c r="AC320" s="1705"/>
      <c r="AD320" s="1705"/>
      <c r="AE320" s="1706"/>
      <c r="AF320" s="1705"/>
      <c r="AG320" s="1705"/>
      <c r="AH320" s="1705"/>
      <c r="AI320" s="1705"/>
      <c r="AJ320" s="1706"/>
      <c r="AK320" s="1705"/>
      <c r="AL320" s="1705"/>
      <c r="AM320" s="1705"/>
      <c r="AN320" s="1705"/>
      <c r="AO320" s="1706"/>
      <c r="AP320" s="1705">
        <v>45.646000000000001</v>
      </c>
      <c r="AQ320" s="1705">
        <v>46.447000000000003</v>
      </c>
      <c r="AR320" s="1705">
        <v>46.758000000000003</v>
      </c>
      <c r="AS320" s="1705">
        <v>47.392000000000003</v>
      </c>
      <c r="AT320" s="1706">
        <f>AS320</f>
        <v>47.392000000000003</v>
      </c>
      <c r="AU320" s="1705">
        <v>47.576000000000001</v>
      </c>
      <c r="AV320" s="1705">
        <v>47.658000000000001</v>
      </c>
      <c r="AW320" s="1705">
        <v>47.743000000000002</v>
      </c>
      <c r="AX320" s="1705">
        <v>47.875</v>
      </c>
      <c r="AY320" s="1706">
        <f>AX320</f>
        <v>47.875</v>
      </c>
      <c r="AZ320" s="1705">
        <v>48.116</v>
      </c>
      <c r="BA320" s="1705">
        <v>48.328000000000003</v>
      </c>
      <c r="BB320" s="1705">
        <v>48.366999999999997</v>
      </c>
      <c r="BC320" s="1705">
        <v>48.45</v>
      </c>
      <c r="BD320" s="1706">
        <f>BC320</f>
        <v>48.45</v>
      </c>
      <c r="BE320" s="1705">
        <v>48.509</v>
      </c>
      <c r="BF320" s="1705">
        <v>48.564</v>
      </c>
      <c r="BG320" s="1705">
        <v>48.587000000000003</v>
      </c>
      <c r="BH320" s="1705">
        <v>48.655999999999999</v>
      </c>
      <c r="BI320" s="1706">
        <f>BH320</f>
        <v>48.655999999999999</v>
      </c>
      <c r="BJ320" s="1705">
        <v>48.737000000000002</v>
      </c>
      <c r="BK320" s="1705">
        <v>48.834000000000003</v>
      </c>
      <c r="BL320" s="1705">
        <v>48.835999999999999</v>
      </c>
      <c r="BM320" s="1705">
        <v>48.890999999999998</v>
      </c>
      <c r="BN320" s="1706">
        <f>BM320</f>
        <v>48.890999999999998</v>
      </c>
      <c r="BO320" s="1705">
        <v>49.018000000000001</v>
      </c>
      <c r="BP320" s="1705">
        <v>49.213999999999999</v>
      </c>
      <c r="BQ320" s="1705">
        <v>49.26</v>
      </c>
      <c r="BR320" s="1705">
        <v>49.482999999999997</v>
      </c>
      <c r="BS320" s="1706">
        <f>BR320</f>
        <v>49.482999999999997</v>
      </c>
      <c r="BT320" s="1705">
        <v>49.575000000000003</v>
      </c>
      <c r="BU320" s="1705">
        <v>49.624000000000002</v>
      </c>
      <c r="BV320" s="1705">
        <v>49.683</v>
      </c>
      <c r="BW320" s="1705">
        <v>49.683</v>
      </c>
      <c r="BX320" s="1706">
        <f>BW320</f>
        <v>49.683</v>
      </c>
      <c r="BY320" s="1705">
        <v>50</v>
      </c>
      <c r="BZ320" s="1705">
        <v>50.8</v>
      </c>
      <c r="CA320" s="1705">
        <v>51.1</v>
      </c>
      <c r="CB320" s="1705">
        <v>52.2</v>
      </c>
      <c r="CC320" s="1706">
        <f>CB320</f>
        <v>52.2</v>
      </c>
      <c r="CD320" s="1705">
        <v>52.633451000000001</v>
      </c>
      <c r="CE320" s="711">
        <v>52.403689999999997</v>
      </c>
      <c r="CF320" s="711">
        <v>52.081890999999999</v>
      </c>
      <c r="CG320" s="711">
        <v>52.175586000000003</v>
      </c>
      <c r="CH320" s="1706">
        <f>CG320</f>
        <v>52.175586000000003</v>
      </c>
      <c r="CI320" s="1466">
        <v>51.921644999999998</v>
      </c>
      <c r="CJ320" s="711">
        <v>49.676912000000002</v>
      </c>
      <c r="CK320" s="711">
        <v>47.601174999999998</v>
      </c>
      <c r="CL320" s="711">
        <v>46.721893999999999</v>
      </c>
      <c r="CM320" s="1706">
        <f>CL320</f>
        <v>46.721893999999999</v>
      </c>
      <c r="CN320" s="1466">
        <v>45.990811000000001</v>
      </c>
      <c r="CO320" s="711">
        <v>45.286315000000002</v>
      </c>
      <c r="CP320" s="1466">
        <v>44.976481999999997</v>
      </c>
      <c r="CQ320" s="1466">
        <v>45.318739999999998</v>
      </c>
      <c r="CR320" s="1706">
        <f>CQ320</f>
        <v>45.318739999999998</v>
      </c>
      <c r="CS320" s="1466">
        <v>45.230685999999999</v>
      </c>
      <c r="CT320" s="711">
        <v>45.371032999999997</v>
      </c>
      <c r="CU320" s="1466">
        <v>45.499208000000003</v>
      </c>
      <c r="CV320" s="1466">
        <v>45.605592000000001</v>
      </c>
      <c r="CW320" s="1706">
        <f>CV320</f>
        <v>45.605592000000001</v>
      </c>
      <c r="CX320" s="1466">
        <v>45.962857999999997</v>
      </c>
      <c r="CY320" s="711">
        <v>46.171511000000002</v>
      </c>
      <c r="CZ320" s="1705">
        <v>48.862692000000003</v>
      </c>
      <c r="DA320" s="1705">
        <v>47.525861999999996</v>
      </c>
      <c r="DB320" s="1706">
        <f>DA320</f>
        <v>47.525861999999996</v>
      </c>
      <c r="DC320" s="1466">
        <v>49.335701999999998</v>
      </c>
      <c r="DD320" s="711">
        <v>51.665047000000001</v>
      </c>
      <c r="DE320" s="1705">
        <v>54.286676999999997</v>
      </c>
      <c r="DF320" s="1705">
        <v>54.66375</v>
      </c>
      <c r="DG320" s="1706">
        <f>DF320</f>
        <v>54.66375</v>
      </c>
      <c r="DH320" s="1705">
        <v>55.039751000000003</v>
      </c>
      <c r="DI320" s="1705">
        <v>55.413243000000001</v>
      </c>
      <c r="DJ320" s="1705">
        <v>55.588000000000001</v>
      </c>
      <c r="DK320" s="1705">
        <f>63.065931-7.468869</f>
        <v>55.597062000000001</v>
      </c>
      <c r="DL320" s="1706">
        <f>DK320</f>
        <v>55.597062000000001</v>
      </c>
      <c r="DM320" s="1705">
        <f>63.363118-7.56916</f>
        <v>55.793958000000003</v>
      </c>
      <c r="DN320" s="1707"/>
      <c r="DO320" s="1707"/>
      <c r="DP320" s="1705">
        <f>63.065931-7.468869</f>
        <v>55.597062000000001</v>
      </c>
      <c r="DQ320" s="880">
        <f>DQ237</f>
        <v>55.8371335</v>
      </c>
      <c r="DR320" s="1705">
        <f>63.363118-7.56916</f>
        <v>55.793958000000003</v>
      </c>
      <c r="DS320" s="1707"/>
      <c r="DT320" s="1707"/>
      <c r="DU320" s="1705">
        <f>63.065931-7.468869</f>
        <v>55.597062000000001</v>
      </c>
      <c r="DV320" s="880">
        <f>DV237</f>
        <v>56.508880499999997</v>
      </c>
      <c r="DW320" s="1705"/>
      <c r="DX320" s="1707"/>
      <c r="DY320" s="1707"/>
      <c r="DZ320" s="1707"/>
      <c r="EA320" s="880">
        <f>EA237</f>
        <v>57.387875750000006</v>
      </c>
      <c r="EB320" s="1707"/>
      <c r="EC320" s="1707"/>
      <c r="ED320" s="1707"/>
      <c r="EE320" s="1707"/>
      <c r="EF320" s="880">
        <f>EF237</f>
        <v>57.47357375</v>
      </c>
      <c r="EG320" s="1707"/>
      <c r="EH320" s="1707"/>
      <c r="EI320" s="1707"/>
      <c r="EJ320" s="1707"/>
      <c r="EK320" s="880">
        <f>EK237</f>
        <v>56.898838012500001</v>
      </c>
      <c r="EL320" s="1707"/>
      <c r="EM320" s="1707"/>
      <c r="EN320" s="1707"/>
      <c r="EO320" s="1707"/>
      <c r="EP320" s="880">
        <f>EP237</f>
        <v>56.329849632375002</v>
      </c>
      <c r="EQ320" s="1707"/>
      <c r="ER320" s="1707"/>
      <c r="ES320" s="1707"/>
      <c r="ET320" s="1707"/>
      <c r="EU320" s="880">
        <f>EU237</f>
        <v>55.766551136051248</v>
      </c>
      <c r="EV320" s="1707"/>
      <c r="EW320" s="1707"/>
      <c r="EX320" s="1707"/>
      <c r="EY320" s="1707"/>
      <c r="EZ320" s="880">
        <f>EZ237</f>
        <v>55.208885624690737</v>
      </c>
      <c r="FA320" s="1707"/>
      <c r="FB320" s="1707"/>
      <c r="FC320" s="1707"/>
      <c r="FD320" s="1707"/>
      <c r="FE320" s="880">
        <f>FE237</f>
        <v>54.656796768443826</v>
      </c>
      <c r="FF320" s="721"/>
      <c r="FG320" s="690"/>
      <c r="FH320" s="754"/>
      <c r="FI320" s="754"/>
      <c r="FJ320" s="754"/>
      <c r="FK320" s="754"/>
      <c r="FL320" s="690"/>
      <c r="FM320" s="708"/>
      <c r="FN320" s="708"/>
      <c r="FO320" s="723"/>
      <c r="FP320" s="723"/>
      <c r="FQ320" s="723"/>
      <c r="FR320" s="723"/>
      <c r="FS320" s="723"/>
      <c r="FT320" s="723"/>
      <c r="FU320" s="690"/>
      <c r="FV320"/>
      <c r="FW320"/>
      <c r="FX320"/>
      <c r="FY320"/>
      <c r="FZ320"/>
      <c r="GA320"/>
      <c r="GB320" s="961"/>
      <c r="GC320" s="532"/>
      <c r="GD320" s="532"/>
      <c r="GE320" s="532"/>
      <c r="GF320" s="532"/>
      <c r="GG320" s="532"/>
      <c r="GH320" s="532"/>
      <c r="GI320" s="532"/>
      <c r="GJ320" s="532"/>
      <c r="GK320" s="532"/>
      <c r="GL320" s="532"/>
      <c r="GM320" s="532"/>
      <c r="GN320" s="532"/>
      <c r="GO320" s="532"/>
      <c r="GP320" s="532"/>
      <c r="GQ320" s="532"/>
      <c r="GR320" s="532"/>
      <c r="GS320" s="532"/>
      <c r="GT320" s="532"/>
      <c r="GU320" s="532"/>
      <c r="GV320" s="532"/>
      <c r="GW320" s="532"/>
      <c r="GX320" s="532"/>
      <c r="GY320" s="532"/>
      <c r="GZ320" s="532"/>
      <c r="HA320" s="532"/>
      <c r="HB320" s="532"/>
      <c r="HC320" s="532"/>
      <c r="HD320" s="532"/>
      <c r="HE320" s="532"/>
      <c r="HF320" s="532"/>
      <c r="HG320" s="532"/>
      <c r="HH320" s="532"/>
      <c r="HI320" s="532"/>
      <c r="HJ320" s="532"/>
      <c r="HK320" s="532"/>
      <c r="HL320" s="532"/>
      <c r="HM320" s="532"/>
      <c r="HN320" s="532"/>
      <c r="HO320" s="532"/>
      <c r="HP320" s="532"/>
      <c r="HQ320" s="532"/>
      <c r="HR320" s="532"/>
      <c r="HS320" s="532"/>
      <c r="HT320" s="532"/>
      <c r="HU320" s="532"/>
      <c r="HV320" s="532"/>
      <c r="HW320" s="532"/>
      <c r="HX320" s="532"/>
      <c r="HY320" s="532"/>
      <c r="HZ320" s="532"/>
      <c r="IA320" s="532"/>
      <c r="IB320" s="532"/>
      <c r="IC320" s="532"/>
      <c r="ID320" s="532"/>
      <c r="IE320" s="532"/>
      <c r="IF320" s="532"/>
      <c r="IG320" s="532"/>
      <c r="IH320" s="532"/>
      <c r="II320" s="532"/>
      <c r="IJ320" s="532"/>
      <c r="IK320" s="532"/>
      <c r="IL320" s="532"/>
      <c r="IM320" s="532"/>
      <c r="IN320" s="532"/>
      <c r="IO320" s="532"/>
      <c r="IP320" s="532"/>
      <c r="IQ320" s="532"/>
      <c r="IR320" s="532"/>
      <c r="IS320" s="532"/>
      <c r="IT320" s="532"/>
      <c r="IU320" s="532"/>
      <c r="IV320" s="532"/>
      <c r="IW320" s="532"/>
      <c r="IX320" s="532"/>
      <c r="IY320" s="532"/>
      <c r="IZ320" s="532"/>
      <c r="JA320" s="532"/>
      <c r="JB320" s="532"/>
      <c r="JC320" s="532"/>
      <c r="JD320" s="532"/>
      <c r="JE320" s="532"/>
      <c r="JF320" s="532"/>
      <c r="JG320" s="532"/>
      <c r="JH320" s="532"/>
      <c r="JI320" s="532"/>
      <c r="JJ320" s="532"/>
      <c r="JK320" s="532"/>
      <c r="JL320" s="532"/>
    </row>
    <row r="321" spans="1:272" customFormat="1" ht="12.75" customHeight="1" collapsed="1"/>
    <row r="322" spans="1:272" s="749" customFormat="1" ht="12.75" customHeight="1">
      <c r="A322" s="1701"/>
      <c r="B322" s="1701"/>
      <c r="C322" s="1701"/>
      <c r="D322" s="1701"/>
      <c r="E322" s="1701"/>
      <c r="F322" s="1708"/>
      <c r="G322" s="1701"/>
      <c r="H322" s="1701"/>
      <c r="I322" s="1701"/>
      <c r="J322" s="1701"/>
      <c r="K322" s="1708"/>
      <c r="L322" s="1701"/>
      <c r="M322" s="1701"/>
      <c r="N322" s="1701"/>
      <c r="O322" s="1701"/>
      <c r="P322" s="1708"/>
      <c r="Q322" s="1701"/>
      <c r="R322" s="1701"/>
      <c r="S322" s="1701"/>
      <c r="T322" s="1701"/>
      <c r="U322" s="1708"/>
      <c r="V322" s="1701"/>
      <c r="W322" s="1701"/>
      <c r="X322" s="1701"/>
      <c r="Y322" s="1701"/>
      <c r="Z322" s="1708"/>
      <c r="AA322" s="1701"/>
      <c r="AB322" s="1701"/>
      <c r="AC322" s="1701"/>
      <c r="AD322" s="1701"/>
      <c r="AE322" s="1708"/>
      <c r="AF322" s="1701"/>
      <c r="AG322" s="1701"/>
      <c r="AH322" s="1701"/>
      <c r="AI322" s="1701"/>
      <c r="AJ322" s="1708"/>
      <c r="AK322" s="1701"/>
      <c r="AL322" s="1701"/>
      <c r="AM322" s="1701"/>
      <c r="AN322" s="1701"/>
      <c r="AO322" s="1708"/>
      <c r="AP322" s="1701"/>
      <c r="AQ322" s="1701"/>
      <c r="AR322" s="1701"/>
      <c r="AS322" s="1701"/>
      <c r="AT322" s="1708"/>
      <c r="AU322" s="1701"/>
      <c r="AV322" s="1701"/>
      <c r="AW322" s="1701"/>
      <c r="AX322" s="1701"/>
      <c r="AY322" s="1708"/>
      <c r="AZ322" s="1701"/>
      <c r="BA322" s="1701"/>
      <c r="BB322" s="1701"/>
      <c r="BC322" s="1701"/>
      <c r="BD322" s="1708"/>
      <c r="BE322" s="1701"/>
      <c r="BF322" s="1701"/>
      <c r="BG322" s="1701"/>
      <c r="BH322" s="1701"/>
      <c r="BI322" s="1708"/>
      <c r="BJ322" s="1701"/>
      <c r="BK322" s="1701"/>
      <c r="BL322" s="1701"/>
      <c r="BM322" s="1701"/>
      <c r="BN322" s="1708"/>
      <c r="BO322" s="1701"/>
      <c r="BP322" s="1701"/>
      <c r="BQ322" s="1701"/>
      <c r="BR322" s="1701"/>
      <c r="BS322" s="1708"/>
      <c r="BT322" s="1701"/>
      <c r="BU322" s="1701"/>
      <c r="BV322" s="1701"/>
      <c r="BW322" s="1701"/>
      <c r="BX322" s="1708"/>
      <c r="BY322" s="1701"/>
      <c r="BZ322" s="1701"/>
      <c r="CA322" s="1701"/>
      <c r="CB322" s="1701"/>
      <c r="CC322" s="1708"/>
      <c r="CD322" s="1701"/>
      <c r="CE322" s="1701"/>
      <c r="CF322" s="1701"/>
      <c r="CG322" s="1701"/>
      <c r="CH322" s="1708"/>
      <c r="CI322" s="1701"/>
      <c r="CJ322" s="1701"/>
      <c r="CK322" s="1701"/>
      <c r="CL322" s="1701"/>
      <c r="CM322" s="1708"/>
      <c r="CN322" s="1701"/>
      <c r="CO322" s="1701"/>
      <c r="CP322" s="1701"/>
      <c r="CQ322" s="1701"/>
      <c r="CR322" s="1708"/>
      <c r="CS322" s="1701"/>
      <c r="CT322" s="1701"/>
      <c r="CU322" s="1701"/>
      <c r="CV322" s="1701"/>
      <c r="CW322" s="1708"/>
      <c r="CX322" s="1701"/>
      <c r="CY322" s="1701"/>
      <c r="CZ322" s="1701"/>
      <c r="DA322" s="1701"/>
      <c r="DB322" s="1708"/>
      <c r="DC322" s="1701"/>
      <c r="DD322" s="1701"/>
      <c r="DE322" s="1701"/>
      <c r="DF322" s="1701"/>
      <c r="DG322" s="1708"/>
      <c r="DH322" s="1701"/>
      <c r="DI322" s="1701"/>
      <c r="DJ322" s="1701"/>
      <c r="DK322" s="1701"/>
      <c r="DL322" s="1709"/>
      <c r="DM322" s="1701"/>
      <c r="DN322" s="1701"/>
      <c r="DO322" s="1701"/>
      <c r="DP322" s="1701"/>
      <c r="DQ322" s="1709"/>
      <c r="DR322" s="1701"/>
      <c r="DS322" s="1701"/>
      <c r="DT322" s="1701"/>
      <c r="DU322" s="1701"/>
      <c r="DV322" s="1709"/>
      <c r="DW322" s="1701"/>
      <c r="DX322" s="1701"/>
      <c r="DY322" s="1701"/>
      <c r="DZ322" s="1701"/>
      <c r="EA322" s="1709"/>
      <c r="EB322" s="1701"/>
      <c r="EC322" s="1701"/>
      <c r="ED322" s="1701"/>
      <c r="EE322" s="1701"/>
      <c r="EF322" s="1709"/>
      <c r="EG322" s="1701"/>
      <c r="EH322" s="1701"/>
      <c r="EI322" s="1701"/>
      <c r="EJ322" s="1701"/>
      <c r="EK322" s="1709"/>
      <c r="EL322" s="1701"/>
      <c r="EM322" s="1701"/>
      <c r="EN322" s="1701"/>
      <c r="EO322" s="1701"/>
      <c r="EP322" s="1709"/>
      <c r="EQ322" s="1701"/>
      <c r="ER322" s="1701"/>
      <c r="ES322" s="1701"/>
      <c r="ET322" s="1701"/>
      <c r="EU322" s="1709"/>
      <c r="EV322" s="1701"/>
      <c r="EW322" s="1701"/>
      <c r="EX322" s="1701"/>
      <c r="EY322" s="1701"/>
      <c r="EZ322" s="1709"/>
      <c r="FA322" s="1701"/>
      <c r="FB322" s="1701"/>
      <c r="FC322" s="1701"/>
      <c r="FD322" s="1701"/>
      <c r="FE322" s="1709"/>
      <c r="FF322" s="712"/>
      <c r="FG322" s="690"/>
      <c r="FH322" s="754"/>
      <c r="FI322" s="754"/>
      <c r="FJ322" s="754"/>
      <c r="FK322" s="754"/>
      <c r="FL322" s="690"/>
      <c r="FM322" s="747"/>
      <c r="FN322" s="747"/>
      <c r="FO322" s="748"/>
      <c r="FP322" s="748"/>
      <c r="FQ322" s="748"/>
      <c r="FR322" s="748"/>
      <c r="FS322" s="748"/>
      <c r="FT322" s="748"/>
      <c r="FU322" s="690"/>
      <c r="FV322"/>
      <c r="FW322"/>
      <c r="FX322"/>
      <c r="FY322"/>
      <c r="FZ322"/>
      <c r="GA322"/>
      <c r="GB322" s="1710"/>
      <c r="GC322" s="532"/>
      <c r="GD322" s="532"/>
      <c r="GE322" s="532"/>
      <c r="GF322" s="532"/>
      <c r="GG322" s="532"/>
      <c r="GH322" s="532"/>
      <c r="GI322" s="532"/>
      <c r="GJ322" s="532"/>
      <c r="GK322" s="532"/>
      <c r="GL322" s="532"/>
      <c r="GM322" s="532"/>
      <c r="GN322" s="532"/>
      <c r="GO322" s="532"/>
      <c r="GP322" s="532"/>
      <c r="GQ322" s="532"/>
      <c r="GR322" s="532"/>
      <c r="GS322" s="532"/>
      <c r="GT322" s="532"/>
      <c r="GU322" s="532"/>
      <c r="GV322" s="532"/>
      <c r="GW322" s="532"/>
      <c r="GX322" s="532"/>
      <c r="GY322" s="532"/>
      <c r="GZ322" s="532"/>
      <c r="HA322" s="532"/>
      <c r="HB322" s="532"/>
      <c r="HC322" s="532"/>
      <c r="HD322" s="532"/>
      <c r="HE322" s="532"/>
      <c r="HF322" s="532"/>
      <c r="HG322" s="532"/>
      <c r="HH322" s="532"/>
      <c r="HI322" s="532"/>
      <c r="HJ322" s="532"/>
      <c r="HK322" s="532"/>
      <c r="HL322" s="532"/>
      <c r="HM322" s="532"/>
      <c r="HN322" s="532"/>
      <c r="HO322" s="532"/>
      <c r="HP322" s="532"/>
      <c r="HQ322" s="532"/>
      <c r="HR322" s="532"/>
      <c r="HS322" s="532"/>
      <c r="HT322" s="532"/>
      <c r="HU322" s="532"/>
      <c r="HV322" s="532"/>
      <c r="HW322" s="532"/>
      <c r="HX322" s="532"/>
      <c r="HY322" s="532"/>
      <c r="HZ322" s="532"/>
      <c r="IA322" s="532"/>
      <c r="IB322" s="532"/>
      <c r="IC322" s="532"/>
      <c r="ID322" s="532"/>
      <c r="IE322" s="532"/>
      <c r="IF322" s="532"/>
      <c r="IG322" s="532"/>
      <c r="IH322" s="532"/>
      <c r="II322" s="532"/>
      <c r="IJ322" s="532"/>
      <c r="IK322" s="532"/>
      <c r="IL322" s="532"/>
      <c r="IM322" s="532"/>
      <c r="IN322" s="532"/>
      <c r="IO322" s="532"/>
      <c r="IP322" s="532"/>
      <c r="IQ322" s="532"/>
      <c r="IR322" s="532"/>
      <c r="IS322" s="532"/>
      <c r="IT322" s="532"/>
      <c r="IU322" s="532"/>
      <c r="IV322" s="532"/>
      <c r="IW322" s="532"/>
      <c r="IX322" s="532"/>
      <c r="IY322" s="532"/>
      <c r="IZ322" s="532"/>
      <c r="JA322" s="532"/>
      <c r="JB322" s="532"/>
      <c r="JC322" s="532"/>
      <c r="JD322" s="532"/>
      <c r="JE322" s="532"/>
      <c r="JF322" s="532"/>
      <c r="JG322" s="532"/>
      <c r="JH322" s="532"/>
      <c r="JI322" s="532"/>
      <c r="JJ322" s="532"/>
      <c r="JK322" s="532"/>
      <c r="JL322" s="532"/>
    </row>
    <row r="323" spans="1:272" s="749" customFormat="1" ht="12.75" customHeight="1">
      <c r="A323" s="1711"/>
      <c r="B323" s="1711"/>
      <c r="C323" s="1711"/>
      <c r="D323" s="1711"/>
      <c r="E323" s="1711"/>
      <c r="F323" s="1712"/>
      <c r="G323" s="1711"/>
      <c r="H323" s="1711"/>
      <c r="I323" s="1711"/>
      <c r="J323" s="1711"/>
      <c r="K323" s="1712"/>
      <c r="L323" s="1711"/>
      <c r="M323" s="1711"/>
      <c r="N323" s="1711"/>
      <c r="O323" s="1711"/>
      <c r="P323" s="1712"/>
      <c r="Q323" s="1711"/>
      <c r="R323" s="1711"/>
      <c r="S323" s="1711"/>
      <c r="T323" s="1711"/>
      <c r="U323" s="1712"/>
      <c r="V323" s="1711"/>
      <c r="W323" s="1711"/>
      <c r="X323" s="1711"/>
      <c r="Y323" s="1711"/>
      <c r="Z323" s="1712"/>
      <c r="AE323" s="1712"/>
      <c r="AF323" s="1711"/>
      <c r="AG323" s="1711"/>
      <c r="AH323" s="1711"/>
      <c r="AI323" s="1711"/>
      <c r="AJ323" s="1712"/>
      <c r="AK323" s="1711"/>
      <c r="AL323" s="1711"/>
      <c r="AM323" s="1711"/>
      <c r="AN323" s="1711"/>
      <c r="AO323" s="1712"/>
      <c r="AT323" s="1712"/>
      <c r="AY323" s="1712"/>
      <c r="BD323" s="1712"/>
      <c r="BI323" s="1712"/>
      <c r="BN323" s="1712"/>
      <c r="BS323" s="1712"/>
      <c r="BX323" s="1712"/>
      <c r="CC323" s="1712"/>
      <c r="CH323" s="1712"/>
      <c r="CM323" s="1712"/>
      <c r="CR323" s="1712"/>
      <c r="CW323" s="1712"/>
      <c r="DB323" s="1712"/>
      <c r="DG323" s="1712"/>
      <c r="DL323" s="1712"/>
      <c r="DQ323" s="1712"/>
      <c r="DV323" s="1712"/>
      <c r="EA323" s="1712"/>
      <c r="EF323" s="1712"/>
      <c r="EK323" s="1712"/>
      <c r="EP323" s="1712"/>
      <c r="EU323" s="1712"/>
      <c r="EZ323" s="1712"/>
      <c r="FE323" s="1712"/>
      <c r="FF323" s="721"/>
      <c r="FG323" s="690"/>
      <c r="FH323" s="754"/>
      <c r="FI323" s="754"/>
      <c r="FJ323" s="754"/>
      <c r="FK323" s="754"/>
      <c r="FL323" s="690"/>
      <c r="FM323" s="708"/>
      <c r="FN323" s="708"/>
      <c r="FO323" s="723"/>
      <c r="FP323" s="723"/>
      <c r="FQ323" s="723"/>
      <c r="FR323" s="723"/>
      <c r="FS323" s="723"/>
      <c r="FT323" s="723"/>
      <c r="FU323" s="690"/>
      <c r="FV323"/>
      <c r="FW323"/>
      <c r="FX323"/>
      <c r="FY323"/>
      <c r="FZ323"/>
      <c r="GA323"/>
      <c r="GB323" s="1301"/>
      <c r="GC323" s="532"/>
      <c r="GD323" s="532"/>
      <c r="GE323" s="532"/>
      <c r="GF323" s="532"/>
      <c r="GG323" s="532"/>
      <c r="GH323" s="532"/>
      <c r="GI323" s="532"/>
      <c r="GJ323" s="532"/>
      <c r="GK323" s="532"/>
      <c r="GL323" s="532"/>
      <c r="GM323" s="532"/>
      <c r="GN323" s="532"/>
      <c r="GO323" s="532"/>
      <c r="GP323" s="532"/>
      <c r="GQ323" s="532"/>
      <c r="GR323" s="532"/>
      <c r="GS323" s="532"/>
      <c r="GT323" s="532"/>
      <c r="GU323" s="532"/>
      <c r="GV323" s="532"/>
      <c r="GW323" s="532"/>
      <c r="GX323" s="532"/>
      <c r="GY323" s="532"/>
      <c r="GZ323" s="532"/>
      <c r="HA323" s="532"/>
      <c r="HB323" s="532"/>
      <c r="HC323" s="532"/>
      <c r="HD323" s="532"/>
      <c r="HE323" s="532"/>
      <c r="HF323" s="532"/>
      <c r="HG323" s="532"/>
      <c r="HH323" s="532"/>
      <c r="HI323" s="532"/>
      <c r="HJ323" s="532"/>
      <c r="HK323" s="532"/>
      <c r="HL323" s="532"/>
      <c r="HM323" s="532"/>
      <c r="HN323" s="532"/>
      <c r="HO323" s="532"/>
      <c r="HP323" s="532"/>
      <c r="HQ323" s="532"/>
      <c r="HR323" s="532"/>
      <c r="HS323" s="532"/>
      <c r="HT323" s="532"/>
      <c r="HU323" s="532"/>
      <c r="HV323" s="532"/>
      <c r="HW323" s="532"/>
      <c r="HX323" s="532"/>
      <c r="HY323" s="532"/>
      <c r="HZ323" s="532"/>
      <c r="IA323" s="532"/>
      <c r="IB323" s="532"/>
      <c r="IC323" s="532"/>
      <c r="ID323" s="532"/>
      <c r="IE323" s="532"/>
      <c r="IF323" s="532"/>
      <c r="IG323" s="532"/>
      <c r="IH323" s="532"/>
      <c r="II323" s="532"/>
      <c r="IJ323" s="532"/>
      <c r="IK323" s="532"/>
      <c r="IL323" s="532"/>
      <c r="IM323" s="532"/>
      <c r="IN323" s="532"/>
      <c r="IO323" s="532"/>
      <c r="IP323" s="532"/>
      <c r="IQ323" s="532"/>
      <c r="IR323" s="532"/>
      <c r="IS323" s="532"/>
      <c r="IT323" s="532"/>
      <c r="IU323" s="532"/>
      <c r="IV323" s="532"/>
      <c r="IW323" s="532"/>
      <c r="IX323" s="532"/>
      <c r="IY323" s="532"/>
      <c r="IZ323" s="532"/>
      <c r="JA323" s="532"/>
      <c r="JB323" s="532"/>
      <c r="JC323" s="532"/>
      <c r="JD323" s="532"/>
      <c r="JE323" s="532"/>
      <c r="JF323" s="532"/>
      <c r="JG323" s="532"/>
      <c r="JH323" s="532"/>
      <c r="JI323" s="532"/>
      <c r="JJ323" s="532"/>
      <c r="JK323" s="532"/>
      <c r="JL323" s="532"/>
    </row>
    <row r="324" spans="1:272" s="749" customFormat="1" ht="12.75" customHeight="1">
      <c r="A324" s="1711"/>
      <c r="B324" s="1711"/>
      <c r="C324" s="1711"/>
      <c r="D324" s="1711"/>
      <c r="E324" s="1711"/>
      <c r="F324" s="1712"/>
      <c r="G324" s="1711"/>
      <c r="H324" s="1711"/>
      <c r="I324" s="1711"/>
      <c r="J324" s="1711"/>
      <c r="K324" s="1712"/>
      <c r="L324" s="1711"/>
      <c r="M324" s="1711"/>
      <c r="N324" s="1711"/>
      <c r="O324" s="1711"/>
      <c r="P324" s="1712"/>
      <c r="Q324" s="1711"/>
      <c r="R324" s="1711"/>
      <c r="S324" s="1711"/>
      <c r="T324" s="1711"/>
      <c r="U324" s="1712"/>
      <c r="V324" s="1711"/>
      <c r="W324" s="1711"/>
      <c r="X324" s="1711"/>
      <c r="Y324" s="1711"/>
      <c r="Z324" s="1712"/>
      <c r="AE324" s="1712"/>
      <c r="AF324" s="1711"/>
      <c r="AG324" s="1711"/>
      <c r="AH324" s="1711"/>
      <c r="AI324" s="1711"/>
      <c r="AJ324" s="1712"/>
      <c r="AK324" s="1711"/>
      <c r="AL324" s="1711"/>
      <c r="AM324" s="1711"/>
      <c r="AN324" s="1711"/>
      <c r="AO324" s="1712"/>
      <c r="AT324" s="1712"/>
      <c r="AY324" s="1712"/>
      <c r="BD324" s="1712"/>
      <c r="BI324" s="1712"/>
      <c r="BN324" s="1530"/>
      <c r="BS324" s="1530"/>
      <c r="BX324" s="1530"/>
      <c r="BY324" s="1530"/>
      <c r="BZ324" s="1530"/>
      <c r="CA324" s="1530"/>
      <c r="CB324" s="1530"/>
      <c r="CC324" s="1530"/>
      <c r="CD324" s="1530"/>
      <c r="CE324" s="1530"/>
      <c r="CF324" s="1530"/>
      <c r="CG324" s="1530"/>
      <c r="CH324" s="1530"/>
      <c r="CI324" s="1530"/>
      <c r="CJ324" s="1530"/>
      <c r="CK324" s="1530"/>
      <c r="CL324" s="1530"/>
      <c r="CM324" s="1530"/>
      <c r="CN324" s="1530"/>
      <c r="CO324" s="1530"/>
      <c r="CP324" s="1530"/>
      <c r="CQ324" s="1530"/>
      <c r="CR324" s="1530"/>
      <c r="CS324" s="1530"/>
      <c r="CT324" s="1530"/>
      <c r="CU324" s="1530"/>
      <c r="CV324" s="1530"/>
      <c r="CW324" s="1530"/>
      <c r="CX324" s="1530"/>
      <c r="CY324" s="1530"/>
      <c r="CZ324" s="1530"/>
      <c r="DA324" s="1530"/>
      <c r="DB324" s="1530"/>
      <c r="DG324" s="1530"/>
      <c r="DI324" s="1530"/>
      <c r="DL324" s="1712"/>
      <c r="DQ324" s="1712"/>
      <c r="DV324" s="1712"/>
      <c r="EA324" s="1712"/>
      <c r="EF324" s="1712"/>
      <c r="EK324" s="1712"/>
      <c r="EP324" s="1712"/>
      <c r="EU324" s="1712"/>
      <c r="EZ324" s="1712"/>
      <c r="FE324" s="1712"/>
      <c r="FF324" s="721"/>
      <c r="FG324" s="690"/>
      <c r="FH324" s="754"/>
      <c r="FI324" s="754"/>
      <c r="FJ324" s="754"/>
      <c r="FK324" s="754"/>
      <c r="FL324" s="690"/>
      <c r="FM324" s="708"/>
      <c r="FN324" s="708"/>
      <c r="FO324" s="723"/>
      <c r="FP324" s="723"/>
      <c r="FQ324" s="723"/>
      <c r="FR324" s="723"/>
      <c r="FS324" s="723"/>
      <c r="FT324" s="723"/>
      <c r="FU324" s="690"/>
      <c r="FV324"/>
      <c r="FW324"/>
      <c r="FX324"/>
      <c r="FY324"/>
      <c r="FZ324"/>
      <c r="GA324"/>
      <c r="GB324" s="1301"/>
      <c r="GC324" s="532"/>
      <c r="GD324" s="532"/>
      <c r="GE324" s="532"/>
      <c r="GF324" s="532"/>
      <c r="GG324" s="532"/>
      <c r="GH324" s="532"/>
      <c r="GI324" s="532"/>
      <c r="GJ324" s="532"/>
      <c r="GK324" s="532"/>
      <c r="GL324" s="532"/>
      <c r="GM324" s="532"/>
      <c r="GN324" s="532"/>
      <c r="GO324" s="532"/>
      <c r="GP324" s="532"/>
      <c r="GQ324" s="532"/>
      <c r="GR324" s="532"/>
      <c r="GS324" s="532"/>
      <c r="GT324" s="532"/>
      <c r="GU324" s="532"/>
      <c r="GV324" s="532"/>
      <c r="GW324" s="532"/>
      <c r="GX324" s="532"/>
      <c r="GY324" s="532"/>
      <c r="GZ324" s="532"/>
      <c r="HA324" s="532"/>
      <c r="HB324" s="532"/>
      <c r="HC324" s="532"/>
      <c r="HD324" s="532"/>
      <c r="HE324" s="532"/>
      <c r="HF324" s="532"/>
      <c r="HG324" s="532"/>
      <c r="HH324" s="532"/>
      <c r="HI324" s="532"/>
      <c r="HJ324" s="532"/>
      <c r="HK324" s="532"/>
      <c r="HL324" s="532"/>
      <c r="HM324" s="532"/>
      <c r="HN324" s="532"/>
      <c r="HO324" s="532"/>
      <c r="HP324" s="532"/>
      <c r="HQ324" s="532"/>
      <c r="HR324" s="532"/>
      <c r="HS324" s="532"/>
      <c r="HT324" s="532"/>
      <c r="HU324" s="532"/>
      <c r="HV324" s="532"/>
      <c r="HW324" s="532"/>
      <c r="HX324" s="532"/>
      <c r="HY324" s="532"/>
      <c r="HZ324" s="532"/>
      <c r="IA324" s="532"/>
      <c r="IB324" s="532"/>
      <c r="IC324" s="532"/>
      <c r="ID324" s="532"/>
      <c r="IE324" s="532"/>
      <c r="IF324" s="532"/>
      <c r="IG324" s="532"/>
      <c r="IH324" s="532"/>
      <c r="II324" s="532"/>
      <c r="IJ324" s="532"/>
      <c r="IK324" s="532"/>
      <c r="IL324" s="532"/>
      <c r="IM324" s="532"/>
      <c r="IN324" s="532"/>
      <c r="IO324" s="532"/>
      <c r="IP324" s="532"/>
      <c r="IQ324" s="532"/>
      <c r="IR324" s="532"/>
      <c r="IS324" s="532"/>
      <c r="IT324" s="532"/>
      <c r="IU324" s="532"/>
      <c r="IV324" s="532"/>
      <c r="IW324" s="532"/>
      <c r="IX324" s="532"/>
      <c r="IY324" s="532"/>
      <c r="IZ324" s="532"/>
      <c r="JA324" s="532"/>
      <c r="JB324" s="532"/>
      <c r="JC324" s="532"/>
      <c r="JD324" s="532"/>
      <c r="JE324" s="532"/>
      <c r="JF324" s="532"/>
      <c r="JG324" s="532"/>
      <c r="JH324" s="532"/>
      <c r="JI324" s="532"/>
      <c r="JJ324" s="532"/>
      <c r="JK324" s="532"/>
      <c r="JL324" s="532"/>
    </row>
  </sheetData>
  <conditionalFormatting sqref="BI314 BD314 AY314 AT314 AO314 AJ314 AE314 Z314 U314 P314 K314 F314 DG314 CC314 CH314 CM314 CR314 CW314 DB314 BN314 BX314 BN309:BN310 DB309:DB310 CW309:CW310 CR309:CR310 CM309:CM310 CH309:CH310 CC309:CC310 DG309:DG310 F309:F310 K309:K310 P309:P310 U309:U310 Z309:Z310 AE309:AE310 AJ309:AJ310 AO309:AO310 AT309:AT310 AY309:AY310 BD309:BD310 BI309:BI310 BS309:BS310 BX309:BX310 BS314">
    <cfRule type="cellIs" dxfId="11" priority="11" stopIfTrue="1" operator="notEqual">
      <formula>0</formula>
    </cfRule>
  </conditionalFormatting>
  <conditionalFormatting sqref="CI314:CL314 CI316:CL316 CD314:CG314 CS314:CV314 CN314:CQ314 DC314:DF314 CX314:DA314 BY314:CB314 DC309:DF310 CN309:CQ310 CS309:CV310 CD309:CG310 CI309:CL310 BY309:CB310 CX309:DA310 DH314:DV314 DH309:DV310 DX310:EA310 DX314:EA314 ED314:EK314 ED309:EK310">
    <cfRule type="cellIs" dxfId="10" priority="12" stopIfTrue="1" operator="notBetween">
      <formula>0.001</formula>
      <formula>-0.001</formula>
    </cfRule>
  </conditionalFormatting>
  <conditionalFormatting sqref="DX309:DY309">
    <cfRule type="cellIs" dxfId="9" priority="10" stopIfTrue="1" operator="notBetween">
      <formula>0.001</formula>
      <formula>-0.001</formula>
    </cfRule>
  </conditionalFormatting>
  <conditionalFormatting sqref="EL314:EP314 EL309:EP310">
    <cfRule type="cellIs" dxfId="8" priority="9" stopIfTrue="1" operator="notBetween">
      <formula>0.001</formula>
      <formula>-0.001</formula>
    </cfRule>
  </conditionalFormatting>
  <conditionalFormatting sqref="DW314 DW309:DW310">
    <cfRule type="cellIs" dxfId="7" priority="8" stopIfTrue="1" operator="notBetween">
      <formula>0.001</formula>
      <formula>-0.001</formula>
    </cfRule>
  </conditionalFormatting>
  <conditionalFormatting sqref="DZ309:EA309">
    <cfRule type="cellIs" dxfId="6" priority="7" stopIfTrue="1" operator="notBetween">
      <formula>0.001</formula>
      <formula>-0.001</formula>
    </cfRule>
  </conditionalFormatting>
  <conditionalFormatting sqref="EB314 EB309:EB310">
    <cfRule type="cellIs" dxfId="5" priority="6" stopIfTrue="1" operator="notBetween">
      <formula>0.001</formula>
      <formula>-0.001</formula>
    </cfRule>
  </conditionalFormatting>
  <conditionalFormatting sqref="EC310 EC314">
    <cfRule type="cellIs" dxfId="4" priority="5" stopIfTrue="1" operator="notBetween">
      <formula>0.001</formula>
      <formula>-0.001</formula>
    </cfRule>
  </conditionalFormatting>
  <conditionalFormatting sqref="EC309">
    <cfRule type="cellIs" dxfId="3" priority="4" stopIfTrue="1" operator="notBetween">
      <formula>0.001</formula>
      <formula>-0.001</formula>
    </cfRule>
  </conditionalFormatting>
  <conditionalFormatting sqref="EQ314:EU314 EQ309:EU310">
    <cfRule type="cellIs" dxfId="2" priority="3" stopIfTrue="1" operator="notBetween">
      <formula>0.001</formula>
      <formula>-0.001</formula>
    </cfRule>
  </conditionalFormatting>
  <conditionalFormatting sqref="EV314:EZ314 EV309:EZ310">
    <cfRule type="cellIs" dxfId="1" priority="2" stopIfTrue="1" operator="notBetween">
      <formula>0.001</formula>
      <formula>-0.001</formula>
    </cfRule>
  </conditionalFormatting>
  <conditionalFormatting sqref="FA314:FE314 FA309:FE310">
    <cfRule type="cellIs" dxfId="0" priority="1" stopIfTrue="1" operator="notBetween">
      <formula>0.001</formula>
      <formula>-0.001</formula>
    </cfRule>
  </conditionalFormatting>
  <pageMargins left="0.28999999999999998" right="0.23" top="0.3" bottom="0.5" header="0.5" footer="0.5"/>
  <pageSetup scale="10" fitToHeight="4" orientation="landscape" horizontalDpi="300" verticalDpi="300" r:id="rId1"/>
  <headerFooter alignWithMargins="0">
    <oddHeader>&amp;R&amp;"Arial,Bold Italic"&amp;22Con-Way Inc.</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2:Y53"/>
  <sheetViews>
    <sheetView showGridLines="0" zoomScale="85" zoomScaleNormal="85" workbookViewId="0">
      <pane xSplit="5" ySplit="6" topLeftCell="F7" activePane="bottomRight" state="frozen"/>
      <selection pane="topRight" activeCell="F1" sqref="F1"/>
      <selection pane="bottomLeft" activeCell="A7" sqref="A7"/>
      <selection pane="bottomRight" activeCell="F7" sqref="F7"/>
    </sheetView>
  </sheetViews>
  <sheetFormatPr defaultColWidth="9.140625" defaultRowHeight="12.75"/>
  <cols>
    <col min="1" max="1" width="2.42578125" style="1798" customWidth="1"/>
    <col min="2" max="5" width="10.85546875" style="1798" customWidth="1"/>
    <col min="6" max="7" width="9.140625" style="1798" customWidth="1"/>
    <col min="8" max="8" width="8" style="1798" customWidth="1"/>
    <col min="9" max="10" width="9.140625" style="1798"/>
    <col min="11" max="11" width="10.85546875" style="1798" bestFit="1" customWidth="1"/>
    <col min="12" max="257" width="9.140625" style="1798"/>
    <col min="258" max="258" width="2.42578125" style="1798" customWidth="1"/>
    <col min="259" max="262" width="10.85546875" style="1798" customWidth="1"/>
    <col min="263" max="264" width="9.140625" style="1798" customWidth="1"/>
    <col min="265" max="265" width="8" style="1798" customWidth="1"/>
    <col min="266" max="513" width="9.140625" style="1798"/>
    <col min="514" max="514" width="2.42578125" style="1798" customWidth="1"/>
    <col min="515" max="518" width="10.85546875" style="1798" customWidth="1"/>
    <col min="519" max="520" width="9.140625" style="1798" customWidth="1"/>
    <col min="521" max="521" width="8" style="1798" customWidth="1"/>
    <col min="522" max="769" width="9.140625" style="1798"/>
    <col min="770" max="770" width="2.42578125" style="1798" customWidth="1"/>
    <col min="771" max="774" width="10.85546875" style="1798" customWidth="1"/>
    <col min="775" max="776" width="9.140625" style="1798" customWidth="1"/>
    <col min="777" max="777" width="8" style="1798" customWidth="1"/>
    <col min="778" max="1025" width="9.140625" style="1798"/>
    <col min="1026" max="1026" width="2.42578125" style="1798" customWidth="1"/>
    <col min="1027" max="1030" width="10.85546875" style="1798" customWidth="1"/>
    <col min="1031" max="1032" width="9.140625" style="1798" customWidth="1"/>
    <col min="1033" max="1033" width="8" style="1798" customWidth="1"/>
    <col min="1034" max="1281" width="9.140625" style="1798"/>
    <col min="1282" max="1282" width="2.42578125" style="1798" customWidth="1"/>
    <col min="1283" max="1286" width="10.85546875" style="1798" customWidth="1"/>
    <col min="1287" max="1288" width="9.140625" style="1798" customWidth="1"/>
    <col min="1289" max="1289" width="8" style="1798" customWidth="1"/>
    <col min="1290" max="1537" width="9.140625" style="1798"/>
    <col min="1538" max="1538" width="2.42578125" style="1798" customWidth="1"/>
    <col min="1539" max="1542" width="10.85546875" style="1798" customWidth="1"/>
    <col min="1543" max="1544" width="9.140625" style="1798" customWidth="1"/>
    <col min="1545" max="1545" width="8" style="1798" customWidth="1"/>
    <col min="1546" max="1793" width="9.140625" style="1798"/>
    <col min="1794" max="1794" width="2.42578125" style="1798" customWidth="1"/>
    <col min="1795" max="1798" width="10.85546875" style="1798" customWidth="1"/>
    <col min="1799" max="1800" width="9.140625" style="1798" customWidth="1"/>
    <col min="1801" max="1801" width="8" style="1798" customWidth="1"/>
    <col min="1802" max="2049" width="9.140625" style="1798"/>
    <col min="2050" max="2050" width="2.42578125" style="1798" customWidth="1"/>
    <col min="2051" max="2054" width="10.85546875" style="1798" customWidth="1"/>
    <col min="2055" max="2056" width="9.140625" style="1798" customWidth="1"/>
    <col min="2057" max="2057" width="8" style="1798" customWidth="1"/>
    <col min="2058" max="2305" width="9.140625" style="1798"/>
    <col min="2306" max="2306" width="2.42578125" style="1798" customWidth="1"/>
    <col min="2307" max="2310" width="10.85546875" style="1798" customWidth="1"/>
    <col min="2311" max="2312" width="9.140625" style="1798" customWidth="1"/>
    <col min="2313" max="2313" width="8" style="1798" customWidth="1"/>
    <col min="2314" max="2561" width="9.140625" style="1798"/>
    <col min="2562" max="2562" width="2.42578125" style="1798" customWidth="1"/>
    <col min="2563" max="2566" width="10.85546875" style="1798" customWidth="1"/>
    <col min="2567" max="2568" width="9.140625" style="1798" customWidth="1"/>
    <col min="2569" max="2569" width="8" style="1798" customWidth="1"/>
    <col min="2570" max="2817" width="9.140625" style="1798"/>
    <col min="2818" max="2818" width="2.42578125" style="1798" customWidth="1"/>
    <col min="2819" max="2822" width="10.85546875" style="1798" customWidth="1"/>
    <col min="2823" max="2824" width="9.140625" style="1798" customWidth="1"/>
    <col min="2825" max="2825" width="8" style="1798" customWidth="1"/>
    <col min="2826" max="3073" width="9.140625" style="1798"/>
    <col min="3074" max="3074" width="2.42578125" style="1798" customWidth="1"/>
    <col min="3075" max="3078" width="10.85546875" style="1798" customWidth="1"/>
    <col min="3079" max="3080" width="9.140625" style="1798" customWidth="1"/>
    <col min="3081" max="3081" width="8" style="1798" customWidth="1"/>
    <col min="3082" max="3329" width="9.140625" style="1798"/>
    <col min="3330" max="3330" width="2.42578125" style="1798" customWidth="1"/>
    <col min="3331" max="3334" width="10.85546875" style="1798" customWidth="1"/>
    <col min="3335" max="3336" width="9.140625" style="1798" customWidth="1"/>
    <col min="3337" max="3337" width="8" style="1798" customWidth="1"/>
    <col min="3338" max="3585" width="9.140625" style="1798"/>
    <col min="3586" max="3586" width="2.42578125" style="1798" customWidth="1"/>
    <col min="3587" max="3590" width="10.85546875" style="1798" customWidth="1"/>
    <col min="3591" max="3592" width="9.140625" style="1798" customWidth="1"/>
    <col min="3593" max="3593" width="8" style="1798" customWidth="1"/>
    <col min="3594" max="3841" width="9.140625" style="1798"/>
    <col min="3842" max="3842" width="2.42578125" style="1798" customWidth="1"/>
    <col min="3843" max="3846" width="10.85546875" style="1798" customWidth="1"/>
    <col min="3847" max="3848" width="9.140625" style="1798" customWidth="1"/>
    <col min="3849" max="3849" width="8" style="1798" customWidth="1"/>
    <col min="3850" max="4097" width="9.140625" style="1798"/>
    <col min="4098" max="4098" width="2.42578125" style="1798" customWidth="1"/>
    <col min="4099" max="4102" width="10.85546875" style="1798" customWidth="1"/>
    <col min="4103" max="4104" width="9.140625" style="1798" customWidth="1"/>
    <col min="4105" max="4105" width="8" style="1798" customWidth="1"/>
    <col min="4106" max="4353" width="9.140625" style="1798"/>
    <col min="4354" max="4354" width="2.42578125" style="1798" customWidth="1"/>
    <col min="4355" max="4358" width="10.85546875" style="1798" customWidth="1"/>
    <col min="4359" max="4360" width="9.140625" style="1798" customWidth="1"/>
    <col min="4361" max="4361" width="8" style="1798" customWidth="1"/>
    <col min="4362" max="4609" width="9.140625" style="1798"/>
    <col min="4610" max="4610" width="2.42578125" style="1798" customWidth="1"/>
    <col min="4611" max="4614" width="10.85546875" style="1798" customWidth="1"/>
    <col min="4615" max="4616" width="9.140625" style="1798" customWidth="1"/>
    <col min="4617" max="4617" width="8" style="1798" customWidth="1"/>
    <col min="4618" max="4865" width="9.140625" style="1798"/>
    <col min="4866" max="4866" width="2.42578125" style="1798" customWidth="1"/>
    <col min="4867" max="4870" width="10.85546875" style="1798" customWidth="1"/>
    <col min="4871" max="4872" width="9.140625" style="1798" customWidth="1"/>
    <col min="4873" max="4873" width="8" style="1798" customWidth="1"/>
    <col min="4874" max="5121" width="9.140625" style="1798"/>
    <col min="5122" max="5122" width="2.42578125" style="1798" customWidth="1"/>
    <col min="5123" max="5126" width="10.85546875" style="1798" customWidth="1"/>
    <col min="5127" max="5128" width="9.140625" style="1798" customWidth="1"/>
    <col min="5129" max="5129" width="8" style="1798" customWidth="1"/>
    <col min="5130" max="5377" width="9.140625" style="1798"/>
    <col min="5378" max="5378" width="2.42578125" style="1798" customWidth="1"/>
    <col min="5379" max="5382" width="10.85546875" style="1798" customWidth="1"/>
    <col min="5383" max="5384" width="9.140625" style="1798" customWidth="1"/>
    <col min="5385" max="5385" width="8" style="1798" customWidth="1"/>
    <col min="5386" max="5633" width="9.140625" style="1798"/>
    <col min="5634" max="5634" width="2.42578125" style="1798" customWidth="1"/>
    <col min="5635" max="5638" width="10.85546875" style="1798" customWidth="1"/>
    <col min="5639" max="5640" width="9.140625" style="1798" customWidth="1"/>
    <col min="5641" max="5641" width="8" style="1798" customWidth="1"/>
    <col min="5642" max="5889" width="9.140625" style="1798"/>
    <col min="5890" max="5890" width="2.42578125" style="1798" customWidth="1"/>
    <col min="5891" max="5894" width="10.85546875" style="1798" customWidth="1"/>
    <col min="5895" max="5896" width="9.140625" style="1798" customWidth="1"/>
    <col min="5897" max="5897" width="8" style="1798" customWidth="1"/>
    <col min="5898" max="6145" width="9.140625" style="1798"/>
    <col min="6146" max="6146" width="2.42578125" style="1798" customWidth="1"/>
    <col min="6147" max="6150" width="10.85546875" style="1798" customWidth="1"/>
    <col min="6151" max="6152" width="9.140625" style="1798" customWidth="1"/>
    <col min="6153" max="6153" width="8" style="1798" customWidth="1"/>
    <col min="6154" max="6401" width="9.140625" style="1798"/>
    <col min="6402" max="6402" width="2.42578125" style="1798" customWidth="1"/>
    <col min="6403" max="6406" width="10.85546875" style="1798" customWidth="1"/>
    <col min="6407" max="6408" width="9.140625" style="1798" customWidth="1"/>
    <col min="6409" max="6409" width="8" style="1798" customWidth="1"/>
    <col min="6410" max="6657" width="9.140625" style="1798"/>
    <col min="6658" max="6658" width="2.42578125" style="1798" customWidth="1"/>
    <col min="6659" max="6662" width="10.85546875" style="1798" customWidth="1"/>
    <col min="6663" max="6664" width="9.140625" style="1798" customWidth="1"/>
    <col min="6665" max="6665" width="8" style="1798" customWidth="1"/>
    <col min="6666" max="6913" width="9.140625" style="1798"/>
    <col min="6914" max="6914" width="2.42578125" style="1798" customWidth="1"/>
    <col min="6915" max="6918" width="10.85546875" style="1798" customWidth="1"/>
    <col min="6919" max="6920" width="9.140625" style="1798" customWidth="1"/>
    <col min="6921" max="6921" width="8" style="1798" customWidth="1"/>
    <col min="6922" max="7169" width="9.140625" style="1798"/>
    <col min="7170" max="7170" width="2.42578125" style="1798" customWidth="1"/>
    <col min="7171" max="7174" width="10.85546875" style="1798" customWidth="1"/>
    <col min="7175" max="7176" width="9.140625" style="1798" customWidth="1"/>
    <col min="7177" max="7177" width="8" style="1798" customWidth="1"/>
    <col min="7178" max="7425" width="9.140625" style="1798"/>
    <col min="7426" max="7426" width="2.42578125" style="1798" customWidth="1"/>
    <col min="7427" max="7430" width="10.85546875" style="1798" customWidth="1"/>
    <col min="7431" max="7432" width="9.140625" style="1798" customWidth="1"/>
    <col min="7433" max="7433" width="8" style="1798" customWidth="1"/>
    <col min="7434" max="7681" width="9.140625" style="1798"/>
    <col min="7682" max="7682" width="2.42578125" style="1798" customWidth="1"/>
    <col min="7683" max="7686" width="10.85546875" style="1798" customWidth="1"/>
    <col min="7687" max="7688" width="9.140625" style="1798" customWidth="1"/>
    <col min="7689" max="7689" width="8" style="1798" customWidth="1"/>
    <col min="7690" max="7937" width="9.140625" style="1798"/>
    <col min="7938" max="7938" width="2.42578125" style="1798" customWidth="1"/>
    <col min="7939" max="7942" width="10.85546875" style="1798" customWidth="1"/>
    <col min="7943" max="7944" width="9.140625" style="1798" customWidth="1"/>
    <col min="7945" max="7945" width="8" style="1798" customWidth="1"/>
    <col min="7946" max="8193" width="9.140625" style="1798"/>
    <col min="8194" max="8194" width="2.42578125" style="1798" customWidth="1"/>
    <col min="8195" max="8198" width="10.85546875" style="1798" customWidth="1"/>
    <col min="8199" max="8200" width="9.140625" style="1798" customWidth="1"/>
    <col min="8201" max="8201" width="8" style="1798" customWidth="1"/>
    <col min="8202" max="8449" width="9.140625" style="1798"/>
    <col min="8450" max="8450" width="2.42578125" style="1798" customWidth="1"/>
    <col min="8451" max="8454" width="10.85546875" style="1798" customWidth="1"/>
    <col min="8455" max="8456" width="9.140625" style="1798" customWidth="1"/>
    <col min="8457" max="8457" width="8" style="1798" customWidth="1"/>
    <col min="8458" max="8705" width="9.140625" style="1798"/>
    <col min="8706" max="8706" width="2.42578125" style="1798" customWidth="1"/>
    <col min="8707" max="8710" width="10.85546875" style="1798" customWidth="1"/>
    <col min="8711" max="8712" width="9.140625" style="1798" customWidth="1"/>
    <col min="8713" max="8713" width="8" style="1798" customWidth="1"/>
    <col min="8714" max="8961" width="9.140625" style="1798"/>
    <col min="8962" max="8962" width="2.42578125" style="1798" customWidth="1"/>
    <col min="8963" max="8966" width="10.85546875" style="1798" customWidth="1"/>
    <col min="8967" max="8968" width="9.140625" style="1798" customWidth="1"/>
    <col min="8969" max="8969" width="8" style="1798" customWidth="1"/>
    <col min="8970" max="9217" width="9.140625" style="1798"/>
    <col min="9218" max="9218" width="2.42578125" style="1798" customWidth="1"/>
    <col min="9219" max="9222" width="10.85546875" style="1798" customWidth="1"/>
    <col min="9223" max="9224" width="9.140625" style="1798" customWidth="1"/>
    <col min="9225" max="9225" width="8" style="1798" customWidth="1"/>
    <col min="9226" max="9473" width="9.140625" style="1798"/>
    <col min="9474" max="9474" width="2.42578125" style="1798" customWidth="1"/>
    <col min="9475" max="9478" width="10.85546875" style="1798" customWidth="1"/>
    <col min="9479" max="9480" width="9.140625" style="1798" customWidth="1"/>
    <col min="9481" max="9481" width="8" style="1798" customWidth="1"/>
    <col min="9482" max="9729" width="9.140625" style="1798"/>
    <col min="9730" max="9730" width="2.42578125" style="1798" customWidth="1"/>
    <col min="9731" max="9734" width="10.85546875" style="1798" customWidth="1"/>
    <col min="9735" max="9736" width="9.140625" style="1798" customWidth="1"/>
    <col min="9737" max="9737" width="8" style="1798" customWidth="1"/>
    <col min="9738" max="9985" width="9.140625" style="1798"/>
    <col min="9986" max="9986" width="2.42578125" style="1798" customWidth="1"/>
    <col min="9987" max="9990" width="10.85546875" style="1798" customWidth="1"/>
    <col min="9991" max="9992" width="9.140625" style="1798" customWidth="1"/>
    <col min="9993" max="9993" width="8" style="1798" customWidth="1"/>
    <col min="9994" max="10241" width="9.140625" style="1798"/>
    <col min="10242" max="10242" width="2.42578125" style="1798" customWidth="1"/>
    <col min="10243" max="10246" width="10.85546875" style="1798" customWidth="1"/>
    <col min="10247" max="10248" width="9.140625" style="1798" customWidth="1"/>
    <col min="10249" max="10249" width="8" style="1798" customWidth="1"/>
    <col min="10250" max="10497" width="9.140625" style="1798"/>
    <col min="10498" max="10498" width="2.42578125" style="1798" customWidth="1"/>
    <col min="10499" max="10502" width="10.85546875" style="1798" customWidth="1"/>
    <col min="10503" max="10504" width="9.140625" style="1798" customWidth="1"/>
    <col min="10505" max="10505" width="8" style="1798" customWidth="1"/>
    <col min="10506" max="10753" width="9.140625" style="1798"/>
    <col min="10754" max="10754" width="2.42578125" style="1798" customWidth="1"/>
    <col min="10755" max="10758" width="10.85546875" style="1798" customWidth="1"/>
    <col min="10759" max="10760" width="9.140625" style="1798" customWidth="1"/>
    <col min="10761" max="10761" width="8" style="1798" customWidth="1"/>
    <col min="10762" max="11009" width="9.140625" style="1798"/>
    <col min="11010" max="11010" width="2.42578125" style="1798" customWidth="1"/>
    <col min="11011" max="11014" width="10.85546875" style="1798" customWidth="1"/>
    <col min="11015" max="11016" width="9.140625" style="1798" customWidth="1"/>
    <col min="11017" max="11017" width="8" style="1798" customWidth="1"/>
    <col min="11018" max="11265" width="9.140625" style="1798"/>
    <col min="11266" max="11266" width="2.42578125" style="1798" customWidth="1"/>
    <col min="11267" max="11270" width="10.85546875" style="1798" customWidth="1"/>
    <col min="11271" max="11272" width="9.140625" style="1798" customWidth="1"/>
    <col min="11273" max="11273" width="8" style="1798" customWidth="1"/>
    <col min="11274" max="11521" width="9.140625" style="1798"/>
    <col min="11522" max="11522" width="2.42578125" style="1798" customWidth="1"/>
    <col min="11523" max="11526" width="10.85546875" style="1798" customWidth="1"/>
    <col min="11527" max="11528" width="9.140625" style="1798" customWidth="1"/>
    <col min="11529" max="11529" width="8" style="1798" customWidth="1"/>
    <col min="11530" max="11777" width="9.140625" style="1798"/>
    <col min="11778" max="11778" width="2.42578125" style="1798" customWidth="1"/>
    <col min="11779" max="11782" width="10.85546875" style="1798" customWidth="1"/>
    <col min="11783" max="11784" width="9.140625" style="1798" customWidth="1"/>
    <col min="11785" max="11785" width="8" style="1798" customWidth="1"/>
    <col min="11786" max="12033" width="9.140625" style="1798"/>
    <col min="12034" max="12034" width="2.42578125" style="1798" customWidth="1"/>
    <col min="12035" max="12038" width="10.85546875" style="1798" customWidth="1"/>
    <col min="12039" max="12040" width="9.140625" style="1798" customWidth="1"/>
    <col min="12041" max="12041" width="8" style="1798" customWidth="1"/>
    <col min="12042" max="12289" width="9.140625" style="1798"/>
    <col min="12290" max="12290" width="2.42578125" style="1798" customWidth="1"/>
    <col min="12291" max="12294" width="10.85546875" style="1798" customWidth="1"/>
    <col min="12295" max="12296" width="9.140625" style="1798" customWidth="1"/>
    <col min="12297" max="12297" width="8" style="1798" customWidth="1"/>
    <col min="12298" max="12545" width="9.140625" style="1798"/>
    <col min="12546" max="12546" width="2.42578125" style="1798" customWidth="1"/>
    <col min="12547" max="12550" width="10.85546875" style="1798" customWidth="1"/>
    <col min="12551" max="12552" width="9.140625" style="1798" customWidth="1"/>
    <col min="12553" max="12553" width="8" style="1798" customWidth="1"/>
    <col min="12554" max="12801" width="9.140625" style="1798"/>
    <col min="12802" max="12802" width="2.42578125" style="1798" customWidth="1"/>
    <col min="12803" max="12806" width="10.85546875" style="1798" customWidth="1"/>
    <col min="12807" max="12808" width="9.140625" style="1798" customWidth="1"/>
    <col min="12809" max="12809" width="8" style="1798" customWidth="1"/>
    <col min="12810" max="13057" width="9.140625" style="1798"/>
    <col min="13058" max="13058" width="2.42578125" style="1798" customWidth="1"/>
    <col min="13059" max="13062" width="10.85546875" style="1798" customWidth="1"/>
    <col min="13063" max="13064" width="9.140625" style="1798" customWidth="1"/>
    <col min="13065" max="13065" width="8" style="1798" customWidth="1"/>
    <col min="13066" max="13313" width="9.140625" style="1798"/>
    <col min="13314" max="13314" width="2.42578125" style="1798" customWidth="1"/>
    <col min="13315" max="13318" width="10.85546875" style="1798" customWidth="1"/>
    <col min="13319" max="13320" width="9.140625" style="1798" customWidth="1"/>
    <col min="13321" max="13321" width="8" style="1798" customWidth="1"/>
    <col min="13322" max="13569" width="9.140625" style="1798"/>
    <col min="13570" max="13570" width="2.42578125" style="1798" customWidth="1"/>
    <col min="13571" max="13574" width="10.85546875" style="1798" customWidth="1"/>
    <col min="13575" max="13576" width="9.140625" style="1798" customWidth="1"/>
    <col min="13577" max="13577" width="8" style="1798" customWidth="1"/>
    <col min="13578" max="13825" width="9.140625" style="1798"/>
    <col min="13826" max="13826" width="2.42578125" style="1798" customWidth="1"/>
    <col min="13827" max="13830" width="10.85546875" style="1798" customWidth="1"/>
    <col min="13831" max="13832" width="9.140625" style="1798" customWidth="1"/>
    <col min="13833" max="13833" width="8" style="1798" customWidth="1"/>
    <col min="13834" max="14081" width="9.140625" style="1798"/>
    <col min="14082" max="14082" width="2.42578125" style="1798" customWidth="1"/>
    <col min="14083" max="14086" width="10.85546875" style="1798" customWidth="1"/>
    <col min="14087" max="14088" width="9.140625" style="1798" customWidth="1"/>
    <col min="14089" max="14089" width="8" style="1798" customWidth="1"/>
    <col min="14090" max="14337" width="9.140625" style="1798"/>
    <col min="14338" max="14338" width="2.42578125" style="1798" customWidth="1"/>
    <col min="14339" max="14342" width="10.85546875" style="1798" customWidth="1"/>
    <col min="14343" max="14344" width="9.140625" style="1798" customWidth="1"/>
    <col min="14345" max="14345" width="8" style="1798" customWidth="1"/>
    <col min="14346" max="14593" width="9.140625" style="1798"/>
    <col min="14594" max="14594" width="2.42578125" style="1798" customWidth="1"/>
    <col min="14595" max="14598" width="10.85546875" style="1798" customWidth="1"/>
    <col min="14599" max="14600" width="9.140625" style="1798" customWidth="1"/>
    <col min="14601" max="14601" width="8" style="1798" customWidth="1"/>
    <col min="14602" max="14849" width="9.140625" style="1798"/>
    <col min="14850" max="14850" width="2.42578125" style="1798" customWidth="1"/>
    <col min="14851" max="14854" width="10.85546875" style="1798" customWidth="1"/>
    <col min="14855" max="14856" width="9.140625" style="1798" customWidth="1"/>
    <col min="14857" max="14857" width="8" style="1798" customWidth="1"/>
    <col min="14858" max="15105" width="9.140625" style="1798"/>
    <col min="15106" max="15106" width="2.42578125" style="1798" customWidth="1"/>
    <col min="15107" max="15110" width="10.85546875" style="1798" customWidth="1"/>
    <col min="15111" max="15112" width="9.140625" style="1798" customWidth="1"/>
    <col min="15113" max="15113" width="8" style="1798" customWidth="1"/>
    <col min="15114" max="15361" width="9.140625" style="1798"/>
    <col min="15362" max="15362" width="2.42578125" style="1798" customWidth="1"/>
    <col min="15363" max="15366" width="10.85546875" style="1798" customWidth="1"/>
    <col min="15367" max="15368" width="9.140625" style="1798" customWidth="1"/>
    <col min="15369" max="15369" width="8" style="1798" customWidth="1"/>
    <col min="15370" max="15617" width="9.140625" style="1798"/>
    <col min="15618" max="15618" width="2.42578125" style="1798" customWidth="1"/>
    <col min="15619" max="15622" width="10.85546875" style="1798" customWidth="1"/>
    <col min="15623" max="15624" width="9.140625" style="1798" customWidth="1"/>
    <col min="15625" max="15625" width="8" style="1798" customWidth="1"/>
    <col min="15626" max="15873" width="9.140625" style="1798"/>
    <col min="15874" max="15874" width="2.42578125" style="1798" customWidth="1"/>
    <col min="15875" max="15878" width="10.85546875" style="1798" customWidth="1"/>
    <col min="15879" max="15880" width="9.140625" style="1798" customWidth="1"/>
    <col min="15881" max="15881" width="8" style="1798" customWidth="1"/>
    <col min="15882" max="16129" width="9.140625" style="1798"/>
    <col min="16130" max="16130" width="2.42578125" style="1798" customWidth="1"/>
    <col min="16131" max="16134" width="10.85546875" style="1798" customWidth="1"/>
    <col min="16135" max="16136" width="9.140625" style="1798" customWidth="1"/>
    <col min="16137" max="16137" width="8" style="1798" customWidth="1"/>
    <col min="16138" max="16384" width="9.140625" style="1798"/>
  </cols>
  <sheetData>
    <row r="2" spans="1:25">
      <c r="A2" s="1795"/>
      <c r="B2" s="1796" t="s">
        <v>492</v>
      </c>
      <c r="C2" s="1796"/>
      <c r="D2" s="1796"/>
      <c r="E2" s="1796"/>
      <c r="F2" s="1797">
        <v>40178</v>
      </c>
      <c r="G2" s="1797">
        <f t="shared" ref="G2:Q2" si="0">+EOMONTH(F2,12)</f>
        <v>40543</v>
      </c>
      <c r="H2" s="1797">
        <f t="shared" si="0"/>
        <v>40908</v>
      </c>
      <c r="I2" s="1797">
        <f t="shared" si="0"/>
        <v>41274</v>
      </c>
      <c r="J2" s="1797">
        <f t="shared" si="0"/>
        <v>41639</v>
      </c>
      <c r="K2" s="1797">
        <f t="shared" si="0"/>
        <v>42004</v>
      </c>
      <c r="L2" s="1797">
        <f t="shared" si="0"/>
        <v>42369</v>
      </c>
      <c r="M2" s="1797">
        <f t="shared" si="0"/>
        <v>42735</v>
      </c>
      <c r="N2" s="1797">
        <f t="shared" si="0"/>
        <v>43100</v>
      </c>
      <c r="O2" s="1797">
        <f t="shared" si="0"/>
        <v>43465</v>
      </c>
      <c r="P2" s="1797">
        <f t="shared" si="0"/>
        <v>43830</v>
      </c>
      <c r="Q2" s="1797">
        <f t="shared" si="0"/>
        <v>44196</v>
      </c>
      <c r="R2" s="1797"/>
      <c r="S2" s="1795"/>
      <c r="T2" s="1795"/>
      <c r="U2" s="1795"/>
      <c r="V2" s="1795"/>
      <c r="W2" s="1795"/>
    </row>
    <row r="3" spans="1:25" ht="13.5">
      <c r="A3" s="1796"/>
      <c r="B3" s="1799"/>
      <c r="C3" s="1799"/>
      <c r="D3" s="1799"/>
      <c r="E3" s="1799"/>
      <c r="F3" s="1800"/>
      <c r="G3" s="1800"/>
      <c r="H3" s="1800"/>
      <c r="I3" s="1800"/>
      <c r="J3" s="1800"/>
      <c r="K3" s="1800"/>
      <c r="L3" s="1800"/>
      <c r="M3" s="1800"/>
      <c r="N3" s="1800"/>
      <c r="O3" s="1800"/>
      <c r="P3" s="1800"/>
      <c r="Q3" s="1800"/>
      <c r="R3" s="1800"/>
      <c r="S3" s="1795"/>
      <c r="T3" s="1795"/>
      <c r="U3" s="1795"/>
      <c r="V3" s="1795"/>
      <c r="W3" s="1795"/>
      <c r="X3" s="1795"/>
      <c r="Y3" s="1795"/>
    </row>
    <row r="4" spans="1:25" ht="13.5" thickBot="1">
      <c r="A4" s="1796"/>
      <c r="B4" s="1801" t="s">
        <v>493</v>
      </c>
      <c r="C4" s="1801"/>
      <c r="D4" s="1801"/>
      <c r="E4" s="1801"/>
      <c r="F4" s="1802">
        <v>40178</v>
      </c>
      <c r="G4" s="1802">
        <f t="shared" ref="G4:Q4" si="1">+EOMONTH(F4,12)</f>
        <v>40543</v>
      </c>
      <c r="H4" s="1802">
        <f t="shared" si="1"/>
        <v>40908</v>
      </c>
      <c r="I4" s="1802">
        <f t="shared" si="1"/>
        <v>41274</v>
      </c>
      <c r="J4" s="1802">
        <f t="shared" si="1"/>
        <v>41639</v>
      </c>
      <c r="K4" s="1802">
        <f t="shared" si="1"/>
        <v>42004</v>
      </c>
      <c r="L4" s="1802">
        <f t="shared" si="1"/>
        <v>42369</v>
      </c>
      <c r="M4" s="1802">
        <f t="shared" si="1"/>
        <v>42735</v>
      </c>
      <c r="N4" s="1802">
        <f t="shared" si="1"/>
        <v>43100</v>
      </c>
      <c r="O4" s="1803">
        <f t="shared" si="1"/>
        <v>43465</v>
      </c>
      <c r="P4" s="1803">
        <f t="shared" si="1"/>
        <v>43830</v>
      </c>
      <c r="Q4" s="1803">
        <f t="shared" si="1"/>
        <v>44196</v>
      </c>
      <c r="R4" s="1803">
        <f t="shared" ref="R4" si="2">+EOMONTH(Q4,12)</f>
        <v>44561</v>
      </c>
      <c r="S4" s="1803">
        <f t="shared" ref="S4" si="3">+EOMONTH(R4,12)</f>
        <v>44926</v>
      </c>
      <c r="T4" s="1803">
        <f t="shared" ref="T4" si="4">+EOMONTH(S4,12)</f>
        <v>45291</v>
      </c>
      <c r="U4" s="1803">
        <f t="shared" ref="U4" si="5">+EOMONTH(T4,12)</f>
        <v>45657</v>
      </c>
      <c r="V4" s="1803">
        <f t="shared" ref="V4" si="6">+EOMONTH(U4,12)</f>
        <v>46022</v>
      </c>
      <c r="W4" s="1803">
        <f t="shared" ref="W4" si="7">+EOMONTH(V4,12)</f>
        <v>46387</v>
      </c>
      <c r="X4" s="1803">
        <f t="shared" ref="X4:Y4" si="8">+EOMONTH(W4,12)</f>
        <v>46752</v>
      </c>
      <c r="Y4" s="1803">
        <f t="shared" si="8"/>
        <v>47118</v>
      </c>
    </row>
    <row r="5" spans="1:25" ht="6.75" customHeight="1">
      <c r="A5" s="1796"/>
      <c r="B5" s="1804"/>
      <c r="C5" s="1804"/>
      <c r="D5" s="1804"/>
      <c r="E5" s="1804"/>
      <c r="F5" s="1805"/>
      <c r="G5" s="1804"/>
      <c r="H5" s="1804"/>
      <c r="I5" s="1804"/>
      <c r="J5" s="1804"/>
      <c r="K5" s="1804"/>
      <c r="L5" s="1804"/>
      <c r="M5" s="1804"/>
      <c r="N5" s="1804"/>
      <c r="O5" s="1804"/>
      <c r="P5" s="1804"/>
      <c r="Q5" s="1804"/>
      <c r="R5" s="1804"/>
      <c r="S5" s="1795"/>
      <c r="T5" s="1795"/>
      <c r="U5" s="1795"/>
      <c r="V5" s="1795"/>
      <c r="W5" s="1795"/>
      <c r="X5" s="1795"/>
      <c r="Y5" s="1795"/>
    </row>
    <row r="6" spans="1:25">
      <c r="A6" s="1796"/>
      <c r="B6" s="1806" t="s">
        <v>494</v>
      </c>
      <c r="C6" s="1806"/>
      <c r="D6" s="1806"/>
      <c r="E6" s="1806"/>
      <c r="F6" s="1806"/>
      <c r="G6" s="1806"/>
      <c r="H6" s="1806"/>
      <c r="I6" s="1806"/>
      <c r="J6" s="1806"/>
      <c r="K6" s="1806"/>
      <c r="L6" s="1806"/>
      <c r="M6" s="1806"/>
      <c r="N6" s="1806"/>
      <c r="O6" s="1806"/>
      <c r="P6" s="1806"/>
      <c r="Q6" s="1806"/>
      <c r="R6" s="1806"/>
      <c r="S6" s="1806"/>
      <c r="T6" s="1806"/>
      <c r="U6" s="1806"/>
      <c r="V6" s="1806"/>
      <c r="W6" s="1806"/>
      <c r="X6" s="1806"/>
      <c r="Y6" s="1806"/>
    </row>
    <row r="7" spans="1:25">
      <c r="A7" s="1795"/>
      <c r="B7" s="1807" t="s">
        <v>22</v>
      </c>
      <c r="C7" s="1804"/>
      <c r="D7" s="1804"/>
      <c r="E7" s="1804"/>
      <c r="F7" s="1808">
        <f>Model!$Z$182</f>
        <v>100.136</v>
      </c>
      <c r="G7" s="1808">
        <f>Model!$AE$182</f>
        <v>157.98699999999999</v>
      </c>
      <c r="H7" s="1808">
        <f>Model!$AJ$182</f>
        <v>177.07600000000002</v>
      </c>
      <c r="I7" s="1808">
        <f>Model!$AO$182</f>
        <v>278.59100000000007</v>
      </c>
      <c r="J7" s="1808">
        <f>Model!$AT$182</f>
        <v>702.30300000000011</v>
      </c>
      <c r="K7" s="1808">
        <f>Model!$AY$182</f>
        <v>2356.5819999999999</v>
      </c>
      <c r="L7" s="1808">
        <f>Model!$BD$182</f>
        <v>7623.2999999999993</v>
      </c>
      <c r="M7" s="1808">
        <f>Model!$BI$182</f>
        <v>14619.4</v>
      </c>
      <c r="N7" s="1808">
        <f>Model!$BN$182</f>
        <v>15380.800000000001</v>
      </c>
      <c r="O7" s="1808">
        <f>Model!$BS$182</f>
        <v>16650.063587192017</v>
      </c>
      <c r="P7" s="1808">
        <f>Model!$BX$182</f>
        <v>17790.120590400573</v>
      </c>
      <c r="Q7" s="1808">
        <f>Model!$CC$182</f>
        <v>19024.235476749996</v>
      </c>
      <c r="R7" s="1808">
        <f>+Q7*(1+R8)</f>
        <v>20260.810782738747</v>
      </c>
      <c r="S7" s="1808">
        <f t="shared" ref="S7:V7" si="9">+R7*(1+S8)</f>
        <v>21476.459429703071</v>
      </c>
      <c r="T7" s="1808">
        <f t="shared" si="9"/>
        <v>22550.282401188226</v>
      </c>
      <c r="U7" s="1808">
        <f t="shared" si="9"/>
        <v>23565.045109241695</v>
      </c>
      <c r="V7" s="1808">
        <f t="shared" si="9"/>
        <v>24507.646913611363</v>
      </c>
      <c r="W7" s="1808">
        <f t="shared" ref="W7" si="10">+V7*(1+W8)</f>
        <v>25242.876321019703</v>
      </c>
      <c r="X7" s="1808">
        <f t="shared" ref="X7:Y7" si="11">+W7*(1+X8)</f>
        <v>25747.733847440097</v>
      </c>
      <c r="Y7" s="1808">
        <f t="shared" si="11"/>
        <v>26262.688524388897</v>
      </c>
    </row>
    <row r="8" spans="1:25">
      <c r="A8" s="1795"/>
      <c r="B8" s="1809" t="s">
        <v>495</v>
      </c>
      <c r="C8" s="1804"/>
      <c r="D8" s="1804"/>
      <c r="E8" s="1804"/>
      <c r="F8" s="1810" t="str">
        <f t="shared" ref="F8:N8" si="12">IF(ISERROR(+F7/E7-1), "NA", +F7/E7-1)</f>
        <v>NA</v>
      </c>
      <c r="G8" s="1810">
        <f t="shared" si="12"/>
        <v>0.57772429495885591</v>
      </c>
      <c r="H8" s="1810">
        <f t="shared" si="12"/>
        <v>0.12082639710862297</v>
      </c>
      <c r="I8" s="1810">
        <f t="shared" si="12"/>
        <v>0.5732849172106893</v>
      </c>
      <c r="J8" s="1810">
        <f t="shared" si="12"/>
        <v>1.5209105821796109</v>
      </c>
      <c r="K8" s="1810">
        <f t="shared" si="12"/>
        <v>2.3555060992192822</v>
      </c>
      <c r="L8" s="1810">
        <f t="shared" si="12"/>
        <v>2.2348969821546629</v>
      </c>
      <c r="M8" s="1810">
        <f t="shared" si="12"/>
        <v>0.91772591922133473</v>
      </c>
      <c r="N8" s="1810">
        <f t="shared" si="12"/>
        <v>5.2081480772124822E-2</v>
      </c>
      <c r="O8" s="2423">
        <f t="shared" ref="O8" si="13">IF(ISERROR(+O7/N7-1), "NA", +O7/N7-1)</f>
        <v>8.252259877197643E-2</v>
      </c>
      <c r="P8" s="2423">
        <f t="shared" ref="P8" si="14">IF(ISERROR(+P7/O7-1), "NA", +P7/O7-1)</f>
        <v>6.8471630587978005E-2</v>
      </c>
      <c r="Q8" s="2423">
        <f t="shared" ref="Q8" si="15">IF(ISERROR(+Q7/P7-1), "NA", +Q7/P7-1)</f>
        <v>6.9370799375881864E-2</v>
      </c>
      <c r="R8" s="2424">
        <v>6.5000000000000002E-2</v>
      </c>
      <c r="S8" s="2424">
        <v>0.06</v>
      </c>
      <c r="T8" s="1811">
        <v>0.05</v>
      </c>
      <c r="U8" s="1811">
        <f t="shared" ref="U8" si="16">+T8-0.5%</f>
        <v>4.5000000000000005E-2</v>
      </c>
      <c r="V8" s="1811">
        <v>0.04</v>
      </c>
      <c r="W8" s="1811">
        <v>0.03</v>
      </c>
      <c r="X8" s="1811">
        <v>0.02</v>
      </c>
      <c r="Y8" s="1811">
        <v>0.02</v>
      </c>
    </row>
    <row r="9" spans="1:25">
      <c r="A9" s="1795"/>
      <c r="B9" s="1812"/>
      <c r="C9" s="1804"/>
      <c r="D9" s="1804"/>
      <c r="E9" s="1804"/>
      <c r="F9" s="1808"/>
      <c r="G9" s="1808"/>
      <c r="H9" s="1808"/>
      <c r="I9" s="1808"/>
      <c r="J9" s="1808"/>
      <c r="K9" s="1808"/>
      <c r="L9" s="1808"/>
      <c r="M9" s="1808"/>
      <c r="N9" s="1808"/>
      <c r="O9" s="1808"/>
      <c r="P9" s="1808"/>
      <c r="Q9" s="1808"/>
      <c r="R9" s="1808"/>
      <c r="S9" s="1808"/>
      <c r="T9" s="1808"/>
      <c r="U9" s="1808"/>
      <c r="V9" s="1808"/>
      <c r="W9" s="1808"/>
      <c r="X9" s="1808"/>
      <c r="Y9" s="1808"/>
    </row>
    <row r="10" spans="1:25">
      <c r="A10" s="1795"/>
      <c r="B10" s="1807" t="s">
        <v>496</v>
      </c>
      <c r="C10" s="1804"/>
      <c r="D10" s="1804"/>
      <c r="E10" s="1804"/>
      <c r="F10" s="1813">
        <f>Model!$Z$173</f>
        <v>3.1709999999999923</v>
      </c>
      <c r="G10" s="1813">
        <f>Model!$AE$173</f>
        <v>8.445999999999998</v>
      </c>
      <c r="H10" s="1813">
        <f>Model!$AJ$173</f>
        <v>1.7240000000000464</v>
      </c>
      <c r="I10" s="1813">
        <f>Model!$AO$173</f>
        <v>-27.964999999999918</v>
      </c>
      <c r="J10" s="1813">
        <f>Model!$AT$173</f>
        <v>-49.224999999999909</v>
      </c>
      <c r="K10" s="1813">
        <f>Model!$AY$173</f>
        <v>-16.981000000000222</v>
      </c>
      <c r="L10" s="1813">
        <f>Model!$BD$173</f>
        <v>126.9000000000002</v>
      </c>
      <c r="M10" s="1813">
        <f>Model!$BI$173</f>
        <v>585.50000000000068</v>
      </c>
      <c r="N10" s="1813">
        <f>Model!$BN$173</f>
        <v>701.49999999999955</v>
      </c>
      <c r="O10" s="1813">
        <f>Model!$BS$173</f>
        <v>945.3481727433068</v>
      </c>
      <c r="P10" s="1813">
        <f>Model!$BX$173</f>
        <v>1090.2002524717477</v>
      </c>
      <c r="Q10" s="1813">
        <f>Model!$CC$173</f>
        <v>1233.3555368586522</v>
      </c>
      <c r="R10" s="1813">
        <f>+R7*R19</f>
        <v>1333.7844575372033</v>
      </c>
      <c r="S10" s="1813">
        <f t="shared" ref="S10:V10" si="17">+S7*S19</f>
        <v>1435.2879844191386</v>
      </c>
      <c r="T10" s="1813">
        <f t="shared" si="17"/>
        <v>1529.6026660412838</v>
      </c>
      <c r="U10" s="1813">
        <f t="shared" si="17"/>
        <v>1621.9998311223833</v>
      </c>
      <c r="V10" s="1813">
        <f t="shared" si="17"/>
        <v>1711.3874712808899</v>
      </c>
      <c r="W10" s="1813">
        <f t="shared" ref="W10:X10" si="18">+W7*W19</f>
        <v>1787.9719717403364</v>
      </c>
      <c r="X10" s="1813">
        <f t="shared" si="18"/>
        <v>1849.4791450225832</v>
      </c>
      <c r="Y10" s="1813">
        <f t="shared" ref="Y10" si="19">+Y7*Y19</f>
        <v>1917.1762622803894</v>
      </c>
    </row>
    <row r="11" spans="1:25">
      <c r="A11" s="1795"/>
      <c r="B11" s="1807" t="s">
        <v>497</v>
      </c>
      <c r="C11" s="1804"/>
      <c r="D11" s="1804"/>
      <c r="E11" s="1804"/>
      <c r="F11" s="1813">
        <v>0</v>
      </c>
      <c r="G11" s="1813">
        <f>Model!$AE$162</f>
        <v>1.173</v>
      </c>
      <c r="H11" s="1813">
        <f>Model!$AJ$162</f>
        <v>1.046</v>
      </c>
      <c r="I11" s="1813">
        <f>Model!$AO$162</f>
        <v>2.66</v>
      </c>
      <c r="J11" s="1813">
        <f>Model!$AT$162</f>
        <v>17.697000000000003</v>
      </c>
      <c r="K11" s="1813">
        <f>Model!$AY$162</f>
        <v>98.347000000000008</v>
      </c>
      <c r="L11" s="1813">
        <f>Model!$BD$162</f>
        <v>362.4</v>
      </c>
      <c r="M11" s="1813">
        <f>Model!$BI$162</f>
        <v>649.20000000000005</v>
      </c>
      <c r="N11" s="1813">
        <f>Model!$BN$162</f>
        <v>658.40000000000009</v>
      </c>
      <c r="O11" s="1813">
        <f>Model!$BS$162</f>
        <v>689.2</v>
      </c>
      <c r="P11" s="1813">
        <f>Model!$BX$162</f>
        <v>736.39064780123442</v>
      </c>
      <c r="Q11" s="1813">
        <f>Model!$CC$162</f>
        <v>787.47465569212966</v>
      </c>
      <c r="R11" s="1813">
        <f>+R7*R20</f>
        <v>850.9540528750274</v>
      </c>
      <c r="S11" s="1813">
        <f t="shared" ref="S11:V11" si="20">+S7*S20</f>
        <v>902.01129604752907</v>
      </c>
      <c r="T11" s="1813">
        <f t="shared" si="20"/>
        <v>947.1118608499055</v>
      </c>
      <c r="U11" s="1813">
        <f t="shared" si="20"/>
        <v>989.73189458815125</v>
      </c>
      <c r="V11" s="1813">
        <f t="shared" si="20"/>
        <v>1029.3211703716772</v>
      </c>
      <c r="W11" s="1813">
        <f t="shared" ref="W11:X11" si="21">+W7*W20</f>
        <v>1060.2008054828275</v>
      </c>
      <c r="X11" s="1813">
        <f t="shared" si="21"/>
        <v>1081.404821592484</v>
      </c>
      <c r="Y11" s="1813">
        <f t="shared" ref="Y11" si="22">+Y7*Y20</f>
        <v>1103.0329180243339</v>
      </c>
    </row>
    <row r="12" spans="1:25">
      <c r="A12" s="1795"/>
      <c r="B12" s="1807" t="s">
        <v>498</v>
      </c>
      <c r="C12" s="1804"/>
      <c r="D12" s="1804"/>
      <c r="E12" s="1804"/>
      <c r="F12" s="1813">
        <f>Model!$Z$186</f>
        <v>1.3819999999999979</v>
      </c>
      <c r="G12" s="1813">
        <f>Model!$AE$186</f>
        <v>6.3099999999999952</v>
      </c>
      <c r="H12" s="1813">
        <f>Model!$AJ$186</f>
        <v>-1.9269999999999996</v>
      </c>
      <c r="I12" s="1813">
        <f>Model!$AO$186</f>
        <v>-25.305999999999997</v>
      </c>
      <c r="J12" s="1813">
        <f>Model!$AT$186</f>
        <v>-31.526999999999973</v>
      </c>
      <c r="K12" s="1813">
        <f>Model!$AY$186</f>
        <v>81.268000000000029</v>
      </c>
      <c r="L12" s="1813">
        <f>Model!$BD$186</f>
        <v>492.55000000000018</v>
      </c>
      <c r="M12" s="1813">
        <f>Model!$BI$186</f>
        <v>1248.0000000000007</v>
      </c>
      <c r="N12" s="1813">
        <f>Model!$BN$186</f>
        <v>1367.0999999999997</v>
      </c>
      <c r="O12" s="1813">
        <f>Model!$BS$186</f>
        <v>1634.548172743308</v>
      </c>
      <c r="P12" s="1813">
        <f>Model!$BX$186</f>
        <v>1826.5909002729804</v>
      </c>
      <c r="Q12" s="1813">
        <f>Model!$CC$186</f>
        <v>2020.8301925507831</v>
      </c>
      <c r="R12" s="1813">
        <f>+R10+R11</f>
        <v>2184.7385104122304</v>
      </c>
      <c r="S12" s="1813">
        <f t="shared" ref="S12:V12" si="23">+S10+S11</f>
        <v>2337.2992804666678</v>
      </c>
      <c r="T12" s="1813">
        <f t="shared" si="23"/>
        <v>2476.7145268911891</v>
      </c>
      <c r="U12" s="1813">
        <f t="shared" si="23"/>
        <v>2611.7317257105346</v>
      </c>
      <c r="V12" s="1813">
        <f t="shared" si="23"/>
        <v>2740.7086416525672</v>
      </c>
      <c r="W12" s="1813">
        <f t="shared" ref="W12:X12" si="24">+W10+W11</f>
        <v>2848.1727772231638</v>
      </c>
      <c r="X12" s="1813">
        <f t="shared" si="24"/>
        <v>2930.883966615067</v>
      </c>
      <c r="Y12" s="1813">
        <f t="shared" ref="Y12" si="25">+Y10+Y11</f>
        <v>3020.2091803047233</v>
      </c>
    </row>
    <row r="13" spans="1:25">
      <c r="A13" s="1795"/>
      <c r="B13" s="1807" t="s">
        <v>499</v>
      </c>
      <c r="C13" s="1804"/>
      <c r="D13" s="1804"/>
      <c r="E13" s="1804"/>
      <c r="F13" s="1813">
        <v>0</v>
      </c>
      <c r="G13" s="1813">
        <f>+F13</f>
        <v>0</v>
      </c>
      <c r="H13" s="1813">
        <f t="shared" ref="H13:M13" si="26">+G13</f>
        <v>0</v>
      </c>
      <c r="I13" s="1813">
        <f t="shared" si="26"/>
        <v>0</v>
      </c>
      <c r="J13" s="1813">
        <f t="shared" si="26"/>
        <v>0</v>
      </c>
      <c r="K13" s="1813">
        <f t="shared" si="26"/>
        <v>0</v>
      </c>
      <c r="L13" s="1813">
        <f t="shared" si="26"/>
        <v>0</v>
      </c>
      <c r="M13" s="1813">
        <f t="shared" si="26"/>
        <v>0</v>
      </c>
      <c r="N13" s="1813">
        <v>0</v>
      </c>
      <c r="O13" s="1813">
        <f t="shared" ref="O13:R13" si="27">-O10*$E$49</f>
        <v>-141.80222591149601</v>
      </c>
      <c r="P13" s="1813">
        <f t="shared" si="27"/>
        <v>-163.53003787076216</v>
      </c>
      <c r="Q13" s="1813">
        <f t="shared" si="27"/>
        <v>-185.00333052879782</v>
      </c>
      <c r="R13" s="1813">
        <f t="shared" si="27"/>
        <v>-200.06766863058047</v>
      </c>
      <c r="S13" s="1813">
        <f t="shared" ref="S13:V13" si="28">-S10*$E$49</f>
        <v>-215.2931976628708</v>
      </c>
      <c r="T13" s="1813">
        <f t="shared" si="28"/>
        <v>-229.44039990619257</v>
      </c>
      <c r="U13" s="1813">
        <f t="shared" si="28"/>
        <v>-243.29997466835749</v>
      </c>
      <c r="V13" s="1813">
        <f t="shared" si="28"/>
        <v>-256.70812069213349</v>
      </c>
      <c r="W13" s="1813">
        <f t="shared" ref="W13:X13" si="29">-W10*$E$49</f>
        <v>-268.19579576105042</v>
      </c>
      <c r="X13" s="1813">
        <f t="shared" si="29"/>
        <v>-277.42187175338745</v>
      </c>
      <c r="Y13" s="1813">
        <f t="shared" ref="Y13" si="30">-Y10*$E$49</f>
        <v>-287.57643934205839</v>
      </c>
    </row>
    <row r="14" spans="1:25">
      <c r="A14" s="1795"/>
      <c r="B14" s="1807" t="s">
        <v>500</v>
      </c>
      <c r="C14" s="1804"/>
      <c r="D14" s="1804"/>
      <c r="E14" s="1804"/>
      <c r="F14" s="1813">
        <f>Model!$Z$235</f>
        <v>-2.9950000000000001</v>
      </c>
      <c r="G14" s="1813">
        <f>Model!$AE$235</f>
        <v>-3.9209999999999998</v>
      </c>
      <c r="H14" s="1813">
        <f>Model!$AJ$235</f>
        <v>4.6119999999999992</v>
      </c>
      <c r="I14" s="1813">
        <f>Model!$AO$235</f>
        <v>-6.6210000000000022</v>
      </c>
      <c r="J14" s="1813">
        <f>Model!$AT$235</f>
        <v>-38.567000000000007</v>
      </c>
      <c r="K14" s="1813">
        <f>Model!$AY$235</f>
        <v>-56</v>
      </c>
      <c r="L14" s="1813">
        <f>Model!$BD$235</f>
        <v>-82.5</v>
      </c>
      <c r="M14" s="1813">
        <f>Model!$BI$235</f>
        <v>-102.5</v>
      </c>
      <c r="N14" s="1813">
        <f>Model!$BN$235</f>
        <v>-72.100000000000136</v>
      </c>
      <c r="O14" s="1896">
        <f>Model!$BS$235</f>
        <v>-22.193123864412428</v>
      </c>
      <c r="P14" s="1896">
        <f>Model!$BX$235</f>
        <v>-27.513668429502843</v>
      </c>
      <c r="Q14" s="1896">
        <f>Model!$CC$235</f>
        <v>-35.384021113173503</v>
      </c>
      <c r="R14" s="1814">
        <f>-0.3%*(R7)</f>
        <v>-60.78243234821624</v>
      </c>
      <c r="S14" s="1814">
        <f t="shared" ref="S14:Y14" si="31">-0.3%*(S7)</f>
        <v>-64.429378289109209</v>
      </c>
      <c r="T14" s="1814">
        <f t="shared" si="31"/>
        <v>-67.65084720356468</v>
      </c>
      <c r="U14" s="1814">
        <f t="shared" si="31"/>
        <v>-70.695135327725083</v>
      </c>
      <c r="V14" s="1814">
        <f t="shared" si="31"/>
        <v>-73.522940740834088</v>
      </c>
      <c r="W14" s="1814">
        <f t="shared" si="31"/>
        <v>-75.728628963059109</v>
      </c>
      <c r="X14" s="1814">
        <f t="shared" si="31"/>
        <v>-77.243201542320293</v>
      </c>
      <c r="Y14" s="1814">
        <f t="shared" si="31"/>
        <v>-78.788065573166691</v>
      </c>
    </row>
    <row r="15" spans="1:25">
      <c r="A15" s="1795"/>
      <c r="B15" s="1807" t="s">
        <v>501</v>
      </c>
      <c r="C15" s="1804"/>
      <c r="D15" s="1804"/>
      <c r="E15" s="1804"/>
      <c r="F15" s="1813">
        <f>Model!$Z$243</f>
        <v>-0.124</v>
      </c>
      <c r="G15" s="1813">
        <f>Model!$AE$243</f>
        <v>-0.80900000000000005</v>
      </c>
      <c r="H15" s="1813">
        <f>Model!$AJ$243</f>
        <v>-0.74099999999999999</v>
      </c>
      <c r="I15" s="1813">
        <f>Model!$AO$243</f>
        <v>-6.9809999999999999</v>
      </c>
      <c r="J15" s="1813">
        <f>Model!$AT$243</f>
        <v>-11.585000000000001</v>
      </c>
      <c r="K15" s="1813">
        <f>Model!$AY$243</f>
        <v>-44.6</v>
      </c>
      <c r="L15" s="1813">
        <f>Model!$BD$243</f>
        <v>-188.7</v>
      </c>
      <c r="M15" s="1813">
        <f>Model!$BI$243</f>
        <v>-414.5</v>
      </c>
      <c r="N15" s="1813">
        <f>Model!$BN$243</f>
        <v>-424.69999999999993</v>
      </c>
      <c r="O15" s="1813">
        <f>Model!$BS$243</f>
        <v>-464</v>
      </c>
      <c r="P15" s="1813">
        <f>Model!$BX$243</f>
        <v>-508.70361771201715</v>
      </c>
      <c r="Q15" s="1813">
        <f>Model!$CC$243</f>
        <v>-564.75129977924985</v>
      </c>
      <c r="R15" s="1813">
        <f>-R7*R21</f>
        <v>-621.72094504763982</v>
      </c>
      <c r="S15" s="1813">
        <f t="shared" ref="S15:V15" si="32">-S7*S21</f>
        <v>-680.50066118020118</v>
      </c>
      <c r="T15" s="1813">
        <f t="shared" si="32"/>
        <v>-737.07597664039952</v>
      </c>
      <c r="U15" s="1813">
        <f t="shared" si="32"/>
        <v>-793.8094406984593</v>
      </c>
      <c r="V15" s="1813">
        <f t="shared" si="32"/>
        <v>-837.81564178320332</v>
      </c>
      <c r="W15" s="1813">
        <f t="shared" ref="W15:X15" si="33">-W7*W21</f>
        <v>-883.50067123568965</v>
      </c>
      <c r="X15" s="1813">
        <f t="shared" si="33"/>
        <v>-901.17068466040348</v>
      </c>
      <c r="Y15" s="1813">
        <f t="shared" ref="Y15" si="34">-Y7*Y21</f>
        <v>-945.45678687800023</v>
      </c>
    </row>
    <row r="16" spans="1:25">
      <c r="A16" s="1795"/>
      <c r="B16" s="1815" t="s">
        <v>502</v>
      </c>
      <c r="C16" s="1815"/>
      <c r="D16" s="1815"/>
      <c r="E16" s="1815"/>
      <c r="F16" s="1816">
        <f>IF(ISERROR(+SUM(F12:F15)), "NA", +SUM(F12:F15))</f>
        <v>-1.7370000000000023</v>
      </c>
      <c r="G16" s="1816">
        <f t="shared" ref="G16:Q16" si="35">IF(ISERROR(+SUM(G12:G15)), "NA", +SUM(G12:G15))</f>
        <v>1.5799999999999952</v>
      </c>
      <c r="H16" s="1816">
        <f t="shared" si="35"/>
        <v>1.9439999999999995</v>
      </c>
      <c r="I16" s="1816">
        <f t="shared" si="35"/>
        <v>-38.908000000000001</v>
      </c>
      <c r="J16" s="1816">
        <f t="shared" si="35"/>
        <v>-81.678999999999974</v>
      </c>
      <c r="K16" s="1816">
        <f t="shared" si="35"/>
        <v>-19.331999999999972</v>
      </c>
      <c r="L16" s="1816">
        <f t="shared" si="35"/>
        <v>221.35000000000019</v>
      </c>
      <c r="M16" s="1816">
        <f t="shared" si="35"/>
        <v>731.00000000000068</v>
      </c>
      <c r="N16" s="1816">
        <f t="shared" si="35"/>
        <v>870.29999999999961</v>
      </c>
      <c r="O16" s="1816">
        <f t="shared" si="35"/>
        <v>1006.5528229673996</v>
      </c>
      <c r="P16" s="1816">
        <f t="shared" si="35"/>
        <v>1126.8435762606985</v>
      </c>
      <c r="Q16" s="1816">
        <f t="shared" si="35"/>
        <v>1235.691541129562</v>
      </c>
      <c r="R16" s="1816">
        <f>IF(ISERROR(+SUM(R12:R15)), "NA", +SUM(R12:R15))</f>
        <v>1302.1674643857939</v>
      </c>
      <c r="S16" s="1816">
        <f t="shared" ref="S16:V16" si="36">IF(ISERROR(+SUM(S12:S15)), "NA", +SUM(S12:S15))</f>
        <v>1377.0760433344869</v>
      </c>
      <c r="T16" s="1816">
        <f t="shared" si="36"/>
        <v>1442.5473031410324</v>
      </c>
      <c r="U16" s="1816">
        <f t="shared" si="36"/>
        <v>1503.9271750159928</v>
      </c>
      <c r="V16" s="1816">
        <f t="shared" si="36"/>
        <v>1572.6619384363962</v>
      </c>
      <c r="W16" s="1816">
        <f t="shared" ref="W16:X16" si="37">IF(ISERROR(+SUM(W12:W15)), "NA", +SUM(W12:W15))</f>
        <v>1620.7476812633647</v>
      </c>
      <c r="X16" s="1816">
        <f t="shared" si="37"/>
        <v>1675.0482086589559</v>
      </c>
      <c r="Y16" s="1816">
        <f t="shared" ref="Y16" si="38">IF(ISERROR(+SUM(Y12:Y15)), "NA", +SUM(Y12:Y15))</f>
        <v>1708.387888511498</v>
      </c>
    </row>
    <row r="17" spans="1:25">
      <c r="A17" s="1795"/>
      <c r="B17" s="1809" t="s">
        <v>226</v>
      </c>
      <c r="C17" s="1804"/>
      <c r="D17" s="1804"/>
      <c r="E17" s="1804"/>
      <c r="F17" s="1810">
        <f t="shared" ref="F17:Q17" si="39">IF(ISERROR(+F16/F7), "NA", +F16/F7)</f>
        <v>-1.7346408883917894E-2</v>
      </c>
      <c r="G17" s="1810">
        <f t="shared" si="39"/>
        <v>1.0000822852513152E-2</v>
      </c>
      <c r="H17" s="1810">
        <f t="shared" si="39"/>
        <v>1.0978336985249268E-2</v>
      </c>
      <c r="I17" s="1810">
        <f t="shared" si="39"/>
        <v>-0.13965993158429379</v>
      </c>
      <c r="J17" s="1810">
        <f t="shared" si="39"/>
        <v>-0.11630165327501087</v>
      </c>
      <c r="K17" s="1810">
        <f t="shared" si="39"/>
        <v>-8.203406459015631E-3</v>
      </c>
      <c r="L17" s="1810">
        <f t="shared" si="39"/>
        <v>2.9035981792661997E-2</v>
      </c>
      <c r="M17" s="1810">
        <f t="shared" si="39"/>
        <v>5.0002052067800368E-2</v>
      </c>
      <c r="N17" s="1810">
        <f t="shared" si="39"/>
        <v>5.658353271611357E-2</v>
      </c>
      <c r="O17" s="1810">
        <f t="shared" si="39"/>
        <v>6.045339212648327E-2</v>
      </c>
      <c r="P17" s="1810">
        <f t="shared" si="39"/>
        <v>6.3340974589499721E-2</v>
      </c>
      <c r="Q17" s="1810">
        <f t="shared" si="39"/>
        <v>6.4953545315381112E-2</v>
      </c>
      <c r="R17" s="1810">
        <f>IF(ISERROR(+R16/R7), "NA", +R16/R7)</f>
        <v>6.427025445078334E-2</v>
      </c>
      <c r="S17" s="1810">
        <f t="shared" ref="S17:V17" si="40">IF(ISERROR(+S16/S7), "NA", +S16/S7)</f>
        <v>6.412025445078337E-2</v>
      </c>
      <c r="T17" s="1810">
        <f t="shared" si="40"/>
        <v>6.3970254450783345E-2</v>
      </c>
      <c r="U17" s="1810">
        <f t="shared" si="40"/>
        <v>6.3820254450783348E-2</v>
      </c>
      <c r="V17" s="1810">
        <f t="shared" si="40"/>
        <v>6.4170254450783337E-2</v>
      </c>
      <c r="W17" s="1810">
        <f t="shared" ref="W17:X17" si="41">IF(ISERROR(+W16/W7), "NA", +W16/W7)</f>
        <v>6.420614119611126E-2</v>
      </c>
      <c r="X17" s="1810">
        <f t="shared" si="41"/>
        <v>6.5056141196111264E-2</v>
      </c>
      <c r="Y17" s="1810">
        <f t="shared" ref="Y17" si="42">IF(ISERROR(+Y16/Y7), "NA", +Y16/Y7)</f>
        <v>6.5050000000000011E-2</v>
      </c>
    </row>
    <row r="18" spans="1:25">
      <c r="A18" s="1795"/>
      <c r="B18" s="1812" t="s">
        <v>534</v>
      </c>
      <c r="C18" s="1804"/>
      <c r="D18" s="1804"/>
      <c r="E18" s="1804"/>
      <c r="F18" s="1817"/>
      <c r="G18" s="1817"/>
      <c r="H18" s="1817"/>
      <c r="I18" s="1817"/>
      <c r="J18" s="1817"/>
      <c r="K18" s="1817"/>
      <c r="L18" s="1903"/>
      <c r="M18" s="1903">
        <f t="shared" ref="M18:V18" si="43">+M16/L16-1</f>
        <v>2.3024621639936753</v>
      </c>
      <c r="N18" s="1903">
        <f t="shared" si="43"/>
        <v>0.19056087551299417</v>
      </c>
      <c r="O18" s="1903">
        <f t="shared" si="43"/>
        <v>0.15655845451844197</v>
      </c>
      <c r="P18" s="1903">
        <f t="shared" si="43"/>
        <v>0.11950764087936472</v>
      </c>
      <c r="Q18" s="1903">
        <f t="shared" si="43"/>
        <v>9.6595452254396363E-2</v>
      </c>
      <c r="R18" s="1903">
        <f t="shared" si="43"/>
        <v>5.3796535011856994E-2</v>
      </c>
      <c r="S18" s="1903">
        <f t="shared" si="43"/>
        <v>5.7526071720756633E-2</v>
      </c>
      <c r="T18" s="1903">
        <f t="shared" si="43"/>
        <v>4.7543677869823275E-2</v>
      </c>
      <c r="U18" s="1903">
        <f t="shared" si="43"/>
        <v>4.2549642386984887E-2</v>
      </c>
      <c r="V18" s="1903">
        <f t="shared" si="43"/>
        <v>4.5703518469684123E-2</v>
      </c>
      <c r="W18" s="1903">
        <f t="shared" ref="W18" si="44">+W16/V16-1</f>
        <v>3.0576019964454249E-2</v>
      </c>
      <c r="X18" s="1903">
        <f t="shared" ref="X18:Y18" si="45">+X16/W16-1</f>
        <v>3.3503381200745697E-2</v>
      </c>
      <c r="Y18" s="1903">
        <f t="shared" si="45"/>
        <v>1.9903713624596975E-2</v>
      </c>
    </row>
    <row r="19" spans="1:25">
      <c r="A19" s="1795"/>
      <c r="B19" s="1807" t="s">
        <v>503</v>
      </c>
      <c r="C19" s="1804"/>
      <c r="D19" s="1804"/>
      <c r="E19" s="1804"/>
      <c r="F19" s="1818">
        <f>IF(ISERROR(+F10/F7), "NA", +F10/F7)</f>
        <v>3.1666932971159148E-2</v>
      </c>
      <c r="G19" s="1818">
        <f t="shared" ref="G19:Q19" si="46">IF(ISERROR(+G10/G7), "NA", +G10/G7)</f>
        <v>5.3460094817928044E-2</v>
      </c>
      <c r="H19" s="1818">
        <f t="shared" si="46"/>
        <v>9.7359325939147378E-3</v>
      </c>
      <c r="I19" s="1818">
        <f t="shared" si="46"/>
        <v>-0.10038012713978525</v>
      </c>
      <c r="J19" s="1818">
        <f t="shared" si="46"/>
        <v>-7.0090829741578639E-2</v>
      </c>
      <c r="K19" s="1818">
        <f t="shared" si="46"/>
        <v>-7.2057751438312874E-3</v>
      </c>
      <c r="L19" s="1818">
        <f t="shared" si="46"/>
        <v>1.6646334264688548E-2</v>
      </c>
      <c r="M19" s="1818">
        <f t="shared" si="46"/>
        <v>4.0049523236247775E-2</v>
      </c>
      <c r="N19" s="1818">
        <f t="shared" si="46"/>
        <v>4.560881098512428E-2</v>
      </c>
      <c r="O19" s="1818">
        <f t="shared" si="46"/>
        <v>5.6777451196673594E-2</v>
      </c>
      <c r="P19" s="1818">
        <f t="shared" si="46"/>
        <v>6.1281217681009553E-2</v>
      </c>
      <c r="Q19" s="1818">
        <f t="shared" si="46"/>
        <v>6.4830754348366187E-2</v>
      </c>
      <c r="R19" s="1819">
        <f>Q19+0.1%</f>
        <v>6.5830754348366188E-2</v>
      </c>
      <c r="S19" s="1819">
        <f t="shared" ref="S19:X19" si="47">R19+0.1%</f>
        <v>6.6830754348366189E-2</v>
      </c>
      <c r="T19" s="1819">
        <f t="shared" si="47"/>
        <v>6.783075434836619E-2</v>
      </c>
      <c r="U19" s="1819">
        <f t="shared" si="47"/>
        <v>6.8830754348366191E-2</v>
      </c>
      <c r="V19" s="1819">
        <f t="shared" si="47"/>
        <v>6.9830754348366192E-2</v>
      </c>
      <c r="W19" s="1819">
        <f t="shared" si="47"/>
        <v>7.0830754348366193E-2</v>
      </c>
      <c r="X19" s="1819">
        <f t="shared" si="47"/>
        <v>7.1830754348366194E-2</v>
      </c>
      <c r="Y19" s="1819">
        <v>7.2999999999999995E-2</v>
      </c>
    </row>
    <row r="20" spans="1:25">
      <c r="A20" s="1795"/>
      <c r="B20" s="1807" t="s">
        <v>504</v>
      </c>
      <c r="C20" s="1804"/>
      <c r="D20" s="1804"/>
      <c r="E20" s="1804"/>
      <c r="F20" s="1818">
        <f>+F11/F7</f>
        <v>0</v>
      </c>
      <c r="G20" s="1818">
        <f t="shared" ref="G20:N20" si="48">+G11/G7</f>
        <v>7.4246615227835204E-3</v>
      </c>
      <c r="H20" s="1818">
        <f t="shared" si="48"/>
        <v>5.9070681515281569E-3</v>
      </c>
      <c r="I20" s="1818">
        <f t="shared" si="48"/>
        <v>9.5480471372011277E-3</v>
      </c>
      <c r="J20" s="1818">
        <f t="shared" si="48"/>
        <v>2.5198525422787599E-2</v>
      </c>
      <c r="K20" s="1818">
        <f t="shared" si="48"/>
        <v>4.1732899597807335E-2</v>
      </c>
      <c r="L20" s="1818">
        <f t="shared" si="48"/>
        <v>4.7538467592774782E-2</v>
      </c>
      <c r="M20" s="1818">
        <f t="shared" si="48"/>
        <v>4.4406747198927454E-2</v>
      </c>
      <c r="N20" s="1818">
        <f t="shared" si="48"/>
        <v>4.2806616040778116E-2</v>
      </c>
      <c r="O20" s="1818">
        <f t="shared" ref="O20:Q20" si="49">+O11/O7</f>
        <v>4.1393235310534425E-2</v>
      </c>
      <c r="P20" s="1818">
        <f t="shared" si="49"/>
        <v>4.1393235310534418E-2</v>
      </c>
      <c r="Q20" s="1818">
        <f t="shared" si="49"/>
        <v>4.1393235310534425E-2</v>
      </c>
      <c r="R20" s="1819">
        <v>4.2000000000000003E-2</v>
      </c>
      <c r="S20" s="1819">
        <v>4.2000000000000003E-2</v>
      </c>
      <c r="T20" s="1819">
        <v>4.2000000000000003E-2</v>
      </c>
      <c r="U20" s="1819">
        <v>4.2000000000000003E-2</v>
      </c>
      <c r="V20" s="1819">
        <v>4.2000000000000003E-2</v>
      </c>
      <c r="W20" s="1819">
        <v>4.2000000000000003E-2</v>
      </c>
      <c r="X20" s="1819">
        <v>4.2000000000000003E-2</v>
      </c>
      <c r="Y20" s="1819">
        <v>4.2000000000000003E-2</v>
      </c>
    </row>
    <row r="21" spans="1:25">
      <c r="A21" s="1795"/>
      <c r="B21" s="1807" t="s">
        <v>165</v>
      </c>
      <c r="C21" s="1804"/>
      <c r="D21" s="1804"/>
      <c r="E21" s="1804"/>
      <c r="F21" s="1818">
        <f>-F15/F7</f>
        <v>1.2383158903890709E-3</v>
      </c>
      <c r="G21" s="1818">
        <f t="shared" ref="G21:N21" si="50">-G15/G7</f>
        <v>5.120674485875421E-3</v>
      </c>
      <c r="H21" s="1818">
        <f t="shared" si="50"/>
        <v>4.1846438817231017E-3</v>
      </c>
      <c r="I21" s="1818">
        <f t="shared" si="50"/>
        <v>2.5058239498045514E-2</v>
      </c>
      <c r="J21" s="1818">
        <f t="shared" si="50"/>
        <v>1.6495729051420823E-2</v>
      </c>
      <c r="K21" s="1818">
        <f t="shared" si="50"/>
        <v>1.8925715294439153E-2</v>
      </c>
      <c r="L21" s="1818">
        <f t="shared" si="50"/>
        <v>2.4753059698555745E-2</v>
      </c>
      <c r="M21" s="1818">
        <f t="shared" si="50"/>
        <v>2.8352736774423029E-2</v>
      </c>
      <c r="N21" s="1818">
        <f t="shared" si="50"/>
        <v>2.7612347862269838E-2</v>
      </c>
      <c r="O21" s="1818">
        <f t="shared" ref="O21:Q21" si="51">-O15/O7</f>
        <v>2.7867761439477615E-2</v>
      </c>
      <c r="P21" s="1818">
        <f t="shared" si="51"/>
        <v>2.8594725658380872E-2</v>
      </c>
      <c r="Q21" s="1818">
        <f t="shared" si="51"/>
        <v>2.9685886745327916E-2</v>
      </c>
      <c r="R21" s="1819">
        <f t="shared" ref="R21:S21" si="52">Q21+0.1%</f>
        <v>3.0685886745327916E-2</v>
      </c>
      <c r="S21" s="1819">
        <f t="shared" si="52"/>
        <v>3.1685886745327914E-2</v>
      </c>
      <c r="T21" s="1819">
        <f t="shared" ref="T21" si="53">S21+0.1%</f>
        <v>3.2685886745327915E-2</v>
      </c>
      <c r="U21" s="1819">
        <f t="shared" ref="U21" si="54">T21+0.1%</f>
        <v>3.3685886745327916E-2</v>
      </c>
      <c r="V21" s="1819">
        <f>U21+0.05%</f>
        <v>3.4185886745327916E-2</v>
      </c>
      <c r="W21" s="1819">
        <v>3.5000000000000003E-2</v>
      </c>
      <c r="X21" s="1819">
        <v>3.5000000000000003E-2</v>
      </c>
      <c r="Y21" s="1819">
        <v>3.5999999999999997E-2</v>
      </c>
    </row>
    <row r="22" spans="1:25">
      <c r="A22" s="1795"/>
      <c r="B22" s="1812"/>
      <c r="C22" s="1804"/>
      <c r="D22" s="1804"/>
      <c r="E22" s="1804"/>
      <c r="F22" s="1818"/>
      <c r="G22" s="1818"/>
      <c r="H22" s="1818"/>
      <c r="I22" s="1818"/>
      <c r="J22" s="1818"/>
      <c r="K22" s="1818"/>
      <c r="L22" s="1818"/>
      <c r="M22" s="1818"/>
      <c r="N22" s="1818"/>
      <c r="O22" s="1818"/>
      <c r="P22" s="1818"/>
      <c r="Q22" s="1818"/>
      <c r="R22" s="1818"/>
      <c r="S22" s="1818"/>
      <c r="T22" s="1818"/>
      <c r="U22" s="1818"/>
      <c r="V22" s="1818"/>
      <c r="W22" s="1818"/>
      <c r="X22" s="1818"/>
      <c r="Y22" s="1818"/>
    </row>
    <row r="23" spans="1:25">
      <c r="A23" s="1795"/>
      <c r="B23" s="1812"/>
      <c r="C23" s="1804"/>
      <c r="D23" s="1804"/>
      <c r="E23" s="1804"/>
      <c r="F23" s="1818"/>
      <c r="G23" s="1818"/>
      <c r="H23" s="1818"/>
      <c r="I23" s="1818"/>
      <c r="J23" s="1818"/>
      <c r="K23" s="1818"/>
      <c r="L23" s="1818"/>
      <c r="M23" s="1818"/>
      <c r="N23" s="1818"/>
      <c r="O23" s="1818"/>
      <c r="P23" s="1818"/>
      <c r="Q23" s="1818"/>
      <c r="R23" s="1818"/>
      <c r="S23" s="1818"/>
      <c r="T23" s="1818"/>
      <c r="U23" s="1818"/>
      <c r="V23" s="1818"/>
      <c r="W23" s="1818"/>
      <c r="X23" s="1818"/>
      <c r="Y23" s="1818"/>
    </row>
    <row r="24" spans="1:25" ht="13.5" thickBot="1">
      <c r="A24" s="1796"/>
      <c r="B24" s="1806" t="s">
        <v>505</v>
      </c>
      <c r="C24" s="1806"/>
      <c r="D24" s="1806"/>
      <c r="E24" s="1806"/>
      <c r="F24" s="1806"/>
      <c r="G24" s="1820"/>
      <c r="H24" s="1820"/>
      <c r="I24" s="1820"/>
      <c r="J24" s="1820"/>
      <c r="K24" s="1820"/>
      <c r="L24" s="1803"/>
      <c r="M24" s="1803"/>
      <c r="N24" s="1803"/>
      <c r="O24" s="1803"/>
      <c r="P24" s="1803">
        <f t="shared" ref="P24:Y24" si="55">P$4</f>
        <v>43830</v>
      </c>
      <c r="Q24" s="1803">
        <f t="shared" si="55"/>
        <v>44196</v>
      </c>
      <c r="R24" s="1803">
        <f t="shared" si="55"/>
        <v>44561</v>
      </c>
      <c r="S24" s="1803">
        <f t="shared" si="55"/>
        <v>44926</v>
      </c>
      <c r="T24" s="1803">
        <f t="shared" si="55"/>
        <v>45291</v>
      </c>
      <c r="U24" s="1803">
        <f t="shared" si="55"/>
        <v>45657</v>
      </c>
      <c r="V24" s="1803">
        <f t="shared" si="55"/>
        <v>46022</v>
      </c>
      <c r="W24" s="1803">
        <f t="shared" si="55"/>
        <v>46387</v>
      </c>
      <c r="X24" s="1803">
        <f t="shared" si="55"/>
        <v>46752</v>
      </c>
      <c r="Y24" s="1803">
        <f t="shared" si="55"/>
        <v>47118</v>
      </c>
    </row>
    <row r="25" spans="1:25">
      <c r="A25" s="1795"/>
      <c r="B25" s="1807" t="s">
        <v>506</v>
      </c>
      <c r="C25" s="1804"/>
      <c r="D25" s="1804"/>
      <c r="E25" s="1804"/>
      <c r="F25" s="1808"/>
      <c r="G25" s="1821"/>
      <c r="H25" s="1822"/>
      <c r="I25" s="1822"/>
      <c r="J25" s="1822"/>
      <c r="K25" s="1822"/>
      <c r="L25" s="1823"/>
      <c r="M25" s="1823"/>
      <c r="N25" s="1824"/>
      <c r="O25" s="1824"/>
      <c r="P25" s="1824">
        <f>O25+1</f>
        <v>1</v>
      </c>
      <c r="Q25" s="1824">
        <f>P25+1</f>
        <v>2</v>
      </c>
      <c r="R25" s="1824">
        <f>Q25+1</f>
        <v>3</v>
      </c>
      <c r="S25" s="1824">
        <f t="shared" ref="S25:V25" si="56">R25+1</f>
        <v>4</v>
      </c>
      <c r="T25" s="1824">
        <f t="shared" si="56"/>
        <v>5</v>
      </c>
      <c r="U25" s="1824">
        <f t="shared" si="56"/>
        <v>6</v>
      </c>
      <c r="V25" s="1824">
        <f t="shared" si="56"/>
        <v>7</v>
      </c>
      <c r="W25" s="1824">
        <f t="shared" ref="W25" si="57">V25+1</f>
        <v>8</v>
      </c>
      <c r="X25" s="1824">
        <f t="shared" ref="X25:Y25" si="58">W25+1</f>
        <v>9</v>
      </c>
      <c r="Y25" s="1824">
        <f t="shared" si="58"/>
        <v>10</v>
      </c>
    </row>
    <row r="26" spans="1:25">
      <c r="A26" s="1795"/>
      <c r="B26" s="1807" t="s">
        <v>507</v>
      </c>
      <c r="C26" s="1804"/>
      <c r="D26" s="1804"/>
      <c r="E26" s="1804"/>
      <c r="F26" s="1825"/>
      <c r="G26" s="1826"/>
      <c r="H26" s="1827"/>
      <c r="I26" s="1822"/>
      <c r="J26" s="1822"/>
      <c r="K26" s="1822"/>
      <c r="L26" s="1822"/>
      <c r="M26" s="1822"/>
      <c r="N26" s="1822"/>
      <c r="O26" s="1822"/>
      <c r="P26" s="1822">
        <f>P$16/(1+$E$51)^P25</f>
        <v>1035.3791210790978</v>
      </c>
      <c r="Q26" s="1822">
        <f>Q$16/(1+$E$51)^Q25</f>
        <v>1043.2337128218596</v>
      </c>
      <c r="R26" s="1822">
        <f>R$16/(1+$E$51)^R25</f>
        <v>1010.1227422610887</v>
      </c>
      <c r="S26" s="1822">
        <f t="shared" ref="S26:V26" si="59">S$16/(1+$E$51)^S25</f>
        <v>981.52417741555564</v>
      </c>
      <c r="T26" s="1822">
        <f t="shared" si="59"/>
        <v>944.73262135346783</v>
      </c>
      <c r="U26" s="1822">
        <f t="shared" si="59"/>
        <v>904.98509196791292</v>
      </c>
      <c r="V26" s="1822">
        <f t="shared" si="59"/>
        <v>869.53238989633792</v>
      </c>
      <c r="W26" s="1822">
        <f t="shared" ref="W26:X26" si="60">W$16/(1+$E$51)^W25</f>
        <v>823.38237523089674</v>
      </c>
      <c r="X26" s="1822">
        <f t="shared" si="60"/>
        <v>781.89644408227059</v>
      </c>
      <c r="Y26" s="1822">
        <f t="shared" ref="Y26" si="61">Y$16/(1+$E$51)^Y25</f>
        <v>732.73035049238911</v>
      </c>
    </row>
    <row r="27" spans="1:25">
      <c r="A27" s="1795"/>
      <c r="B27" s="1807"/>
      <c r="C27" s="1804"/>
      <c r="D27" s="1804"/>
      <c r="E27" s="1804"/>
      <c r="F27" s="1825"/>
      <c r="G27" s="1826"/>
      <c r="H27" s="1827"/>
      <c r="I27" s="1822"/>
      <c r="J27" s="1822"/>
      <c r="K27" s="1822"/>
      <c r="L27" s="1822"/>
      <c r="M27" s="1822"/>
      <c r="N27" s="1822"/>
      <c r="O27" s="1822"/>
      <c r="P27" s="1822"/>
      <c r="Q27" s="1822"/>
      <c r="R27" s="1828"/>
      <c r="S27" s="1795"/>
      <c r="T27" s="1795"/>
      <c r="U27" s="1795"/>
      <c r="V27" s="1795"/>
      <c r="W27" s="1795"/>
    </row>
    <row r="28" spans="1:25">
      <c r="A28" s="1795"/>
      <c r="B28" s="1829"/>
      <c r="C28" s="1804"/>
      <c r="D28" s="1804"/>
      <c r="E28" s="1804"/>
      <c r="F28" s="1825"/>
      <c r="G28" s="1825"/>
      <c r="H28" s="1825"/>
      <c r="I28" s="1825"/>
      <c r="J28" s="1828"/>
      <c r="K28" s="1828"/>
      <c r="L28" s="1828"/>
      <c r="M28" s="1828"/>
      <c r="N28" s="1828"/>
      <c r="O28" s="1828"/>
      <c r="P28" s="1806" t="s">
        <v>508</v>
      </c>
      <c r="Q28" s="1806"/>
      <c r="R28" s="1830">
        <v>0.02</v>
      </c>
      <c r="W28" s="1795"/>
    </row>
    <row r="29" spans="1:25">
      <c r="A29" s="1795"/>
      <c r="B29" s="1831" t="s">
        <v>509</v>
      </c>
      <c r="C29" s="1832"/>
      <c r="D29" s="1832"/>
      <c r="E29" s="1833"/>
      <c r="F29" s="1804"/>
      <c r="G29" s="1822"/>
      <c r="H29" s="1804"/>
      <c r="I29" s="1804"/>
      <c r="J29" s="1804"/>
      <c r="K29" s="1804"/>
      <c r="L29" s="1804"/>
      <c r="M29" s="1804"/>
      <c r="N29" s="1828"/>
      <c r="O29" s="1828"/>
      <c r="P29" s="1828"/>
      <c r="Q29" s="1828"/>
      <c r="R29" s="1805"/>
      <c r="S29" s="1795"/>
      <c r="T29" s="1796"/>
      <c r="U29" s="1834"/>
      <c r="V29" s="1835"/>
      <c r="W29" s="1795"/>
    </row>
    <row r="30" spans="1:25">
      <c r="A30" s="1795"/>
      <c r="B30" s="1836" t="s">
        <v>510</v>
      </c>
      <c r="C30" s="1837"/>
      <c r="D30" s="1837"/>
      <c r="E30" s="1838">
        <f>SUM(O26:Y26)</f>
        <v>9127.5190266008776</v>
      </c>
      <c r="F30" s="1804"/>
      <c r="G30" s="1822"/>
      <c r="H30" s="1839"/>
      <c r="I30" s="1839"/>
      <c r="J30" s="1840" t="s">
        <v>511</v>
      </c>
      <c r="K30" s="1841"/>
      <c r="L30" s="1841"/>
      <c r="M30" s="1841"/>
      <c r="N30" s="1841"/>
      <c r="O30" s="1842"/>
      <c r="P30" s="1828"/>
      <c r="Q30" s="1828"/>
      <c r="R30" s="1805"/>
      <c r="S30" s="1795"/>
      <c r="T30" s="1796"/>
      <c r="U30" s="1834"/>
      <c r="V30" s="1843"/>
      <c r="W30" s="1795"/>
    </row>
    <row r="31" spans="1:25">
      <c r="A31" s="1795"/>
      <c r="B31" s="1836" t="s">
        <v>512</v>
      </c>
      <c r="C31" s="1837"/>
      <c r="D31" s="1837"/>
      <c r="E31" s="1867">
        <f>(($Y$16)*(1+E52)/($E$51-$E$52))/(1+$E$51)^$Y$25</f>
        <v>10936.418615205626</v>
      </c>
      <c r="F31" s="1804"/>
      <c r="G31" s="1822"/>
      <c r="H31" s="1839"/>
      <c r="I31" s="1839"/>
      <c r="J31" s="1844">
        <f>+E36</f>
        <v>16241.195870090722</v>
      </c>
      <c r="K31" s="1845">
        <f>+L31-0.005</f>
        <v>7.8339095621586585E-2</v>
      </c>
      <c r="L31" s="1845">
        <f>+M31-0.005</f>
        <v>8.333909562158659E-2</v>
      </c>
      <c r="M31" s="1846">
        <f>E51</f>
        <v>8.8339095621586594E-2</v>
      </c>
      <c r="N31" s="1845">
        <f>+M31+0.005</f>
        <v>9.3339095621586599E-2</v>
      </c>
      <c r="O31" s="1847">
        <f>+N31+0.005</f>
        <v>9.8339095621586603E-2</v>
      </c>
      <c r="P31" s="1805"/>
      <c r="Q31" s="1805"/>
      <c r="R31" s="1805"/>
      <c r="S31" s="1795"/>
      <c r="T31" s="1796"/>
      <c r="U31" s="1834"/>
      <c r="V31" s="1843"/>
      <c r="W31" s="1795"/>
    </row>
    <row r="32" spans="1:25">
      <c r="A32" s="1795"/>
      <c r="B32" s="1848" t="s">
        <v>513</v>
      </c>
      <c r="C32" s="1849"/>
      <c r="D32" s="1849"/>
      <c r="E32" s="2043">
        <f>E30+E31</f>
        <v>20063.937641806504</v>
      </c>
      <c r="F32" s="1804"/>
      <c r="G32" s="2305"/>
      <c r="H32" s="1839"/>
      <c r="I32" s="1839"/>
      <c r="J32" s="1850">
        <f>+J33-0.005</f>
        <v>1.4999999999999999E-2</v>
      </c>
      <c r="K32" s="1851">
        <f>$E$30+((($Y$16*(1+$J32))/(K$31-$J32))/(1+K$31)^$Y$25)+($E$34-$E$33-$E$35)</f>
        <v>18182.146768620405</v>
      </c>
      <c r="L32" s="1852">
        <f t="shared" ref="L32:O34" si="62">$E$30+((($Y$16*(1+$J32))/(L$31-$J32))/(1+L$31)^$Y$25)+($E$34-$E$33-$E$35)</f>
        <v>16700.428148256862</v>
      </c>
      <c r="M32" s="1853">
        <f t="shared" si="62"/>
        <v>15445.634589521605</v>
      </c>
      <c r="N32" s="1852">
        <f t="shared" si="62"/>
        <v>14373.062942388851</v>
      </c>
      <c r="O32" s="1854">
        <f t="shared" si="62"/>
        <v>13448.806339885714</v>
      </c>
      <c r="P32" s="1805"/>
      <c r="Q32" s="346"/>
      <c r="R32" s="1904"/>
      <c r="S32" s="1904"/>
      <c r="T32" s="1904"/>
      <c r="U32" s="1904"/>
      <c r="V32" s="1904"/>
      <c r="W32" s="1795"/>
    </row>
    <row r="33" spans="1:23">
      <c r="A33" s="1795"/>
      <c r="B33" s="1836" t="s">
        <v>636</v>
      </c>
      <c r="C33" s="1837"/>
      <c r="D33" s="1837"/>
      <c r="E33" s="1897">
        <f>+Model!BS284+Model!BS277+Model!BS283</f>
        <v>4121.2</v>
      </c>
      <c r="F33" s="1804"/>
      <c r="G33" s="2305"/>
      <c r="H33" s="1839"/>
      <c r="I33" s="1839"/>
      <c r="J33" s="1855">
        <f>E52</f>
        <v>0.02</v>
      </c>
      <c r="K33" s="1856">
        <f t="shared" ref="K33:K34" si="63">$E$30+((($Y$16*(1+$J33))/(K$31-$J33))/(1+K$31)^$Y$25)+($E$34-$E$33-$E$35)</f>
        <v>19354.684369689945</v>
      </c>
      <c r="L33" s="1857">
        <f t="shared" si="62"/>
        <v>17660.570565538546</v>
      </c>
      <c r="M33" s="1858">
        <f t="shared" si="62"/>
        <v>16241.195870090722</v>
      </c>
      <c r="N33" s="1857">
        <f t="shared" si="62"/>
        <v>15039.0234620092</v>
      </c>
      <c r="O33" s="1859">
        <f t="shared" si="62"/>
        <v>14011.278675553198</v>
      </c>
      <c r="P33" s="1805"/>
      <c r="Q33" s="1805"/>
      <c r="R33" s="1805"/>
      <c r="S33" s="1860"/>
      <c r="T33" s="1799"/>
      <c r="U33" s="1799"/>
      <c r="V33" s="1861"/>
      <c r="W33" s="1862"/>
    </row>
    <row r="34" spans="1:23">
      <c r="A34" s="1795"/>
      <c r="B34" s="1836" t="s">
        <v>637</v>
      </c>
      <c r="C34" s="1837"/>
      <c r="D34" s="1837"/>
      <c r="E34" s="1897">
        <f>+Model!BS267</f>
        <v>704.05822828421742</v>
      </c>
      <c r="F34" s="1804"/>
      <c r="G34" s="1822"/>
      <c r="H34" s="1839"/>
      <c r="I34" s="1839"/>
      <c r="J34" s="1863">
        <f>+J33+0.005</f>
        <v>2.5000000000000001E-2</v>
      </c>
      <c r="K34" s="1864">
        <f t="shared" si="63"/>
        <v>20747.049020207043</v>
      </c>
      <c r="L34" s="1865">
        <f t="shared" si="62"/>
        <v>18785.292568268298</v>
      </c>
      <c r="M34" s="1866">
        <f t="shared" si="62"/>
        <v>17162.360661850158</v>
      </c>
      <c r="N34" s="1865">
        <f t="shared" si="62"/>
        <v>15802.433401110882</v>
      </c>
      <c r="O34" s="1867">
        <f t="shared" si="62"/>
        <v>14650.445757849366</v>
      </c>
      <c r="P34" s="1805"/>
      <c r="Q34" s="1805"/>
      <c r="R34" s="1805"/>
      <c r="S34" s="1860"/>
      <c r="T34" s="1868"/>
      <c r="U34" s="1869"/>
      <c r="V34" s="1870"/>
      <c r="W34" s="1871"/>
    </row>
    <row r="35" spans="1:23">
      <c r="A35" s="1795"/>
      <c r="B35" s="1836" t="s">
        <v>531</v>
      </c>
      <c r="C35" s="1837"/>
      <c r="D35" s="1837"/>
      <c r="E35" s="1897">
        <f>+Model!BS295</f>
        <v>405.6</v>
      </c>
      <c r="F35" s="1804"/>
      <c r="G35" s="1822"/>
      <c r="H35" s="1839"/>
      <c r="I35" s="1839"/>
      <c r="J35" s="1872"/>
      <c r="K35" s="1872"/>
      <c r="L35" s="1872"/>
      <c r="M35" s="1872"/>
      <c r="N35" s="1872"/>
      <c r="O35" s="1872"/>
      <c r="P35" s="1805"/>
      <c r="Q35" s="1805"/>
      <c r="R35" s="1805"/>
      <c r="S35" s="1860"/>
      <c r="T35" s="1868"/>
      <c r="U35" s="1869"/>
      <c r="V35" s="1870"/>
      <c r="W35" s="1871"/>
    </row>
    <row r="36" spans="1:23">
      <c r="A36" s="1795"/>
      <c r="B36" s="1848" t="s">
        <v>514</v>
      </c>
      <c r="C36" s="1849"/>
      <c r="D36" s="1849"/>
      <c r="E36" s="2043">
        <f>E32-E33+E34-E35</f>
        <v>16241.195870090722</v>
      </c>
      <c r="F36" s="1804"/>
      <c r="G36" s="2305"/>
      <c r="H36" s="1839"/>
      <c r="I36" s="1839"/>
      <c r="J36" s="1874" t="s">
        <v>515</v>
      </c>
      <c r="K36" s="1875"/>
      <c r="L36" s="1875"/>
      <c r="M36" s="1875"/>
      <c r="N36" s="1875"/>
      <c r="O36" s="1876"/>
      <c r="P36" s="1805"/>
      <c r="Q36" s="1805"/>
      <c r="R36" s="1805"/>
      <c r="S36" s="1860"/>
      <c r="T36" s="1868"/>
      <c r="U36" s="1869"/>
      <c r="V36" s="1870"/>
      <c r="W36" s="1871"/>
    </row>
    <row r="37" spans="1:23">
      <c r="A37" s="1795"/>
      <c r="B37" s="1836" t="s">
        <v>638</v>
      </c>
      <c r="C37" s="1837"/>
      <c r="D37" s="1837"/>
      <c r="E37" s="1873">
        <f>+Model!BS217</f>
        <v>142.97499999999999</v>
      </c>
      <c r="F37" s="1877"/>
      <c r="G37" s="1822"/>
      <c r="H37" s="1839"/>
      <c r="I37" s="1839"/>
      <c r="J37" s="1844">
        <f>fair_value</f>
        <v>125</v>
      </c>
      <c r="K37" s="1845">
        <f>+K31</f>
        <v>7.8339095621586585E-2</v>
      </c>
      <c r="L37" s="1845">
        <f>+L31</f>
        <v>8.333909562158659E-2</v>
      </c>
      <c r="M37" s="1878">
        <f>+M31</f>
        <v>8.8339095621586594E-2</v>
      </c>
      <c r="N37" s="1845">
        <f>+N31</f>
        <v>9.3339095621586599E-2</v>
      </c>
      <c r="O37" s="1847">
        <f>+O31</f>
        <v>9.8339095621586603E-2</v>
      </c>
      <c r="P37" s="1805"/>
      <c r="Q37" s="1805"/>
      <c r="R37" s="1805"/>
      <c r="S37" s="1862"/>
      <c r="T37" s="1862"/>
      <c r="U37" s="1862"/>
      <c r="V37" s="1862"/>
      <c r="W37" s="1862"/>
    </row>
    <row r="38" spans="1:23">
      <c r="A38" s="1795"/>
      <c r="B38" s="1848" t="s">
        <v>516</v>
      </c>
      <c r="C38" s="1849"/>
      <c r="D38" s="1849"/>
      <c r="E38" s="2042">
        <f>ROUND((E36/E37)*(1+E47)^(4/4),0)</f>
        <v>125</v>
      </c>
      <c r="F38" s="1804"/>
      <c r="G38" s="2417"/>
      <c r="H38" s="1839"/>
      <c r="I38" s="1839"/>
      <c r="J38" s="1850">
        <f>+J32</f>
        <v>1.4999999999999999E-2</v>
      </c>
      <c r="K38" s="1851">
        <f t="shared" ref="K38:O40" si="64">K32/$E$37</f>
        <v>127.17011203791157</v>
      </c>
      <c r="L38" s="1852">
        <f t="shared" si="64"/>
        <v>116.80663156675547</v>
      </c>
      <c r="M38" s="1853">
        <f t="shared" si="64"/>
        <v>108.03031711503134</v>
      </c>
      <c r="N38" s="1852">
        <f t="shared" si="64"/>
        <v>100.5285045804431</v>
      </c>
      <c r="O38" s="1854">
        <f t="shared" si="64"/>
        <v>94.064041544925431</v>
      </c>
      <c r="P38" s="1805"/>
      <c r="Q38" s="1805"/>
      <c r="R38" s="1805"/>
      <c r="S38" s="1862"/>
      <c r="T38" s="1799"/>
      <c r="U38" s="1799"/>
      <c r="V38" s="1881"/>
      <c r="W38" s="1862"/>
    </row>
    <row r="39" spans="1:23">
      <c r="A39" s="1795"/>
      <c r="B39" s="1879" t="s">
        <v>517</v>
      </c>
      <c r="C39" s="1880"/>
      <c r="D39" s="1880"/>
      <c r="E39" s="2044">
        <f>ROUND(((Y16*(1+E52))/(E51-E52))/Y12,0)</f>
        <v>8</v>
      </c>
      <c r="F39" s="1804"/>
      <c r="G39" s="1822"/>
      <c r="H39" s="1839"/>
      <c r="I39" s="1839"/>
      <c r="J39" s="1882">
        <f>+J33</f>
        <v>0.02</v>
      </c>
      <c r="K39" s="1856">
        <f t="shared" si="64"/>
        <v>135.371109422556</v>
      </c>
      <c r="L39" s="1857">
        <f t="shared" si="64"/>
        <v>123.52208823597515</v>
      </c>
      <c r="M39" s="1858">
        <f t="shared" si="64"/>
        <v>113.59465549984768</v>
      </c>
      <c r="N39" s="1857">
        <f t="shared" si="64"/>
        <v>105.1863854660549</v>
      </c>
      <c r="O39" s="1859">
        <f t="shared" si="64"/>
        <v>97.998102294479438</v>
      </c>
      <c r="P39" s="1805"/>
      <c r="Q39" s="1805"/>
      <c r="R39" s="1805"/>
      <c r="S39" s="1862"/>
      <c r="T39" s="1868"/>
      <c r="U39" s="1869"/>
      <c r="V39" s="1883"/>
      <c r="W39" s="1862"/>
    </row>
    <row r="40" spans="1:23">
      <c r="A40" s="1795"/>
      <c r="B40" s="1804"/>
      <c r="C40" s="1804"/>
      <c r="D40" s="1804"/>
      <c r="E40" s="1872"/>
      <c r="F40" s="1804"/>
      <c r="G40" s="1822"/>
      <c r="H40" s="1839"/>
      <c r="I40" s="1839"/>
      <c r="J40" s="1863">
        <f>+J34</f>
        <v>2.5000000000000001E-2</v>
      </c>
      <c r="K40" s="1864">
        <f t="shared" si="64"/>
        <v>145.10962769859796</v>
      </c>
      <c r="L40" s="1865">
        <f t="shared" si="64"/>
        <v>131.38865233969784</v>
      </c>
      <c r="M40" s="1866">
        <f t="shared" si="64"/>
        <v>120.03749370064807</v>
      </c>
      <c r="N40" s="1865">
        <f t="shared" si="64"/>
        <v>110.52584998154141</v>
      </c>
      <c r="O40" s="1867">
        <f t="shared" si="64"/>
        <v>102.46858372337378</v>
      </c>
      <c r="P40" s="1805"/>
      <c r="Q40" s="1805"/>
      <c r="R40" s="1805"/>
      <c r="S40" s="1862"/>
      <c r="T40" s="1868"/>
      <c r="U40" s="1869"/>
      <c r="V40" s="1883"/>
      <c r="W40" s="1862"/>
    </row>
    <row r="41" spans="1:23">
      <c r="A41" s="1795"/>
      <c r="B41" s="1822"/>
      <c r="C41" s="1822"/>
      <c r="D41" s="1822"/>
      <c r="E41" s="2045"/>
      <c r="F41" s="1804"/>
      <c r="G41" s="1822"/>
      <c r="H41" s="1804"/>
      <c r="I41" s="1804"/>
      <c r="J41" s="1804"/>
      <c r="K41" s="1804"/>
      <c r="L41" s="1804"/>
      <c r="M41" s="1804"/>
      <c r="N41" s="1805"/>
      <c r="O41" s="1805"/>
      <c r="P41" s="1805"/>
      <c r="Q41" s="1805"/>
      <c r="R41" s="1805"/>
      <c r="S41" s="1862"/>
      <c r="T41" s="1868"/>
      <c r="U41" s="1869"/>
      <c r="V41" s="1883"/>
      <c r="W41" s="1862"/>
    </row>
    <row r="42" spans="1:23">
      <c r="A42" s="1795"/>
      <c r="B42" s="1831" t="s">
        <v>518</v>
      </c>
      <c r="C42" s="1884"/>
      <c r="D42" s="1884"/>
      <c r="E42" s="2046"/>
      <c r="F42" s="1804"/>
      <c r="G42" s="1822"/>
      <c r="H42" s="1804"/>
      <c r="I42" s="1804"/>
      <c r="J42" s="1804"/>
      <c r="K42" s="1804"/>
      <c r="L42" s="1804"/>
      <c r="M42" s="1804"/>
      <c r="N42" s="1805"/>
      <c r="O42" s="1805"/>
      <c r="P42" s="1805"/>
      <c r="Q42" s="1805"/>
      <c r="R42" s="1805"/>
      <c r="S42" s="1862"/>
      <c r="T42" s="1868"/>
      <c r="U42" s="1868"/>
      <c r="V42" s="1868"/>
      <c r="W42" s="1862"/>
    </row>
    <row r="43" spans="1:23">
      <c r="A43" s="1795"/>
      <c r="B43" s="1885" t="s">
        <v>519</v>
      </c>
      <c r="C43" s="1886"/>
      <c r="D43" s="1886"/>
      <c r="E43" s="2047" t="s">
        <v>520</v>
      </c>
      <c r="F43" s="1804"/>
      <c r="G43" s="1822"/>
      <c r="H43" s="1804"/>
      <c r="I43" s="1804"/>
      <c r="J43" s="1804"/>
      <c r="K43" s="1804"/>
      <c r="L43" s="1804"/>
      <c r="M43" s="1804"/>
      <c r="N43" s="1805"/>
      <c r="O43" s="1805"/>
      <c r="P43" s="1805"/>
      <c r="Q43" s="1805"/>
      <c r="R43" s="1805"/>
      <c r="S43" s="1862"/>
      <c r="T43" s="1868"/>
      <c r="U43" s="1868"/>
      <c r="V43" s="1868"/>
      <c r="W43" s="1862"/>
    </row>
    <row r="44" spans="1:23">
      <c r="A44" s="1795"/>
      <c r="B44" s="1836" t="s">
        <v>521</v>
      </c>
      <c r="C44" s="1837"/>
      <c r="D44" s="1837"/>
      <c r="E44" s="2048">
        <v>0.03</v>
      </c>
      <c r="F44" s="1804"/>
      <c r="G44" s="1822"/>
      <c r="H44" s="1804"/>
      <c r="I44" s="1804"/>
      <c r="J44" s="1804"/>
      <c r="K44" s="1804"/>
      <c r="L44" s="1804"/>
      <c r="M44" s="1804"/>
      <c r="N44" s="1805"/>
      <c r="O44" s="1805"/>
      <c r="P44" s="1805"/>
      <c r="Q44" s="1805"/>
      <c r="R44" s="1805"/>
      <c r="S44" s="1862"/>
      <c r="T44" s="1868"/>
      <c r="U44" s="1868"/>
      <c r="V44" s="1868"/>
      <c r="W44" s="1862"/>
    </row>
    <row r="45" spans="1:23">
      <c r="A45" s="1795"/>
      <c r="B45" s="1836" t="s">
        <v>522</v>
      </c>
      <c r="C45" s="1837"/>
      <c r="D45" s="1837"/>
      <c r="E45" s="2418">
        <v>1.42</v>
      </c>
      <c r="F45" s="1804"/>
      <c r="G45" s="1822"/>
      <c r="H45" s="1804"/>
      <c r="I45" s="1804"/>
      <c r="J45" s="1804"/>
      <c r="K45" s="1804"/>
      <c r="L45" s="1804"/>
      <c r="M45" s="1804"/>
      <c r="N45" s="1805"/>
      <c r="O45" s="1805"/>
      <c r="P45" s="1805"/>
      <c r="Q45" s="1805"/>
      <c r="R45" s="1805"/>
      <c r="S45" s="1862"/>
      <c r="T45" s="1868"/>
      <c r="U45" s="1868"/>
      <c r="V45" s="1868"/>
      <c r="W45" s="1862"/>
    </row>
    <row r="46" spans="1:23">
      <c r="A46" s="1795"/>
      <c r="B46" s="1836" t="s">
        <v>523</v>
      </c>
      <c r="C46" s="1837"/>
      <c r="D46" s="1837"/>
      <c r="E46" s="2048">
        <v>0.05</v>
      </c>
      <c r="F46" s="1804"/>
      <c r="G46" s="1822"/>
      <c r="H46" s="1804"/>
      <c r="I46" s="1804"/>
      <c r="J46" s="1804"/>
      <c r="K46" s="1804"/>
      <c r="L46" s="1804"/>
      <c r="M46" s="1804"/>
      <c r="N46" s="1805"/>
      <c r="O46" s="1805"/>
      <c r="P46" s="1805"/>
      <c r="Q46" s="1805"/>
      <c r="R46" s="1805"/>
      <c r="S46" s="1862"/>
      <c r="T46" s="1799"/>
      <c r="U46" s="1799"/>
      <c r="V46" s="1887"/>
      <c r="W46" s="1862"/>
    </row>
    <row r="47" spans="1:23">
      <c r="A47" s="1795"/>
      <c r="B47" s="1836" t="s">
        <v>524</v>
      </c>
      <c r="C47" s="1837"/>
      <c r="D47" s="1837"/>
      <c r="E47" s="2049">
        <f>+E44+E46*E45</f>
        <v>0.10099999999999999</v>
      </c>
      <c r="F47" s="1804"/>
      <c r="G47" s="1822"/>
      <c r="H47" s="1804"/>
      <c r="I47" s="1804"/>
      <c r="J47" s="1804"/>
      <c r="K47" s="1804"/>
      <c r="L47" s="1804"/>
      <c r="M47" s="1804"/>
      <c r="N47" s="1805"/>
      <c r="O47" s="1805"/>
      <c r="P47" s="1805"/>
      <c r="Q47" s="1805"/>
      <c r="R47" s="1805"/>
      <c r="S47" s="1862"/>
      <c r="T47" s="1868"/>
      <c r="U47" s="1869"/>
      <c r="V47" s="1888"/>
      <c r="W47" s="1862"/>
    </row>
    <row r="48" spans="1:23">
      <c r="A48" s="1795"/>
      <c r="B48" s="1836" t="s">
        <v>525</v>
      </c>
      <c r="C48" s="1837"/>
      <c r="D48" s="1837"/>
      <c r="E48" s="2049">
        <f>+Model!CC193</f>
        <v>5.92428029251134E-2</v>
      </c>
      <c r="F48" s="1804"/>
      <c r="G48" s="1822"/>
      <c r="H48" s="1804"/>
      <c r="I48" s="1804"/>
      <c r="J48" s="1804"/>
      <c r="K48" s="1804"/>
      <c r="L48" s="1804"/>
      <c r="M48" s="1804"/>
      <c r="N48" s="1805"/>
      <c r="O48" s="1805"/>
      <c r="P48" s="1805"/>
      <c r="Q48" s="1805"/>
      <c r="R48" s="1805"/>
      <c r="S48" s="1862"/>
      <c r="T48" s="1868"/>
      <c r="U48" s="1869"/>
      <c r="V48" s="1888"/>
      <c r="W48" s="1862"/>
    </row>
    <row r="49" spans="1:23">
      <c r="A49" s="1795"/>
      <c r="B49" s="1836" t="s">
        <v>526</v>
      </c>
      <c r="C49" s="1837"/>
      <c r="D49" s="1837"/>
      <c r="E49" s="2421">
        <v>0.15</v>
      </c>
      <c r="F49" s="1804"/>
      <c r="G49" s="1822"/>
      <c r="H49" s="1804"/>
      <c r="I49" s="1804"/>
      <c r="J49" s="1804"/>
      <c r="K49" s="1804"/>
      <c r="L49" s="1804"/>
      <c r="M49" s="1804"/>
      <c r="N49" s="1805"/>
      <c r="O49" s="1805"/>
      <c r="P49" s="1805"/>
      <c r="Q49" s="1805"/>
      <c r="R49" s="1805"/>
      <c r="S49" s="1862"/>
      <c r="T49" s="1868"/>
      <c r="U49" s="1869"/>
      <c r="V49" s="1888"/>
      <c r="W49" s="1862"/>
    </row>
    <row r="50" spans="1:23">
      <c r="A50" s="1795"/>
      <c r="B50" s="1836" t="s">
        <v>527</v>
      </c>
      <c r="C50" s="1837"/>
      <c r="D50" s="1837"/>
      <c r="E50" s="2048">
        <v>0.25</v>
      </c>
      <c r="F50" s="1804"/>
      <c r="G50" s="1822"/>
      <c r="H50" s="1804"/>
      <c r="I50" s="1804"/>
      <c r="J50" s="1804"/>
      <c r="K50" s="1804"/>
      <c r="L50" s="1804"/>
      <c r="M50" s="1804"/>
      <c r="N50" s="1805"/>
      <c r="O50" s="1805"/>
      <c r="P50" s="1805"/>
      <c r="Q50" s="1805"/>
      <c r="R50" s="1805"/>
      <c r="S50" s="1862"/>
      <c r="T50" s="1868"/>
      <c r="U50" s="1868"/>
      <c r="V50" s="1868"/>
      <c r="W50" s="1862"/>
    </row>
    <row r="51" spans="1:23">
      <c r="A51" s="1795"/>
      <c r="B51" s="1889" t="s">
        <v>528</v>
      </c>
      <c r="C51" s="1890"/>
      <c r="D51" s="1890"/>
      <c r="E51" s="2422">
        <f>+(E47*(1-E50))+((1-E49)*E48*E50)</f>
        <v>8.8339095621586594E-2</v>
      </c>
      <c r="F51" s="1804"/>
      <c r="G51" s="1822"/>
      <c r="H51" s="1804"/>
      <c r="I51" s="1804"/>
      <c r="J51" s="1804"/>
      <c r="K51" s="1804"/>
      <c r="L51" s="1804"/>
      <c r="M51" s="1804"/>
      <c r="N51" s="1805"/>
      <c r="O51" s="1805"/>
      <c r="P51" s="1805"/>
      <c r="Q51" s="1805"/>
      <c r="R51" s="1805"/>
      <c r="S51" s="1862"/>
      <c r="T51" s="1799"/>
      <c r="U51" s="1799"/>
      <c r="V51" s="1892"/>
      <c r="W51" s="1862"/>
    </row>
    <row r="52" spans="1:23">
      <c r="A52" s="1795"/>
      <c r="B52" s="1879" t="s">
        <v>529</v>
      </c>
      <c r="C52" s="1880"/>
      <c r="D52" s="1880"/>
      <c r="E52" s="1891">
        <f>R28</f>
        <v>0.02</v>
      </c>
      <c r="F52" s="1796"/>
      <c r="G52" s="1796"/>
      <c r="H52" s="1796"/>
      <c r="I52" s="1796"/>
      <c r="J52" s="1796"/>
      <c r="K52" s="1796"/>
      <c r="L52" s="1796"/>
      <c r="M52" s="1796"/>
      <c r="N52" s="1795"/>
      <c r="O52" s="1795"/>
      <c r="P52" s="1795"/>
      <c r="Q52" s="1795"/>
      <c r="R52" s="1795"/>
      <c r="S52" s="1795"/>
      <c r="T52" s="1795"/>
      <c r="U52" s="1795"/>
      <c r="V52" s="1795"/>
      <c r="W52" s="1795"/>
    </row>
    <row r="53" spans="1:23">
      <c r="B53" s="1796"/>
      <c r="C53" s="1796"/>
      <c r="D53" s="1796"/>
      <c r="E53" s="1796"/>
    </row>
  </sheetData>
  <pageMargins left="0.75" right="0.75" top="1" bottom="1" header="0.5" footer="0.5"/>
  <pageSetup scale="71" orientation="landscape"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0" tint="-0.249977111117893"/>
  </sheetPr>
  <dimension ref="A1:FM1112"/>
  <sheetViews>
    <sheetView topLeftCell="D1" workbookViewId="0">
      <pane ySplit="3" topLeftCell="A927" activePane="bottomLeft" state="frozen"/>
      <selection activeCell="D1" sqref="D1"/>
      <selection pane="bottomLeft" activeCell="F955" sqref="F955"/>
    </sheetView>
  </sheetViews>
  <sheetFormatPr defaultRowHeight="11.25" outlineLevelRow="1" outlineLevelCol="1"/>
  <cols>
    <col min="1" max="2" width="9.140625" style="1733" hidden="1" customWidth="1" outlineLevel="1"/>
    <col min="3" max="3" width="9.7109375" style="1733" hidden="1" customWidth="1" outlineLevel="1"/>
    <col min="4" max="4" width="7" style="1734" bestFit="1" customWidth="1" collapsed="1"/>
    <col min="5" max="5" width="7" style="1734" customWidth="1"/>
    <col min="6" max="6" width="14.7109375" style="1735" customWidth="1"/>
    <col min="7" max="7" width="8.28515625" style="1736" customWidth="1"/>
    <col min="8" max="13" width="9.140625" style="1734" hidden="1" customWidth="1" outlineLevel="1"/>
    <col min="14" max="14" width="4.5703125" style="1734" hidden="1" customWidth="1" outlineLevel="1"/>
    <col min="15" max="18" width="9.140625" style="1734" hidden="1" customWidth="1" outlineLevel="1"/>
    <col min="19" max="19" width="4.5703125" style="1734" hidden="1" customWidth="1" outlineLevel="1"/>
    <col min="20" max="23" width="9.140625" style="1734" hidden="1" customWidth="1" outlineLevel="1"/>
    <col min="24" max="24" width="11.42578125" style="1734" customWidth="1" collapsed="1"/>
    <col min="25" max="42" width="9.140625" style="1734" hidden="1" customWidth="1" outlineLevel="1"/>
    <col min="43" max="43" width="9.140625" style="1734" hidden="1" customWidth="1" outlineLevel="1" collapsed="1"/>
    <col min="44" max="63" width="9.140625" style="1734" hidden="1" customWidth="1" outlineLevel="1"/>
    <col min="64" max="64" width="9.140625" style="1734" collapsed="1"/>
    <col min="65" max="68" width="9.140625" style="1734" customWidth="1" outlineLevel="1"/>
    <col min="69" max="69" width="9.140625" style="1734"/>
    <col min="70" max="73" width="9.140625" style="1734" customWidth="1" outlineLevel="1"/>
    <col min="74" max="74" width="9.140625" style="1734"/>
    <col min="75" max="78" width="9.140625" style="1734" customWidth="1" outlineLevel="1"/>
    <col min="79" max="79" width="9.140625" style="1734"/>
    <col min="80" max="83" width="9.140625" style="1734" customWidth="1" outlineLevel="1"/>
    <col min="84" max="84" width="9.140625" style="1734"/>
    <col min="85" max="88" width="9.140625" style="1734" customWidth="1" outlineLevel="1"/>
    <col min="89" max="89" width="9.140625" style="1734"/>
    <col min="90" max="93" width="9.140625" style="1734" customWidth="1" outlineLevel="1"/>
    <col min="94" max="94" width="9.140625" style="1734"/>
    <col min="95" max="98" width="9.140625" style="1734" customWidth="1" outlineLevel="1"/>
    <col min="99" max="99" width="9.140625" style="1734"/>
    <col min="100" max="103" width="9.140625" style="1734" customWidth="1" outlineLevel="1"/>
    <col min="104" max="104" width="9.140625" style="1734"/>
    <col min="105" max="108" width="9.140625" style="1734" customWidth="1" outlineLevel="1"/>
    <col min="109" max="109" width="9.140625" style="1734"/>
    <col min="110" max="113" width="9.140625" style="1734" customWidth="1" outlineLevel="1"/>
    <col min="114" max="114" width="9.140625" style="1734"/>
    <col min="115" max="118" width="9.140625" style="1734" customWidth="1" outlineLevel="1"/>
    <col min="119" max="119" width="9.140625" style="1734"/>
    <col min="120" max="123" width="9.140625" style="1734" customWidth="1" outlineLevel="1"/>
    <col min="124" max="124" width="9.140625" style="1734"/>
    <col min="125" max="128" width="9.140625" style="1734" outlineLevel="1"/>
    <col min="129" max="129" width="9.140625" style="1734"/>
    <col min="130" max="133" width="9.140625" style="1734" customWidth="1" outlineLevel="1"/>
    <col min="134" max="134" width="9.140625" style="1734"/>
    <col min="135" max="138" width="9.140625" style="1734" customWidth="1" outlineLevel="1"/>
    <col min="139" max="139" width="9.140625" style="1734"/>
    <col min="140" max="143" width="9.140625" style="1734" customWidth="1" outlineLevel="1"/>
    <col min="144" max="144" width="9.140625" style="1734"/>
    <col min="145" max="148" width="9.140625" style="1734" customWidth="1" outlineLevel="1"/>
    <col min="149" max="149" width="9.140625" style="1734"/>
    <col min="150" max="153" width="9.140625" style="1734" customWidth="1" outlineLevel="1"/>
    <col min="154" max="154" width="9.140625" style="1734"/>
    <col min="155" max="158" width="9.140625" style="1734" customWidth="1" outlineLevel="1"/>
    <col min="159" max="159" width="9.140625" style="1734"/>
    <col min="160" max="163" width="9.140625" style="1734" customWidth="1" outlineLevel="1"/>
    <col min="164" max="164" width="9.140625" style="1734"/>
    <col min="165" max="168" width="9.140625" style="1734" customWidth="1" outlineLevel="1"/>
    <col min="169" max="266" width="9.140625" style="1734"/>
    <col min="267" max="268" width="9.140625" style="1734" customWidth="1"/>
    <col min="269" max="269" width="9.7109375" style="1734" customWidth="1"/>
    <col min="270" max="270" width="7" style="1734" bestFit="1" customWidth="1"/>
    <col min="271" max="271" width="7" style="1734" customWidth="1"/>
    <col min="272" max="272" width="14.7109375" style="1734" customWidth="1"/>
    <col min="273" max="273" width="8.28515625" style="1734" customWidth="1"/>
    <col min="274" max="279" width="9.140625" style="1734" customWidth="1"/>
    <col min="280" max="280" width="4.5703125" style="1734" customWidth="1"/>
    <col min="281" max="284" width="9.140625" style="1734" customWidth="1"/>
    <col min="285" max="285" width="4.5703125" style="1734" customWidth="1"/>
    <col min="286" max="289" width="9.140625" style="1734" customWidth="1"/>
    <col min="290" max="290" width="11.42578125" style="1734" customWidth="1"/>
    <col min="291" max="329" width="0" style="1734" hidden="1" customWidth="1"/>
    <col min="330" max="330" width="9.140625" style="1734"/>
    <col min="331" max="334" width="9.140625" style="1734" customWidth="1"/>
    <col min="335" max="335" width="9.140625" style="1734"/>
    <col min="336" max="339" width="9.140625" style="1734" customWidth="1"/>
    <col min="340" max="340" width="9.140625" style="1734"/>
    <col min="341" max="344" width="9.140625" style="1734" customWidth="1"/>
    <col min="345" max="345" width="9.140625" style="1734"/>
    <col min="346" max="349" width="9.140625" style="1734" customWidth="1"/>
    <col min="350" max="350" width="9.140625" style="1734"/>
    <col min="351" max="354" width="9.140625" style="1734" customWidth="1"/>
    <col min="355" max="355" width="9.140625" style="1734"/>
    <col min="356" max="359" width="9.140625" style="1734" customWidth="1"/>
    <col min="360" max="360" width="9.140625" style="1734"/>
    <col min="361" max="364" width="9.140625" style="1734" customWidth="1"/>
    <col min="365" max="365" width="9.140625" style="1734"/>
    <col min="366" max="369" width="9.140625" style="1734" customWidth="1"/>
    <col min="370" max="370" width="9.140625" style="1734"/>
    <col min="371" max="374" width="9.140625" style="1734" customWidth="1"/>
    <col min="375" max="375" width="9.140625" style="1734"/>
    <col min="376" max="379" width="9.140625" style="1734" customWidth="1"/>
    <col min="380" max="380" width="9.140625" style="1734"/>
    <col min="381" max="384" width="9.140625" style="1734" customWidth="1"/>
    <col min="385" max="385" width="9.140625" style="1734"/>
    <col min="386" max="389" width="9.140625" style="1734" customWidth="1"/>
    <col min="390" max="395" width="9.140625" style="1734"/>
    <col min="396" max="399" width="9.140625" style="1734" customWidth="1"/>
    <col min="400" max="400" width="9.140625" style="1734"/>
    <col min="401" max="404" width="9.140625" style="1734" customWidth="1"/>
    <col min="405" max="405" width="9.140625" style="1734"/>
    <col min="406" max="409" width="9.140625" style="1734" customWidth="1"/>
    <col min="410" max="410" width="9.140625" style="1734"/>
    <col min="411" max="414" width="9.140625" style="1734" customWidth="1"/>
    <col min="415" max="522" width="9.140625" style="1734"/>
    <col min="523" max="524" width="9.140625" style="1734" customWidth="1"/>
    <col min="525" max="525" width="9.7109375" style="1734" customWidth="1"/>
    <col min="526" max="526" width="7" style="1734" bestFit="1" customWidth="1"/>
    <col min="527" max="527" width="7" style="1734" customWidth="1"/>
    <col min="528" max="528" width="14.7109375" style="1734" customWidth="1"/>
    <col min="529" max="529" width="8.28515625" style="1734" customWidth="1"/>
    <col min="530" max="535" width="9.140625" style="1734" customWidth="1"/>
    <col min="536" max="536" width="4.5703125" style="1734" customWidth="1"/>
    <col min="537" max="540" width="9.140625" style="1734" customWidth="1"/>
    <col min="541" max="541" width="4.5703125" style="1734" customWidth="1"/>
    <col min="542" max="545" width="9.140625" style="1734" customWidth="1"/>
    <col min="546" max="546" width="11.42578125" style="1734" customWidth="1"/>
    <col min="547" max="585" width="0" style="1734" hidden="1" customWidth="1"/>
    <col min="586" max="586" width="9.140625" style="1734"/>
    <col min="587" max="590" width="9.140625" style="1734" customWidth="1"/>
    <col min="591" max="591" width="9.140625" style="1734"/>
    <col min="592" max="595" width="9.140625" style="1734" customWidth="1"/>
    <col min="596" max="596" width="9.140625" style="1734"/>
    <col min="597" max="600" width="9.140625" style="1734" customWidth="1"/>
    <col min="601" max="601" width="9.140625" style="1734"/>
    <col min="602" max="605" width="9.140625" style="1734" customWidth="1"/>
    <col min="606" max="606" width="9.140625" style="1734"/>
    <col min="607" max="610" width="9.140625" style="1734" customWidth="1"/>
    <col min="611" max="611" width="9.140625" style="1734"/>
    <col min="612" max="615" width="9.140625" style="1734" customWidth="1"/>
    <col min="616" max="616" width="9.140625" style="1734"/>
    <col min="617" max="620" width="9.140625" style="1734" customWidth="1"/>
    <col min="621" max="621" width="9.140625" style="1734"/>
    <col min="622" max="625" width="9.140625" style="1734" customWidth="1"/>
    <col min="626" max="626" width="9.140625" style="1734"/>
    <col min="627" max="630" width="9.140625" style="1734" customWidth="1"/>
    <col min="631" max="631" width="9.140625" style="1734"/>
    <col min="632" max="635" width="9.140625" style="1734" customWidth="1"/>
    <col min="636" max="636" width="9.140625" style="1734"/>
    <col min="637" max="640" width="9.140625" style="1734" customWidth="1"/>
    <col min="641" max="641" width="9.140625" style="1734"/>
    <col min="642" max="645" width="9.140625" style="1734" customWidth="1"/>
    <col min="646" max="651" width="9.140625" style="1734"/>
    <col min="652" max="655" width="9.140625" style="1734" customWidth="1"/>
    <col min="656" max="656" width="9.140625" style="1734"/>
    <col min="657" max="660" width="9.140625" style="1734" customWidth="1"/>
    <col min="661" max="661" width="9.140625" style="1734"/>
    <col min="662" max="665" width="9.140625" style="1734" customWidth="1"/>
    <col min="666" max="666" width="9.140625" style="1734"/>
    <col min="667" max="670" width="9.140625" style="1734" customWidth="1"/>
    <col min="671" max="778" width="9.140625" style="1734"/>
    <col min="779" max="780" width="9.140625" style="1734" customWidth="1"/>
    <col min="781" max="781" width="9.7109375" style="1734" customWidth="1"/>
    <col min="782" max="782" width="7" style="1734" bestFit="1" customWidth="1"/>
    <col min="783" max="783" width="7" style="1734" customWidth="1"/>
    <col min="784" max="784" width="14.7109375" style="1734" customWidth="1"/>
    <col min="785" max="785" width="8.28515625" style="1734" customWidth="1"/>
    <col min="786" max="791" width="9.140625" style="1734" customWidth="1"/>
    <col min="792" max="792" width="4.5703125" style="1734" customWidth="1"/>
    <col min="793" max="796" width="9.140625" style="1734" customWidth="1"/>
    <col min="797" max="797" width="4.5703125" style="1734" customWidth="1"/>
    <col min="798" max="801" width="9.140625" style="1734" customWidth="1"/>
    <col min="802" max="802" width="11.42578125" style="1734" customWidth="1"/>
    <col min="803" max="841" width="0" style="1734" hidden="1" customWidth="1"/>
    <col min="842" max="842" width="9.140625" style="1734"/>
    <col min="843" max="846" width="9.140625" style="1734" customWidth="1"/>
    <col min="847" max="847" width="9.140625" style="1734"/>
    <col min="848" max="851" width="9.140625" style="1734" customWidth="1"/>
    <col min="852" max="852" width="9.140625" style="1734"/>
    <col min="853" max="856" width="9.140625" style="1734" customWidth="1"/>
    <col min="857" max="857" width="9.140625" style="1734"/>
    <col min="858" max="861" width="9.140625" style="1734" customWidth="1"/>
    <col min="862" max="862" width="9.140625" style="1734"/>
    <col min="863" max="866" width="9.140625" style="1734" customWidth="1"/>
    <col min="867" max="867" width="9.140625" style="1734"/>
    <col min="868" max="871" width="9.140625" style="1734" customWidth="1"/>
    <col min="872" max="872" width="9.140625" style="1734"/>
    <col min="873" max="876" width="9.140625" style="1734" customWidth="1"/>
    <col min="877" max="877" width="9.140625" style="1734"/>
    <col min="878" max="881" width="9.140625" style="1734" customWidth="1"/>
    <col min="882" max="882" width="9.140625" style="1734"/>
    <col min="883" max="886" width="9.140625" style="1734" customWidth="1"/>
    <col min="887" max="887" width="9.140625" style="1734"/>
    <col min="888" max="891" width="9.140625" style="1734" customWidth="1"/>
    <col min="892" max="892" width="9.140625" style="1734"/>
    <col min="893" max="896" width="9.140625" style="1734" customWidth="1"/>
    <col min="897" max="897" width="9.140625" style="1734"/>
    <col min="898" max="901" width="9.140625" style="1734" customWidth="1"/>
    <col min="902" max="907" width="9.140625" style="1734"/>
    <col min="908" max="911" width="9.140625" style="1734" customWidth="1"/>
    <col min="912" max="912" width="9.140625" style="1734"/>
    <col min="913" max="916" width="9.140625" style="1734" customWidth="1"/>
    <col min="917" max="917" width="9.140625" style="1734"/>
    <col min="918" max="921" width="9.140625" style="1734" customWidth="1"/>
    <col min="922" max="922" width="9.140625" style="1734"/>
    <col min="923" max="926" width="9.140625" style="1734" customWidth="1"/>
    <col min="927" max="1034" width="9.140625" style="1734"/>
    <col min="1035" max="1036" width="9.140625" style="1734" customWidth="1"/>
    <col min="1037" max="1037" width="9.7109375" style="1734" customWidth="1"/>
    <col min="1038" max="1038" width="7" style="1734" bestFit="1" customWidth="1"/>
    <col min="1039" max="1039" width="7" style="1734" customWidth="1"/>
    <col min="1040" max="1040" width="14.7109375" style="1734" customWidth="1"/>
    <col min="1041" max="1041" width="8.28515625" style="1734" customWidth="1"/>
    <col min="1042" max="1047" width="9.140625" style="1734" customWidth="1"/>
    <col min="1048" max="1048" width="4.5703125" style="1734" customWidth="1"/>
    <col min="1049" max="1052" width="9.140625" style="1734" customWidth="1"/>
    <col min="1053" max="1053" width="4.5703125" style="1734" customWidth="1"/>
    <col min="1054" max="1057" width="9.140625" style="1734" customWidth="1"/>
    <col min="1058" max="1058" width="11.42578125" style="1734" customWidth="1"/>
    <col min="1059" max="1097" width="0" style="1734" hidden="1" customWidth="1"/>
    <col min="1098" max="1098" width="9.140625" style="1734"/>
    <col min="1099" max="1102" width="9.140625" style="1734" customWidth="1"/>
    <col min="1103" max="1103" width="9.140625" style="1734"/>
    <col min="1104" max="1107" width="9.140625" style="1734" customWidth="1"/>
    <col min="1108" max="1108" width="9.140625" style="1734"/>
    <col min="1109" max="1112" width="9.140625" style="1734" customWidth="1"/>
    <col min="1113" max="1113" width="9.140625" style="1734"/>
    <col min="1114" max="1117" width="9.140625" style="1734" customWidth="1"/>
    <col min="1118" max="1118" width="9.140625" style="1734"/>
    <col min="1119" max="1122" width="9.140625" style="1734" customWidth="1"/>
    <col min="1123" max="1123" width="9.140625" style="1734"/>
    <col min="1124" max="1127" width="9.140625" style="1734" customWidth="1"/>
    <col min="1128" max="1128" width="9.140625" style="1734"/>
    <col min="1129" max="1132" width="9.140625" style="1734" customWidth="1"/>
    <col min="1133" max="1133" width="9.140625" style="1734"/>
    <col min="1134" max="1137" width="9.140625" style="1734" customWidth="1"/>
    <col min="1138" max="1138" width="9.140625" style="1734"/>
    <col min="1139" max="1142" width="9.140625" style="1734" customWidth="1"/>
    <col min="1143" max="1143" width="9.140625" style="1734"/>
    <col min="1144" max="1147" width="9.140625" style="1734" customWidth="1"/>
    <col min="1148" max="1148" width="9.140625" style="1734"/>
    <col min="1149" max="1152" width="9.140625" style="1734" customWidth="1"/>
    <col min="1153" max="1153" width="9.140625" style="1734"/>
    <col min="1154" max="1157" width="9.140625" style="1734" customWidth="1"/>
    <col min="1158" max="1163" width="9.140625" style="1734"/>
    <col min="1164" max="1167" width="9.140625" style="1734" customWidth="1"/>
    <col min="1168" max="1168" width="9.140625" style="1734"/>
    <col min="1169" max="1172" width="9.140625" style="1734" customWidth="1"/>
    <col min="1173" max="1173" width="9.140625" style="1734"/>
    <col min="1174" max="1177" width="9.140625" style="1734" customWidth="1"/>
    <col min="1178" max="1178" width="9.140625" style="1734"/>
    <col min="1179" max="1182" width="9.140625" style="1734" customWidth="1"/>
    <col min="1183" max="1290" width="9.140625" style="1734"/>
    <col min="1291" max="1292" width="9.140625" style="1734" customWidth="1"/>
    <col min="1293" max="1293" width="9.7109375" style="1734" customWidth="1"/>
    <col min="1294" max="1294" width="7" style="1734" bestFit="1" customWidth="1"/>
    <col min="1295" max="1295" width="7" style="1734" customWidth="1"/>
    <col min="1296" max="1296" width="14.7109375" style="1734" customWidth="1"/>
    <col min="1297" max="1297" width="8.28515625" style="1734" customWidth="1"/>
    <col min="1298" max="1303" width="9.140625" style="1734" customWidth="1"/>
    <col min="1304" max="1304" width="4.5703125" style="1734" customWidth="1"/>
    <col min="1305" max="1308" width="9.140625" style="1734" customWidth="1"/>
    <col min="1309" max="1309" width="4.5703125" style="1734" customWidth="1"/>
    <col min="1310" max="1313" width="9.140625" style="1734" customWidth="1"/>
    <col min="1314" max="1314" width="11.42578125" style="1734" customWidth="1"/>
    <col min="1315" max="1353" width="0" style="1734" hidden="1" customWidth="1"/>
    <col min="1354" max="1354" width="9.140625" style="1734"/>
    <col min="1355" max="1358" width="9.140625" style="1734" customWidth="1"/>
    <col min="1359" max="1359" width="9.140625" style="1734"/>
    <col min="1360" max="1363" width="9.140625" style="1734" customWidth="1"/>
    <col min="1364" max="1364" width="9.140625" style="1734"/>
    <col min="1365" max="1368" width="9.140625" style="1734" customWidth="1"/>
    <col min="1369" max="1369" width="9.140625" style="1734"/>
    <col min="1370" max="1373" width="9.140625" style="1734" customWidth="1"/>
    <col min="1374" max="1374" width="9.140625" style="1734"/>
    <col min="1375" max="1378" width="9.140625" style="1734" customWidth="1"/>
    <col min="1379" max="1379" width="9.140625" style="1734"/>
    <col min="1380" max="1383" width="9.140625" style="1734" customWidth="1"/>
    <col min="1384" max="1384" width="9.140625" style="1734"/>
    <col min="1385" max="1388" width="9.140625" style="1734" customWidth="1"/>
    <col min="1389" max="1389" width="9.140625" style="1734"/>
    <col min="1390" max="1393" width="9.140625" style="1734" customWidth="1"/>
    <col min="1394" max="1394" width="9.140625" style="1734"/>
    <col min="1395" max="1398" width="9.140625" style="1734" customWidth="1"/>
    <col min="1399" max="1399" width="9.140625" style="1734"/>
    <col min="1400" max="1403" width="9.140625" style="1734" customWidth="1"/>
    <col min="1404" max="1404" width="9.140625" style="1734"/>
    <col min="1405" max="1408" width="9.140625" style="1734" customWidth="1"/>
    <col min="1409" max="1409" width="9.140625" style="1734"/>
    <col min="1410" max="1413" width="9.140625" style="1734" customWidth="1"/>
    <col min="1414" max="1419" width="9.140625" style="1734"/>
    <col min="1420" max="1423" width="9.140625" style="1734" customWidth="1"/>
    <col min="1424" max="1424" width="9.140625" style="1734"/>
    <col min="1425" max="1428" width="9.140625" style="1734" customWidth="1"/>
    <col min="1429" max="1429" width="9.140625" style="1734"/>
    <col min="1430" max="1433" width="9.140625" style="1734" customWidth="1"/>
    <col min="1434" max="1434" width="9.140625" style="1734"/>
    <col min="1435" max="1438" width="9.140625" style="1734" customWidth="1"/>
    <col min="1439" max="1546" width="9.140625" style="1734"/>
    <col min="1547" max="1548" width="9.140625" style="1734" customWidth="1"/>
    <col min="1549" max="1549" width="9.7109375" style="1734" customWidth="1"/>
    <col min="1550" max="1550" width="7" style="1734" bestFit="1" customWidth="1"/>
    <col min="1551" max="1551" width="7" style="1734" customWidth="1"/>
    <col min="1552" max="1552" width="14.7109375" style="1734" customWidth="1"/>
    <col min="1553" max="1553" width="8.28515625" style="1734" customWidth="1"/>
    <col min="1554" max="1559" width="9.140625" style="1734" customWidth="1"/>
    <col min="1560" max="1560" width="4.5703125" style="1734" customWidth="1"/>
    <col min="1561" max="1564" width="9.140625" style="1734" customWidth="1"/>
    <col min="1565" max="1565" width="4.5703125" style="1734" customWidth="1"/>
    <col min="1566" max="1569" width="9.140625" style="1734" customWidth="1"/>
    <col min="1570" max="1570" width="11.42578125" style="1734" customWidth="1"/>
    <col min="1571" max="1609" width="0" style="1734" hidden="1" customWidth="1"/>
    <col min="1610" max="1610" width="9.140625" style="1734"/>
    <col min="1611" max="1614" width="9.140625" style="1734" customWidth="1"/>
    <col min="1615" max="1615" width="9.140625" style="1734"/>
    <col min="1616" max="1619" width="9.140625" style="1734" customWidth="1"/>
    <col min="1620" max="1620" width="9.140625" style="1734"/>
    <col min="1621" max="1624" width="9.140625" style="1734" customWidth="1"/>
    <col min="1625" max="1625" width="9.140625" style="1734"/>
    <col min="1626" max="1629" width="9.140625" style="1734" customWidth="1"/>
    <col min="1630" max="1630" width="9.140625" style="1734"/>
    <col min="1631" max="1634" width="9.140625" style="1734" customWidth="1"/>
    <col min="1635" max="1635" width="9.140625" style="1734"/>
    <col min="1636" max="1639" width="9.140625" style="1734" customWidth="1"/>
    <col min="1640" max="1640" width="9.140625" style="1734"/>
    <col min="1641" max="1644" width="9.140625" style="1734" customWidth="1"/>
    <col min="1645" max="1645" width="9.140625" style="1734"/>
    <col min="1646" max="1649" width="9.140625" style="1734" customWidth="1"/>
    <col min="1650" max="1650" width="9.140625" style="1734"/>
    <col min="1651" max="1654" width="9.140625" style="1734" customWidth="1"/>
    <col min="1655" max="1655" width="9.140625" style="1734"/>
    <col min="1656" max="1659" width="9.140625" style="1734" customWidth="1"/>
    <col min="1660" max="1660" width="9.140625" style="1734"/>
    <col min="1661" max="1664" width="9.140625" style="1734" customWidth="1"/>
    <col min="1665" max="1665" width="9.140625" style="1734"/>
    <col min="1666" max="1669" width="9.140625" style="1734" customWidth="1"/>
    <col min="1670" max="1675" width="9.140625" style="1734"/>
    <col min="1676" max="1679" width="9.140625" style="1734" customWidth="1"/>
    <col min="1680" max="1680" width="9.140625" style="1734"/>
    <col min="1681" max="1684" width="9.140625" style="1734" customWidth="1"/>
    <col min="1685" max="1685" width="9.140625" style="1734"/>
    <col min="1686" max="1689" width="9.140625" style="1734" customWidth="1"/>
    <col min="1690" max="1690" width="9.140625" style="1734"/>
    <col min="1691" max="1694" width="9.140625" style="1734" customWidth="1"/>
    <col min="1695" max="1802" width="9.140625" style="1734"/>
    <col min="1803" max="1804" width="9.140625" style="1734" customWidth="1"/>
    <col min="1805" max="1805" width="9.7109375" style="1734" customWidth="1"/>
    <col min="1806" max="1806" width="7" style="1734" bestFit="1" customWidth="1"/>
    <col min="1807" max="1807" width="7" style="1734" customWidth="1"/>
    <col min="1808" max="1808" width="14.7109375" style="1734" customWidth="1"/>
    <col min="1809" max="1809" width="8.28515625" style="1734" customWidth="1"/>
    <col min="1810" max="1815" width="9.140625" style="1734" customWidth="1"/>
    <col min="1816" max="1816" width="4.5703125" style="1734" customWidth="1"/>
    <col min="1817" max="1820" width="9.140625" style="1734" customWidth="1"/>
    <col min="1821" max="1821" width="4.5703125" style="1734" customWidth="1"/>
    <col min="1822" max="1825" width="9.140625" style="1734" customWidth="1"/>
    <col min="1826" max="1826" width="11.42578125" style="1734" customWidth="1"/>
    <col min="1827" max="1865" width="0" style="1734" hidden="1" customWidth="1"/>
    <col min="1866" max="1866" width="9.140625" style="1734"/>
    <col min="1867" max="1870" width="9.140625" style="1734" customWidth="1"/>
    <col min="1871" max="1871" width="9.140625" style="1734"/>
    <col min="1872" max="1875" width="9.140625" style="1734" customWidth="1"/>
    <col min="1876" max="1876" width="9.140625" style="1734"/>
    <col min="1877" max="1880" width="9.140625" style="1734" customWidth="1"/>
    <col min="1881" max="1881" width="9.140625" style="1734"/>
    <col min="1882" max="1885" width="9.140625" style="1734" customWidth="1"/>
    <col min="1886" max="1886" width="9.140625" style="1734"/>
    <col min="1887" max="1890" width="9.140625" style="1734" customWidth="1"/>
    <col min="1891" max="1891" width="9.140625" style="1734"/>
    <col min="1892" max="1895" width="9.140625" style="1734" customWidth="1"/>
    <col min="1896" max="1896" width="9.140625" style="1734"/>
    <col min="1897" max="1900" width="9.140625" style="1734" customWidth="1"/>
    <col min="1901" max="1901" width="9.140625" style="1734"/>
    <col min="1902" max="1905" width="9.140625" style="1734" customWidth="1"/>
    <col min="1906" max="1906" width="9.140625" style="1734"/>
    <col min="1907" max="1910" width="9.140625" style="1734" customWidth="1"/>
    <col min="1911" max="1911" width="9.140625" style="1734"/>
    <col min="1912" max="1915" width="9.140625" style="1734" customWidth="1"/>
    <col min="1916" max="1916" width="9.140625" style="1734"/>
    <col min="1917" max="1920" width="9.140625" style="1734" customWidth="1"/>
    <col min="1921" max="1921" width="9.140625" style="1734"/>
    <col min="1922" max="1925" width="9.140625" style="1734" customWidth="1"/>
    <col min="1926" max="1931" width="9.140625" style="1734"/>
    <col min="1932" max="1935" width="9.140625" style="1734" customWidth="1"/>
    <col min="1936" max="1936" width="9.140625" style="1734"/>
    <col min="1937" max="1940" width="9.140625" style="1734" customWidth="1"/>
    <col min="1941" max="1941" width="9.140625" style="1734"/>
    <col min="1942" max="1945" width="9.140625" style="1734" customWidth="1"/>
    <col min="1946" max="1946" width="9.140625" style="1734"/>
    <col min="1947" max="1950" width="9.140625" style="1734" customWidth="1"/>
    <col min="1951" max="2058" width="9.140625" style="1734"/>
    <col min="2059" max="2060" width="9.140625" style="1734" customWidth="1"/>
    <col min="2061" max="2061" width="9.7109375" style="1734" customWidth="1"/>
    <col min="2062" max="2062" width="7" style="1734" bestFit="1" customWidth="1"/>
    <col min="2063" max="2063" width="7" style="1734" customWidth="1"/>
    <col min="2064" max="2064" width="14.7109375" style="1734" customWidth="1"/>
    <col min="2065" max="2065" width="8.28515625" style="1734" customWidth="1"/>
    <col min="2066" max="2071" width="9.140625" style="1734" customWidth="1"/>
    <col min="2072" max="2072" width="4.5703125" style="1734" customWidth="1"/>
    <col min="2073" max="2076" width="9.140625" style="1734" customWidth="1"/>
    <col min="2077" max="2077" width="4.5703125" style="1734" customWidth="1"/>
    <col min="2078" max="2081" width="9.140625" style="1734" customWidth="1"/>
    <col min="2082" max="2082" width="11.42578125" style="1734" customWidth="1"/>
    <col min="2083" max="2121" width="0" style="1734" hidden="1" customWidth="1"/>
    <col min="2122" max="2122" width="9.140625" style="1734"/>
    <col min="2123" max="2126" width="9.140625" style="1734" customWidth="1"/>
    <col min="2127" max="2127" width="9.140625" style="1734"/>
    <col min="2128" max="2131" width="9.140625" style="1734" customWidth="1"/>
    <col min="2132" max="2132" width="9.140625" style="1734"/>
    <col min="2133" max="2136" width="9.140625" style="1734" customWidth="1"/>
    <col min="2137" max="2137" width="9.140625" style="1734"/>
    <col min="2138" max="2141" width="9.140625" style="1734" customWidth="1"/>
    <col min="2142" max="2142" width="9.140625" style="1734"/>
    <col min="2143" max="2146" width="9.140625" style="1734" customWidth="1"/>
    <col min="2147" max="2147" width="9.140625" style="1734"/>
    <col min="2148" max="2151" width="9.140625" style="1734" customWidth="1"/>
    <col min="2152" max="2152" width="9.140625" style="1734"/>
    <col min="2153" max="2156" width="9.140625" style="1734" customWidth="1"/>
    <col min="2157" max="2157" width="9.140625" style="1734"/>
    <col min="2158" max="2161" width="9.140625" style="1734" customWidth="1"/>
    <col min="2162" max="2162" width="9.140625" style="1734"/>
    <col min="2163" max="2166" width="9.140625" style="1734" customWidth="1"/>
    <col min="2167" max="2167" width="9.140625" style="1734"/>
    <col min="2168" max="2171" width="9.140625" style="1734" customWidth="1"/>
    <col min="2172" max="2172" width="9.140625" style="1734"/>
    <col min="2173" max="2176" width="9.140625" style="1734" customWidth="1"/>
    <col min="2177" max="2177" width="9.140625" style="1734"/>
    <col min="2178" max="2181" width="9.140625" style="1734" customWidth="1"/>
    <col min="2182" max="2187" width="9.140625" style="1734"/>
    <col min="2188" max="2191" width="9.140625" style="1734" customWidth="1"/>
    <col min="2192" max="2192" width="9.140625" style="1734"/>
    <col min="2193" max="2196" width="9.140625" style="1734" customWidth="1"/>
    <col min="2197" max="2197" width="9.140625" style="1734"/>
    <col min="2198" max="2201" width="9.140625" style="1734" customWidth="1"/>
    <col min="2202" max="2202" width="9.140625" style="1734"/>
    <col min="2203" max="2206" width="9.140625" style="1734" customWidth="1"/>
    <col min="2207" max="2314" width="9.140625" style="1734"/>
    <col min="2315" max="2316" width="9.140625" style="1734" customWidth="1"/>
    <col min="2317" max="2317" width="9.7109375" style="1734" customWidth="1"/>
    <col min="2318" max="2318" width="7" style="1734" bestFit="1" customWidth="1"/>
    <col min="2319" max="2319" width="7" style="1734" customWidth="1"/>
    <col min="2320" max="2320" width="14.7109375" style="1734" customWidth="1"/>
    <col min="2321" max="2321" width="8.28515625" style="1734" customWidth="1"/>
    <col min="2322" max="2327" width="9.140625" style="1734" customWidth="1"/>
    <col min="2328" max="2328" width="4.5703125" style="1734" customWidth="1"/>
    <col min="2329" max="2332" width="9.140625" style="1734" customWidth="1"/>
    <col min="2333" max="2333" width="4.5703125" style="1734" customWidth="1"/>
    <col min="2334" max="2337" width="9.140625" style="1734" customWidth="1"/>
    <col min="2338" max="2338" width="11.42578125" style="1734" customWidth="1"/>
    <col min="2339" max="2377" width="0" style="1734" hidden="1" customWidth="1"/>
    <col min="2378" max="2378" width="9.140625" style="1734"/>
    <col min="2379" max="2382" width="9.140625" style="1734" customWidth="1"/>
    <col min="2383" max="2383" width="9.140625" style="1734"/>
    <col min="2384" max="2387" width="9.140625" style="1734" customWidth="1"/>
    <col min="2388" max="2388" width="9.140625" style="1734"/>
    <col min="2389" max="2392" width="9.140625" style="1734" customWidth="1"/>
    <col min="2393" max="2393" width="9.140625" style="1734"/>
    <col min="2394" max="2397" width="9.140625" style="1734" customWidth="1"/>
    <col min="2398" max="2398" width="9.140625" style="1734"/>
    <col min="2399" max="2402" width="9.140625" style="1734" customWidth="1"/>
    <col min="2403" max="2403" width="9.140625" style="1734"/>
    <col min="2404" max="2407" width="9.140625" style="1734" customWidth="1"/>
    <col min="2408" max="2408" width="9.140625" style="1734"/>
    <col min="2409" max="2412" width="9.140625" style="1734" customWidth="1"/>
    <col min="2413" max="2413" width="9.140625" style="1734"/>
    <col min="2414" max="2417" width="9.140625" style="1734" customWidth="1"/>
    <col min="2418" max="2418" width="9.140625" style="1734"/>
    <col min="2419" max="2422" width="9.140625" style="1734" customWidth="1"/>
    <col min="2423" max="2423" width="9.140625" style="1734"/>
    <col min="2424" max="2427" width="9.140625" style="1734" customWidth="1"/>
    <col min="2428" max="2428" width="9.140625" style="1734"/>
    <col min="2429" max="2432" width="9.140625" style="1734" customWidth="1"/>
    <col min="2433" max="2433" width="9.140625" style="1734"/>
    <col min="2434" max="2437" width="9.140625" style="1734" customWidth="1"/>
    <col min="2438" max="2443" width="9.140625" style="1734"/>
    <col min="2444" max="2447" width="9.140625" style="1734" customWidth="1"/>
    <col min="2448" max="2448" width="9.140625" style="1734"/>
    <col min="2449" max="2452" width="9.140625" style="1734" customWidth="1"/>
    <col min="2453" max="2453" width="9.140625" style="1734"/>
    <col min="2454" max="2457" width="9.140625" style="1734" customWidth="1"/>
    <col min="2458" max="2458" width="9.140625" style="1734"/>
    <col min="2459" max="2462" width="9.140625" style="1734" customWidth="1"/>
    <col min="2463" max="2570" width="9.140625" style="1734"/>
    <col min="2571" max="2572" width="9.140625" style="1734" customWidth="1"/>
    <col min="2573" max="2573" width="9.7109375" style="1734" customWidth="1"/>
    <col min="2574" max="2574" width="7" style="1734" bestFit="1" customWidth="1"/>
    <col min="2575" max="2575" width="7" style="1734" customWidth="1"/>
    <col min="2576" max="2576" width="14.7109375" style="1734" customWidth="1"/>
    <col min="2577" max="2577" width="8.28515625" style="1734" customWidth="1"/>
    <col min="2578" max="2583" width="9.140625" style="1734" customWidth="1"/>
    <col min="2584" max="2584" width="4.5703125" style="1734" customWidth="1"/>
    <col min="2585" max="2588" width="9.140625" style="1734" customWidth="1"/>
    <col min="2589" max="2589" width="4.5703125" style="1734" customWidth="1"/>
    <col min="2590" max="2593" width="9.140625" style="1734" customWidth="1"/>
    <col min="2594" max="2594" width="11.42578125" style="1734" customWidth="1"/>
    <col min="2595" max="2633" width="0" style="1734" hidden="1" customWidth="1"/>
    <col min="2634" max="2634" width="9.140625" style="1734"/>
    <col min="2635" max="2638" width="9.140625" style="1734" customWidth="1"/>
    <col min="2639" max="2639" width="9.140625" style="1734"/>
    <col min="2640" max="2643" width="9.140625" style="1734" customWidth="1"/>
    <col min="2644" max="2644" width="9.140625" style="1734"/>
    <col min="2645" max="2648" width="9.140625" style="1734" customWidth="1"/>
    <col min="2649" max="2649" width="9.140625" style="1734"/>
    <col min="2650" max="2653" width="9.140625" style="1734" customWidth="1"/>
    <col min="2654" max="2654" width="9.140625" style="1734"/>
    <col min="2655" max="2658" width="9.140625" style="1734" customWidth="1"/>
    <col min="2659" max="2659" width="9.140625" style="1734"/>
    <col min="2660" max="2663" width="9.140625" style="1734" customWidth="1"/>
    <col min="2664" max="2664" width="9.140625" style="1734"/>
    <col min="2665" max="2668" width="9.140625" style="1734" customWidth="1"/>
    <col min="2669" max="2669" width="9.140625" style="1734"/>
    <col min="2670" max="2673" width="9.140625" style="1734" customWidth="1"/>
    <col min="2674" max="2674" width="9.140625" style="1734"/>
    <col min="2675" max="2678" width="9.140625" style="1734" customWidth="1"/>
    <col min="2679" max="2679" width="9.140625" style="1734"/>
    <col min="2680" max="2683" width="9.140625" style="1734" customWidth="1"/>
    <col min="2684" max="2684" width="9.140625" style="1734"/>
    <col min="2685" max="2688" width="9.140625" style="1734" customWidth="1"/>
    <col min="2689" max="2689" width="9.140625" style="1734"/>
    <col min="2690" max="2693" width="9.140625" style="1734" customWidth="1"/>
    <col min="2694" max="2699" width="9.140625" style="1734"/>
    <col min="2700" max="2703" width="9.140625" style="1734" customWidth="1"/>
    <col min="2704" max="2704" width="9.140625" style="1734"/>
    <col min="2705" max="2708" width="9.140625" style="1734" customWidth="1"/>
    <col min="2709" max="2709" width="9.140625" style="1734"/>
    <col min="2710" max="2713" width="9.140625" style="1734" customWidth="1"/>
    <col min="2714" max="2714" width="9.140625" style="1734"/>
    <col min="2715" max="2718" width="9.140625" style="1734" customWidth="1"/>
    <col min="2719" max="2826" width="9.140625" style="1734"/>
    <col min="2827" max="2828" width="9.140625" style="1734" customWidth="1"/>
    <col min="2829" max="2829" width="9.7109375" style="1734" customWidth="1"/>
    <col min="2830" max="2830" width="7" style="1734" bestFit="1" customWidth="1"/>
    <col min="2831" max="2831" width="7" style="1734" customWidth="1"/>
    <col min="2832" max="2832" width="14.7109375" style="1734" customWidth="1"/>
    <col min="2833" max="2833" width="8.28515625" style="1734" customWidth="1"/>
    <col min="2834" max="2839" width="9.140625" style="1734" customWidth="1"/>
    <col min="2840" max="2840" width="4.5703125" style="1734" customWidth="1"/>
    <col min="2841" max="2844" width="9.140625" style="1734" customWidth="1"/>
    <col min="2845" max="2845" width="4.5703125" style="1734" customWidth="1"/>
    <col min="2846" max="2849" width="9.140625" style="1734" customWidth="1"/>
    <col min="2850" max="2850" width="11.42578125" style="1734" customWidth="1"/>
    <col min="2851" max="2889" width="0" style="1734" hidden="1" customWidth="1"/>
    <col min="2890" max="2890" width="9.140625" style="1734"/>
    <col min="2891" max="2894" width="9.140625" style="1734" customWidth="1"/>
    <col min="2895" max="2895" width="9.140625" style="1734"/>
    <col min="2896" max="2899" width="9.140625" style="1734" customWidth="1"/>
    <col min="2900" max="2900" width="9.140625" style="1734"/>
    <col min="2901" max="2904" width="9.140625" style="1734" customWidth="1"/>
    <col min="2905" max="2905" width="9.140625" style="1734"/>
    <col min="2906" max="2909" width="9.140625" style="1734" customWidth="1"/>
    <col min="2910" max="2910" width="9.140625" style="1734"/>
    <col min="2911" max="2914" width="9.140625" style="1734" customWidth="1"/>
    <col min="2915" max="2915" width="9.140625" style="1734"/>
    <col min="2916" max="2919" width="9.140625" style="1734" customWidth="1"/>
    <col min="2920" max="2920" width="9.140625" style="1734"/>
    <col min="2921" max="2924" width="9.140625" style="1734" customWidth="1"/>
    <col min="2925" max="2925" width="9.140625" style="1734"/>
    <col min="2926" max="2929" width="9.140625" style="1734" customWidth="1"/>
    <col min="2930" max="2930" width="9.140625" style="1734"/>
    <col min="2931" max="2934" width="9.140625" style="1734" customWidth="1"/>
    <col min="2935" max="2935" width="9.140625" style="1734"/>
    <col min="2936" max="2939" width="9.140625" style="1734" customWidth="1"/>
    <col min="2940" max="2940" width="9.140625" style="1734"/>
    <col min="2941" max="2944" width="9.140625" style="1734" customWidth="1"/>
    <col min="2945" max="2945" width="9.140625" style="1734"/>
    <col min="2946" max="2949" width="9.140625" style="1734" customWidth="1"/>
    <col min="2950" max="2955" width="9.140625" style="1734"/>
    <col min="2956" max="2959" width="9.140625" style="1734" customWidth="1"/>
    <col min="2960" max="2960" width="9.140625" style="1734"/>
    <col min="2961" max="2964" width="9.140625" style="1734" customWidth="1"/>
    <col min="2965" max="2965" width="9.140625" style="1734"/>
    <col min="2966" max="2969" width="9.140625" style="1734" customWidth="1"/>
    <col min="2970" max="2970" width="9.140625" style="1734"/>
    <col min="2971" max="2974" width="9.140625" style="1734" customWidth="1"/>
    <col min="2975" max="3082" width="9.140625" style="1734"/>
    <col min="3083" max="3084" width="9.140625" style="1734" customWidth="1"/>
    <col min="3085" max="3085" width="9.7109375" style="1734" customWidth="1"/>
    <col min="3086" max="3086" width="7" style="1734" bestFit="1" customWidth="1"/>
    <col min="3087" max="3087" width="7" style="1734" customWidth="1"/>
    <col min="3088" max="3088" width="14.7109375" style="1734" customWidth="1"/>
    <col min="3089" max="3089" width="8.28515625" style="1734" customWidth="1"/>
    <col min="3090" max="3095" width="9.140625" style="1734" customWidth="1"/>
    <col min="3096" max="3096" width="4.5703125" style="1734" customWidth="1"/>
    <col min="3097" max="3100" width="9.140625" style="1734" customWidth="1"/>
    <col min="3101" max="3101" width="4.5703125" style="1734" customWidth="1"/>
    <col min="3102" max="3105" width="9.140625" style="1734" customWidth="1"/>
    <col min="3106" max="3106" width="11.42578125" style="1734" customWidth="1"/>
    <col min="3107" max="3145" width="0" style="1734" hidden="1" customWidth="1"/>
    <col min="3146" max="3146" width="9.140625" style="1734"/>
    <col min="3147" max="3150" width="9.140625" style="1734" customWidth="1"/>
    <col min="3151" max="3151" width="9.140625" style="1734"/>
    <col min="3152" max="3155" width="9.140625" style="1734" customWidth="1"/>
    <col min="3156" max="3156" width="9.140625" style="1734"/>
    <col min="3157" max="3160" width="9.140625" style="1734" customWidth="1"/>
    <col min="3161" max="3161" width="9.140625" style="1734"/>
    <col min="3162" max="3165" width="9.140625" style="1734" customWidth="1"/>
    <col min="3166" max="3166" width="9.140625" style="1734"/>
    <col min="3167" max="3170" width="9.140625" style="1734" customWidth="1"/>
    <col min="3171" max="3171" width="9.140625" style="1734"/>
    <col min="3172" max="3175" width="9.140625" style="1734" customWidth="1"/>
    <col min="3176" max="3176" width="9.140625" style="1734"/>
    <col min="3177" max="3180" width="9.140625" style="1734" customWidth="1"/>
    <col min="3181" max="3181" width="9.140625" style="1734"/>
    <col min="3182" max="3185" width="9.140625" style="1734" customWidth="1"/>
    <col min="3186" max="3186" width="9.140625" style="1734"/>
    <col min="3187" max="3190" width="9.140625" style="1734" customWidth="1"/>
    <col min="3191" max="3191" width="9.140625" style="1734"/>
    <col min="3192" max="3195" width="9.140625" style="1734" customWidth="1"/>
    <col min="3196" max="3196" width="9.140625" style="1734"/>
    <col min="3197" max="3200" width="9.140625" style="1734" customWidth="1"/>
    <col min="3201" max="3201" width="9.140625" style="1734"/>
    <col min="3202" max="3205" width="9.140625" style="1734" customWidth="1"/>
    <col min="3206" max="3211" width="9.140625" style="1734"/>
    <col min="3212" max="3215" width="9.140625" style="1734" customWidth="1"/>
    <col min="3216" max="3216" width="9.140625" style="1734"/>
    <col min="3217" max="3220" width="9.140625" style="1734" customWidth="1"/>
    <col min="3221" max="3221" width="9.140625" style="1734"/>
    <col min="3222" max="3225" width="9.140625" style="1734" customWidth="1"/>
    <col min="3226" max="3226" width="9.140625" style="1734"/>
    <col min="3227" max="3230" width="9.140625" style="1734" customWidth="1"/>
    <col min="3231" max="3338" width="9.140625" style="1734"/>
    <col min="3339" max="3340" width="9.140625" style="1734" customWidth="1"/>
    <col min="3341" max="3341" width="9.7109375" style="1734" customWidth="1"/>
    <col min="3342" max="3342" width="7" style="1734" bestFit="1" customWidth="1"/>
    <col min="3343" max="3343" width="7" style="1734" customWidth="1"/>
    <col min="3344" max="3344" width="14.7109375" style="1734" customWidth="1"/>
    <col min="3345" max="3345" width="8.28515625" style="1734" customWidth="1"/>
    <col min="3346" max="3351" width="9.140625" style="1734" customWidth="1"/>
    <col min="3352" max="3352" width="4.5703125" style="1734" customWidth="1"/>
    <col min="3353" max="3356" width="9.140625" style="1734" customWidth="1"/>
    <col min="3357" max="3357" width="4.5703125" style="1734" customWidth="1"/>
    <col min="3358" max="3361" width="9.140625" style="1734" customWidth="1"/>
    <col min="3362" max="3362" width="11.42578125" style="1734" customWidth="1"/>
    <col min="3363" max="3401" width="0" style="1734" hidden="1" customWidth="1"/>
    <col min="3402" max="3402" width="9.140625" style="1734"/>
    <col min="3403" max="3406" width="9.140625" style="1734" customWidth="1"/>
    <col min="3407" max="3407" width="9.140625" style="1734"/>
    <col min="3408" max="3411" width="9.140625" style="1734" customWidth="1"/>
    <col min="3412" max="3412" width="9.140625" style="1734"/>
    <col min="3413" max="3416" width="9.140625" style="1734" customWidth="1"/>
    <col min="3417" max="3417" width="9.140625" style="1734"/>
    <col min="3418" max="3421" width="9.140625" style="1734" customWidth="1"/>
    <col min="3422" max="3422" width="9.140625" style="1734"/>
    <col min="3423" max="3426" width="9.140625" style="1734" customWidth="1"/>
    <col min="3427" max="3427" width="9.140625" style="1734"/>
    <col min="3428" max="3431" width="9.140625" style="1734" customWidth="1"/>
    <col min="3432" max="3432" width="9.140625" style="1734"/>
    <col min="3433" max="3436" width="9.140625" style="1734" customWidth="1"/>
    <col min="3437" max="3437" width="9.140625" style="1734"/>
    <col min="3438" max="3441" width="9.140625" style="1734" customWidth="1"/>
    <col min="3442" max="3442" width="9.140625" style="1734"/>
    <col min="3443" max="3446" width="9.140625" style="1734" customWidth="1"/>
    <col min="3447" max="3447" width="9.140625" style="1734"/>
    <col min="3448" max="3451" width="9.140625" style="1734" customWidth="1"/>
    <col min="3452" max="3452" width="9.140625" style="1734"/>
    <col min="3453" max="3456" width="9.140625" style="1734" customWidth="1"/>
    <col min="3457" max="3457" width="9.140625" style="1734"/>
    <col min="3458" max="3461" width="9.140625" style="1734" customWidth="1"/>
    <col min="3462" max="3467" width="9.140625" style="1734"/>
    <col min="3468" max="3471" width="9.140625" style="1734" customWidth="1"/>
    <col min="3472" max="3472" width="9.140625" style="1734"/>
    <col min="3473" max="3476" width="9.140625" style="1734" customWidth="1"/>
    <col min="3477" max="3477" width="9.140625" style="1734"/>
    <col min="3478" max="3481" width="9.140625" style="1734" customWidth="1"/>
    <col min="3482" max="3482" width="9.140625" style="1734"/>
    <col min="3483" max="3486" width="9.140625" style="1734" customWidth="1"/>
    <col min="3487" max="3594" width="9.140625" style="1734"/>
    <col min="3595" max="3596" width="9.140625" style="1734" customWidth="1"/>
    <col min="3597" max="3597" width="9.7109375" style="1734" customWidth="1"/>
    <col min="3598" max="3598" width="7" style="1734" bestFit="1" customWidth="1"/>
    <col min="3599" max="3599" width="7" style="1734" customWidth="1"/>
    <col min="3600" max="3600" width="14.7109375" style="1734" customWidth="1"/>
    <col min="3601" max="3601" width="8.28515625" style="1734" customWidth="1"/>
    <col min="3602" max="3607" width="9.140625" style="1734" customWidth="1"/>
    <col min="3608" max="3608" width="4.5703125" style="1734" customWidth="1"/>
    <col min="3609" max="3612" width="9.140625" style="1734" customWidth="1"/>
    <col min="3613" max="3613" width="4.5703125" style="1734" customWidth="1"/>
    <col min="3614" max="3617" width="9.140625" style="1734" customWidth="1"/>
    <col min="3618" max="3618" width="11.42578125" style="1734" customWidth="1"/>
    <col min="3619" max="3657" width="0" style="1734" hidden="1" customWidth="1"/>
    <col min="3658" max="3658" width="9.140625" style="1734"/>
    <col min="3659" max="3662" width="9.140625" style="1734" customWidth="1"/>
    <col min="3663" max="3663" width="9.140625" style="1734"/>
    <col min="3664" max="3667" width="9.140625" style="1734" customWidth="1"/>
    <col min="3668" max="3668" width="9.140625" style="1734"/>
    <col min="3669" max="3672" width="9.140625" style="1734" customWidth="1"/>
    <col min="3673" max="3673" width="9.140625" style="1734"/>
    <col min="3674" max="3677" width="9.140625" style="1734" customWidth="1"/>
    <col min="3678" max="3678" width="9.140625" style="1734"/>
    <col min="3679" max="3682" width="9.140625" style="1734" customWidth="1"/>
    <col min="3683" max="3683" width="9.140625" style="1734"/>
    <col min="3684" max="3687" width="9.140625" style="1734" customWidth="1"/>
    <col min="3688" max="3688" width="9.140625" style="1734"/>
    <col min="3689" max="3692" width="9.140625" style="1734" customWidth="1"/>
    <col min="3693" max="3693" width="9.140625" style="1734"/>
    <col min="3694" max="3697" width="9.140625" style="1734" customWidth="1"/>
    <col min="3698" max="3698" width="9.140625" style="1734"/>
    <col min="3699" max="3702" width="9.140625" style="1734" customWidth="1"/>
    <col min="3703" max="3703" width="9.140625" style="1734"/>
    <col min="3704" max="3707" width="9.140625" style="1734" customWidth="1"/>
    <col min="3708" max="3708" width="9.140625" style="1734"/>
    <col min="3709" max="3712" width="9.140625" style="1734" customWidth="1"/>
    <col min="3713" max="3713" width="9.140625" style="1734"/>
    <col min="3714" max="3717" width="9.140625" style="1734" customWidth="1"/>
    <col min="3718" max="3723" width="9.140625" style="1734"/>
    <col min="3724" max="3727" width="9.140625" style="1734" customWidth="1"/>
    <col min="3728" max="3728" width="9.140625" style="1734"/>
    <col min="3729" max="3732" width="9.140625" style="1734" customWidth="1"/>
    <col min="3733" max="3733" width="9.140625" style="1734"/>
    <col min="3734" max="3737" width="9.140625" style="1734" customWidth="1"/>
    <col min="3738" max="3738" width="9.140625" style="1734"/>
    <col min="3739" max="3742" width="9.140625" style="1734" customWidth="1"/>
    <col min="3743" max="3850" width="9.140625" style="1734"/>
    <col min="3851" max="3852" width="9.140625" style="1734" customWidth="1"/>
    <col min="3853" max="3853" width="9.7109375" style="1734" customWidth="1"/>
    <col min="3854" max="3854" width="7" style="1734" bestFit="1" customWidth="1"/>
    <col min="3855" max="3855" width="7" style="1734" customWidth="1"/>
    <col min="3856" max="3856" width="14.7109375" style="1734" customWidth="1"/>
    <col min="3857" max="3857" width="8.28515625" style="1734" customWidth="1"/>
    <col min="3858" max="3863" width="9.140625" style="1734" customWidth="1"/>
    <col min="3864" max="3864" width="4.5703125" style="1734" customWidth="1"/>
    <col min="3865" max="3868" width="9.140625" style="1734" customWidth="1"/>
    <col min="3869" max="3869" width="4.5703125" style="1734" customWidth="1"/>
    <col min="3870" max="3873" width="9.140625" style="1734" customWidth="1"/>
    <col min="3874" max="3874" width="11.42578125" style="1734" customWidth="1"/>
    <col min="3875" max="3913" width="0" style="1734" hidden="1" customWidth="1"/>
    <col min="3914" max="3914" width="9.140625" style="1734"/>
    <col min="3915" max="3918" width="9.140625" style="1734" customWidth="1"/>
    <col min="3919" max="3919" width="9.140625" style="1734"/>
    <col min="3920" max="3923" width="9.140625" style="1734" customWidth="1"/>
    <col min="3924" max="3924" width="9.140625" style="1734"/>
    <col min="3925" max="3928" width="9.140625" style="1734" customWidth="1"/>
    <col min="3929" max="3929" width="9.140625" style="1734"/>
    <col min="3930" max="3933" width="9.140625" style="1734" customWidth="1"/>
    <col min="3934" max="3934" width="9.140625" style="1734"/>
    <col min="3935" max="3938" width="9.140625" style="1734" customWidth="1"/>
    <col min="3939" max="3939" width="9.140625" style="1734"/>
    <col min="3940" max="3943" width="9.140625" style="1734" customWidth="1"/>
    <col min="3944" max="3944" width="9.140625" style="1734"/>
    <col min="3945" max="3948" width="9.140625" style="1734" customWidth="1"/>
    <col min="3949" max="3949" width="9.140625" style="1734"/>
    <col min="3950" max="3953" width="9.140625" style="1734" customWidth="1"/>
    <col min="3954" max="3954" width="9.140625" style="1734"/>
    <col min="3955" max="3958" width="9.140625" style="1734" customWidth="1"/>
    <col min="3959" max="3959" width="9.140625" style="1734"/>
    <col min="3960" max="3963" width="9.140625" style="1734" customWidth="1"/>
    <col min="3964" max="3964" width="9.140625" style="1734"/>
    <col min="3965" max="3968" width="9.140625" style="1734" customWidth="1"/>
    <col min="3969" max="3969" width="9.140625" style="1734"/>
    <col min="3970" max="3973" width="9.140625" style="1734" customWidth="1"/>
    <col min="3974" max="3979" width="9.140625" style="1734"/>
    <col min="3980" max="3983" width="9.140625" style="1734" customWidth="1"/>
    <col min="3984" max="3984" width="9.140625" style="1734"/>
    <col min="3985" max="3988" width="9.140625" style="1734" customWidth="1"/>
    <col min="3989" max="3989" width="9.140625" style="1734"/>
    <col min="3990" max="3993" width="9.140625" style="1734" customWidth="1"/>
    <col min="3994" max="3994" width="9.140625" style="1734"/>
    <col min="3995" max="3998" width="9.140625" style="1734" customWidth="1"/>
    <col min="3999" max="4106" width="9.140625" style="1734"/>
    <col min="4107" max="4108" width="9.140625" style="1734" customWidth="1"/>
    <col min="4109" max="4109" width="9.7109375" style="1734" customWidth="1"/>
    <col min="4110" max="4110" width="7" style="1734" bestFit="1" customWidth="1"/>
    <col min="4111" max="4111" width="7" style="1734" customWidth="1"/>
    <col min="4112" max="4112" width="14.7109375" style="1734" customWidth="1"/>
    <col min="4113" max="4113" width="8.28515625" style="1734" customWidth="1"/>
    <col min="4114" max="4119" width="9.140625" style="1734" customWidth="1"/>
    <col min="4120" max="4120" width="4.5703125" style="1734" customWidth="1"/>
    <col min="4121" max="4124" width="9.140625" style="1734" customWidth="1"/>
    <col min="4125" max="4125" width="4.5703125" style="1734" customWidth="1"/>
    <col min="4126" max="4129" width="9.140625" style="1734" customWidth="1"/>
    <col min="4130" max="4130" width="11.42578125" style="1734" customWidth="1"/>
    <col min="4131" max="4169" width="0" style="1734" hidden="1" customWidth="1"/>
    <col min="4170" max="4170" width="9.140625" style="1734"/>
    <col min="4171" max="4174" width="9.140625" style="1734" customWidth="1"/>
    <col min="4175" max="4175" width="9.140625" style="1734"/>
    <col min="4176" max="4179" width="9.140625" style="1734" customWidth="1"/>
    <col min="4180" max="4180" width="9.140625" style="1734"/>
    <col min="4181" max="4184" width="9.140625" style="1734" customWidth="1"/>
    <col min="4185" max="4185" width="9.140625" style="1734"/>
    <col min="4186" max="4189" width="9.140625" style="1734" customWidth="1"/>
    <col min="4190" max="4190" width="9.140625" style="1734"/>
    <col min="4191" max="4194" width="9.140625" style="1734" customWidth="1"/>
    <col min="4195" max="4195" width="9.140625" style="1734"/>
    <col min="4196" max="4199" width="9.140625" style="1734" customWidth="1"/>
    <col min="4200" max="4200" width="9.140625" style="1734"/>
    <col min="4201" max="4204" width="9.140625" style="1734" customWidth="1"/>
    <col min="4205" max="4205" width="9.140625" style="1734"/>
    <col min="4206" max="4209" width="9.140625" style="1734" customWidth="1"/>
    <col min="4210" max="4210" width="9.140625" style="1734"/>
    <col min="4211" max="4214" width="9.140625" style="1734" customWidth="1"/>
    <col min="4215" max="4215" width="9.140625" style="1734"/>
    <col min="4216" max="4219" width="9.140625" style="1734" customWidth="1"/>
    <col min="4220" max="4220" width="9.140625" style="1734"/>
    <col min="4221" max="4224" width="9.140625" style="1734" customWidth="1"/>
    <col min="4225" max="4225" width="9.140625" style="1734"/>
    <col min="4226" max="4229" width="9.140625" style="1734" customWidth="1"/>
    <col min="4230" max="4235" width="9.140625" style="1734"/>
    <col min="4236" max="4239" width="9.140625" style="1734" customWidth="1"/>
    <col min="4240" max="4240" width="9.140625" style="1734"/>
    <col min="4241" max="4244" width="9.140625" style="1734" customWidth="1"/>
    <col min="4245" max="4245" width="9.140625" style="1734"/>
    <col min="4246" max="4249" width="9.140625" style="1734" customWidth="1"/>
    <col min="4250" max="4250" width="9.140625" style="1734"/>
    <col min="4251" max="4254" width="9.140625" style="1734" customWidth="1"/>
    <col min="4255" max="4362" width="9.140625" style="1734"/>
    <col min="4363" max="4364" width="9.140625" style="1734" customWidth="1"/>
    <col min="4365" max="4365" width="9.7109375" style="1734" customWidth="1"/>
    <col min="4366" max="4366" width="7" style="1734" bestFit="1" customWidth="1"/>
    <col min="4367" max="4367" width="7" style="1734" customWidth="1"/>
    <col min="4368" max="4368" width="14.7109375" style="1734" customWidth="1"/>
    <col min="4369" max="4369" width="8.28515625" style="1734" customWidth="1"/>
    <col min="4370" max="4375" width="9.140625" style="1734" customWidth="1"/>
    <col min="4376" max="4376" width="4.5703125" style="1734" customWidth="1"/>
    <col min="4377" max="4380" width="9.140625" style="1734" customWidth="1"/>
    <col min="4381" max="4381" width="4.5703125" style="1734" customWidth="1"/>
    <col min="4382" max="4385" width="9.140625" style="1734" customWidth="1"/>
    <col min="4386" max="4386" width="11.42578125" style="1734" customWidth="1"/>
    <col min="4387" max="4425" width="0" style="1734" hidden="1" customWidth="1"/>
    <col min="4426" max="4426" width="9.140625" style="1734"/>
    <col min="4427" max="4430" width="9.140625" style="1734" customWidth="1"/>
    <col min="4431" max="4431" width="9.140625" style="1734"/>
    <col min="4432" max="4435" width="9.140625" style="1734" customWidth="1"/>
    <col min="4436" max="4436" width="9.140625" style="1734"/>
    <col min="4437" max="4440" width="9.140625" style="1734" customWidth="1"/>
    <col min="4441" max="4441" width="9.140625" style="1734"/>
    <col min="4442" max="4445" width="9.140625" style="1734" customWidth="1"/>
    <col min="4446" max="4446" width="9.140625" style="1734"/>
    <col min="4447" max="4450" width="9.140625" style="1734" customWidth="1"/>
    <col min="4451" max="4451" width="9.140625" style="1734"/>
    <col min="4452" max="4455" width="9.140625" style="1734" customWidth="1"/>
    <col min="4456" max="4456" width="9.140625" style="1734"/>
    <col min="4457" max="4460" width="9.140625" style="1734" customWidth="1"/>
    <col min="4461" max="4461" width="9.140625" style="1734"/>
    <col min="4462" max="4465" width="9.140625" style="1734" customWidth="1"/>
    <col min="4466" max="4466" width="9.140625" style="1734"/>
    <col min="4467" max="4470" width="9.140625" style="1734" customWidth="1"/>
    <col min="4471" max="4471" width="9.140625" style="1734"/>
    <col min="4472" max="4475" width="9.140625" style="1734" customWidth="1"/>
    <col min="4476" max="4476" width="9.140625" style="1734"/>
    <col min="4477" max="4480" width="9.140625" style="1734" customWidth="1"/>
    <col min="4481" max="4481" width="9.140625" style="1734"/>
    <col min="4482" max="4485" width="9.140625" style="1734" customWidth="1"/>
    <col min="4486" max="4491" width="9.140625" style="1734"/>
    <col min="4492" max="4495" width="9.140625" style="1734" customWidth="1"/>
    <col min="4496" max="4496" width="9.140625" style="1734"/>
    <col min="4497" max="4500" width="9.140625" style="1734" customWidth="1"/>
    <col min="4501" max="4501" width="9.140625" style="1734"/>
    <col min="4502" max="4505" width="9.140625" style="1734" customWidth="1"/>
    <col min="4506" max="4506" width="9.140625" style="1734"/>
    <col min="4507" max="4510" width="9.140625" style="1734" customWidth="1"/>
    <col min="4511" max="4618" width="9.140625" style="1734"/>
    <col min="4619" max="4620" width="9.140625" style="1734" customWidth="1"/>
    <col min="4621" max="4621" width="9.7109375" style="1734" customWidth="1"/>
    <col min="4622" max="4622" width="7" style="1734" bestFit="1" customWidth="1"/>
    <col min="4623" max="4623" width="7" style="1734" customWidth="1"/>
    <col min="4624" max="4624" width="14.7109375" style="1734" customWidth="1"/>
    <col min="4625" max="4625" width="8.28515625" style="1734" customWidth="1"/>
    <col min="4626" max="4631" width="9.140625" style="1734" customWidth="1"/>
    <col min="4632" max="4632" width="4.5703125" style="1734" customWidth="1"/>
    <col min="4633" max="4636" width="9.140625" style="1734" customWidth="1"/>
    <col min="4637" max="4637" width="4.5703125" style="1734" customWidth="1"/>
    <col min="4638" max="4641" width="9.140625" style="1734" customWidth="1"/>
    <col min="4642" max="4642" width="11.42578125" style="1734" customWidth="1"/>
    <col min="4643" max="4681" width="0" style="1734" hidden="1" customWidth="1"/>
    <col min="4682" max="4682" width="9.140625" style="1734"/>
    <col min="4683" max="4686" width="9.140625" style="1734" customWidth="1"/>
    <col min="4687" max="4687" width="9.140625" style="1734"/>
    <col min="4688" max="4691" width="9.140625" style="1734" customWidth="1"/>
    <col min="4692" max="4692" width="9.140625" style="1734"/>
    <col min="4693" max="4696" width="9.140625" style="1734" customWidth="1"/>
    <col min="4697" max="4697" width="9.140625" style="1734"/>
    <col min="4698" max="4701" width="9.140625" style="1734" customWidth="1"/>
    <col min="4702" max="4702" width="9.140625" style="1734"/>
    <col min="4703" max="4706" width="9.140625" style="1734" customWidth="1"/>
    <col min="4707" max="4707" width="9.140625" style="1734"/>
    <col min="4708" max="4711" width="9.140625" style="1734" customWidth="1"/>
    <col min="4712" max="4712" width="9.140625" style="1734"/>
    <col min="4713" max="4716" width="9.140625" style="1734" customWidth="1"/>
    <col min="4717" max="4717" width="9.140625" style="1734"/>
    <col min="4718" max="4721" width="9.140625" style="1734" customWidth="1"/>
    <col min="4722" max="4722" width="9.140625" style="1734"/>
    <col min="4723" max="4726" width="9.140625" style="1734" customWidth="1"/>
    <col min="4727" max="4727" width="9.140625" style="1734"/>
    <col min="4728" max="4731" width="9.140625" style="1734" customWidth="1"/>
    <col min="4732" max="4732" width="9.140625" style="1734"/>
    <col min="4733" max="4736" width="9.140625" style="1734" customWidth="1"/>
    <col min="4737" max="4737" width="9.140625" style="1734"/>
    <col min="4738" max="4741" width="9.140625" style="1734" customWidth="1"/>
    <col min="4742" max="4747" width="9.140625" style="1734"/>
    <col min="4748" max="4751" width="9.140625" style="1734" customWidth="1"/>
    <col min="4752" max="4752" width="9.140625" style="1734"/>
    <col min="4753" max="4756" width="9.140625" style="1734" customWidth="1"/>
    <col min="4757" max="4757" width="9.140625" style="1734"/>
    <col min="4758" max="4761" width="9.140625" style="1734" customWidth="1"/>
    <col min="4762" max="4762" width="9.140625" style="1734"/>
    <col min="4763" max="4766" width="9.140625" style="1734" customWidth="1"/>
    <col min="4767" max="4874" width="9.140625" style="1734"/>
    <col min="4875" max="4876" width="9.140625" style="1734" customWidth="1"/>
    <col min="4877" max="4877" width="9.7109375" style="1734" customWidth="1"/>
    <col min="4878" max="4878" width="7" style="1734" bestFit="1" customWidth="1"/>
    <col min="4879" max="4879" width="7" style="1734" customWidth="1"/>
    <col min="4880" max="4880" width="14.7109375" style="1734" customWidth="1"/>
    <col min="4881" max="4881" width="8.28515625" style="1734" customWidth="1"/>
    <col min="4882" max="4887" width="9.140625" style="1734" customWidth="1"/>
    <col min="4888" max="4888" width="4.5703125" style="1734" customWidth="1"/>
    <col min="4889" max="4892" width="9.140625" style="1734" customWidth="1"/>
    <col min="4893" max="4893" width="4.5703125" style="1734" customWidth="1"/>
    <col min="4894" max="4897" width="9.140625" style="1734" customWidth="1"/>
    <col min="4898" max="4898" width="11.42578125" style="1734" customWidth="1"/>
    <col min="4899" max="4937" width="0" style="1734" hidden="1" customWidth="1"/>
    <col min="4938" max="4938" width="9.140625" style="1734"/>
    <col min="4939" max="4942" width="9.140625" style="1734" customWidth="1"/>
    <col min="4943" max="4943" width="9.140625" style="1734"/>
    <col min="4944" max="4947" width="9.140625" style="1734" customWidth="1"/>
    <col min="4948" max="4948" width="9.140625" style="1734"/>
    <col min="4949" max="4952" width="9.140625" style="1734" customWidth="1"/>
    <col min="4953" max="4953" width="9.140625" style="1734"/>
    <col min="4954" max="4957" width="9.140625" style="1734" customWidth="1"/>
    <col min="4958" max="4958" width="9.140625" style="1734"/>
    <col min="4959" max="4962" width="9.140625" style="1734" customWidth="1"/>
    <col min="4963" max="4963" width="9.140625" style="1734"/>
    <col min="4964" max="4967" width="9.140625" style="1734" customWidth="1"/>
    <col min="4968" max="4968" width="9.140625" style="1734"/>
    <col min="4969" max="4972" width="9.140625" style="1734" customWidth="1"/>
    <col min="4973" max="4973" width="9.140625" style="1734"/>
    <col min="4974" max="4977" width="9.140625" style="1734" customWidth="1"/>
    <col min="4978" max="4978" width="9.140625" style="1734"/>
    <col min="4979" max="4982" width="9.140625" style="1734" customWidth="1"/>
    <col min="4983" max="4983" width="9.140625" style="1734"/>
    <col min="4984" max="4987" width="9.140625" style="1734" customWidth="1"/>
    <col min="4988" max="4988" width="9.140625" style="1734"/>
    <col min="4989" max="4992" width="9.140625" style="1734" customWidth="1"/>
    <col min="4993" max="4993" width="9.140625" style="1734"/>
    <col min="4994" max="4997" width="9.140625" style="1734" customWidth="1"/>
    <col min="4998" max="5003" width="9.140625" style="1734"/>
    <col min="5004" max="5007" width="9.140625" style="1734" customWidth="1"/>
    <col min="5008" max="5008" width="9.140625" style="1734"/>
    <col min="5009" max="5012" width="9.140625" style="1734" customWidth="1"/>
    <col min="5013" max="5013" width="9.140625" style="1734"/>
    <col min="5014" max="5017" width="9.140625" style="1734" customWidth="1"/>
    <col min="5018" max="5018" width="9.140625" style="1734"/>
    <col min="5019" max="5022" width="9.140625" style="1734" customWidth="1"/>
    <col min="5023" max="5130" width="9.140625" style="1734"/>
    <col min="5131" max="5132" width="9.140625" style="1734" customWidth="1"/>
    <col min="5133" max="5133" width="9.7109375" style="1734" customWidth="1"/>
    <col min="5134" max="5134" width="7" style="1734" bestFit="1" customWidth="1"/>
    <col min="5135" max="5135" width="7" style="1734" customWidth="1"/>
    <col min="5136" max="5136" width="14.7109375" style="1734" customWidth="1"/>
    <col min="5137" max="5137" width="8.28515625" style="1734" customWidth="1"/>
    <col min="5138" max="5143" width="9.140625" style="1734" customWidth="1"/>
    <col min="5144" max="5144" width="4.5703125" style="1734" customWidth="1"/>
    <col min="5145" max="5148" width="9.140625" style="1734" customWidth="1"/>
    <col min="5149" max="5149" width="4.5703125" style="1734" customWidth="1"/>
    <col min="5150" max="5153" width="9.140625" style="1734" customWidth="1"/>
    <col min="5154" max="5154" width="11.42578125" style="1734" customWidth="1"/>
    <col min="5155" max="5193" width="0" style="1734" hidden="1" customWidth="1"/>
    <col min="5194" max="5194" width="9.140625" style="1734"/>
    <col min="5195" max="5198" width="9.140625" style="1734" customWidth="1"/>
    <col min="5199" max="5199" width="9.140625" style="1734"/>
    <col min="5200" max="5203" width="9.140625" style="1734" customWidth="1"/>
    <col min="5204" max="5204" width="9.140625" style="1734"/>
    <col min="5205" max="5208" width="9.140625" style="1734" customWidth="1"/>
    <col min="5209" max="5209" width="9.140625" style="1734"/>
    <col min="5210" max="5213" width="9.140625" style="1734" customWidth="1"/>
    <col min="5214" max="5214" width="9.140625" style="1734"/>
    <col min="5215" max="5218" width="9.140625" style="1734" customWidth="1"/>
    <col min="5219" max="5219" width="9.140625" style="1734"/>
    <col min="5220" max="5223" width="9.140625" style="1734" customWidth="1"/>
    <col min="5224" max="5224" width="9.140625" style="1734"/>
    <col min="5225" max="5228" width="9.140625" style="1734" customWidth="1"/>
    <col min="5229" max="5229" width="9.140625" style="1734"/>
    <col min="5230" max="5233" width="9.140625" style="1734" customWidth="1"/>
    <col min="5234" max="5234" width="9.140625" style="1734"/>
    <col min="5235" max="5238" width="9.140625" style="1734" customWidth="1"/>
    <col min="5239" max="5239" width="9.140625" style="1734"/>
    <col min="5240" max="5243" width="9.140625" style="1734" customWidth="1"/>
    <col min="5244" max="5244" width="9.140625" style="1734"/>
    <col min="5245" max="5248" width="9.140625" style="1734" customWidth="1"/>
    <col min="5249" max="5249" width="9.140625" style="1734"/>
    <col min="5250" max="5253" width="9.140625" style="1734" customWidth="1"/>
    <col min="5254" max="5259" width="9.140625" style="1734"/>
    <col min="5260" max="5263" width="9.140625" style="1734" customWidth="1"/>
    <col min="5264" max="5264" width="9.140625" style="1734"/>
    <col min="5265" max="5268" width="9.140625" style="1734" customWidth="1"/>
    <col min="5269" max="5269" width="9.140625" style="1734"/>
    <col min="5270" max="5273" width="9.140625" style="1734" customWidth="1"/>
    <col min="5274" max="5274" width="9.140625" style="1734"/>
    <col min="5275" max="5278" width="9.140625" style="1734" customWidth="1"/>
    <col min="5279" max="5386" width="9.140625" style="1734"/>
    <col min="5387" max="5388" width="9.140625" style="1734" customWidth="1"/>
    <col min="5389" max="5389" width="9.7109375" style="1734" customWidth="1"/>
    <col min="5390" max="5390" width="7" style="1734" bestFit="1" customWidth="1"/>
    <col min="5391" max="5391" width="7" style="1734" customWidth="1"/>
    <col min="5392" max="5392" width="14.7109375" style="1734" customWidth="1"/>
    <col min="5393" max="5393" width="8.28515625" style="1734" customWidth="1"/>
    <col min="5394" max="5399" width="9.140625" style="1734" customWidth="1"/>
    <col min="5400" max="5400" width="4.5703125" style="1734" customWidth="1"/>
    <col min="5401" max="5404" width="9.140625" style="1734" customWidth="1"/>
    <col min="5405" max="5405" width="4.5703125" style="1734" customWidth="1"/>
    <col min="5406" max="5409" width="9.140625" style="1734" customWidth="1"/>
    <col min="5410" max="5410" width="11.42578125" style="1734" customWidth="1"/>
    <col min="5411" max="5449" width="0" style="1734" hidden="1" customWidth="1"/>
    <col min="5450" max="5450" width="9.140625" style="1734"/>
    <col min="5451" max="5454" width="9.140625" style="1734" customWidth="1"/>
    <col min="5455" max="5455" width="9.140625" style="1734"/>
    <col min="5456" max="5459" width="9.140625" style="1734" customWidth="1"/>
    <col min="5460" max="5460" width="9.140625" style="1734"/>
    <col min="5461" max="5464" width="9.140625" style="1734" customWidth="1"/>
    <col min="5465" max="5465" width="9.140625" style="1734"/>
    <col min="5466" max="5469" width="9.140625" style="1734" customWidth="1"/>
    <col min="5470" max="5470" width="9.140625" style="1734"/>
    <col min="5471" max="5474" width="9.140625" style="1734" customWidth="1"/>
    <col min="5475" max="5475" width="9.140625" style="1734"/>
    <col min="5476" max="5479" width="9.140625" style="1734" customWidth="1"/>
    <col min="5480" max="5480" width="9.140625" style="1734"/>
    <col min="5481" max="5484" width="9.140625" style="1734" customWidth="1"/>
    <col min="5485" max="5485" width="9.140625" style="1734"/>
    <col min="5486" max="5489" width="9.140625" style="1734" customWidth="1"/>
    <col min="5490" max="5490" width="9.140625" style="1734"/>
    <col min="5491" max="5494" width="9.140625" style="1734" customWidth="1"/>
    <col min="5495" max="5495" width="9.140625" style="1734"/>
    <col min="5496" max="5499" width="9.140625" style="1734" customWidth="1"/>
    <col min="5500" max="5500" width="9.140625" style="1734"/>
    <col min="5501" max="5504" width="9.140625" style="1734" customWidth="1"/>
    <col min="5505" max="5505" width="9.140625" style="1734"/>
    <col min="5506" max="5509" width="9.140625" style="1734" customWidth="1"/>
    <col min="5510" max="5515" width="9.140625" style="1734"/>
    <col min="5516" max="5519" width="9.140625" style="1734" customWidth="1"/>
    <col min="5520" max="5520" width="9.140625" style="1734"/>
    <col min="5521" max="5524" width="9.140625" style="1734" customWidth="1"/>
    <col min="5525" max="5525" width="9.140625" style="1734"/>
    <col min="5526" max="5529" width="9.140625" style="1734" customWidth="1"/>
    <col min="5530" max="5530" width="9.140625" style="1734"/>
    <col min="5531" max="5534" width="9.140625" style="1734" customWidth="1"/>
    <col min="5535" max="5642" width="9.140625" style="1734"/>
    <col min="5643" max="5644" width="9.140625" style="1734" customWidth="1"/>
    <col min="5645" max="5645" width="9.7109375" style="1734" customWidth="1"/>
    <col min="5646" max="5646" width="7" style="1734" bestFit="1" customWidth="1"/>
    <col min="5647" max="5647" width="7" style="1734" customWidth="1"/>
    <col min="5648" max="5648" width="14.7109375" style="1734" customWidth="1"/>
    <col min="5649" max="5649" width="8.28515625" style="1734" customWidth="1"/>
    <col min="5650" max="5655" width="9.140625" style="1734" customWidth="1"/>
    <col min="5656" max="5656" width="4.5703125" style="1734" customWidth="1"/>
    <col min="5657" max="5660" width="9.140625" style="1734" customWidth="1"/>
    <col min="5661" max="5661" width="4.5703125" style="1734" customWidth="1"/>
    <col min="5662" max="5665" width="9.140625" style="1734" customWidth="1"/>
    <col min="5666" max="5666" width="11.42578125" style="1734" customWidth="1"/>
    <col min="5667" max="5705" width="0" style="1734" hidden="1" customWidth="1"/>
    <col min="5706" max="5706" width="9.140625" style="1734"/>
    <col min="5707" max="5710" width="9.140625" style="1734" customWidth="1"/>
    <col min="5711" max="5711" width="9.140625" style="1734"/>
    <col min="5712" max="5715" width="9.140625" style="1734" customWidth="1"/>
    <col min="5716" max="5716" width="9.140625" style="1734"/>
    <col min="5717" max="5720" width="9.140625" style="1734" customWidth="1"/>
    <col min="5721" max="5721" width="9.140625" style="1734"/>
    <col min="5722" max="5725" width="9.140625" style="1734" customWidth="1"/>
    <col min="5726" max="5726" width="9.140625" style="1734"/>
    <col min="5727" max="5730" width="9.140625" style="1734" customWidth="1"/>
    <col min="5731" max="5731" width="9.140625" style="1734"/>
    <col min="5732" max="5735" width="9.140625" style="1734" customWidth="1"/>
    <col min="5736" max="5736" width="9.140625" style="1734"/>
    <col min="5737" max="5740" width="9.140625" style="1734" customWidth="1"/>
    <col min="5741" max="5741" width="9.140625" style="1734"/>
    <col min="5742" max="5745" width="9.140625" style="1734" customWidth="1"/>
    <col min="5746" max="5746" width="9.140625" style="1734"/>
    <col min="5747" max="5750" width="9.140625" style="1734" customWidth="1"/>
    <col min="5751" max="5751" width="9.140625" style="1734"/>
    <col min="5752" max="5755" width="9.140625" style="1734" customWidth="1"/>
    <col min="5756" max="5756" width="9.140625" style="1734"/>
    <col min="5757" max="5760" width="9.140625" style="1734" customWidth="1"/>
    <col min="5761" max="5761" width="9.140625" style="1734"/>
    <col min="5762" max="5765" width="9.140625" style="1734" customWidth="1"/>
    <col min="5766" max="5771" width="9.140625" style="1734"/>
    <col min="5772" max="5775" width="9.140625" style="1734" customWidth="1"/>
    <col min="5776" max="5776" width="9.140625" style="1734"/>
    <col min="5777" max="5780" width="9.140625" style="1734" customWidth="1"/>
    <col min="5781" max="5781" width="9.140625" style="1734"/>
    <col min="5782" max="5785" width="9.140625" style="1734" customWidth="1"/>
    <col min="5786" max="5786" width="9.140625" style="1734"/>
    <col min="5787" max="5790" width="9.140625" style="1734" customWidth="1"/>
    <col min="5791" max="5898" width="9.140625" style="1734"/>
    <col min="5899" max="5900" width="9.140625" style="1734" customWidth="1"/>
    <col min="5901" max="5901" width="9.7109375" style="1734" customWidth="1"/>
    <col min="5902" max="5902" width="7" style="1734" bestFit="1" customWidth="1"/>
    <col min="5903" max="5903" width="7" style="1734" customWidth="1"/>
    <col min="5904" max="5904" width="14.7109375" style="1734" customWidth="1"/>
    <col min="5905" max="5905" width="8.28515625" style="1734" customWidth="1"/>
    <col min="5906" max="5911" width="9.140625" style="1734" customWidth="1"/>
    <col min="5912" max="5912" width="4.5703125" style="1734" customWidth="1"/>
    <col min="5913" max="5916" width="9.140625" style="1734" customWidth="1"/>
    <col min="5917" max="5917" width="4.5703125" style="1734" customWidth="1"/>
    <col min="5918" max="5921" width="9.140625" style="1734" customWidth="1"/>
    <col min="5922" max="5922" width="11.42578125" style="1734" customWidth="1"/>
    <col min="5923" max="5961" width="0" style="1734" hidden="1" customWidth="1"/>
    <col min="5962" max="5962" width="9.140625" style="1734"/>
    <col min="5963" max="5966" width="9.140625" style="1734" customWidth="1"/>
    <col min="5967" max="5967" width="9.140625" style="1734"/>
    <col min="5968" max="5971" width="9.140625" style="1734" customWidth="1"/>
    <col min="5972" max="5972" width="9.140625" style="1734"/>
    <col min="5973" max="5976" width="9.140625" style="1734" customWidth="1"/>
    <col min="5977" max="5977" width="9.140625" style="1734"/>
    <col min="5978" max="5981" width="9.140625" style="1734" customWidth="1"/>
    <col min="5982" max="5982" width="9.140625" style="1734"/>
    <col min="5983" max="5986" width="9.140625" style="1734" customWidth="1"/>
    <col min="5987" max="5987" width="9.140625" style="1734"/>
    <col min="5988" max="5991" width="9.140625" style="1734" customWidth="1"/>
    <col min="5992" max="5992" width="9.140625" style="1734"/>
    <col min="5993" max="5996" width="9.140625" style="1734" customWidth="1"/>
    <col min="5997" max="5997" width="9.140625" style="1734"/>
    <col min="5998" max="6001" width="9.140625" style="1734" customWidth="1"/>
    <col min="6002" max="6002" width="9.140625" style="1734"/>
    <col min="6003" max="6006" width="9.140625" style="1734" customWidth="1"/>
    <col min="6007" max="6007" width="9.140625" style="1734"/>
    <col min="6008" max="6011" width="9.140625" style="1734" customWidth="1"/>
    <col min="6012" max="6012" width="9.140625" style="1734"/>
    <col min="6013" max="6016" width="9.140625" style="1734" customWidth="1"/>
    <col min="6017" max="6017" width="9.140625" style="1734"/>
    <col min="6018" max="6021" width="9.140625" style="1734" customWidth="1"/>
    <col min="6022" max="6027" width="9.140625" style="1734"/>
    <col min="6028" max="6031" width="9.140625" style="1734" customWidth="1"/>
    <col min="6032" max="6032" width="9.140625" style="1734"/>
    <col min="6033" max="6036" width="9.140625" style="1734" customWidth="1"/>
    <col min="6037" max="6037" width="9.140625" style="1734"/>
    <col min="6038" max="6041" width="9.140625" style="1734" customWidth="1"/>
    <col min="6042" max="6042" width="9.140625" style="1734"/>
    <col min="6043" max="6046" width="9.140625" style="1734" customWidth="1"/>
    <col min="6047" max="6154" width="9.140625" style="1734"/>
    <col min="6155" max="6156" width="9.140625" style="1734" customWidth="1"/>
    <col min="6157" max="6157" width="9.7109375" style="1734" customWidth="1"/>
    <col min="6158" max="6158" width="7" style="1734" bestFit="1" customWidth="1"/>
    <col min="6159" max="6159" width="7" style="1734" customWidth="1"/>
    <col min="6160" max="6160" width="14.7109375" style="1734" customWidth="1"/>
    <col min="6161" max="6161" width="8.28515625" style="1734" customWidth="1"/>
    <col min="6162" max="6167" width="9.140625" style="1734" customWidth="1"/>
    <col min="6168" max="6168" width="4.5703125" style="1734" customWidth="1"/>
    <col min="6169" max="6172" width="9.140625" style="1734" customWidth="1"/>
    <col min="6173" max="6173" width="4.5703125" style="1734" customWidth="1"/>
    <col min="6174" max="6177" width="9.140625" style="1734" customWidth="1"/>
    <col min="6178" max="6178" width="11.42578125" style="1734" customWidth="1"/>
    <col min="6179" max="6217" width="0" style="1734" hidden="1" customWidth="1"/>
    <col min="6218" max="6218" width="9.140625" style="1734"/>
    <col min="6219" max="6222" width="9.140625" style="1734" customWidth="1"/>
    <col min="6223" max="6223" width="9.140625" style="1734"/>
    <col min="6224" max="6227" width="9.140625" style="1734" customWidth="1"/>
    <col min="6228" max="6228" width="9.140625" style="1734"/>
    <col min="6229" max="6232" width="9.140625" style="1734" customWidth="1"/>
    <col min="6233" max="6233" width="9.140625" style="1734"/>
    <col min="6234" max="6237" width="9.140625" style="1734" customWidth="1"/>
    <col min="6238" max="6238" width="9.140625" style="1734"/>
    <col min="6239" max="6242" width="9.140625" style="1734" customWidth="1"/>
    <col min="6243" max="6243" width="9.140625" style="1734"/>
    <col min="6244" max="6247" width="9.140625" style="1734" customWidth="1"/>
    <col min="6248" max="6248" width="9.140625" style="1734"/>
    <col min="6249" max="6252" width="9.140625" style="1734" customWidth="1"/>
    <col min="6253" max="6253" width="9.140625" style="1734"/>
    <col min="6254" max="6257" width="9.140625" style="1734" customWidth="1"/>
    <col min="6258" max="6258" width="9.140625" style="1734"/>
    <col min="6259" max="6262" width="9.140625" style="1734" customWidth="1"/>
    <col min="6263" max="6263" width="9.140625" style="1734"/>
    <col min="6264" max="6267" width="9.140625" style="1734" customWidth="1"/>
    <col min="6268" max="6268" width="9.140625" style="1734"/>
    <col min="6269" max="6272" width="9.140625" style="1734" customWidth="1"/>
    <col min="6273" max="6273" width="9.140625" style="1734"/>
    <col min="6274" max="6277" width="9.140625" style="1734" customWidth="1"/>
    <col min="6278" max="6283" width="9.140625" style="1734"/>
    <col min="6284" max="6287" width="9.140625" style="1734" customWidth="1"/>
    <col min="6288" max="6288" width="9.140625" style="1734"/>
    <col min="6289" max="6292" width="9.140625" style="1734" customWidth="1"/>
    <col min="6293" max="6293" width="9.140625" style="1734"/>
    <col min="6294" max="6297" width="9.140625" style="1734" customWidth="1"/>
    <col min="6298" max="6298" width="9.140625" style="1734"/>
    <col min="6299" max="6302" width="9.140625" style="1734" customWidth="1"/>
    <col min="6303" max="6410" width="9.140625" style="1734"/>
    <col min="6411" max="6412" width="9.140625" style="1734" customWidth="1"/>
    <col min="6413" max="6413" width="9.7109375" style="1734" customWidth="1"/>
    <col min="6414" max="6414" width="7" style="1734" bestFit="1" customWidth="1"/>
    <col min="6415" max="6415" width="7" style="1734" customWidth="1"/>
    <col min="6416" max="6416" width="14.7109375" style="1734" customWidth="1"/>
    <col min="6417" max="6417" width="8.28515625" style="1734" customWidth="1"/>
    <col min="6418" max="6423" width="9.140625" style="1734" customWidth="1"/>
    <col min="6424" max="6424" width="4.5703125" style="1734" customWidth="1"/>
    <col min="6425" max="6428" width="9.140625" style="1734" customWidth="1"/>
    <col min="6429" max="6429" width="4.5703125" style="1734" customWidth="1"/>
    <col min="6430" max="6433" width="9.140625" style="1734" customWidth="1"/>
    <col min="6434" max="6434" width="11.42578125" style="1734" customWidth="1"/>
    <col min="6435" max="6473" width="0" style="1734" hidden="1" customWidth="1"/>
    <col min="6474" max="6474" width="9.140625" style="1734"/>
    <col min="6475" max="6478" width="9.140625" style="1734" customWidth="1"/>
    <col min="6479" max="6479" width="9.140625" style="1734"/>
    <col min="6480" max="6483" width="9.140625" style="1734" customWidth="1"/>
    <col min="6484" max="6484" width="9.140625" style="1734"/>
    <col min="6485" max="6488" width="9.140625" style="1734" customWidth="1"/>
    <col min="6489" max="6489" width="9.140625" style="1734"/>
    <col min="6490" max="6493" width="9.140625" style="1734" customWidth="1"/>
    <col min="6494" max="6494" width="9.140625" style="1734"/>
    <col min="6495" max="6498" width="9.140625" style="1734" customWidth="1"/>
    <col min="6499" max="6499" width="9.140625" style="1734"/>
    <col min="6500" max="6503" width="9.140625" style="1734" customWidth="1"/>
    <col min="6504" max="6504" width="9.140625" style="1734"/>
    <col min="6505" max="6508" width="9.140625" style="1734" customWidth="1"/>
    <col min="6509" max="6509" width="9.140625" style="1734"/>
    <col min="6510" max="6513" width="9.140625" style="1734" customWidth="1"/>
    <col min="6514" max="6514" width="9.140625" style="1734"/>
    <col min="6515" max="6518" width="9.140625" style="1734" customWidth="1"/>
    <col min="6519" max="6519" width="9.140625" style="1734"/>
    <col min="6520" max="6523" width="9.140625" style="1734" customWidth="1"/>
    <col min="6524" max="6524" width="9.140625" style="1734"/>
    <col min="6525" max="6528" width="9.140625" style="1734" customWidth="1"/>
    <col min="6529" max="6529" width="9.140625" style="1734"/>
    <col min="6530" max="6533" width="9.140625" style="1734" customWidth="1"/>
    <col min="6534" max="6539" width="9.140625" style="1734"/>
    <col min="6540" max="6543" width="9.140625" style="1734" customWidth="1"/>
    <col min="6544" max="6544" width="9.140625" style="1734"/>
    <col min="6545" max="6548" width="9.140625" style="1734" customWidth="1"/>
    <col min="6549" max="6549" width="9.140625" style="1734"/>
    <col min="6550" max="6553" width="9.140625" style="1734" customWidth="1"/>
    <col min="6554" max="6554" width="9.140625" style="1734"/>
    <col min="6555" max="6558" width="9.140625" style="1734" customWidth="1"/>
    <col min="6559" max="6666" width="9.140625" style="1734"/>
    <col min="6667" max="6668" width="9.140625" style="1734" customWidth="1"/>
    <col min="6669" max="6669" width="9.7109375" style="1734" customWidth="1"/>
    <col min="6670" max="6670" width="7" style="1734" bestFit="1" customWidth="1"/>
    <col min="6671" max="6671" width="7" style="1734" customWidth="1"/>
    <col min="6672" max="6672" width="14.7109375" style="1734" customWidth="1"/>
    <col min="6673" max="6673" width="8.28515625" style="1734" customWidth="1"/>
    <col min="6674" max="6679" width="9.140625" style="1734" customWidth="1"/>
    <col min="6680" max="6680" width="4.5703125" style="1734" customWidth="1"/>
    <col min="6681" max="6684" width="9.140625" style="1734" customWidth="1"/>
    <col min="6685" max="6685" width="4.5703125" style="1734" customWidth="1"/>
    <col min="6686" max="6689" width="9.140625" style="1734" customWidth="1"/>
    <col min="6690" max="6690" width="11.42578125" style="1734" customWidth="1"/>
    <col min="6691" max="6729" width="0" style="1734" hidden="1" customWidth="1"/>
    <col min="6730" max="6730" width="9.140625" style="1734"/>
    <col min="6731" max="6734" width="9.140625" style="1734" customWidth="1"/>
    <col min="6735" max="6735" width="9.140625" style="1734"/>
    <col min="6736" max="6739" width="9.140625" style="1734" customWidth="1"/>
    <col min="6740" max="6740" width="9.140625" style="1734"/>
    <col min="6741" max="6744" width="9.140625" style="1734" customWidth="1"/>
    <col min="6745" max="6745" width="9.140625" style="1734"/>
    <col min="6746" max="6749" width="9.140625" style="1734" customWidth="1"/>
    <col min="6750" max="6750" width="9.140625" style="1734"/>
    <col min="6751" max="6754" width="9.140625" style="1734" customWidth="1"/>
    <col min="6755" max="6755" width="9.140625" style="1734"/>
    <col min="6756" max="6759" width="9.140625" style="1734" customWidth="1"/>
    <col min="6760" max="6760" width="9.140625" style="1734"/>
    <col min="6761" max="6764" width="9.140625" style="1734" customWidth="1"/>
    <col min="6765" max="6765" width="9.140625" style="1734"/>
    <col min="6766" max="6769" width="9.140625" style="1734" customWidth="1"/>
    <col min="6770" max="6770" width="9.140625" style="1734"/>
    <col min="6771" max="6774" width="9.140625" style="1734" customWidth="1"/>
    <col min="6775" max="6775" width="9.140625" style="1734"/>
    <col min="6776" max="6779" width="9.140625" style="1734" customWidth="1"/>
    <col min="6780" max="6780" width="9.140625" style="1734"/>
    <col min="6781" max="6784" width="9.140625" style="1734" customWidth="1"/>
    <col min="6785" max="6785" width="9.140625" style="1734"/>
    <col min="6786" max="6789" width="9.140625" style="1734" customWidth="1"/>
    <col min="6790" max="6795" width="9.140625" style="1734"/>
    <col min="6796" max="6799" width="9.140625" style="1734" customWidth="1"/>
    <col min="6800" max="6800" width="9.140625" style="1734"/>
    <col min="6801" max="6804" width="9.140625" style="1734" customWidth="1"/>
    <col min="6805" max="6805" width="9.140625" style="1734"/>
    <col min="6806" max="6809" width="9.140625" style="1734" customWidth="1"/>
    <col min="6810" max="6810" width="9.140625" style="1734"/>
    <col min="6811" max="6814" width="9.140625" style="1734" customWidth="1"/>
    <col min="6815" max="6922" width="9.140625" style="1734"/>
    <col min="6923" max="6924" width="9.140625" style="1734" customWidth="1"/>
    <col min="6925" max="6925" width="9.7109375" style="1734" customWidth="1"/>
    <col min="6926" max="6926" width="7" style="1734" bestFit="1" customWidth="1"/>
    <col min="6927" max="6927" width="7" style="1734" customWidth="1"/>
    <col min="6928" max="6928" width="14.7109375" style="1734" customWidth="1"/>
    <col min="6929" max="6929" width="8.28515625" style="1734" customWidth="1"/>
    <col min="6930" max="6935" width="9.140625" style="1734" customWidth="1"/>
    <col min="6936" max="6936" width="4.5703125" style="1734" customWidth="1"/>
    <col min="6937" max="6940" width="9.140625" style="1734" customWidth="1"/>
    <col min="6941" max="6941" width="4.5703125" style="1734" customWidth="1"/>
    <col min="6942" max="6945" width="9.140625" style="1734" customWidth="1"/>
    <col min="6946" max="6946" width="11.42578125" style="1734" customWidth="1"/>
    <col min="6947" max="6985" width="0" style="1734" hidden="1" customWidth="1"/>
    <col min="6986" max="6986" width="9.140625" style="1734"/>
    <col min="6987" max="6990" width="9.140625" style="1734" customWidth="1"/>
    <col min="6991" max="6991" width="9.140625" style="1734"/>
    <col min="6992" max="6995" width="9.140625" style="1734" customWidth="1"/>
    <col min="6996" max="6996" width="9.140625" style="1734"/>
    <col min="6997" max="7000" width="9.140625" style="1734" customWidth="1"/>
    <col min="7001" max="7001" width="9.140625" style="1734"/>
    <col min="7002" max="7005" width="9.140625" style="1734" customWidth="1"/>
    <col min="7006" max="7006" width="9.140625" style="1734"/>
    <col min="7007" max="7010" width="9.140625" style="1734" customWidth="1"/>
    <col min="7011" max="7011" width="9.140625" style="1734"/>
    <col min="7012" max="7015" width="9.140625" style="1734" customWidth="1"/>
    <col min="7016" max="7016" width="9.140625" style="1734"/>
    <col min="7017" max="7020" width="9.140625" style="1734" customWidth="1"/>
    <col min="7021" max="7021" width="9.140625" style="1734"/>
    <col min="7022" max="7025" width="9.140625" style="1734" customWidth="1"/>
    <col min="7026" max="7026" width="9.140625" style="1734"/>
    <col min="7027" max="7030" width="9.140625" style="1734" customWidth="1"/>
    <col min="7031" max="7031" width="9.140625" style="1734"/>
    <col min="7032" max="7035" width="9.140625" style="1734" customWidth="1"/>
    <col min="7036" max="7036" width="9.140625" style="1734"/>
    <col min="7037" max="7040" width="9.140625" style="1734" customWidth="1"/>
    <col min="7041" max="7041" width="9.140625" style="1734"/>
    <col min="7042" max="7045" width="9.140625" style="1734" customWidth="1"/>
    <col min="7046" max="7051" width="9.140625" style="1734"/>
    <col min="7052" max="7055" width="9.140625" style="1734" customWidth="1"/>
    <col min="7056" max="7056" width="9.140625" style="1734"/>
    <col min="7057" max="7060" width="9.140625" style="1734" customWidth="1"/>
    <col min="7061" max="7061" width="9.140625" style="1734"/>
    <col min="7062" max="7065" width="9.140625" style="1734" customWidth="1"/>
    <col min="7066" max="7066" width="9.140625" style="1734"/>
    <col min="7067" max="7070" width="9.140625" style="1734" customWidth="1"/>
    <col min="7071" max="7178" width="9.140625" style="1734"/>
    <col min="7179" max="7180" width="9.140625" style="1734" customWidth="1"/>
    <col min="7181" max="7181" width="9.7109375" style="1734" customWidth="1"/>
    <col min="7182" max="7182" width="7" style="1734" bestFit="1" customWidth="1"/>
    <col min="7183" max="7183" width="7" style="1734" customWidth="1"/>
    <col min="7184" max="7184" width="14.7109375" style="1734" customWidth="1"/>
    <col min="7185" max="7185" width="8.28515625" style="1734" customWidth="1"/>
    <col min="7186" max="7191" width="9.140625" style="1734" customWidth="1"/>
    <col min="7192" max="7192" width="4.5703125" style="1734" customWidth="1"/>
    <col min="7193" max="7196" width="9.140625" style="1734" customWidth="1"/>
    <col min="7197" max="7197" width="4.5703125" style="1734" customWidth="1"/>
    <col min="7198" max="7201" width="9.140625" style="1734" customWidth="1"/>
    <col min="7202" max="7202" width="11.42578125" style="1734" customWidth="1"/>
    <col min="7203" max="7241" width="0" style="1734" hidden="1" customWidth="1"/>
    <col min="7242" max="7242" width="9.140625" style="1734"/>
    <col min="7243" max="7246" width="9.140625" style="1734" customWidth="1"/>
    <col min="7247" max="7247" width="9.140625" style="1734"/>
    <col min="7248" max="7251" width="9.140625" style="1734" customWidth="1"/>
    <col min="7252" max="7252" width="9.140625" style="1734"/>
    <col min="7253" max="7256" width="9.140625" style="1734" customWidth="1"/>
    <col min="7257" max="7257" width="9.140625" style="1734"/>
    <col min="7258" max="7261" width="9.140625" style="1734" customWidth="1"/>
    <col min="7262" max="7262" width="9.140625" style="1734"/>
    <col min="7263" max="7266" width="9.140625" style="1734" customWidth="1"/>
    <col min="7267" max="7267" width="9.140625" style="1734"/>
    <col min="7268" max="7271" width="9.140625" style="1734" customWidth="1"/>
    <col min="7272" max="7272" width="9.140625" style="1734"/>
    <col min="7273" max="7276" width="9.140625" style="1734" customWidth="1"/>
    <col min="7277" max="7277" width="9.140625" style="1734"/>
    <col min="7278" max="7281" width="9.140625" style="1734" customWidth="1"/>
    <col min="7282" max="7282" width="9.140625" style="1734"/>
    <col min="7283" max="7286" width="9.140625" style="1734" customWidth="1"/>
    <col min="7287" max="7287" width="9.140625" style="1734"/>
    <col min="7288" max="7291" width="9.140625" style="1734" customWidth="1"/>
    <col min="7292" max="7292" width="9.140625" style="1734"/>
    <col min="7293" max="7296" width="9.140625" style="1734" customWidth="1"/>
    <col min="7297" max="7297" width="9.140625" style="1734"/>
    <col min="7298" max="7301" width="9.140625" style="1734" customWidth="1"/>
    <col min="7302" max="7307" width="9.140625" style="1734"/>
    <col min="7308" max="7311" width="9.140625" style="1734" customWidth="1"/>
    <col min="7312" max="7312" width="9.140625" style="1734"/>
    <col min="7313" max="7316" width="9.140625" style="1734" customWidth="1"/>
    <col min="7317" max="7317" width="9.140625" style="1734"/>
    <col min="7318" max="7321" width="9.140625" style="1734" customWidth="1"/>
    <col min="7322" max="7322" width="9.140625" style="1734"/>
    <col min="7323" max="7326" width="9.140625" style="1734" customWidth="1"/>
    <col min="7327" max="7434" width="9.140625" style="1734"/>
    <col min="7435" max="7436" width="9.140625" style="1734" customWidth="1"/>
    <col min="7437" max="7437" width="9.7109375" style="1734" customWidth="1"/>
    <col min="7438" max="7438" width="7" style="1734" bestFit="1" customWidth="1"/>
    <col min="7439" max="7439" width="7" style="1734" customWidth="1"/>
    <col min="7440" max="7440" width="14.7109375" style="1734" customWidth="1"/>
    <col min="7441" max="7441" width="8.28515625" style="1734" customWidth="1"/>
    <col min="7442" max="7447" width="9.140625" style="1734" customWidth="1"/>
    <col min="7448" max="7448" width="4.5703125" style="1734" customWidth="1"/>
    <col min="7449" max="7452" width="9.140625" style="1734" customWidth="1"/>
    <col min="7453" max="7453" width="4.5703125" style="1734" customWidth="1"/>
    <col min="7454" max="7457" width="9.140625" style="1734" customWidth="1"/>
    <col min="7458" max="7458" width="11.42578125" style="1734" customWidth="1"/>
    <col min="7459" max="7497" width="0" style="1734" hidden="1" customWidth="1"/>
    <col min="7498" max="7498" width="9.140625" style="1734"/>
    <col min="7499" max="7502" width="9.140625" style="1734" customWidth="1"/>
    <col min="7503" max="7503" width="9.140625" style="1734"/>
    <col min="7504" max="7507" width="9.140625" style="1734" customWidth="1"/>
    <col min="7508" max="7508" width="9.140625" style="1734"/>
    <col min="7509" max="7512" width="9.140625" style="1734" customWidth="1"/>
    <col min="7513" max="7513" width="9.140625" style="1734"/>
    <col min="7514" max="7517" width="9.140625" style="1734" customWidth="1"/>
    <col min="7518" max="7518" width="9.140625" style="1734"/>
    <col min="7519" max="7522" width="9.140625" style="1734" customWidth="1"/>
    <col min="7523" max="7523" width="9.140625" style="1734"/>
    <col min="7524" max="7527" width="9.140625" style="1734" customWidth="1"/>
    <col min="7528" max="7528" width="9.140625" style="1734"/>
    <col min="7529" max="7532" width="9.140625" style="1734" customWidth="1"/>
    <col min="7533" max="7533" width="9.140625" style="1734"/>
    <col min="7534" max="7537" width="9.140625" style="1734" customWidth="1"/>
    <col min="7538" max="7538" width="9.140625" style="1734"/>
    <col min="7539" max="7542" width="9.140625" style="1734" customWidth="1"/>
    <col min="7543" max="7543" width="9.140625" style="1734"/>
    <col min="7544" max="7547" width="9.140625" style="1734" customWidth="1"/>
    <col min="7548" max="7548" width="9.140625" style="1734"/>
    <col min="7549" max="7552" width="9.140625" style="1734" customWidth="1"/>
    <col min="7553" max="7553" width="9.140625" style="1734"/>
    <col min="7554" max="7557" width="9.140625" style="1734" customWidth="1"/>
    <col min="7558" max="7563" width="9.140625" style="1734"/>
    <col min="7564" max="7567" width="9.140625" style="1734" customWidth="1"/>
    <col min="7568" max="7568" width="9.140625" style="1734"/>
    <col min="7569" max="7572" width="9.140625" style="1734" customWidth="1"/>
    <col min="7573" max="7573" width="9.140625" style="1734"/>
    <col min="7574" max="7577" width="9.140625" style="1734" customWidth="1"/>
    <col min="7578" max="7578" width="9.140625" style="1734"/>
    <col min="7579" max="7582" width="9.140625" style="1734" customWidth="1"/>
    <col min="7583" max="7690" width="9.140625" style="1734"/>
    <col min="7691" max="7692" width="9.140625" style="1734" customWidth="1"/>
    <col min="7693" max="7693" width="9.7109375" style="1734" customWidth="1"/>
    <col min="7694" max="7694" width="7" style="1734" bestFit="1" customWidth="1"/>
    <col min="7695" max="7695" width="7" style="1734" customWidth="1"/>
    <col min="7696" max="7696" width="14.7109375" style="1734" customWidth="1"/>
    <col min="7697" max="7697" width="8.28515625" style="1734" customWidth="1"/>
    <col min="7698" max="7703" width="9.140625" style="1734" customWidth="1"/>
    <col min="7704" max="7704" width="4.5703125" style="1734" customWidth="1"/>
    <col min="7705" max="7708" width="9.140625" style="1734" customWidth="1"/>
    <col min="7709" max="7709" width="4.5703125" style="1734" customWidth="1"/>
    <col min="7710" max="7713" width="9.140625" style="1734" customWidth="1"/>
    <col min="7714" max="7714" width="11.42578125" style="1734" customWidth="1"/>
    <col min="7715" max="7753" width="0" style="1734" hidden="1" customWidth="1"/>
    <col min="7754" max="7754" width="9.140625" style="1734"/>
    <col min="7755" max="7758" width="9.140625" style="1734" customWidth="1"/>
    <col min="7759" max="7759" width="9.140625" style="1734"/>
    <col min="7760" max="7763" width="9.140625" style="1734" customWidth="1"/>
    <col min="7764" max="7764" width="9.140625" style="1734"/>
    <col min="7765" max="7768" width="9.140625" style="1734" customWidth="1"/>
    <col min="7769" max="7769" width="9.140625" style="1734"/>
    <col min="7770" max="7773" width="9.140625" style="1734" customWidth="1"/>
    <col min="7774" max="7774" width="9.140625" style="1734"/>
    <col min="7775" max="7778" width="9.140625" style="1734" customWidth="1"/>
    <col min="7779" max="7779" width="9.140625" style="1734"/>
    <col min="7780" max="7783" width="9.140625" style="1734" customWidth="1"/>
    <col min="7784" max="7784" width="9.140625" style="1734"/>
    <col min="7785" max="7788" width="9.140625" style="1734" customWidth="1"/>
    <col min="7789" max="7789" width="9.140625" style="1734"/>
    <col min="7790" max="7793" width="9.140625" style="1734" customWidth="1"/>
    <col min="7794" max="7794" width="9.140625" style="1734"/>
    <col min="7795" max="7798" width="9.140625" style="1734" customWidth="1"/>
    <col min="7799" max="7799" width="9.140625" style="1734"/>
    <col min="7800" max="7803" width="9.140625" style="1734" customWidth="1"/>
    <col min="7804" max="7804" width="9.140625" style="1734"/>
    <col min="7805" max="7808" width="9.140625" style="1734" customWidth="1"/>
    <col min="7809" max="7809" width="9.140625" style="1734"/>
    <col min="7810" max="7813" width="9.140625" style="1734" customWidth="1"/>
    <col min="7814" max="7819" width="9.140625" style="1734"/>
    <col min="7820" max="7823" width="9.140625" style="1734" customWidth="1"/>
    <col min="7824" max="7824" width="9.140625" style="1734"/>
    <col min="7825" max="7828" width="9.140625" style="1734" customWidth="1"/>
    <col min="7829" max="7829" width="9.140625" style="1734"/>
    <col min="7830" max="7833" width="9.140625" style="1734" customWidth="1"/>
    <col min="7834" max="7834" width="9.140625" style="1734"/>
    <col min="7835" max="7838" width="9.140625" style="1734" customWidth="1"/>
    <col min="7839" max="7946" width="9.140625" style="1734"/>
    <col min="7947" max="7948" width="9.140625" style="1734" customWidth="1"/>
    <col min="7949" max="7949" width="9.7109375" style="1734" customWidth="1"/>
    <col min="7950" max="7950" width="7" style="1734" bestFit="1" customWidth="1"/>
    <col min="7951" max="7951" width="7" style="1734" customWidth="1"/>
    <col min="7952" max="7952" width="14.7109375" style="1734" customWidth="1"/>
    <col min="7953" max="7953" width="8.28515625" style="1734" customWidth="1"/>
    <col min="7954" max="7959" width="9.140625" style="1734" customWidth="1"/>
    <col min="7960" max="7960" width="4.5703125" style="1734" customWidth="1"/>
    <col min="7961" max="7964" width="9.140625" style="1734" customWidth="1"/>
    <col min="7965" max="7965" width="4.5703125" style="1734" customWidth="1"/>
    <col min="7966" max="7969" width="9.140625" style="1734" customWidth="1"/>
    <col min="7970" max="7970" width="11.42578125" style="1734" customWidth="1"/>
    <col min="7971" max="8009" width="0" style="1734" hidden="1" customWidth="1"/>
    <col min="8010" max="8010" width="9.140625" style="1734"/>
    <col min="8011" max="8014" width="9.140625" style="1734" customWidth="1"/>
    <col min="8015" max="8015" width="9.140625" style="1734"/>
    <col min="8016" max="8019" width="9.140625" style="1734" customWidth="1"/>
    <col min="8020" max="8020" width="9.140625" style="1734"/>
    <col min="8021" max="8024" width="9.140625" style="1734" customWidth="1"/>
    <col min="8025" max="8025" width="9.140625" style="1734"/>
    <col min="8026" max="8029" width="9.140625" style="1734" customWidth="1"/>
    <col min="8030" max="8030" width="9.140625" style="1734"/>
    <col min="8031" max="8034" width="9.140625" style="1734" customWidth="1"/>
    <col min="8035" max="8035" width="9.140625" style="1734"/>
    <col min="8036" max="8039" width="9.140625" style="1734" customWidth="1"/>
    <col min="8040" max="8040" width="9.140625" style="1734"/>
    <col min="8041" max="8044" width="9.140625" style="1734" customWidth="1"/>
    <col min="8045" max="8045" width="9.140625" style="1734"/>
    <col min="8046" max="8049" width="9.140625" style="1734" customWidth="1"/>
    <col min="8050" max="8050" width="9.140625" style="1734"/>
    <col min="8051" max="8054" width="9.140625" style="1734" customWidth="1"/>
    <col min="8055" max="8055" width="9.140625" style="1734"/>
    <col min="8056" max="8059" width="9.140625" style="1734" customWidth="1"/>
    <col min="8060" max="8060" width="9.140625" style="1734"/>
    <col min="8061" max="8064" width="9.140625" style="1734" customWidth="1"/>
    <col min="8065" max="8065" width="9.140625" style="1734"/>
    <col min="8066" max="8069" width="9.140625" style="1734" customWidth="1"/>
    <col min="8070" max="8075" width="9.140625" style="1734"/>
    <col min="8076" max="8079" width="9.140625" style="1734" customWidth="1"/>
    <col min="8080" max="8080" width="9.140625" style="1734"/>
    <col min="8081" max="8084" width="9.140625" style="1734" customWidth="1"/>
    <col min="8085" max="8085" width="9.140625" style="1734"/>
    <col min="8086" max="8089" width="9.140625" style="1734" customWidth="1"/>
    <col min="8090" max="8090" width="9.140625" style="1734"/>
    <col min="8091" max="8094" width="9.140625" style="1734" customWidth="1"/>
    <col min="8095" max="8202" width="9.140625" style="1734"/>
    <col min="8203" max="8204" width="9.140625" style="1734" customWidth="1"/>
    <col min="8205" max="8205" width="9.7109375" style="1734" customWidth="1"/>
    <col min="8206" max="8206" width="7" style="1734" bestFit="1" customWidth="1"/>
    <col min="8207" max="8207" width="7" style="1734" customWidth="1"/>
    <col min="8208" max="8208" width="14.7109375" style="1734" customWidth="1"/>
    <col min="8209" max="8209" width="8.28515625" style="1734" customWidth="1"/>
    <col min="8210" max="8215" width="9.140625" style="1734" customWidth="1"/>
    <col min="8216" max="8216" width="4.5703125" style="1734" customWidth="1"/>
    <col min="8217" max="8220" width="9.140625" style="1734" customWidth="1"/>
    <col min="8221" max="8221" width="4.5703125" style="1734" customWidth="1"/>
    <col min="8222" max="8225" width="9.140625" style="1734" customWidth="1"/>
    <col min="8226" max="8226" width="11.42578125" style="1734" customWidth="1"/>
    <col min="8227" max="8265" width="0" style="1734" hidden="1" customWidth="1"/>
    <col min="8266" max="8266" width="9.140625" style="1734"/>
    <col min="8267" max="8270" width="9.140625" style="1734" customWidth="1"/>
    <col min="8271" max="8271" width="9.140625" style="1734"/>
    <col min="8272" max="8275" width="9.140625" style="1734" customWidth="1"/>
    <col min="8276" max="8276" width="9.140625" style="1734"/>
    <col min="8277" max="8280" width="9.140625" style="1734" customWidth="1"/>
    <col min="8281" max="8281" width="9.140625" style="1734"/>
    <col min="8282" max="8285" width="9.140625" style="1734" customWidth="1"/>
    <col min="8286" max="8286" width="9.140625" style="1734"/>
    <col min="8287" max="8290" width="9.140625" style="1734" customWidth="1"/>
    <col min="8291" max="8291" width="9.140625" style="1734"/>
    <col min="8292" max="8295" width="9.140625" style="1734" customWidth="1"/>
    <col min="8296" max="8296" width="9.140625" style="1734"/>
    <col min="8297" max="8300" width="9.140625" style="1734" customWidth="1"/>
    <col min="8301" max="8301" width="9.140625" style="1734"/>
    <col min="8302" max="8305" width="9.140625" style="1734" customWidth="1"/>
    <col min="8306" max="8306" width="9.140625" style="1734"/>
    <col min="8307" max="8310" width="9.140625" style="1734" customWidth="1"/>
    <col min="8311" max="8311" width="9.140625" style="1734"/>
    <col min="8312" max="8315" width="9.140625" style="1734" customWidth="1"/>
    <col min="8316" max="8316" width="9.140625" style="1734"/>
    <col min="8317" max="8320" width="9.140625" style="1734" customWidth="1"/>
    <col min="8321" max="8321" width="9.140625" style="1734"/>
    <col min="8322" max="8325" width="9.140625" style="1734" customWidth="1"/>
    <col min="8326" max="8331" width="9.140625" style="1734"/>
    <col min="8332" max="8335" width="9.140625" style="1734" customWidth="1"/>
    <col min="8336" max="8336" width="9.140625" style="1734"/>
    <col min="8337" max="8340" width="9.140625" style="1734" customWidth="1"/>
    <col min="8341" max="8341" width="9.140625" style="1734"/>
    <col min="8342" max="8345" width="9.140625" style="1734" customWidth="1"/>
    <col min="8346" max="8346" width="9.140625" style="1734"/>
    <col min="8347" max="8350" width="9.140625" style="1734" customWidth="1"/>
    <col min="8351" max="8458" width="9.140625" style="1734"/>
    <col min="8459" max="8460" width="9.140625" style="1734" customWidth="1"/>
    <col min="8461" max="8461" width="9.7109375" style="1734" customWidth="1"/>
    <col min="8462" max="8462" width="7" style="1734" bestFit="1" customWidth="1"/>
    <col min="8463" max="8463" width="7" style="1734" customWidth="1"/>
    <col min="8464" max="8464" width="14.7109375" style="1734" customWidth="1"/>
    <col min="8465" max="8465" width="8.28515625" style="1734" customWidth="1"/>
    <col min="8466" max="8471" width="9.140625" style="1734" customWidth="1"/>
    <col min="8472" max="8472" width="4.5703125" style="1734" customWidth="1"/>
    <col min="8473" max="8476" width="9.140625" style="1734" customWidth="1"/>
    <col min="8477" max="8477" width="4.5703125" style="1734" customWidth="1"/>
    <col min="8478" max="8481" width="9.140625" style="1734" customWidth="1"/>
    <col min="8482" max="8482" width="11.42578125" style="1734" customWidth="1"/>
    <col min="8483" max="8521" width="0" style="1734" hidden="1" customWidth="1"/>
    <col min="8522" max="8522" width="9.140625" style="1734"/>
    <col min="8523" max="8526" width="9.140625" style="1734" customWidth="1"/>
    <col min="8527" max="8527" width="9.140625" style="1734"/>
    <col min="8528" max="8531" width="9.140625" style="1734" customWidth="1"/>
    <col min="8532" max="8532" width="9.140625" style="1734"/>
    <col min="8533" max="8536" width="9.140625" style="1734" customWidth="1"/>
    <col min="8537" max="8537" width="9.140625" style="1734"/>
    <col min="8538" max="8541" width="9.140625" style="1734" customWidth="1"/>
    <col min="8542" max="8542" width="9.140625" style="1734"/>
    <col min="8543" max="8546" width="9.140625" style="1734" customWidth="1"/>
    <col min="8547" max="8547" width="9.140625" style="1734"/>
    <col min="8548" max="8551" width="9.140625" style="1734" customWidth="1"/>
    <col min="8552" max="8552" width="9.140625" style="1734"/>
    <col min="8553" max="8556" width="9.140625" style="1734" customWidth="1"/>
    <col min="8557" max="8557" width="9.140625" style="1734"/>
    <col min="8558" max="8561" width="9.140625" style="1734" customWidth="1"/>
    <col min="8562" max="8562" width="9.140625" style="1734"/>
    <col min="8563" max="8566" width="9.140625" style="1734" customWidth="1"/>
    <col min="8567" max="8567" width="9.140625" style="1734"/>
    <col min="8568" max="8571" width="9.140625" style="1734" customWidth="1"/>
    <col min="8572" max="8572" width="9.140625" style="1734"/>
    <col min="8573" max="8576" width="9.140625" style="1734" customWidth="1"/>
    <col min="8577" max="8577" width="9.140625" style="1734"/>
    <col min="8578" max="8581" width="9.140625" style="1734" customWidth="1"/>
    <col min="8582" max="8587" width="9.140625" style="1734"/>
    <col min="8588" max="8591" width="9.140625" style="1734" customWidth="1"/>
    <col min="8592" max="8592" width="9.140625" style="1734"/>
    <col min="8593" max="8596" width="9.140625" style="1734" customWidth="1"/>
    <col min="8597" max="8597" width="9.140625" style="1734"/>
    <col min="8598" max="8601" width="9.140625" style="1734" customWidth="1"/>
    <col min="8602" max="8602" width="9.140625" style="1734"/>
    <col min="8603" max="8606" width="9.140625" style="1734" customWidth="1"/>
    <col min="8607" max="8714" width="9.140625" style="1734"/>
    <col min="8715" max="8716" width="9.140625" style="1734" customWidth="1"/>
    <col min="8717" max="8717" width="9.7109375" style="1734" customWidth="1"/>
    <col min="8718" max="8718" width="7" style="1734" bestFit="1" customWidth="1"/>
    <col min="8719" max="8719" width="7" style="1734" customWidth="1"/>
    <col min="8720" max="8720" width="14.7109375" style="1734" customWidth="1"/>
    <col min="8721" max="8721" width="8.28515625" style="1734" customWidth="1"/>
    <col min="8722" max="8727" width="9.140625" style="1734" customWidth="1"/>
    <col min="8728" max="8728" width="4.5703125" style="1734" customWidth="1"/>
    <col min="8729" max="8732" width="9.140625" style="1734" customWidth="1"/>
    <col min="8733" max="8733" width="4.5703125" style="1734" customWidth="1"/>
    <col min="8734" max="8737" width="9.140625" style="1734" customWidth="1"/>
    <col min="8738" max="8738" width="11.42578125" style="1734" customWidth="1"/>
    <col min="8739" max="8777" width="0" style="1734" hidden="1" customWidth="1"/>
    <col min="8778" max="8778" width="9.140625" style="1734"/>
    <col min="8779" max="8782" width="9.140625" style="1734" customWidth="1"/>
    <col min="8783" max="8783" width="9.140625" style="1734"/>
    <col min="8784" max="8787" width="9.140625" style="1734" customWidth="1"/>
    <col min="8788" max="8788" width="9.140625" style="1734"/>
    <col min="8789" max="8792" width="9.140625" style="1734" customWidth="1"/>
    <col min="8793" max="8793" width="9.140625" style="1734"/>
    <col min="8794" max="8797" width="9.140625" style="1734" customWidth="1"/>
    <col min="8798" max="8798" width="9.140625" style="1734"/>
    <col min="8799" max="8802" width="9.140625" style="1734" customWidth="1"/>
    <col min="8803" max="8803" width="9.140625" style="1734"/>
    <col min="8804" max="8807" width="9.140625" style="1734" customWidth="1"/>
    <col min="8808" max="8808" width="9.140625" style="1734"/>
    <col min="8809" max="8812" width="9.140625" style="1734" customWidth="1"/>
    <col min="8813" max="8813" width="9.140625" style="1734"/>
    <col min="8814" max="8817" width="9.140625" style="1734" customWidth="1"/>
    <col min="8818" max="8818" width="9.140625" style="1734"/>
    <col min="8819" max="8822" width="9.140625" style="1734" customWidth="1"/>
    <col min="8823" max="8823" width="9.140625" style="1734"/>
    <col min="8824" max="8827" width="9.140625" style="1734" customWidth="1"/>
    <col min="8828" max="8828" width="9.140625" style="1734"/>
    <col min="8829" max="8832" width="9.140625" style="1734" customWidth="1"/>
    <col min="8833" max="8833" width="9.140625" style="1734"/>
    <col min="8834" max="8837" width="9.140625" style="1734" customWidth="1"/>
    <col min="8838" max="8843" width="9.140625" style="1734"/>
    <col min="8844" max="8847" width="9.140625" style="1734" customWidth="1"/>
    <col min="8848" max="8848" width="9.140625" style="1734"/>
    <col min="8849" max="8852" width="9.140625" style="1734" customWidth="1"/>
    <col min="8853" max="8853" width="9.140625" style="1734"/>
    <col min="8854" max="8857" width="9.140625" style="1734" customWidth="1"/>
    <col min="8858" max="8858" width="9.140625" style="1734"/>
    <col min="8859" max="8862" width="9.140625" style="1734" customWidth="1"/>
    <col min="8863" max="8970" width="9.140625" style="1734"/>
    <col min="8971" max="8972" width="9.140625" style="1734" customWidth="1"/>
    <col min="8973" max="8973" width="9.7109375" style="1734" customWidth="1"/>
    <col min="8974" max="8974" width="7" style="1734" bestFit="1" customWidth="1"/>
    <col min="8975" max="8975" width="7" style="1734" customWidth="1"/>
    <col min="8976" max="8976" width="14.7109375" style="1734" customWidth="1"/>
    <col min="8977" max="8977" width="8.28515625" style="1734" customWidth="1"/>
    <col min="8978" max="8983" width="9.140625" style="1734" customWidth="1"/>
    <col min="8984" max="8984" width="4.5703125" style="1734" customWidth="1"/>
    <col min="8985" max="8988" width="9.140625" style="1734" customWidth="1"/>
    <col min="8989" max="8989" width="4.5703125" style="1734" customWidth="1"/>
    <col min="8990" max="8993" width="9.140625" style="1734" customWidth="1"/>
    <col min="8994" max="8994" width="11.42578125" style="1734" customWidth="1"/>
    <col min="8995" max="9033" width="0" style="1734" hidden="1" customWidth="1"/>
    <col min="9034" max="9034" width="9.140625" style="1734"/>
    <col min="9035" max="9038" width="9.140625" style="1734" customWidth="1"/>
    <col min="9039" max="9039" width="9.140625" style="1734"/>
    <col min="9040" max="9043" width="9.140625" style="1734" customWidth="1"/>
    <col min="9044" max="9044" width="9.140625" style="1734"/>
    <col min="9045" max="9048" width="9.140625" style="1734" customWidth="1"/>
    <col min="9049" max="9049" width="9.140625" style="1734"/>
    <col min="9050" max="9053" width="9.140625" style="1734" customWidth="1"/>
    <col min="9054" max="9054" width="9.140625" style="1734"/>
    <col min="9055" max="9058" width="9.140625" style="1734" customWidth="1"/>
    <col min="9059" max="9059" width="9.140625" style="1734"/>
    <col min="9060" max="9063" width="9.140625" style="1734" customWidth="1"/>
    <col min="9064" max="9064" width="9.140625" style="1734"/>
    <col min="9065" max="9068" width="9.140625" style="1734" customWidth="1"/>
    <col min="9069" max="9069" width="9.140625" style="1734"/>
    <col min="9070" max="9073" width="9.140625" style="1734" customWidth="1"/>
    <col min="9074" max="9074" width="9.140625" style="1734"/>
    <col min="9075" max="9078" width="9.140625" style="1734" customWidth="1"/>
    <col min="9079" max="9079" width="9.140625" style="1734"/>
    <col min="9080" max="9083" width="9.140625" style="1734" customWidth="1"/>
    <col min="9084" max="9084" width="9.140625" style="1734"/>
    <col min="9085" max="9088" width="9.140625" style="1734" customWidth="1"/>
    <col min="9089" max="9089" width="9.140625" style="1734"/>
    <col min="9090" max="9093" width="9.140625" style="1734" customWidth="1"/>
    <col min="9094" max="9099" width="9.140625" style="1734"/>
    <col min="9100" max="9103" width="9.140625" style="1734" customWidth="1"/>
    <col min="9104" max="9104" width="9.140625" style="1734"/>
    <col min="9105" max="9108" width="9.140625" style="1734" customWidth="1"/>
    <col min="9109" max="9109" width="9.140625" style="1734"/>
    <col min="9110" max="9113" width="9.140625" style="1734" customWidth="1"/>
    <col min="9114" max="9114" width="9.140625" style="1734"/>
    <col min="9115" max="9118" width="9.140625" style="1734" customWidth="1"/>
    <col min="9119" max="9226" width="9.140625" style="1734"/>
    <col min="9227" max="9228" width="9.140625" style="1734" customWidth="1"/>
    <col min="9229" max="9229" width="9.7109375" style="1734" customWidth="1"/>
    <col min="9230" max="9230" width="7" style="1734" bestFit="1" customWidth="1"/>
    <col min="9231" max="9231" width="7" style="1734" customWidth="1"/>
    <col min="9232" max="9232" width="14.7109375" style="1734" customWidth="1"/>
    <col min="9233" max="9233" width="8.28515625" style="1734" customWidth="1"/>
    <col min="9234" max="9239" width="9.140625" style="1734" customWidth="1"/>
    <col min="9240" max="9240" width="4.5703125" style="1734" customWidth="1"/>
    <col min="9241" max="9244" width="9.140625" style="1734" customWidth="1"/>
    <col min="9245" max="9245" width="4.5703125" style="1734" customWidth="1"/>
    <col min="9246" max="9249" width="9.140625" style="1734" customWidth="1"/>
    <col min="9250" max="9250" width="11.42578125" style="1734" customWidth="1"/>
    <col min="9251" max="9289" width="0" style="1734" hidden="1" customWidth="1"/>
    <col min="9290" max="9290" width="9.140625" style="1734"/>
    <col min="9291" max="9294" width="9.140625" style="1734" customWidth="1"/>
    <col min="9295" max="9295" width="9.140625" style="1734"/>
    <col min="9296" max="9299" width="9.140625" style="1734" customWidth="1"/>
    <col min="9300" max="9300" width="9.140625" style="1734"/>
    <col min="9301" max="9304" width="9.140625" style="1734" customWidth="1"/>
    <col min="9305" max="9305" width="9.140625" style="1734"/>
    <col min="9306" max="9309" width="9.140625" style="1734" customWidth="1"/>
    <col min="9310" max="9310" width="9.140625" style="1734"/>
    <col min="9311" max="9314" width="9.140625" style="1734" customWidth="1"/>
    <col min="9315" max="9315" width="9.140625" style="1734"/>
    <col min="9316" max="9319" width="9.140625" style="1734" customWidth="1"/>
    <col min="9320" max="9320" width="9.140625" style="1734"/>
    <col min="9321" max="9324" width="9.140625" style="1734" customWidth="1"/>
    <col min="9325" max="9325" width="9.140625" style="1734"/>
    <col min="9326" max="9329" width="9.140625" style="1734" customWidth="1"/>
    <col min="9330" max="9330" width="9.140625" style="1734"/>
    <col min="9331" max="9334" width="9.140625" style="1734" customWidth="1"/>
    <col min="9335" max="9335" width="9.140625" style="1734"/>
    <col min="9336" max="9339" width="9.140625" style="1734" customWidth="1"/>
    <col min="9340" max="9340" width="9.140625" style="1734"/>
    <col min="9341" max="9344" width="9.140625" style="1734" customWidth="1"/>
    <col min="9345" max="9345" width="9.140625" style="1734"/>
    <col min="9346" max="9349" width="9.140625" style="1734" customWidth="1"/>
    <col min="9350" max="9355" width="9.140625" style="1734"/>
    <col min="9356" max="9359" width="9.140625" style="1734" customWidth="1"/>
    <col min="9360" max="9360" width="9.140625" style="1734"/>
    <col min="9361" max="9364" width="9.140625" style="1734" customWidth="1"/>
    <col min="9365" max="9365" width="9.140625" style="1734"/>
    <col min="9366" max="9369" width="9.140625" style="1734" customWidth="1"/>
    <col min="9370" max="9370" width="9.140625" style="1734"/>
    <col min="9371" max="9374" width="9.140625" style="1734" customWidth="1"/>
    <col min="9375" max="9482" width="9.140625" style="1734"/>
    <col min="9483" max="9484" width="9.140625" style="1734" customWidth="1"/>
    <col min="9485" max="9485" width="9.7109375" style="1734" customWidth="1"/>
    <col min="9486" max="9486" width="7" style="1734" bestFit="1" customWidth="1"/>
    <col min="9487" max="9487" width="7" style="1734" customWidth="1"/>
    <col min="9488" max="9488" width="14.7109375" style="1734" customWidth="1"/>
    <col min="9489" max="9489" width="8.28515625" style="1734" customWidth="1"/>
    <col min="9490" max="9495" width="9.140625" style="1734" customWidth="1"/>
    <col min="9496" max="9496" width="4.5703125" style="1734" customWidth="1"/>
    <col min="9497" max="9500" width="9.140625" style="1734" customWidth="1"/>
    <col min="9501" max="9501" width="4.5703125" style="1734" customWidth="1"/>
    <col min="9502" max="9505" width="9.140625" style="1734" customWidth="1"/>
    <col min="9506" max="9506" width="11.42578125" style="1734" customWidth="1"/>
    <col min="9507" max="9545" width="0" style="1734" hidden="1" customWidth="1"/>
    <col min="9546" max="9546" width="9.140625" style="1734"/>
    <col min="9547" max="9550" width="9.140625" style="1734" customWidth="1"/>
    <col min="9551" max="9551" width="9.140625" style="1734"/>
    <col min="9552" max="9555" width="9.140625" style="1734" customWidth="1"/>
    <col min="9556" max="9556" width="9.140625" style="1734"/>
    <col min="9557" max="9560" width="9.140625" style="1734" customWidth="1"/>
    <col min="9561" max="9561" width="9.140625" style="1734"/>
    <col min="9562" max="9565" width="9.140625" style="1734" customWidth="1"/>
    <col min="9566" max="9566" width="9.140625" style="1734"/>
    <col min="9567" max="9570" width="9.140625" style="1734" customWidth="1"/>
    <col min="9571" max="9571" width="9.140625" style="1734"/>
    <col min="9572" max="9575" width="9.140625" style="1734" customWidth="1"/>
    <col min="9576" max="9576" width="9.140625" style="1734"/>
    <col min="9577" max="9580" width="9.140625" style="1734" customWidth="1"/>
    <col min="9581" max="9581" width="9.140625" style="1734"/>
    <col min="9582" max="9585" width="9.140625" style="1734" customWidth="1"/>
    <col min="9586" max="9586" width="9.140625" style="1734"/>
    <col min="9587" max="9590" width="9.140625" style="1734" customWidth="1"/>
    <col min="9591" max="9591" width="9.140625" style="1734"/>
    <col min="9592" max="9595" width="9.140625" style="1734" customWidth="1"/>
    <col min="9596" max="9596" width="9.140625" style="1734"/>
    <col min="9597" max="9600" width="9.140625" style="1734" customWidth="1"/>
    <col min="9601" max="9601" width="9.140625" style="1734"/>
    <col min="9602" max="9605" width="9.140625" style="1734" customWidth="1"/>
    <col min="9606" max="9611" width="9.140625" style="1734"/>
    <col min="9612" max="9615" width="9.140625" style="1734" customWidth="1"/>
    <col min="9616" max="9616" width="9.140625" style="1734"/>
    <col min="9617" max="9620" width="9.140625" style="1734" customWidth="1"/>
    <col min="9621" max="9621" width="9.140625" style="1734"/>
    <col min="9622" max="9625" width="9.140625" style="1734" customWidth="1"/>
    <col min="9626" max="9626" width="9.140625" style="1734"/>
    <col min="9627" max="9630" width="9.140625" style="1734" customWidth="1"/>
    <col min="9631" max="9738" width="9.140625" style="1734"/>
    <col min="9739" max="9740" width="9.140625" style="1734" customWidth="1"/>
    <col min="9741" max="9741" width="9.7109375" style="1734" customWidth="1"/>
    <col min="9742" max="9742" width="7" style="1734" bestFit="1" customWidth="1"/>
    <col min="9743" max="9743" width="7" style="1734" customWidth="1"/>
    <col min="9744" max="9744" width="14.7109375" style="1734" customWidth="1"/>
    <col min="9745" max="9745" width="8.28515625" style="1734" customWidth="1"/>
    <col min="9746" max="9751" width="9.140625" style="1734" customWidth="1"/>
    <col min="9752" max="9752" width="4.5703125" style="1734" customWidth="1"/>
    <col min="9753" max="9756" width="9.140625" style="1734" customWidth="1"/>
    <col min="9757" max="9757" width="4.5703125" style="1734" customWidth="1"/>
    <col min="9758" max="9761" width="9.140625" style="1734" customWidth="1"/>
    <col min="9762" max="9762" width="11.42578125" style="1734" customWidth="1"/>
    <col min="9763" max="9801" width="0" style="1734" hidden="1" customWidth="1"/>
    <col min="9802" max="9802" width="9.140625" style="1734"/>
    <col min="9803" max="9806" width="9.140625" style="1734" customWidth="1"/>
    <col min="9807" max="9807" width="9.140625" style="1734"/>
    <col min="9808" max="9811" width="9.140625" style="1734" customWidth="1"/>
    <col min="9812" max="9812" width="9.140625" style="1734"/>
    <col min="9813" max="9816" width="9.140625" style="1734" customWidth="1"/>
    <col min="9817" max="9817" width="9.140625" style="1734"/>
    <col min="9818" max="9821" width="9.140625" style="1734" customWidth="1"/>
    <col min="9822" max="9822" width="9.140625" style="1734"/>
    <col min="9823" max="9826" width="9.140625" style="1734" customWidth="1"/>
    <col min="9827" max="9827" width="9.140625" style="1734"/>
    <col min="9828" max="9831" width="9.140625" style="1734" customWidth="1"/>
    <col min="9832" max="9832" width="9.140625" style="1734"/>
    <col min="9833" max="9836" width="9.140625" style="1734" customWidth="1"/>
    <col min="9837" max="9837" width="9.140625" style="1734"/>
    <col min="9838" max="9841" width="9.140625" style="1734" customWidth="1"/>
    <col min="9842" max="9842" width="9.140625" style="1734"/>
    <col min="9843" max="9846" width="9.140625" style="1734" customWidth="1"/>
    <col min="9847" max="9847" width="9.140625" style="1734"/>
    <col min="9848" max="9851" width="9.140625" style="1734" customWidth="1"/>
    <col min="9852" max="9852" width="9.140625" style="1734"/>
    <col min="9853" max="9856" width="9.140625" style="1734" customWidth="1"/>
    <col min="9857" max="9857" width="9.140625" style="1734"/>
    <col min="9858" max="9861" width="9.140625" style="1734" customWidth="1"/>
    <col min="9862" max="9867" width="9.140625" style="1734"/>
    <col min="9868" max="9871" width="9.140625" style="1734" customWidth="1"/>
    <col min="9872" max="9872" width="9.140625" style="1734"/>
    <col min="9873" max="9876" width="9.140625" style="1734" customWidth="1"/>
    <col min="9877" max="9877" width="9.140625" style="1734"/>
    <col min="9878" max="9881" width="9.140625" style="1734" customWidth="1"/>
    <col min="9882" max="9882" width="9.140625" style="1734"/>
    <col min="9883" max="9886" width="9.140625" style="1734" customWidth="1"/>
    <col min="9887" max="9994" width="9.140625" style="1734"/>
    <col min="9995" max="9996" width="9.140625" style="1734" customWidth="1"/>
    <col min="9997" max="9997" width="9.7109375" style="1734" customWidth="1"/>
    <col min="9998" max="9998" width="7" style="1734" bestFit="1" customWidth="1"/>
    <col min="9999" max="9999" width="7" style="1734" customWidth="1"/>
    <col min="10000" max="10000" width="14.7109375" style="1734" customWidth="1"/>
    <col min="10001" max="10001" width="8.28515625" style="1734" customWidth="1"/>
    <col min="10002" max="10007" width="9.140625" style="1734" customWidth="1"/>
    <col min="10008" max="10008" width="4.5703125" style="1734" customWidth="1"/>
    <col min="10009" max="10012" width="9.140625" style="1734" customWidth="1"/>
    <col min="10013" max="10013" width="4.5703125" style="1734" customWidth="1"/>
    <col min="10014" max="10017" width="9.140625" style="1734" customWidth="1"/>
    <col min="10018" max="10018" width="11.42578125" style="1734" customWidth="1"/>
    <col min="10019" max="10057" width="0" style="1734" hidden="1" customWidth="1"/>
    <col min="10058" max="10058" width="9.140625" style="1734"/>
    <col min="10059" max="10062" width="9.140625" style="1734" customWidth="1"/>
    <col min="10063" max="10063" width="9.140625" style="1734"/>
    <col min="10064" max="10067" width="9.140625" style="1734" customWidth="1"/>
    <col min="10068" max="10068" width="9.140625" style="1734"/>
    <col min="10069" max="10072" width="9.140625" style="1734" customWidth="1"/>
    <col min="10073" max="10073" width="9.140625" style="1734"/>
    <col min="10074" max="10077" width="9.140625" style="1734" customWidth="1"/>
    <col min="10078" max="10078" width="9.140625" style="1734"/>
    <col min="10079" max="10082" width="9.140625" style="1734" customWidth="1"/>
    <col min="10083" max="10083" width="9.140625" style="1734"/>
    <col min="10084" max="10087" width="9.140625" style="1734" customWidth="1"/>
    <col min="10088" max="10088" width="9.140625" style="1734"/>
    <col min="10089" max="10092" width="9.140625" style="1734" customWidth="1"/>
    <col min="10093" max="10093" width="9.140625" style="1734"/>
    <col min="10094" max="10097" width="9.140625" style="1734" customWidth="1"/>
    <col min="10098" max="10098" width="9.140625" style="1734"/>
    <col min="10099" max="10102" width="9.140625" style="1734" customWidth="1"/>
    <col min="10103" max="10103" width="9.140625" style="1734"/>
    <col min="10104" max="10107" width="9.140625" style="1734" customWidth="1"/>
    <col min="10108" max="10108" width="9.140625" style="1734"/>
    <col min="10109" max="10112" width="9.140625" style="1734" customWidth="1"/>
    <col min="10113" max="10113" width="9.140625" style="1734"/>
    <col min="10114" max="10117" width="9.140625" style="1734" customWidth="1"/>
    <col min="10118" max="10123" width="9.140625" style="1734"/>
    <col min="10124" max="10127" width="9.140625" style="1734" customWidth="1"/>
    <col min="10128" max="10128" width="9.140625" style="1734"/>
    <col min="10129" max="10132" width="9.140625" style="1734" customWidth="1"/>
    <col min="10133" max="10133" width="9.140625" style="1734"/>
    <col min="10134" max="10137" width="9.140625" style="1734" customWidth="1"/>
    <col min="10138" max="10138" width="9.140625" style="1734"/>
    <col min="10139" max="10142" width="9.140625" style="1734" customWidth="1"/>
    <col min="10143" max="10250" width="9.140625" style="1734"/>
    <col min="10251" max="10252" width="9.140625" style="1734" customWidth="1"/>
    <col min="10253" max="10253" width="9.7109375" style="1734" customWidth="1"/>
    <col min="10254" max="10254" width="7" style="1734" bestFit="1" customWidth="1"/>
    <col min="10255" max="10255" width="7" style="1734" customWidth="1"/>
    <col min="10256" max="10256" width="14.7109375" style="1734" customWidth="1"/>
    <col min="10257" max="10257" width="8.28515625" style="1734" customWidth="1"/>
    <col min="10258" max="10263" width="9.140625" style="1734" customWidth="1"/>
    <col min="10264" max="10264" width="4.5703125" style="1734" customWidth="1"/>
    <col min="10265" max="10268" width="9.140625" style="1734" customWidth="1"/>
    <col min="10269" max="10269" width="4.5703125" style="1734" customWidth="1"/>
    <col min="10270" max="10273" width="9.140625" style="1734" customWidth="1"/>
    <col min="10274" max="10274" width="11.42578125" style="1734" customWidth="1"/>
    <col min="10275" max="10313" width="0" style="1734" hidden="1" customWidth="1"/>
    <col min="10314" max="10314" width="9.140625" style="1734"/>
    <col min="10315" max="10318" width="9.140625" style="1734" customWidth="1"/>
    <col min="10319" max="10319" width="9.140625" style="1734"/>
    <col min="10320" max="10323" width="9.140625" style="1734" customWidth="1"/>
    <col min="10324" max="10324" width="9.140625" style="1734"/>
    <col min="10325" max="10328" width="9.140625" style="1734" customWidth="1"/>
    <col min="10329" max="10329" width="9.140625" style="1734"/>
    <col min="10330" max="10333" width="9.140625" style="1734" customWidth="1"/>
    <col min="10334" max="10334" width="9.140625" style="1734"/>
    <col min="10335" max="10338" width="9.140625" style="1734" customWidth="1"/>
    <col min="10339" max="10339" width="9.140625" style="1734"/>
    <col min="10340" max="10343" width="9.140625" style="1734" customWidth="1"/>
    <col min="10344" max="10344" width="9.140625" style="1734"/>
    <col min="10345" max="10348" width="9.140625" style="1734" customWidth="1"/>
    <col min="10349" max="10349" width="9.140625" style="1734"/>
    <col min="10350" max="10353" width="9.140625" style="1734" customWidth="1"/>
    <col min="10354" max="10354" width="9.140625" style="1734"/>
    <col min="10355" max="10358" width="9.140625" style="1734" customWidth="1"/>
    <col min="10359" max="10359" width="9.140625" style="1734"/>
    <col min="10360" max="10363" width="9.140625" style="1734" customWidth="1"/>
    <col min="10364" max="10364" width="9.140625" style="1734"/>
    <col min="10365" max="10368" width="9.140625" style="1734" customWidth="1"/>
    <col min="10369" max="10369" width="9.140625" style="1734"/>
    <col min="10370" max="10373" width="9.140625" style="1734" customWidth="1"/>
    <col min="10374" max="10379" width="9.140625" style="1734"/>
    <col min="10380" max="10383" width="9.140625" style="1734" customWidth="1"/>
    <col min="10384" max="10384" width="9.140625" style="1734"/>
    <col min="10385" max="10388" width="9.140625" style="1734" customWidth="1"/>
    <col min="10389" max="10389" width="9.140625" style="1734"/>
    <col min="10390" max="10393" width="9.140625" style="1734" customWidth="1"/>
    <col min="10394" max="10394" width="9.140625" style="1734"/>
    <col min="10395" max="10398" width="9.140625" style="1734" customWidth="1"/>
    <col min="10399" max="10506" width="9.140625" style="1734"/>
    <col min="10507" max="10508" width="9.140625" style="1734" customWidth="1"/>
    <col min="10509" max="10509" width="9.7109375" style="1734" customWidth="1"/>
    <col min="10510" max="10510" width="7" style="1734" bestFit="1" customWidth="1"/>
    <col min="10511" max="10511" width="7" style="1734" customWidth="1"/>
    <col min="10512" max="10512" width="14.7109375" style="1734" customWidth="1"/>
    <col min="10513" max="10513" width="8.28515625" style="1734" customWidth="1"/>
    <col min="10514" max="10519" width="9.140625" style="1734" customWidth="1"/>
    <col min="10520" max="10520" width="4.5703125" style="1734" customWidth="1"/>
    <col min="10521" max="10524" width="9.140625" style="1734" customWidth="1"/>
    <col min="10525" max="10525" width="4.5703125" style="1734" customWidth="1"/>
    <col min="10526" max="10529" width="9.140625" style="1734" customWidth="1"/>
    <col min="10530" max="10530" width="11.42578125" style="1734" customWidth="1"/>
    <col min="10531" max="10569" width="0" style="1734" hidden="1" customWidth="1"/>
    <col min="10570" max="10570" width="9.140625" style="1734"/>
    <col min="10571" max="10574" width="9.140625" style="1734" customWidth="1"/>
    <col min="10575" max="10575" width="9.140625" style="1734"/>
    <col min="10576" max="10579" width="9.140625" style="1734" customWidth="1"/>
    <col min="10580" max="10580" width="9.140625" style="1734"/>
    <col min="10581" max="10584" width="9.140625" style="1734" customWidth="1"/>
    <col min="10585" max="10585" width="9.140625" style="1734"/>
    <col min="10586" max="10589" width="9.140625" style="1734" customWidth="1"/>
    <col min="10590" max="10590" width="9.140625" style="1734"/>
    <col min="10591" max="10594" width="9.140625" style="1734" customWidth="1"/>
    <col min="10595" max="10595" width="9.140625" style="1734"/>
    <col min="10596" max="10599" width="9.140625" style="1734" customWidth="1"/>
    <col min="10600" max="10600" width="9.140625" style="1734"/>
    <col min="10601" max="10604" width="9.140625" style="1734" customWidth="1"/>
    <col min="10605" max="10605" width="9.140625" style="1734"/>
    <col min="10606" max="10609" width="9.140625" style="1734" customWidth="1"/>
    <col min="10610" max="10610" width="9.140625" style="1734"/>
    <col min="10611" max="10614" width="9.140625" style="1734" customWidth="1"/>
    <col min="10615" max="10615" width="9.140625" style="1734"/>
    <col min="10616" max="10619" width="9.140625" style="1734" customWidth="1"/>
    <col min="10620" max="10620" width="9.140625" style="1734"/>
    <col min="10621" max="10624" width="9.140625" style="1734" customWidth="1"/>
    <col min="10625" max="10625" width="9.140625" style="1734"/>
    <col min="10626" max="10629" width="9.140625" style="1734" customWidth="1"/>
    <col min="10630" max="10635" width="9.140625" style="1734"/>
    <col min="10636" max="10639" width="9.140625" style="1734" customWidth="1"/>
    <col min="10640" max="10640" width="9.140625" style="1734"/>
    <col min="10641" max="10644" width="9.140625" style="1734" customWidth="1"/>
    <col min="10645" max="10645" width="9.140625" style="1734"/>
    <col min="10646" max="10649" width="9.140625" style="1734" customWidth="1"/>
    <col min="10650" max="10650" width="9.140625" style="1734"/>
    <col min="10651" max="10654" width="9.140625" style="1734" customWidth="1"/>
    <col min="10655" max="10762" width="9.140625" style="1734"/>
    <col min="10763" max="10764" width="9.140625" style="1734" customWidth="1"/>
    <col min="10765" max="10765" width="9.7109375" style="1734" customWidth="1"/>
    <col min="10766" max="10766" width="7" style="1734" bestFit="1" customWidth="1"/>
    <col min="10767" max="10767" width="7" style="1734" customWidth="1"/>
    <col min="10768" max="10768" width="14.7109375" style="1734" customWidth="1"/>
    <col min="10769" max="10769" width="8.28515625" style="1734" customWidth="1"/>
    <col min="10770" max="10775" width="9.140625" style="1734" customWidth="1"/>
    <col min="10776" max="10776" width="4.5703125" style="1734" customWidth="1"/>
    <col min="10777" max="10780" width="9.140625" style="1734" customWidth="1"/>
    <col min="10781" max="10781" width="4.5703125" style="1734" customWidth="1"/>
    <col min="10782" max="10785" width="9.140625" style="1734" customWidth="1"/>
    <col min="10786" max="10786" width="11.42578125" style="1734" customWidth="1"/>
    <col min="10787" max="10825" width="0" style="1734" hidden="1" customWidth="1"/>
    <col min="10826" max="10826" width="9.140625" style="1734"/>
    <col min="10827" max="10830" width="9.140625" style="1734" customWidth="1"/>
    <col min="10831" max="10831" width="9.140625" style="1734"/>
    <col min="10832" max="10835" width="9.140625" style="1734" customWidth="1"/>
    <col min="10836" max="10836" width="9.140625" style="1734"/>
    <col min="10837" max="10840" width="9.140625" style="1734" customWidth="1"/>
    <col min="10841" max="10841" width="9.140625" style="1734"/>
    <col min="10842" max="10845" width="9.140625" style="1734" customWidth="1"/>
    <col min="10846" max="10846" width="9.140625" style="1734"/>
    <col min="10847" max="10850" width="9.140625" style="1734" customWidth="1"/>
    <col min="10851" max="10851" width="9.140625" style="1734"/>
    <col min="10852" max="10855" width="9.140625" style="1734" customWidth="1"/>
    <col min="10856" max="10856" width="9.140625" style="1734"/>
    <col min="10857" max="10860" width="9.140625" style="1734" customWidth="1"/>
    <col min="10861" max="10861" width="9.140625" style="1734"/>
    <col min="10862" max="10865" width="9.140625" style="1734" customWidth="1"/>
    <col min="10866" max="10866" width="9.140625" style="1734"/>
    <col min="10867" max="10870" width="9.140625" style="1734" customWidth="1"/>
    <col min="10871" max="10871" width="9.140625" style="1734"/>
    <col min="10872" max="10875" width="9.140625" style="1734" customWidth="1"/>
    <col min="10876" max="10876" width="9.140625" style="1734"/>
    <col min="10877" max="10880" width="9.140625" style="1734" customWidth="1"/>
    <col min="10881" max="10881" width="9.140625" style="1734"/>
    <col min="10882" max="10885" width="9.140625" style="1734" customWidth="1"/>
    <col min="10886" max="10891" width="9.140625" style="1734"/>
    <col min="10892" max="10895" width="9.140625" style="1734" customWidth="1"/>
    <col min="10896" max="10896" width="9.140625" style="1734"/>
    <col min="10897" max="10900" width="9.140625" style="1734" customWidth="1"/>
    <col min="10901" max="10901" width="9.140625" style="1734"/>
    <col min="10902" max="10905" width="9.140625" style="1734" customWidth="1"/>
    <col min="10906" max="10906" width="9.140625" style="1734"/>
    <col min="10907" max="10910" width="9.140625" style="1734" customWidth="1"/>
    <col min="10911" max="11018" width="9.140625" style="1734"/>
    <col min="11019" max="11020" width="9.140625" style="1734" customWidth="1"/>
    <col min="11021" max="11021" width="9.7109375" style="1734" customWidth="1"/>
    <col min="11022" max="11022" width="7" style="1734" bestFit="1" customWidth="1"/>
    <col min="11023" max="11023" width="7" style="1734" customWidth="1"/>
    <col min="11024" max="11024" width="14.7109375" style="1734" customWidth="1"/>
    <col min="11025" max="11025" width="8.28515625" style="1734" customWidth="1"/>
    <col min="11026" max="11031" width="9.140625" style="1734" customWidth="1"/>
    <col min="11032" max="11032" width="4.5703125" style="1734" customWidth="1"/>
    <col min="11033" max="11036" width="9.140625" style="1734" customWidth="1"/>
    <col min="11037" max="11037" width="4.5703125" style="1734" customWidth="1"/>
    <col min="11038" max="11041" width="9.140625" style="1734" customWidth="1"/>
    <col min="11042" max="11042" width="11.42578125" style="1734" customWidth="1"/>
    <col min="11043" max="11081" width="0" style="1734" hidden="1" customWidth="1"/>
    <col min="11082" max="11082" width="9.140625" style="1734"/>
    <col min="11083" max="11086" width="9.140625" style="1734" customWidth="1"/>
    <col min="11087" max="11087" width="9.140625" style="1734"/>
    <col min="11088" max="11091" width="9.140625" style="1734" customWidth="1"/>
    <col min="11092" max="11092" width="9.140625" style="1734"/>
    <col min="11093" max="11096" width="9.140625" style="1734" customWidth="1"/>
    <col min="11097" max="11097" width="9.140625" style="1734"/>
    <col min="11098" max="11101" width="9.140625" style="1734" customWidth="1"/>
    <col min="11102" max="11102" width="9.140625" style="1734"/>
    <col min="11103" max="11106" width="9.140625" style="1734" customWidth="1"/>
    <col min="11107" max="11107" width="9.140625" style="1734"/>
    <col min="11108" max="11111" width="9.140625" style="1734" customWidth="1"/>
    <col min="11112" max="11112" width="9.140625" style="1734"/>
    <col min="11113" max="11116" width="9.140625" style="1734" customWidth="1"/>
    <col min="11117" max="11117" width="9.140625" style="1734"/>
    <col min="11118" max="11121" width="9.140625" style="1734" customWidth="1"/>
    <col min="11122" max="11122" width="9.140625" style="1734"/>
    <col min="11123" max="11126" width="9.140625" style="1734" customWidth="1"/>
    <col min="11127" max="11127" width="9.140625" style="1734"/>
    <col min="11128" max="11131" width="9.140625" style="1734" customWidth="1"/>
    <col min="11132" max="11132" width="9.140625" style="1734"/>
    <col min="11133" max="11136" width="9.140625" style="1734" customWidth="1"/>
    <col min="11137" max="11137" width="9.140625" style="1734"/>
    <col min="11138" max="11141" width="9.140625" style="1734" customWidth="1"/>
    <col min="11142" max="11147" width="9.140625" style="1734"/>
    <col min="11148" max="11151" width="9.140625" style="1734" customWidth="1"/>
    <col min="11152" max="11152" width="9.140625" style="1734"/>
    <col min="11153" max="11156" width="9.140625" style="1734" customWidth="1"/>
    <col min="11157" max="11157" width="9.140625" style="1734"/>
    <col min="11158" max="11161" width="9.140625" style="1734" customWidth="1"/>
    <col min="11162" max="11162" width="9.140625" style="1734"/>
    <col min="11163" max="11166" width="9.140625" style="1734" customWidth="1"/>
    <col min="11167" max="11274" width="9.140625" style="1734"/>
    <col min="11275" max="11276" width="9.140625" style="1734" customWidth="1"/>
    <col min="11277" max="11277" width="9.7109375" style="1734" customWidth="1"/>
    <col min="11278" max="11278" width="7" style="1734" bestFit="1" customWidth="1"/>
    <col min="11279" max="11279" width="7" style="1734" customWidth="1"/>
    <col min="11280" max="11280" width="14.7109375" style="1734" customWidth="1"/>
    <col min="11281" max="11281" width="8.28515625" style="1734" customWidth="1"/>
    <col min="11282" max="11287" width="9.140625" style="1734" customWidth="1"/>
    <col min="11288" max="11288" width="4.5703125" style="1734" customWidth="1"/>
    <col min="11289" max="11292" width="9.140625" style="1734" customWidth="1"/>
    <col min="11293" max="11293" width="4.5703125" style="1734" customWidth="1"/>
    <col min="11294" max="11297" width="9.140625" style="1734" customWidth="1"/>
    <col min="11298" max="11298" width="11.42578125" style="1734" customWidth="1"/>
    <col min="11299" max="11337" width="0" style="1734" hidden="1" customWidth="1"/>
    <col min="11338" max="11338" width="9.140625" style="1734"/>
    <col min="11339" max="11342" width="9.140625" style="1734" customWidth="1"/>
    <col min="11343" max="11343" width="9.140625" style="1734"/>
    <col min="11344" max="11347" width="9.140625" style="1734" customWidth="1"/>
    <col min="11348" max="11348" width="9.140625" style="1734"/>
    <col min="11349" max="11352" width="9.140625" style="1734" customWidth="1"/>
    <col min="11353" max="11353" width="9.140625" style="1734"/>
    <col min="11354" max="11357" width="9.140625" style="1734" customWidth="1"/>
    <col min="11358" max="11358" width="9.140625" style="1734"/>
    <col min="11359" max="11362" width="9.140625" style="1734" customWidth="1"/>
    <col min="11363" max="11363" width="9.140625" style="1734"/>
    <col min="11364" max="11367" width="9.140625" style="1734" customWidth="1"/>
    <col min="11368" max="11368" width="9.140625" style="1734"/>
    <col min="11369" max="11372" width="9.140625" style="1734" customWidth="1"/>
    <col min="11373" max="11373" width="9.140625" style="1734"/>
    <col min="11374" max="11377" width="9.140625" style="1734" customWidth="1"/>
    <col min="11378" max="11378" width="9.140625" style="1734"/>
    <col min="11379" max="11382" width="9.140625" style="1734" customWidth="1"/>
    <col min="11383" max="11383" width="9.140625" style="1734"/>
    <col min="11384" max="11387" width="9.140625" style="1734" customWidth="1"/>
    <col min="11388" max="11388" width="9.140625" style="1734"/>
    <col min="11389" max="11392" width="9.140625" style="1734" customWidth="1"/>
    <col min="11393" max="11393" width="9.140625" style="1734"/>
    <col min="11394" max="11397" width="9.140625" style="1734" customWidth="1"/>
    <col min="11398" max="11403" width="9.140625" style="1734"/>
    <col min="11404" max="11407" width="9.140625" style="1734" customWidth="1"/>
    <col min="11408" max="11408" width="9.140625" style="1734"/>
    <col min="11409" max="11412" width="9.140625" style="1734" customWidth="1"/>
    <col min="11413" max="11413" width="9.140625" style="1734"/>
    <col min="11414" max="11417" width="9.140625" style="1734" customWidth="1"/>
    <col min="11418" max="11418" width="9.140625" style="1734"/>
    <col min="11419" max="11422" width="9.140625" style="1734" customWidth="1"/>
    <col min="11423" max="11530" width="9.140625" style="1734"/>
    <col min="11531" max="11532" width="9.140625" style="1734" customWidth="1"/>
    <col min="11533" max="11533" width="9.7109375" style="1734" customWidth="1"/>
    <col min="11534" max="11534" width="7" style="1734" bestFit="1" customWidth="1"/>
    <col min="11535" max="11535" width="7" style="1734" customWidth="1"/>
    <col min="11536" max="11536" width="14.7109375" style="1734" customWidth="1"/>
    <col min="11537" max="11537" width="8.28515625" style="1734" customWidth="1"/>
    <col min="11538" max="11543" width="9.140625" style="1734" customWidth="1"/>
    <col min="11544" max="11544" width="4.5703125" style="1734" customWidth="1"/>
    <col min="11545" max="11548" width="9.140625" style="1734" customWidth="1"/>
    <col min="11549" max="11549" width="4.5703125" style="1734" customWidth="1"/>
    <col min="11550" max="11553" width="9.140625" style="1734" customWidth="1"/>
    <col min="11554" max="11554" width="11.42578125" style="1734" customWidth="1"/>
    <col min="11555" max="11593" width="0" style="1734" hidden="1" customWidth="1"/>
    <col min="11594" max="11594" width="9.140625" style="1734"/>
    <col min="11595" max="11598" width="9.140625" style="1734" customWidth="1"/>
    <col min="11599" max="11599" width="9.140625" style="1734"/>
    <col min="11600" max="11603" width="9.140625" style="1734" customWidth="1"/>
    <col min="11604" max="11604" width="9.140625" style="1734"/>
    <col min="11605" max="11608" width="9.140625" style="1734" customWidth="1"/>
    <col min="11609" max="11609" width="9.140625" style="1734"/>
    <col min="11610" max="11613" width="9.140625" style="1734" customWidth="1"/>
    <col min="11614" max="11614" width="9.140625" style="1734"/>
    <col min="11615" max="11618" width="9.140625" style="1734" customWidth="1"/>
    <col min="11619" max="11619" width="9.140625" style="1734"/>
    <col min="11620" max="11623" width="9.140625" style="1734" customWidth="1"/>
    <col min="11624" max="11624" width="9.140625" style="1734"/>
    <col min="11625" max="11628" width="9.140625" style="1734" customWidth="1"/>
    <col min="11629" max="11629" width="9.140625" style="1734"/>
    <col min="11630" max="11633" width="9.140625" style="1734" customWidth="1"/>
    <col min="11634" max="11634" width="9.140625" style="1734"/>
    <col min="11635" max="11638" width="9.140625" style="1734" customWidth="1"/>
    <col min="11639" max="11639" width="9.140625" style="1734"/>
    <col min="11640" max="11643" width="9.140625" style="1734" customWidth="1"/>
    <col min="11644" max="11644" width="9.140625" style="1734"/>
    <col min="11645" max="11648" width="9.140625" style="1734" customWidth="1"/>
    <col min="11649" max="11649" width="9.140625" style="1734"/>
    <col min="11650" max="11653" width="9.140625" style="1734" customWidth="1"/>
    <col min="11654" max="11659" width="9.140625" style="1734"/>
    <col min="11660" max="11663" width="9.140625" style="1734" customWidth="1"/>
    <col min="11664" max="11664" width="9.140625" style="1734"/>
    <col min="11665" max="11668" width="9.140625" style="1734" customWidth="1"/>
    <col min="11669" max="11669" width="9.140625" style="1734"/>
    <col min="11670" max="11673" width="9.140625" style="1734" customWidth="1"/>
    <col min="11674" max="11674" width="9.140625" style="1734"/>
    <col min="11675" max="11678" width="9.140625" style="1734" customWidth="1"/>
    <col min="11679" max="11786" width="9.140625" style="1734"/>
    <col min="11787" max="11788" width="9.140625" style="1734" customWidth="1"/>
    <col min="11789" max="11789" width="9.7109375" style="1734" customWidth="1"/>
    <col min="11790" max="11790" width="7" style="1734" bestFit="1" customWidth="1"/>
    <col min="11791" max="11791" width="7" style="1734" customWidth="1"/>
    <col min="11792" max="11792" width="14.7109375" style="1734" customWidth="1"/>
    <col min="11793" max="11793" width="8.28515625" style="1734" customWidth="1"/>
    <col min="11794" max="11799" width="9.140625" style="1734" customWidth="1"/>
    <col min="11800" max="11800" width="4.5703125" style="1734" customWidth="1"/>
    <col min="11801" max="11804" width="9.140625" style="1734" customWidth="1"/>
    <col min="11805" max="11805" width="4.5703125" style="1734" customWidth="1"/>
    <col min="11806" max="11809" width="9.140625" style="1734" customWidth="1"/>
    <col min="11810" max="11810" width="11.42578125" style="1734" customWidth="1"/>
    <col min="11811" max="11849" width="0" style="1734" hidden="1" customWidth="1"/>
    <col min="11850" max="11850" width="9.140625" style="1734"/>
    <col min="11851" max="11854" width="9.140625" style="1734" customWidth="1"/>
    <col min="11855" max="11855" width="9.140625" style="1734"/>
    <col min="11856" max="11859" width="9.140625" style="1734" customWidth="1"/>
    <col min="11860" max="11860" width="9.140625" style="1734"/>
    <col min="11861" max="11864" width="9.140625" style="1734" customWidth="1"/>
    <col min="11865" max="11865" width="9.140625" style="1734"/>
    <col min="11866" max="11869" width="9.140625" style="1734" customWidth="1"/>
    <col min="11870" max="11870" width="9.140625" style="1734"/>
    <col min="11871" max="11874" width="9.140625" style="1734" customWidth="1"/>
    <col min="11875" max="11875" width="9.140625" style="1734"/>
    <col min="11876" max="11879" width="9.140625" style="1734" customWidth="1"/>
    <col min="11880" max="11880" width="9.140625" style="1734"/>
    <col min="11881" max="11884" width="9.140625" style="1734" customWidth="1"/>
    <col min="11885" max="11885" width="9.140625" style="1734"/>
    <col min="11886" max="11889" width="9.140625" style="1734" customWidth="1"/>
    <col min="11890" max="11890" width="9.140625" style="1734"/>
    <col min="11891" max="11894" width="9.140625" style="1734" customWidth="1"/>
    <col min="11895" max="11895" width="9.140625" style="1734"/>
    <col min="11896" max="11899" width="9.140625" style="1734" customWidth="1"/>
    <col min="11900" max="11900" width="9.140625" style="1734"/>
    <col min="11901" max="11904" width="9.140625" style="1734" customWidth="1"/>
    <col min="11905" max="11905" width="9.140625" style="1734"/>
    <col min="11906" max="11909" width="9.140625" style="1734" customWidth="1"/>
    <col min="11910" max="11915" width="9.140625" style="1734"/>
    <col min="11916" max="11919" width="9.140625" style="1734" customWidth="1"/>
    <col min="11920" max="11920" width="9.140625" style="1734"/>
    <col min="11921" max="11924" width="9.140625" style="1734" customWidth="1"/>
    <col min="11925" max="11925" width="9.140625" style="1734"/>
    <col min="11926" max="11929" width="9.140625" style="1734" customWidth="1"/>
    <col min="11930" max="11930" width="9.140625" style="1734"/>
    <col min="11931" max="11934" width="9.140625" style="1734" customWidth="1"/>
    <col min="11935" max="12042" width="9.140625" style="1734"/>
    <col min="12043" max="12044" width="9.140625" style="1734" customWidth="1"/>
    <col min="12045" max="12045" width="9.7109375" style="1734" customWidth="1"/>
    <col min="12046" max="12046" width="7" style="1734" bestFit="1" customWidth="1"/>
    <col min="12047" max="12047" width="7" style="1734" customWidth="1"/>
    <col min="12048" max="12048" width="14.7109375" style="1734" customWidth="1"/>
    <col min="12049" max="12049" width="8.28515625" style="1734" customWidth="1"/>
    <col min="12050" max="12055" width="9.140625" style="1734" customWidth="1"/>
    <col min="12056" max="12056" width="4.5703125" style="1734" customWidth="1"/>
    <col min="12057" max="12060" width="9.140625" style="1734" customWidth="1"/>
    <col min="12061" max="12061" width="4.5703125" style="1734" customWidth="1"/>
    <col min="12062" max="12065" width="9.140625" style="1734" customWidth="1"/>
    <col min="12066" max="12066" width="11.42578125" style="1734" customWidth="1"/>
    <col min="12067" max="12105" width="0" style="1734" hidden="1" customWidth="1"/>
    <col min="12106" max="12106" width="9.140625" style="1734"/>
    <col min="12107" max="12110" width="9.140625" style="1734" customWidth="1"/>
    <col min="12111" max="12111" width="9.140625" style="1734"/>
    <col min="12112" max="12115" width="9.140625" style="1734" customWidth="1"/>
    <col min="12116" max="12116" width="9.140625" style="1734"/>
    <col min="12117" max="12120" width="9.140625" style="1734" customWidth="1"/>
    <col min="12121" max="12121" width="9.140625" style="1734"/>
    <col min="12122" max="12125" width="9.140625" style="1734" customWidth="1"/>
    <col min="12126" max="12126" width="9.140625" style="1734"/>
    <col min="12127" max="12130" width="9.140625" style="1734" customWidth="1"/>
    <col min="12131" max="12131" width="9.140625" style="1734"/>
    <col min="12132" max="12135" width="9.140625" style="1734" customWidth="1"/>
    <col min="12136" max="12136" width="9.140625" style="1734"/>
    <col min="12137" max="12140" width="9.140625" style="1734" customWidth="1"/>
    <col min="12141" max="12141" width="9.140625" style="1734"/>
    <col min="12142" max="12145" width="9.140625" style="1734" customWidth="1"/>
    <col min="12146" max="12146" width="9.140625" style="1734"/>
    <col min="12147" max="12150" width="9.140625" style="1734" customWidth="1"/>
    <col min="12151" max="12151" width="9.140625" style="1734"/>
    <col min="12152" max="12155" width="9.140625" style="1734" customWidth="1"/>
    <col min="12156" max="12156" width="9.140625" style="1734"/>
    <col min="12157" max="12160" width="9.140625" style="1734" customWidth="1"/>
    <col min="12161" max="12161" width="9.140625" style="1734"/>
    <col min="12162" max="12165" width="9.140625" style="1734" customWidth="1"/>
    <col min="12166" max="12171" width="9.140625" style="1734"/>
    <col min="12172" max="12175" width="9.140625" style="1734" customWidth="1"/>
    <col min="12176" max="12176" width="9.140625" style="1734"/>
    <col min="12177" max="12180" width="9.140625" style="1734" customWidth="1"/>
    <col min="12181" max="12181" width="9.140625" style="1734"/>
    <col min="12182" max="12185" width="9.140625" style="1734" customWidth="1"/>
    <col min="12186" max="12186" width="9.140625" style="1734"/>
    <col min="12187" max="12190" width="9.140625" style="1734" customWidth="1"/>
    <col min="12191" max="12298" width="9.140625" style="1734"/>
    <col min="12299" max="12300" width="9.140625" style="1734" customWidth="1"/>
    <col min="12301" max="12301" width="9.7109375" style="1734" customWidth="1"/>
    <col min="12302" max="12302" width="7" style="1734" bestFit="1" customWidth="1"/>
    <col min="12303" max="12303" width="7" style="1734" customWidth="1"/>
    <col min="12304" max="12304" width="14.7109375" style="1734" customWidth="1"/>
    <col min="12305" max="12305" width="8.28515625" style="1734" customWidth="1"/>
    <col min="12306" max="12311" width="9.140625" style="1734" customWidth="1"/>
    <col min="12312" max="12312" width="4.5703125" style="1734" customWidth="1"/>
    <col min="12313" max="12316" width="9.140625" style="1734" customWidth="1"/>
    <col min="12317" max="12317" width="4.5703125" style="1734" customWidth="1"/>
    <col min="12318" max="12321" width="9.140625" style="1734" customWidth="1"/>
    <col min="12322" max="12322" width="11.42578125" style="1734" customWidth="1"/>
    <col min="12323" max="12361" width="0" style="1734" hidden="1" customWidth="1"/>
    <col min="12362" max="12362" width="9.140625" style="1734"/>
    <col min="12363" max="12366" width="9.140625" style="1734" customWidth="1"/>
    <col min="12367" max="12367" width="9.140625" style="1734"/>
    <col min="12368" max="12371" width="9.140625" style="1734" customWidth="1"/>
    <col min="12372" max="12372" width="9.140625" style="1734"/>
    <col min="12373" max="12376" width="9.140625" style="1734" customWidth="1"/>
    <col min="12377" max="12377" width="9.140625" style="1734"/>
    <col min="12378" max="12381" width="9.140625" style="1734" customWidth="1"/>
    <col min="12382" max="12382" width="9.140625" style="1734"/>
    <col min="12383" max="12386" width="9.140625" style="1734" customWidth="1"/>
    <col min="12387" max="12387" width="9.140625" style="1734"/>
    <col min="12388" max="12391" width="9.140625" style="1734" customWidth="1"/>
    <col min="12392" max="12392" width="9.140625" style="1734"/>
    <col min="12393" max="12396" width="9.140625" style="1734" customWidth="1"/>
    <col min="12397" max="12397" width="9.140625" style="1734"/>
    <col min="12398" max="12401" width="9.140625" style="1734" customWidth="1"/>
    <col min="12402" max="12402" width="9.140625" style="1734"/>
    <col min="12403" max="12406" width="9.140625" style="1734" customWidth="1"/>
    <col min="12407" max="12407" width="9.140625" style="1734"/>
    <col min="12408" max="12411" width="9.140625" style="1734" customWidth="1"/>
    <col min="12412" max="12412" width="9.140625" style="1734"/>
    <col min="12413" max="12416" width="9.140625" style="1734" customWidth="1"/>
    <col min="12417" max="12417" width="9.140625" style="1734"/>
    <col min="12418" max="12421" width="9.140625" style="1734" customWidth="1"/>
    <col min="12422" max="12427" width="9.140625" style="1734"/>
    <col min="12428" max="12431" width="9.140625" style="1734" customWidth="1"/>
    <col min="12432" max="12432" width="9.140625" style="1734"/>
    <col min="12433" max="12436" width="9.140625" style="1734" customWidth="1"/>
    <col min="12437" max="12437" width="9.140625" style="1734"/>
    <col min="12438" max="12441" width="9.140625" style="1734" customWidth="1"/>
    <col min="12442" max="12442" width="9.140625" style="1734"/>
    <col min="12443" max="12446" width="9.140625" style="1734" customWidth="1"/>
    <col min="12447" max="12554" width="9.140625" style="1734"/>
    <col min="12555" max="12556" width="9.140625" style="1734" customWidth="1"/>
    <col min="12557" max="12557" width="9.7109375" style="1734" customWidth="1"/>
    <col min="12558" max="12558" width="7" style="1734" bestFit="1" customWidth="1"/>
    <col min="12559" max="12559" width="7" style="1734" customWidth="1"/>
    <col min="12560" max="12560" width="14.7109375" style="1734" customWidth="1"/>
    <col min="12561" max="12561" width="8.28515625" style="1734" customWidth="1"/>
    <col min="12562" max="12567" width="9.140625" style="1734" customWidth="1"/>
    <col min="12568" max="12568" width="4.5703125" style="1734" customWidth="1"/>
    <col min="12569" max="12572" width="9.140625" style="1734" customWidth="1"/>
    <col min="12573" max="12573" width="4.5703125" style="1734" customWidth="1"/>
    <col min="12574" max="12577" width="9.140625" style="1734" customWidth="1"/>
    <col min="12578" max="12578" width="11.42578125" style="1734" customWidth="1"/>
    <col min="12579" max="12617" width="0" style="1734" hidden="1" customWidth="1"/>
    <col min="12618" max="12618" width="9.140625" style="1734"/>
    <col min="12619" max="12622" width="9.140625" style="1734" customWidth="1"/>
    <col min="12623" max="12623" width="9.140625" style="1734"/>
    <col min="12624" max="12627" width="9.140625" style="1734" customWidth="1"/>
    <col min="12628" max="12628" width="9.140625" style="1734"/>
    <col min="12629" max="12632" width="9.140625" style="1734" customWidth="1"/>
    <col min="12633" max="12633" width="9.140625" style="1734"/>
    <col min="12634" max="12637" width="9.140625" style="1734" customWidth="1"/>
    <col min="12638" max="12638" width="9.140625" style="1734"/>
    <col min="12639" max="12642" width="9.140625" style="1734" customWidth="1"/>
    <col min="12643" max="12643" width="9.140625" style="1734"/>
    <col min="12644" max="12647" width="9.140625" style="1734" customWidth="1"/>
    <col min="12648" max="12648" width="9.140625" style="1734"/>
    <col min="12649" max="12652" width="9.140625" style="1734" customWidth="1"/>
    <col min="12653" max="12653" width="9.140625" style="1734"/>
    <col min="12654" max="12657" width="9.140625" style="1734" customWidth="1"/>
    <col min="12658" max="12658" width="9.140625" style="1734"/>
    <col min="12659" max="12662" width="9.140625" style="1734" customWidth="1"/>
    <col min="12663" max="12663" width="9.140625" style="1734"/>
    <col min="12664" max="12667" width="9.140625" style="1734" customWidth="1"/>
    <col min="12668" max="12668" width="9.140625" style="1734"/>
    <col min="12669" max="12672" width="9.140625" style="1734" customWidth="1"/>
    <col min="12673" max="12673" width="9.140625" style="1734"/>
    <col min="12674" max="12677" width="9.140625" style="1734" customWidth="1"/>
    <col min="12678" max="12683" width="9.140625" style="1734"/>
    <col min="12684" max="12687" width="9.140625" style="1734" customWidth="1"/>
    <col min="12688" max="12688" width="9.140625" style="1734"/>
    <col min="12689" max="12692" width="9.140625" style="1734" customWidth="1"/>
    <col min="12693" max="12693" width="9.140625" style="1734"/>
    <col min="12694" max="12697" width="9.140625" style="1734" customWidth="1"/>
    <col min="12698" max="12698" width="9.140625" style="1734"/>
    <col min="12699" max="12702" width="9.140625" style="1734" customWidth="1"/>
    <col min="12703" max="12810" width="9.140625" style="1734"/>
    <col min="12811" max="12812" width="9.140625" style="1734" customWidth="1"/>
    <col min="12813" max="12813" width="9.7109375" style="1734" customWidth="1"/>
    <col min="12814" max="12814" width="7" style="1734" bestFit="1" customWidth="1"/>
    <col min="12815" max="12815" width="7" style="1734" customWidth="1"/>
    <col min="12816" max="12816" width="14.7109375" style="1734" customWidth="1"/>
    <col min="12817" max="12817" width="8.28515625" style="1734" customWidth="1"/>
    <col min="12818" max="12823" width="9.140625" style="1734" customWidth="1"/>
    <col min="12824" max="12824" width="4.5703125" style="1734" customWidth="1"/>
    <col min="12825" max="12828" width="9.140625" style="1734" customWidth="1"/>
    <col min="12829" max="12829" width="4.5703125" style="1734" customWidth="1"/>
    <col min="12830" max="12833" width="9.140625" style="1734" customWidth="1"/>
    <col min="12834" max="12834" width="11.42578125" style="1734" customWidth="1"/>
    <col min="12835" max="12873" width="0" style="1734" hidden="1" customWidth="1"/>
    <col min="12874" max="12874" width="9.140625" style="1734"/>
    <col min="12875" max="12878" width="9.140625" style="1734" customWidth="1"/>
    <col min="12879" max="12879" width="9.140625" style="1734"/>
    <col min="12880" max="12883" width="9.140625" style="1734" customWidth="1"/>
    <col min="12884" max="12884" width="9.140625" style="1734"/>
    <col min="12885" max="12888" width="9.140625" style="1734" customWidth="1"/>
    <col min="12889" max="12889" width="9.140625" style="1734"/>
    <col min="12890" max="12893" width="9.140625" style="1734" customWidth="1"/>
    <col min="12894" max="12894" width="9.140625" style="1734"/>
    <col min="12895" max="12898" width="9.140625" style="1734" customWidth="1"/>
    <col min="12899" max="12899" width="9.140625" style="1734"/>
    <col min="12900" max="12903" width="9.140625" style="1734" customWidth="1"/>
    <col min="12904" max="12904" width="9.140625" style="1734"/>
    <col min="12905" max="12908" width="9.140625" style="1734" customWidth="1"/>
    <col min="12909" max="12909" width="9.140625" style="1734"/>
    <col min="12910" max="12913" width="9.140625" style="1734" customWidth="1"/>
    <col min="12914" max="12914" width="9.140625" style="1734"/>
    <col min="12915" max="12918" width="9.140625" style="1734" customWidth="1"/>
    <col min="12919" max="12919" width="9.140625" style="1734"/>
    <col min="12920" max="12923" width="9.140625" style="1734" customWidth="1"/>
    <col min="12924" max="12924" width="9.140625" style="1734"/>
    <col min="12925" max="12928" width="9.140625" style="1734" customWidth="1"/>
    <col min="12929" max="12929" width="9.140625" style="1734"/>
    <col min="12930" max="12933" width="9.140625" style="1734" customWidth="1"/>
    <col min="12934" max="12939" width="9.140625" style="1734"/>
    <col min="12940" max="12943" width="9.140625" style="1734" customWidth="1"/>
    <col min="12944" max="12944" width="9.140625" style="1734"/>
    <col min="12945" max="12948" width="9.140625" style="1734" customWidth="1"/>
    <col min="12949" max="12949" width="9.140625" style="1734"/>
    <col min="12950" max="12953" width="9.140625" style="1734" customWidth="1"/>
    <col min="12954" max="12954" width="9.140625" style="1734"/>
    <col min="12955" max="12958" width="9.140625" style="1734" customWidth="1"/>
    <col min="12959" max="13066" width="9.140625" style="1734"/>
    <col min="13067" max="13068" width="9.140625" style="1734" customWidth="1"/>
    <col min="13069" max="13069" width="9.7109375" style="1734" customWidth="1"/>
    <col min="13070" max="13070" width="7" style="1734" bestFit="1" customWidth="1"/>
    <col min="13071" max="13071" width="7" style="1734" customWidth="1"/>
    <col min="13072" max="13072" width="14.7109375" style="1734" customWidth="1"/>
    <col min="13073" max="13073" width="8.28515625" style="1734" customWidth="1"/>
    <col min="13074" max="13079" width="9.140625" style="1734" customWidth="1"/>
    <col min="13080" max="13080" width="4.5703125" style="1734" customWidth="1"/>
    <col min="13081" max="13084" width="9.140625" style="1734" customWidth="1"/>
    <col min="13085" max="13085" width="4.5703125" style="1734" customWidth="1"/>
    <col min="13086" max="13089" width="9.140625" style="1734" customWidth="1"/>
    <col min="13090" max="13090" width="11.42578125" style="1734" customWidth="1"/>
    <col min="13091" max="13129" width="0" style="1734" hidden="1" customWidth="1"/>
    <col min="13130" max="13130" width="9.140625" style="1734"/>
    <col min="13131" max="13134" width="9.140625" style="1734" customWidth="1"/>
    <col min="13135" max="13135" width="9.140625" style="1734"/>
    <col min="13136" max="13139" width="9.140625" style="1734" customWidth="1"/>
    <col min="13140" max="13140" width="9.140625" style="1734"/>
    <col min="13141" max="13144" width="9.140625" style="1734" customWidth="1"/>
    <col min="13145" max="13145" width="9.140625" style="1734"/>
    <col min="13146" max="13149" width="9.140625" style="1734" customWidth="1"/>
    <col min="13150" max="13150" width="9.140625" style="1734"/>
    <col min="13151" max="13154" width="9.140625" style="1734" customWidth="1"/>
    <col min="13155" max="13155" width="9.140625" style="1734"/>
    <col min="13156" max="13159" width="9.140625" style="1734" customWidth="1"/>
    <col min="13160" max="13160" width="9.140625" style="1734"/>
    <col min="13161" max="13164" width="9.140625" style="1734" customWidth="1"/>
    <col min="13165" max="13165" width="9.140625" style="1734"/>
    <col min="13166" max="13169" width="9.140625" style="1734" customWidth="1"/>
    <col min="13170" max="13170" width="9.140625" style="1734"/>
    <col min="13171" max="13174" width="9.140625" style="1734" customWidth="1"/>
    <col min="13175" max="13175" width="9.140625" style="1734"/>
    <col min="13176" max="13179" width="9.140625" style="1734" customWidth="1"/>
    <col min="13180" max="13180" width="9.140625" style="1734"/>
    <col min="13181" max="13184" width="9.140625" style="1734" customWidth="1"/>
    <col min="13185" max="13185" width="9.140625" style="1734"/>
    <col min="13186" max="13189" width="9.140625" style="1734" customWidth="1"/>
    <col min="13190" max="13195" width="9.140625" style="1734"/>
    <col min="13196" max="13199" width="9.140625" style="1734" customWidth="1"/>
    <col min="13200" max="13200" width="9.140625" style="1734"/>
    <col min="13201" max="13204" width="9.140625" style="1734" customWidth="1"/>
    <col min="13205" max="13205" width="9.140625" style="1734"/>
    <col min="13206" max="13209" width="9.140625" style="1734" customWidth="1"/>
    <col min="13210" max="13210" width="9.140625" style="1734"/>
    <col min="13211" max="13214" width="9.140625" style="1734" customWidth="1"/>
    <col min="13215" max="13322" width="9.140625" style="1734"/>
    <col min="13323" max="13324" width="9.140625" style="1734" customWidth="1"/>
    <col min="13325" max="13325" width="9.7109375" style="1734" customWidth="1"/>
    <col min="13326" max="13326" width="7" style="1734" bestFit="1" customWidth="1"/>
    <col min="13327" max="13327" width="7" style="1734" customWidth="1"/>
    <col min="13328" max="13328" width="14.7109375" style="1734" customWidth="1"/>
    <col min="13329" max="13329" width="8.28515625" style="1734" customWidth="1"/>
    <col min="13330" max="13335" width="9.140625" style="1734" customWidth="1"/>
    <col min="13336" max="13336" width="4.5703125" style="1734" customWidth="1"/>
    <col min="13337" max="13340" width="9.140625" style="1734" customWidth="1"/>
    <col min="13341" max="13341" width="4.5703125" style="1734" customWidth="1"/>
    <col min="13342" max="13345" width="9.140625" style="1734" customWidth="1"/>
    <col min="13346" max="13346" width="11.42578125" style="1734" customWidth="1"/>
    <col min="13347" max="13385" width="0" style="1734" hidden="1" customWidth="1"/>
    <col min="13386" max="13386" width="9.140625" style="1734"/>
    <col min="13387" max="13390" width="9.140625" style="1734" customWidth="1"/>
    <col min="13391" max="13391" width="9.140625" style="1734"/>
    <col min="13392" max="13395" width="9.140625" style="1734" customWidth="1"/>
    <col min="13396" max="13396" width="9.140625" style="1734"/>
    <col min="13397" max="13400" width="9.140625" style="1734" customWidth="1"/>
    <col min="13401" max="13401" width="9.140625" style="1734"/>
    <col min="13402" max="13405" width="9.140625" style="1734" customWidth="1"/>
    <col min="13406" max="13406" width="9.140625" style="1734"/>
    <col min="13407" max="13410" width="9.140625" style="1734" customWidth="1"/>
    <col min="13411" max="13411" width="9.140625" style="1734"/>
    <col min="13412" max="13415" width="9.140625" style="1734" customWidth="1"/>
    <col min="13416" max="13416" width="9.140625" style="1734"/>
    <col min="13417" max="13420" width="9.140625" style="1734" customWidth="1"/>
    <col min="13421" max="13421" width="9.140625" style="1734"/>
    <col min="13422" max="13425" width="9.140625" style="1734" customWidth="1"/>
    <col min="13426" max="13426" width="9.140625" style="1734"/>
    <col min="13427" max="13430" width="9.140625" style="1734" customWidth="1"/>
    <col min="13431" max="13431" width="9.140625" style="1734"/>
    <col min="13432" max="13435" width="9.140625" style="1734" customWidth="1"/>
    <col min="13436" max="13436" width="9.140625" style="1734"/>
    <col min="13437" max="13440" width="9.140625" style="1734" customWidth="1"/>
    <col min="13441" max="13441" width="9.140625" style="1734"/>
    <col min="13442" max="13445" width="9.140625" style="1734" customWidth="1"/>
    <col min="13446" max="13451" width="9.140625" style="1734"/>
    <col min="13452" max="13455" width="9.140625" style="1734" customWidth="1"/>
    <col min="13456" max="13456" width="9.140625" style="1734"/>
    <col min="13457" max="13460" width="9.140625" style="1734" customWidth="1"/>
    <col min="13461" max="13461" width="9.140625" style="1734"/>
    <col min="13462" max="13465" width="9.140625" style="1734" customWidth="1"/>
    <col min="13466" max="13466" width="9.140625" style="1734"/>
    <col min="13467" max="13470" width="9.140625" style="1734" customWidth="1"/>
    <col min="13471" max="13578" width="9.140625" style="1734"/>
    <col min="13579" max="13580" width="9.140625" style="1734" customWidth="1"/>
    <col min="13581" max="13581" width="9.7109375" style="1734" customWidth="1"/>
    <col min="13582" max="13582" width="7" style="1734" bestFit="1" customWidth="1"/>
    <col min="13583" max="13583" width="7" style="1734" customWidth="1"/>
    <col min="13584" max="13584" width="14.7109375" style="1734" customWidth="1"/>
    <col min="13585" max="13585" width="8.28515625" style="1734" customWidth="1"/>
    <col min="13586" max="13591" width="9.140625" style="1734" customWidth="1"/>
    <col min="13592" max="13592" width="4.5703125" style="1734" customWidth="1"/>
    <col min="13593" max="13596" width="9.140625" style="1734" customWidth="1"/>
    <col min="13597" max="13597" width="4.5703125" style="1734" customWidth="1"/>
    <col min="13598" max="13601" width="9.140625" style="1734" customWidth="1"/>
    <col min="13602" max="13602" width="11.42578125" style="1734" customWidth="1"/>
    <col min="13603" max="13641" width="0" style="1734" hidden="1" customWidth="1"/>
    <col min="13642" max="13642" width="9.140625" style="1734"/>
    <col min="13643" max="13646" width="9.140625" style="1734" customWidth="1"/>
    <col min="13647" max="13647" width="9.140625" style="1734"/>
    <col min="13648" max="13651" width="9.140625" style="1734" customWidth="1"/>
    <col min="13652" max="13652" width="9.140625" style="1734"/>
    <col min="13653" max="13656" width="9.140625" style="1734" customWidth="1"/>
    <col min="13657" max="13657" width="9.140625" style="1734"/>
    <col min="13658" max="13661" width="9.140625" style="1734" customWidth="1"/>
    <col min="13662" max="13662" width="9.140625" style="1734"/>
    <col min="13663" max="13666" width="9.140625" style="1734" customWidth="1"/>
    <col min="13667" max="13667" width="9.140625" style="1734"/>
    <col min="13668" max="13671" width="9.140625" style="1734" customWidth="1"/>
    <col min="13672" max="13672" width="9.140625" style="1734"/>
    <col min="13673" max="13676" width="9.140625" style="1734" customWidth="1"/>
    <col min="13677" max="13677" width="9.140625" style="1734"/>
    <col min="13678" max="13681" width="9.140625" style="1734" customWidth="1"/>
    <col min="13682" max="13682" width="9.140625" style="1734"/>
    <col min="13683" max="13686" width="9.140625" style="1734" customWidth="1"/>
    <col min="13687" max="13687" width="9.140625" style="1734"/>
    <col min="13688" max="13691" width="9.140625" style="1734" customWidth="1"/>
    <col min="13692" max="13692" width="9.140625" style="1734"/>
    <col min="13693" max="13696" width="9.140625" style="1734" customWidth="1"/>
    <col min="13697" max="13697" width="9.140625" style="1734"/>
    <col min="13698" max="13701" width="9.140625" style="1734" customWidth="1"/>
    <col min="13702" max="13707" width="9.140625" style="1734"/>
    <col min="13708" max="13711" width="9.140625" style="1734" customWidth="1"/>
    <col min="13712" max="13712" width="9.140625" style="1734"/>
    <col min="13713" max="13716" width="9.140625" style="1734" customWidth="1"/>
    <col min="13717" max="13717" width="9.140625" style="1734"/>
    <col min="13718" max="13721" width="9.140625" style="1734" customWidth="1"/>
    <col min="13722" max="13722" width="9.140625" style="1734"/>
    <col min="13723" max="13726" width="9.140625" style="1734" customWidth="1"/>
    <col min="13727" max="13834" width="9.140625" style="1734"/>
    <col min="13835" max="13836" width="9.140625" style="1734" customWidth="1"/>
    <col min="13837" max="13837" width="9.7109375" style="1734" customWidth="1"/>
    <col min="13838" max="13838" width="7" style="1734" bestFit="1" customWidth="1"/>
    <col min="13839" max="13839" width="7" style="1734" customWidth="1"/>
    <col min="13840" max="13840" width="14.7109375" style="1734" customWidth="1"/>
    <col min="13841" max="13841" width="8.28515625" style="1734" customWidth="1"/>
    <col min="13842" max="13847" width="9.140625" style="1734" customWidth="1"/>
    <col min="13848" max="13848" width="4.5703125" style="1734" customWidth="1"/>
    <col min="13849" max="13852" width="9.140625" style="1734" customWidth="1"/>
    <col min="13853" max="13853" width="4.5703125" style="1734" customWidth="1"/>
    <col min="13854" max="13857" width="9.140625" style="1734" customWidth="1"/>
    <col min="13858" max="13858" width="11.42578125" style="1734" customWidth="1"/>
    <col min="13859" max="13897" width="0" style="1734" hidden="1" customWidth="1"/>
    <col min="13898" max="13898" width="9.140625" style="1734"/>
    <col min="13899" max="13902" width="9.140625" style="1734" customWidth="1"/>
    <col min="13903" max="13903" width="9.140625" style="1734"/>
    <col min="13904" max="13907" width="9.140625" style="1734" customWidth="1"/>
    <col min="13908" max="13908" width="9.140625" style="1734"/>
    <col min="13909" max="13912" width="9.140625" style="1734" customWidth="1"/>
    <col min="13913" max="13913" width="9.140625" style="1734"/>
    <col min="13914" max="13917" width="9.140625" style="1734" customWidth="1"/>
    <col min="13918" max="13918" width="9.140625" style="1734"/>
    <col min="13919" max="13922" width="9.140625" style="1734" customWidth="1"/>
    <col min="13923" max="13923" width="9.140625" style="1734"/>
    <col min="13924" max="13927" width="9.140625" style="1734" customWidth="1"/>
    <col min="13928" max="13928" width="9.140625" style="1734"/>
    <col min="13929" max="13932" width="9.140625" style="1734" customWidth="1"/>
    <col min="13933" max="13933" width="9.140625" style="1734"/>
    <col min="13934" max="13937" width="9.140625" style="1734" customWidth="1"/>
    <col min="13938" max="13938" width="9.140625" style="1734"/>
    <col min="13939" max="13942" width="9.140625" style="1734" customWidth="1"/>
    <col min="13943" max="13943" width="9.140625" style="1734"/>
    <col min="13944" max="13947" width="9.140625" style="1734" customWidth="1"/>
    <col min="13948" max="13948" width="9.140625" style="1734"/>
    <col min="13949" max="13952" width="9.140625" style="1734" customWidth="1"/>
    <col min="13953" max="13953" width="9.140625" style="1734"/>
    <col min="13954" max="13957" width="9.140625" style="1734" customWidth="1"/>
    <col min="13958" max="13963" width="9.140625" style="1734"/>
    <col min="13964" max="13967" width="9.140625" style="1734" customWidth="1"/>
    <col min="13968" max="13968" width="9.140625" style="1734"/>
    <col min="13969" max="13972" width="9.140625" style="1734" customWidth="1"/>
    <col min="13973" max="13973" width="9.140625" style="1734"/>
    <col min="13974" max="13977" width="9.140625" style="1734" customWidth="1"/>
    <col min="13978" max="13978" width="9.140625" style="1734"/>
    <col min="13979" max="13982" width="9.140625" style="1734" customWidth="1"/>
    <col min="13983" max="14090" width="9.140625" style="1734"/>
    <col min="14091" max="14092" width="9.140625" style="1734" customWidth="1"/>
    <col min="14093" max="14093" width="9.7109375" style="1734" customWidth="1"/>
    <col min="14094" max="14094" width="7" style="1734" bestFit="1" customWidth="1"/>
    <col min="14095" max="14095" width="7" style="1734" customWidth="1"/>
    <col min="14096" max="14096" width="14.7109375" style="1734" customWidth="1"/>
    <col min="14097" max="14097" width="8.28515625" style="1734" customWidth="1"/>
    <col min="14098" max="14103" width="9.140625" style="1734" customWidth="1"/>
    <col min="14104" max="14104" width="4.5703125" style="1734" customWidth="1"/>
    <col min="14105" max="14108" width="9.140625" style="1734" customWidth="1"/>
    <col min="14109" max="14109" width="4.5703125" style="1734" customWidth="1"/>
    <col min="14110" max="14113" width="9.140625" style="1734" customWidth="1"/>
    <col min="14114" max="14114" width="11.42578125" style="1734" customWidth="1"/>
    <col min="14115" max="14153" width="0" style="1734" hidden="1" customWidth="1"/>
    <col min="14154" max="14154" width="9.140625" style="1734"/>
    <col min="14155" max="14158" width="9.140625" style="1734" customWidth="1"/>
    <col min="14159" max="14159" width="9.140625" style="1734"/>
    <col min="14160" max="14163" width="9.140625" style="1734" customWidth="1"/>
    <col min="14164" max="14164" width="9.140625" style="1734"/>
    <col min="14165" max="14168" width="9.140625" style="1734" customWidth="1"/>
    <col min="14169" max="14169" width="9.140625" style="1734"/>
    <col min="14170" max="14173" width="9.140625" style="1734" customWidth="1"/>
    <col min="14174" max="14174" width="9.140625" style="1734"/>
    <col min="14175" max="14178" width="9.140625" style="1734" customWidth="1"/>
    <col min="14179" max="14179" width="9.140625" style="1734"/>
    <col min="14180" max="14183" width="9.140625" style="1734" customWidth="1"/>
    <col min="14184" max="14184" width="9.140625" style="1734"/>
    <col min="14185" max="14188" width="9.140625" style="1734" customWidth="1"/>
    <col min="14189" max="14189" width="9.140625" style="1734"/>
    <col min="14190" max="14193" width="9.140625" style="1734" customWidth="1"/>
    <col min="14194" max="14194" width="9.140625" style="1734"/>
    <col min="14195" max="14198" width="9.140625" style="1734" customWidth="1"/>
    <col min="14199" max="14199" width="9.140625" style="1734"/>
    <col min="14200" max="14203" width="9.140625" style="1734" customWidth="1"/>
    <col min="14204" max="14204" width="9.140625" style="1734"/>
    <col min="14205" max="14208" width="9.140625" style="1734" customWidth="1"/>
    <col min="14209" max="14209" width="9.140625" style="1734"/>
    <col min="14210" max="14213" width="9.140625" style="1734" customWidth="1"/>
    <col min="14214" max="14219" width="9.140625" style="1734"/>
    <col min="14220" max="14223" width="9.140625" style="1734" customWidth="1"/>
    <col min="14224" max="14224" width="9.140625" style="1734"/>
    <col min="14225" max="14228" width="9.140625" style="1734" customWidth="1"/>
    <col min="14229" max="14229" width="9.140625" style="1734"/>
    <col min="14230" max="14233" width="9.140625" style="1734" customWidth="1"/>
    <col min="14234" max="14234" width="9.140625" style="1734"/>
    <col min="14235" max="14238" width="9.140625" style="1734" customWidth="1"/>
    <col min="14239" max="14346" width="9.140625" style="1734"/>
    <col min="14347" max="14348" width="9.140625" style="1734" customWidth="1"/>
    <col min="14349" max="14349" width="9.7109375" style="1734" customWidth="1"/>
    <col min="14350" max="14350" width="7" style="1734" bestFit="1" customWidth="1"/>
    <col min="14351" max="14351" width="7" style="1734" customWidth="1"/>
    <col min="14352" max="14352" width="14.7109375" style="1734" customWidth="1"/>
    <col min="14353" max="14353" width="8.28515625" style="1734" customWidth="1"/>
    <col min="14354" max="14359" width="9.140625" style="1734" customWidth="1"/>
    <col min="14360" max="14360" width="4.5703125" style="1734" customWidth="1"/>
    <col min="14361" max="14364" width="9.140625" style="1734" customWidth="1"/>
    <col min="14365" max="14365" width="4.5703125" style="1734" customWidth="1"/>
    <col min="14366" max="14369" width="9.140625" style="1734" customWidth="1"/>
    <col min="14370" max="14370" width="11.42578125" style="1734" customWidth="1"/>
    <col min="14371" max="14409" width="0" style="1734" hidden="1" customWidth="1"/>
    <col min="14410" max="14410" width="9.140625" style="1734"/>
    <col min="14411" max="14414" width="9.140625" style="1734" customWidth="1"/>
    <col min="14415" max="14415" width="9.140625" style="1734"/>
    <col min="14416" max="14419" width="9.140625" style="1734" customWidth="1"/>
    <col min="14420" max="14420" width="9.140625" style="1734"/>
    <col min="14421" max="14424" width="9.140625" style="1734" customWidth="1"/>
    <col min="14425" max="14425" width="9.140625" style="1734"/>
    <col min="14426" max="14429" width="9.140625" style="1734" customWidth="1"/>
    <col min="14430" max="14430" width="9.140625" style="1734"/>
    <col min="14431" max="14434" width="9.140625" style="1734" customWidth="1"/>
    <col min="14435" max="14435" width="9.140625" style="1734"/>
    <col min="14436" max="14439" width="9.140625" style="1734" customWidth="1"/>
    <col min="14440" max="14440" width="9.140625" style="1734"/>
    <col min="14441" max="14444" width="9.140625" style="1734" customWidth="1"/>
    <col min="14445" max="14445" width="9.140625" style="1734"/>
    <col min="14446" max="14449" width="9.140625" style="1734" customWidth="1"/>
    <col min="14450" max="14450" width="9.140625" style="1734"/>
    <col min="14451" max="14454" width="9.140625" style="1734" customWidth="1"/>
    <col min="14455" max="14455" width="9.140625" style="1734"/>
    <col min="14456" max="14459" width="9.140625" style="1734" customWidth="1"/>
    <col min="14460" max="14460" width="9.140625" style="1734"/>
    <col min="14461" max="14464" width="9.140625" style="1734" customWidth="1"/>
    <col min="14465" max="14465" width="9.140625" style="1734"/>
    <col min="14466" max="14469" width="9.140625" style="1734" customWidth="1"/>
    <col min="14470" max="14475" width="9.140625" style="1734"/>
    <col min="14476" max="14479" width="9.140625" style="1734" customWidth="1"/>
    <col min="14480" max="14480" width="9.140625" style="1734"/>
    <col min="14481" max="14484" width="9.140625" style="1734" customWidth="1"/>
    <col min="14485" max="14485" width="9.140625" style="1734"/>
    <col min="14486" max="14489" width="9.140625" style="1734" customWidth="1"/>
    <col min="14490" max="14490" width="9.140625" style="1734"/>
    <col min="14491" max="14494" width="9.140625" style="1734" customWidth="1"/>
    <col min="14495" max="14602" width="9.140625" style="1734"/>
    <col min="14603" max="14604" width="9.140625" style="1734" customWidth="1"/>
    <col min="14605" max="14605" width="9.7109375" style="1734" customWidth="1"/>
    <col min="14606" max="14606" width="7" style="1734" bestFit="1" customWidth="1"/>
    <col min="14607" max="14607" width="7" style="1734" customWidth="1"/>
    <col min="14608" max="14608" width="14.7109375" style="1734" customWidth="1"/>
    <col min="14609" max="14609" width="8.28515625" style="1734" customWidth="1"/>
    <col min="14610" max="14615" width="9.140625" style="1734" customWidth="1"/>
    <col min="14616" max="14616" width="4.5703125" style="1734" customWidth="1"/>
    <col min="14617" max="14620" width="9.140625" style="1734" customWidth="1"/>
    <col min="14621" max="14621" width="4.5703125" style="1734" customWidth="1"/>
    <col min="14622" max="14625" width="9.140625" style="1734" customWidth="1"/>
    <col min="14626" max="14626" width="11.42578125" style="1734" customWidth="1"/>
    <col min="14627" max="14665" width="0" style="1734" hidden="1" customWidth="1"/>
    <col min="14666" max="14666" width="9.140625" style="1734"/>
    <col min="14667" max="14670" width="9.140625" style="1734" customWidth="1"/>
    <col min="14671" max="14671" width="9.140625" style="1734"/>
    <col min="14672" max="14675" width="9.140625" style="1734" customWidth="1"/>
    <col min="14676" max="14676" width="9.140625" style="1734"/>
    <col min="14677" max="14680" width="9.140625" style="1734" customWidth="1"/>
    <col min="14681" max="14681" width="9.140625" style="1734"/>
    <col min="14682" max="14685" width="9.140625" style="1734" customWidth="1"/>
    <col min="14686" max="14686" width="9.140625" style="1734"/>
    <col min="14687" max="14690" width="9.140625" style="1734" customWidth="1"/>
    <col min="14691" max="14691" width="9.140625" style="1734"/>
    <col min="14692" max="14695" width="9.140625" style="1734" customWidth="1"/>
    <col min="14696" max="14696" width="9.140625" style="1734"/>
    <col min="14697" max="14700" width="9.140625" style="1734" customWidth="1"/>
    <col min="14701" max="14701" width="9.140625" style="1734"/>
    <col min="14702" max="14705" width="9.140625" style="1734" customWidth="1"/>
    <col min="14706" max="14706" width="9.140625" style="1734"/>
    <col min="14707" max="14710" width="9.140625" style="1734" customWidth="1"/>
    <col min="14711" max="14711" width="9.140625" style="1734"/>
    <col min="14712" max="14715" width="9.140625" style="1734" customWidth="1"/>
    <col min="14716" max="14716" width="9.140625" style="1734"/>
    <col min="14717" max="14720" width="9.140625" style="1734" customWidth="1"/>
    <col min="14721" max="14721" width="9.140625" style="1734"/>
    <col min="14722" max="14725" width="9.140625" style="1734" customWidth="1"/>
    <col min="14726" max="14731" width="9.140625" style="1734"/>
    <col min="14732" max="14735" width="9.140625" style="1734" customWidth="1"/>
    <col min="14736" max="14736" width="9.140625" style="1734"/>
    <col min="14737" max="14740" width="9.140625" style="1734" customWidth="1"/>
    <col min="14741" max="14741" width="9.140625" style="1734"/>
    <col min="14742" max="14745" width="9.140625" style="1734" customWidth="1"/>
    <col min="14746" max="14746" width="9.140625" style="1734"/>
    <col min="14747" max="14750" width="9.140625" style="1734" customWidth="1"/>
    <col min="14751" max="14858" width="9.140625" style="1734"/>
    <col min="14859" max="14860" width="9.140625" style="1734" customWidth="1"/>
    <col min="14861" max="14861" width="9.7109375" style="1734" customWidth="1"/>
    <col min="14862" max="14862" width="7" style="1734" bestFit="1" customWidth="1"/>
    <col min="14863" max="14863" width="7" style="1734" customWidth="1"/>
    <col min="14864" max="14864" width="14.7109375" style="1734" customWidth="1"/>
    <col min="14865" max="14865" width="8.28515625" style="1734" customWidth="1"/>
    <col min="14866" max="14871" width="9.140625" style="1734" customWidth="1"/>
    <col min="14872" max="14872" width="4.5703125" style="1734" customWidth="1"/>
    <col min="14873" max="14876" width="9.140625" style="1734" customWidth="1"/>
    <col min="14877" max="14877" width="4.5703125" style="1734" customWidth="1"/>
    <col min="14878" max="14881" width="9.140625" style="1734" customWidth="1"/>
    <col min="14882" max="14882" width="11.42578125" style="1734" customWidth="1"/>
    <col min="14883" max="14921" width="0" style="1734" hidden="1" customWidth="1"/>
    <col min="14922" max="14922" width="9.140625" style="1734"/>
    <col min="14923" max="14926" width="9.140625" style="1734" customWidth="1"/>
    <col min="14927" max="14927" width="9.140625" style="1734"/>
    <col min="14928" max="14931" width="9.140625" style="1734" customWidth="1"/>
    <col min="14932" max="14932" width="9.140625" style="1734"/>
    <col min="14933" max="14936" width="9.140625" style="1734" customWidth="1"/>
    <col min="14937" max="14937" width="9.140625" style="1734"/>
    <col min="14938" max="14941" width="9.140625" style="1734" customWidth="1"/>
    <col min="14942" max="14942" width="9.140625" style="1734"/>
    <col min="14943" max="14946" width="9.140625" style="1734" customWidth="1"/>
    <col min="14947" max="14947" width="9.140625" style="1734"/>
    <col min="14948" max="14951" width="9.140625" style="1734" customWidth="1"/>
    <col min="14952" max="14952" width="9.140625" style="1734"/>
    <col min="14953" max="14956" width="9.140625" style="1734" customWidth="1"/>
    <col min="14957" max="14957" width="9.140625" style="1734"/>
    <col min="14958" max="14961" width="9.140625" style="1734" customWidth="1"/>
    <col min="14962" max="14962" width="9.140625" style="1734"/>
    <col min="14963" max="14966" width="9.140625" style="1734" customWidth="1"/>
    <col min="14967" max="14967" width="9.140625" style="1734"/>
    <col min="14968" max="14971" width="9.140625" style="1734" customWidth="1"/>
    <col min="14972" max="14972" width="9.140625" style="1734"/>
    <col min="14973" max="14976" width="9.140625" style="1734" customWidth="1"/>
    <col min="14977" max="14977" width="9.140625" style="1734"/>
    <col min="14978" max="14981" width="9.140625" style="1734" customWidth="1"/>
    <col min="14982" max="14987" width="9.140625" style="1734"/>
    <col min="14988" max="14991" width="9.140625" style="1734" customWidth="1"/>
    <col min="14992" max="14992" width="9.140625" style="1734"/>
    <col min="14993" max="14996" width="9.140625" style="1734" customWidth="1"/>
    <col min="14997" max="14997" width="9.140625" style="1734"/>
    <col min="14998" max="15001" width="9.140625" style="1734" customWidth="1"/>
    <col min="15002" max="15002" width="9.140625" style="1734"/>
    <col min="15003" max="15006" width="9.140625" style="1734" customWidth="1"/>
    <col min="15007" max="15114" width="9.140625" style="1734"/>
    <col min="15115" max="15116" width="9.140625" style="1734" customWidth="1"/>
    <col min="15117" max="15117" width="9.7109375" style="1734" customWidth="1"/>
    <col min="15118" max="15118" width="7" style="1734" bestFit="1" customWidth="1"/>
    <col min="15119" max="15119" width="7" style="1734" customWidth="1"/>
    <col min="15120" max="15120" width="14.7109375" style="1734" customWidth="1"/>
    <col min="15121" max="15121" width="8.28515625" style="1734" customWidth="1"/>
    <col min="15122" max="15127" width="9.140625" style="1734" customWidth="1"/>
    <col min="15128" max="15128" width="4.5703125" style="1734" customWidth="1"/>
    <col min="15129" max="15132" width="9.140625" style="1734" customWidth="1"/>
    <col min="15133" max="15133" width="4.5703125" style="1734" customWidth="1"/>
    <col min="15134" max="15137" width="9.140625" style="1734" customWidth="1"/>
    <col min="15138" max="15138" width="11.42578125" style="1734" customWidth="1"/>
    <col min="15139" max="15177" width="0" style="1734" hidden="1" customWidth="1"/>
    <col min="15178" max="15178" width="9.140625" style="1734"/>
    <col min="15179" max="15182" width="9.140625" style="1734" customWidth="1"/>
    <col min="15183" max="15183" width="9.140625" style="1734"/>
    <col min="15184" max="15187" width="9.140625" style="1734" customWidth="1"/>
    <col min="15188" max="15188" width="9.140625" style="1734"/>
    <col min="15189" max="15192" width="9.140625" style="1734" customWidth="1"/>
    <col min="15193" max="15193" width="9.140625" style="1734"/>
    <col min="15194" max="15197" width="9.140625" style="1734" customWidth="1"/>
    <col min="15198" max="15198" width="9.140625" style="1734"/>
    <col min="15199" max="15202" width="9.140625" style="1734" customWidth="1"/>
    <col min="15203" max="15203" width="9.140625" style="1734"/>
    <col min="15204" max="15207" width="9.140625" style="1734" customWidth="1"/>
    <col min="15208" max="15208" width="9.140625" style="1734"/>
    <col min="15209" max="15212" width="9.140625" style="1734" customWidth="1"/>
    <col min="15213" max="15213" width="9.140625" style="1734"/>
    <col min="15214" max="15217" width="9.140625" style="1734" customWidth="1"/>
    <col min="15218" max="15218" width="9.140625" style="1734"/>
    <col min="15219" max="15222" width="9.140625" style="1734" customWidth="1"/>
    <col min="15223" max="15223" width="9.140625" style="1734"/>
    <col min="15224" max="15227" width="9.140625" style="1734" customWidth="1"/>
    <col min="15228" max="15228" width="9.140625" style="1734"/>
    <col min="15229" max="15232" width="9.140625" style="1734" customWidth="1"/>
    <col min="15233" max="15233" width="9.140625" style="1734"/>
    <col min="15234" max="15237" width="9.140625" style="1734" customWidth="1"/>
    <col min="15238" max="15243" width="9.140625" style="1734"/>
    <col min="15244" max="15247" width="9.140625" style="1734" customWidth="1"/>
    <col min="15248" max="15248" width="9.140625" style="1734"/>
    <col min="15249" max="15252" width="9.140625" style="1734" customWidth="1"/>
    <col min="15253" max="15253" width="9.140625" style="1734"/>
    <col min="15254" max="15257" width="9.140625" style="1734" customWidth="1"/>
    <col min="15258" max="15258" width="9.140625" style="1734"/>
    <col min="15259" max="15262" width="9.140625" style="1734" customWidth="1"/>
    <col min="15263" max="15370" width="9.140625" style="1734"/>
    <col min="15371" max="15372" width="9.140625" style="1734" customWidth="1"/>
    <col min="15373" max="15373" width="9.7109375" style="1734" customWidth="1"/>
    <col min="15374" max="15374" width="7" style="1734" bestFit="1" customWidth="1"/>
    <col min="15375" max="15375" width="7" style="1734" customWidth="1"/>
    <col min="15376" max="15376" width="14.7109375" style="1734" customWidth="1"/>
    <col min="15377" max="15377" width="8.28515625" style="1734" customWidth="1"/>
    <col min="15378" max="15383" width="9.140625" style="1734" customWidth="1"/>
    <col min="15384" max="15384" width="4.5703125" style="1734" customWidth="1"/>
    <col min="15385" max="15388" width="9.140625" style="1734" customWidth="1"/>
    <col min="15389" max="15389" width="4.5703125" style="1734" customWidth="1"/>
    <col min="15390" max="15393" width="9.140625" style="1734" customWidth="1"/>
    <col min="15394" max="15394" width="11.42578125" style="1734" customWidth="1"/>
    <col min="15395" max="15433" width="0" style="1734" hidden="1" customWidth="1"/>
    <col min="15434" max="15434" width="9.140625" style="1734"/>
    <col min="15435" max="15438" width="9.140625" style="1734" customWidth="1"/>
    <col min="15439" max="15439" width="9.140625" style="1734"/>
    <col min="15440" max="15443" width="9.140625" style="1734" customWidth="1"/>
    <col min="15444" max="15444" width="9.140625" style="1734"/>
    <col min="15445" max="15448" width="9.140625" style="1734" customWidth="1"/>
    <col min="15449" max="15449" width="9.140625" style="1734"/>
    <col min="15450" max="15453" width="9.140625" style="1734" customWidth="1"/>
    <col min="15454" max="15454" width="9.140625" style="1734"/>
    <col min="15455" max="15458" width="9.140625" style="1734" customWidth="1"/>
    <col min="15459" max="15459" width="9.140625" style="1734"/>
    <col min="15460" max="15463" width="9.140625" style="1734" customWidth="1"/>
    <col min="15464" max="15464" width="9.140625" style="1734"/>
    <col min="15465" max="15468" width="9.140625" style="1734" customWidth="1"/>
    <col min="15469" max="15469" width="9.140625" style="1734"/>
    <col min="15470" max="15473" width="9.140625" style="1734" customWidth="1"/>
    <col min="15474" max="15474" width="9.140625" style="1734"/>
    <col min="15475" max="15478" width="9.140625" style="1734" customWidth="1"/>
    <col min="15479" max="15479" width="9.140625" style="1734"/>
    <col min="15480" max="15483" width="9.140625" style="1734" customWidth="1"/>
    <col min="15484" max="15484" width="9.140625" style="1734"/>
    <col min="15485" max="15488" width="9.140625" style="1734" customWidth="1"/>
    <col min="15489" max="15489" width="9.140625" style="1734"/>
    <col min="15490" max="15493" width="9.140625" style="1734" customWidth="1"/>
    <col min="15494" max="15499" width="9.140625" style="1734"/>
    <col min="15500" max="15503" width="9.140625" style="1734" customWidth="1"/>
    <col min="15504" max="15504" width="9.140625" style="1734"/>
    <col min="15505" max="15508" width="9.140625" style="1734" customWidth="1"/>
    <col min="15509" max="15509" width="9.140625" style="1734"/>
    <col min="15510" max="15513" width="9.140625" style="1734" customWidth="1"/>
    <col min="15514" max="15514" width="9.140625" style="1734"/>
    <col min="15515" max="15518" width="9.140625" style="1734" customWidth="1"/>
    <col min="15519" max="15626" width="9.140625" style="1734"/>
    <col min="15627" max="15628" width="9.140625" style="1734" customWidth="1"/>
    <col min="15629" max="15629" width="9.7109375" style="1734" customWidth="1"/>
    <col min="15630" max="15630" width="7" style="1734" bestFit="1" customWidth="1"/>
    <col min="15631" max="15631" width="7" style="1734" customWidth="1"/>
    <col min="15632" max="15632" width="14.7109375" style="1734" customWidth="1"/>
    <col min="15633" max="15633" width="8.28515625" style="1734" customWidth="1"/>
    <col min="15634" max="15639" width="9.140625" style="1734" customWidth="1"/>
    <col min="15640" max="15640" width="4.5703125" style="1734" customWidth="1"/>
    <col min="15641" max="15644" width="9.140625" style="1734" customWidth="1"/>
    <col min="15645" max="15645" width="4.5703125" style="1734" customWidth="1"/>
    <col min="15646" max="15649" width="9.140625" style="1734" customWidth="1"/>
    <col min="15650" max="15650" width="11.42578125" style="1734" customWidth="1"/>
    <col min="15651" max="15689" width="0" style="1734" hidden="1" customWidth="1"/>
    <col min="15690" max="15690" width="9.140625" style="1734"/>
    <col min="15691" max="15694" width="9.140625" style="1734" customWidth="1"/>
    <col min="15695" max="15695" width="9.140625" style="1734"/>
    <col min="15696" max="15699" width="9.140625" style="1734" customWidth="1"/>
    <col min="15700" max="15700" width="9.140625" style="1734"/>
    <col min="15701" max="15704" width="9.140625" style="1734" customWidth="1"/>
    <col min="15705" max="15705" width="9.140625" style="1734"/>
    <col min="15706" max="15709" width="9.140625" style="1734" customWidth="1"/>
    <col min="15710" max="15710" width="9.140625" style="1734"/>
    <col min="15711" max="15714" width="9.140625" style="1734" customWidth="1"/>
    <col min="15715" max="15715" width="9.140625" style="1734"/>
    <col min="15716" max="15719" width="9.140625" style="1734" customWidth="1"/>
    <col min="15720" max="15720" width="9.140625" style="1734"/>
    <col min="15721" max="15724" width="9.140625" style="1734" customWidth="1"/>
    <col min="15725" max="15725" width="9.140625" style="1734"/>
    <col min="15726" max="15729" width="9.140625" style="1734" customWidth="1"/>
    <col min="15730" max="15730" width="9.140625" style="1734"/>
    <col min="15731" max="15734" width="9.140625" style="1734" customWidth="1"/>
    <col min="15735" max="15735" width="9.140625" style="1734"/>
    <col min="15736" max="15739" width="9.140625" style="1734" customWidth="1"/>
    <col min="15740" max="15740" width="9.140625" style="1734"/>
    <col min="15741" max="15744" width="9.140625" style="1734" customWidth="1"/>
    <col min="15745" max="15745" width="9.140625" style="1734"/>
    <col min="15746" max="15749" width="9.140625" style="1734" customWidth="1"/>
    <col min="15750" max="15755" width="9.140625" style="1734"/>
    <col min="15756" max="15759" width="9.140625" style="1734" customWidth="1"/>
    <col min="15760" max="15760" width="9.140625" style="1734"/>
    <col min="15761" max="15764" width="9.140625" style="1734" customWidth="1"/>
    <col min="15765" max="15765" width="9.140625" style="1734"/>
    <col min="15766" max="15769" width="9.140625" style="1734" customWidth="1"/>
    <col min="15770" max="15770" width="9.140625" style="1734"/>
    <col min="15771" max="15774" width="9.140625" style="1734" customWidth="1"/>
    <col min="15775" max="15882" width="9.140625" style="1734"/>
    <col min="15883" max="15884" width="9.140625" style="1734" customWidth="1"/>
    <col min="15885" max="15885" width="9.7109375" style="1734" customWidth="1"/>
    <col min="15886" max="15886" width="7" style="1734" bestFit="1" customWidth="1"/>
    <col min="15887" max="15887" width="7" style="1734" customWidth="1"/>
    <col min="15888" max="15888" width="14.7109375" style="1734" customWidth="1"/>
    <col min="15889" max="15889" width="8.28515625" style="1734" customWidth="1"/>
    <col min="15890" max="15895" width="9.140625" style="1734" customWidth="1"/>
    <col min="15896" max="15896" width="4.5703125" style="1734" customWidth="1"/>
    <col min="15897" max="15900" width="9.140625" style="1734" customWidth="1"/>
    <col min="15901" max="15901" width="4.5703125" style="1734" customWidth="1"/>
    <col min="15902" max="15905" width="9.140625" style="1734" customWidth="1"/>
    <col min="15906" max="15906" width="11.42578125" style="1734" customWidth="1"/>
    <col min="15907" max="15945" width="0" style="1734" hidden="1" customWidth="1"/>
    <col min="15946" max="15946" width="9.140625" style="1734"/>
    <col min="15947" max="15950" width="9.140625" style="1734" customWidth="1"/>
    <col min="15951" max="15951" width="9.140625" style="1734"/>
    <col min="15952" max="15955" width="9.140625" style="1734" customWidth="1"/>
    <col min="15956" max="15956" width="9.140625" style="1734"/>
    <col min="15957" max="15960" width="9.140625" style="1734" customWidth="1"/>
    <col min="15961" max="15961" width="9.140625" style="1734"/>
    <col min="15962" max="15965" width="9.140625" style="1734" customWidth="1"/>
    <col min="15966" max="15966" width="9.140625" style="1734"/>
    <col min="15967" max="15970" width="9.140625" style="1734" customWidth="1"/>
    <col min="15971" max="15971" width="9.140625" style="1734"/>
    <col min="15972" max="15975" width="9.140625" style="1734" customWidth="1"/>
    <col min="15976" max="15976" width="9.140625" style="1734"/>
    <col min="15977" max="15980" width="9.140625" style="1734" customWidth="1"/>
    <col min="15981" max="15981" width="9.140625" style="1734"/>
    <col min="15982" max="15985" width="9.140625" style="1734" customWidth="1"/>
    <col min="15986" max="15986" width="9.140625" style="1734"/>
    <col min="15987" max="15990" width="9.140625" style="1734" customWidth="1"/>
    <col min="15991" max="15991" width="9.140625" style="1734"/>
    <col min="15992" max="15995" width="9.140625" style="1734" customWidth="1"/>
    <col min="15996" max="15996" width="9.140625" style="1734"/>
    <col min="15997" max="16000" width="9.140625" style="1734" customWidth="1"/>
    <col min="16001" max="16001" width="9.140625" style="1734"/>
    <col min="16002" max="16005" width="9.140625" style="1734" customWidth="1"/>
    <col min="16006" max="16011" width="9.140625" style="1734"/>
    <col min="16012" max="16015" width="9.140625" style="1734" customWidth="1"/>
    <col min="16016" max="16016" width="9.140625" style="1734"/>
    <col min="16017" max="16020" width="9.140625" style="1734" customWidth="1"/>
    <col min="16021" max="16021" width="9.140625" style="1734"/>
    <col min="16022" max="16025" width="9.140625" style="1734" customWidth="1"/>
    <col min="16026" max="16026" width="9.140625" style="1734"/>
    <col min="16027" max="16030" width="9.140625" style="1734" customWidth="1"/>
    <col min="16031" max="16138" width="9.140625" style="1734"/>
    <col min="16139" max="16140" width="9.140625" style="1734" customWidth="1"/>
    <col min="16141" max="16141" width="9.7109375" style="1734" customWidth="1"/>
    <col min="16142" max="16142" width="7" style="1734" bestFit="1" customWidth="1"/>
    <col min="16143" max="16143" width="7" style="1734" customWidth="1"/>
    <col min="16144" max="16144" width="14.7109375" style="1734" customWidth="1"/>
    <col min="16145" max="16145" width="8.28515625" style="1734" customWidth="1"/>
    <col min="16146" max="16151" width="9.140625" style="1734" customWidth="1"/>
    <col min="16152" max="16152" width="4.5703125" style="1734" customWidth="1"/>
    <col min="16153" max="16156" width="9.140625" style="1734" customWidth="1"/>
    <col min="16157" max="16157" width="4.5703125" style="1734" customWidth="1"/>
    <col min="16158" max="16161" width="9.140625" style="1734" customWidth="1"/>
    <col min="16162" max="16162" width="11.42578125" style="1734" customWidth="1"/>
    <col min="16163" max="16201" width="0" style="1734" hidden="1" customWidth="1"/>
    <col min="16202" max="16202" width="9.140625" style="1734"/>
    <col min="16203" max="16206" width="9.140625" style="1734" customWidth="1"/>
    <col min="16207" max="16207" width="9.140625" style="1734"/>
    <col min="16208" max="16211" width="9.140625" style="1734" customWidth="1"/>
    <col min="16212" max="16212" width="9.140625" style="1734"/>
    <col min="16213" max="16216" width="9.140625" style="1734" customWidth="1"/>
    <col min="16217" max="16217" width="9.140625" style="1734"/>
    <col min="16218" max="16221" width="9.140625" style="1734" customWidth="1"/>
    <col min="16222" max="16222" width="9.140625" style="1734"/>
    <col min="16223" max="16226" width="9.140625" style="1734" customWidth="1"/>
    <col min="16227" max="16227" width="9.140625" style="1734"/>
    <col min="16228" max="16231" width="9.140625" style="1734" customWidth="1"/>
    <col min="16232" max="16232" width="9.140625" style="1734"/>
    <col min="16233" max="16236" width="9.140625" style="1734" customWidth="1"/>
    <col min="16237" max="16237" width="9.140625" style="1734"/>
    <col min="16238" max="16241" width="9.140625" style="1734" customWidth="1"/>
    <col min="16242" max="16242" width="9.140625" style="1734"/>
    <col min="16243" max="16246" width="9.140625" style="1734" customWidth="1"/>
    <col min="16247" max="16247" width="9.140625" style="1734"/>
    <col min="16248" max="16251" width="9.140625" style="1734" customWidth="1"/>
    <col min="16252" max="16252" width="9.140625" style="1734"/>
    <col min="16253" max="16256" width="9.140625" style="1734" customWidth="1"/>
    <col min="16257" max="16257" width="9.140625" style="1734"/>
    <col min="16258" max="16261" width="9.140625" style="1734" customWidth="1"/>
    <col min="16262" max="16267" width="9.140625" style="1734"/>
    <col min="16268" max="16271" width="9.140625" style="1734" customWidth="1"/>
    <col min="16272" max="16272" width="9.140625" style="1734"/>
    <col min="16273" max="16276" width="9.140625" style="1734" customWidth="1"/>
    <col min="16277" max="16277" width="9.140625" style="1734"/>
    <col min="16278" max="16281" width="9.140625" style="1734" customWidth="1"/>
    <col min="16282" max="16282" width="9.140625" style="1734"/>
    <col min="16283" max="16286" width="9.140625" style="1734" customWidth="1"/>
    <col min="16287" max="16384" width="9.140625" style="1734"/>
  </cols>
  <sheetData>
    <row r="1" spans="1:169" ht="12" thickBot="1">
      <c r="W1" s="1603"/>
      <c r="X1" s="1737" t="s">
        <v>467</v>
      </c>
      <c r="Y1" s="1603"/>
      <c r="Z1" s="1603"/>
      <c r="AA1" s="1603"/>
      <c r="AB1" s="1603"/>
      <c r="AC1" s="1603"/>
      <c r="AD1" s="1603"/>
      <c r="AE1" s="1603"/>
      <c r="AF1" s="1603"/>
      <c r="AG1" s="1603"/>
      <c r="AH1" s="1603"/>
      <c r="AI1" s="1603"/>
      <c r="AJ1" s="1603"/>
      <c r="AK1" s="1603"/>
      <c r="AL1" s="1603"/>
      <c r="AM1" s="1603"/>
      <c r="AN1" s="1603"/>
      <c r="AO1" s="1603"/>
      <c r="AP1" s="1603"/>
      <c r="AQ1" s="1603"/>
      <c r="AR1" s="1603"/>
      <c r="AS1" s="1603"/>
      <c r="AT1" s="1603"/>
      <c r="AU1" s="1603"/>
      <c r="AV1" s="1603"/>
      <c r="AW1" s="1603"/>
      <c r="AX1" s="1603"/>
      <c r="AY1" s="1603"/>
      <c r="AZ1" s="1603"/>
      <c r="BA1" s="1603"/>
      <c r="BB1" s="1603"/>
      <c r="BC1" s="1603"/>
      <c r="BD1" s="1603"/>
      <c r="BE1" s="1603"/>
      <c r="BF1" s="1603"/>
      <c r="BG1" s="1603"/>
      <c r="BH1" s="1603"/>
      <c r="BI1" s="1603"/>
      <c r="BJ1" s="1603"/>
      <c r="BK1" s="1603"/>
      <c r="BL1" s="1603"/>
      <c r="BM1" s="1738" t="str">
        <f>"1Q" &amp; MID(BQ2,3,2)</f>
        <v>1Q00</v>
      </c>
      <c r="BN1" s="1738" t="str">
        <f>"2Q" &amp; MID(BQ2,3,2)</f>
        <v>2Q00</v>
      </c>
      <c r="BO1" s="1738" t="str">
        <f>"3Q" &amp; MID(BQ2,3,2)</f>
        <v>3Q00</v>
      </c>
      <c r="BP1" s="1738" t="str">
        <f>"4Q" &amp; MID(BQ2,3,2)</f>
        <v>4Q00</v>
      </c>
      <c r="BQ1" s="1738" t="str">
        <f>LEFT(BQ2,4)</f>
        <v>2000</v>
      </c>
      <c r="BR1" s="1738" t="str">
        <f>"1Q" &amp; MID(BV2,3,2)</f>
        <v>1Q01</v>
      </c>
      <c r="BS1" s="1738" t="str">
        <f>"2Q" &amp; MID(BV2,3,2)</f>
        <v>2Q01</v>
      </c>
      <c r="BT1" s="1738" t="str">
        <f>"3Q" &amp; MID(BV2,3,2)</f>
        <v>3Q01</v>
      </c>
      <c r="BU1" s="1738" t="str">
        <f>"4Q" &amp; MID(BV2,3,2)</f>
        <v>4Q01</v>
      </c>
      <c r="BV1" s="1738" t="str">
        <f>LEFT(BV2,4)</f>
        <v>2001</v>
      </c>
      <c r="BW1" s="1738" t="str">
        <f>"1Q" &amp; MID(CA2,3,2)</f>
        <v>1Q02</v>
      </c>
      <c r="BX1" s="1738" t="str">
        <f>"2Q" &amp; MID(CA2,3,2)</f>
        <v>2Q02</v>
      </c>
      <c r="BY1" s="1738" t="str">
        <f>"3Q" &amp; MID(CA2,3,2)</f>
        <v>3Q02</v>
      </c>
      <c r="BZ1" s="1738" t="str">
        <f>"4Q" &amp; MID(CA2,3,2)</f>
        <v>4Q02</v>
      </c>
      <c r="CA1" s="1738" t="str">
        <f>LEFT(CA2,4)</f>
        <v>2002</v>
      </c>
      <c r="CB1" s="1738" t="str">
        <f>"1Q" &amp; MID(CF2,3,2)</f>
        <v>1Q03</v>
      </c>
      <c r="CC1" s="1738" t="str">
        <f>"2Q" &amp; MID(CF2,3,2)</f>
        <v>2Q03</v>
      </c>
      <c r="CD1" s="1738" t="str">
        <f>"3Q" &amp; MID(CF2,3,2)</f>
        <v>3Q03</v>
      </c>
      <c r="CE1" s="1738" t="str">
        <f>"4Q" &amp; MID(CF2,3,2)</f>
        <v>4Q03</v>
      </c>
      <c r="CF1" s="1738" t="str">
        <f>LEFT(CF2,4)</f>
        <v>2003</v>
      </c>
      <c r="CG1" s="1738" t="str">
        <f>"1Q" &amp; MID(CK2,3,2)</f>
        <v>1Q04</v>
      </c>
      <c r="CH1" s="1738" t="str">
        <f>"2Q" &amp; MID(CK2,3,2)</f>
        <v>2Q04</v>
      </c>
      <c r="CI1" s="1738" t="str">
        <f>"3Q" &amp; MID(CK2,3,2)</f>
        <v>3Q04</v>
      </c>
      <c r="CJ1" s="1738" t="str">
        <f>"4Q" &amp; MID(CK2,3,2)</f>
        <v>4Q04</v>
      </c>
      <c r="CK1" s="1738" t="str">
        <f>LEFT(CK2,4)</f>
        <v>2004</v>
      </c>
      <c r="CL1" s="1738" t="str">
        <f>"1Q" &amp; MID(CP2,3,2)</f>
        <v>1Q05</v>
      </c>
      <c r="CM1" s="1738" t="str">
        <f>"2Q" &amp; MID(CP2,3,2)</f>
        <v>2Q05</v>
      </c>
      <c r="CN1" s="1738" t="str">
        <f>"3Q" &amp; MID(CP2,3,2)</f>
        <v>3Q05</v>
      </c>
      <c r="CO1" s="1738" t="str">
        <f>"4Q" &amp; MID(CP2,3,2)</f>
        <v>4Q05</v>
      </c>
      <c r="CP1" s="1738" t="str">
        <f>LEFT(CP2,4)</f>
        <v>2005</v>
      </c>
      <c r="CQ1" s="1738" t="str">
        <f>"1Q" &amp; MID(CU2,3,2)</f>
        <v>1Q06</v>
      </c>
      <c r="CR1" s="1738" t="str">
        <f>"2Q" &amp; MID(CU2,3,2)</f>
        <v>2Q06</v>
      </c>
      <c r="CS1" s="1738" t="str">
        <f>"3Q" &amp; MID(CU2,3,2)</f>
        <v>3Q06</v>
      </c>
      <c r="CT1" s="1738" t="str">
        <f>"4Q" &amp; MID(CU2,3,2)</f>
        <v>4Q06</v>
      </c>
      <c r="CU1" s="1738" t="str">
        <f>LEFT(CU2,4)</f>
        <v>2006</v>
      </c>
      <c r="CV1" s="1738" t="str">
        <f>"1Q" &amp; MID(CZ2,3,2)</f>
        <v>1Q07</v>
      </c>
      <c r="CW1" s="1738" t="str">
        <f>"2Q" &amp; MID(CZ2,3,2)</f>
        <v>2Q07</v>
      </c>
      <c r="CX1" s="1738" t="str">
        <f>"3Q" &amp; MID(CZ2,3,2)</f>
        <v>3Q07</v>
      </c>
      <c r="CY1" s="1738" t="str">
        <f>"4Q" &amp; MID(CZ2,3,2)</f>
        <v>4Q07</v>
      </c>
      <c r="CZ1" s="1738" t="str">
        <f>LEFT(CZ2,4)</f>
        <v>2007</v>
      </c>
      <c r="DA1" s="1738" t="str">
        <f>"1Q" &amp; MID(DE2,3,2)</f>
        <v>1Q08</v>
      </c>
      <c r="DB1" s="1738" t="str">
        <f>"2Q" &amp; MID(DE2,3,2)</f>
        <v>2Q08</v>
      </c>
      <c r="DC1" s="1738" t="str">
        <f>"3Q" &amp; MID(DE2,3,2)</f>
        <v>3Q08</v>
      </c>
      <c r="DD1" s="1738" t="str">
        <f>"4Q" &amp; MID(DE2,3,2)</f>
        <v>4Q08</v>
      </c>
      <c r="DE1" s="1738" t="str">
        <f>LEFT(DE2,4)</f>
        <v>2008</v>
      </c>
      <c r="DF1" s="1738" t="str">
        <f>"1Q" &amp; MID(DJ2,3,2)</f>
        <v>1Q09</v>
      </c>
      <c r="DG1" s="1738" t="str">
        <f>"2Q" &amp; MID(DJ2,3,2)</f>
        <v>2Q09</v>
      </c>
      <c r="DH1" s="1738" t="str">
        <f>"3Q" &amp; MID(DJ2,3,2)</f>
        <v>3Q09</v>
      </c>
      <c r="DI1" s="1738" t="str">
        <f>"4Q" &amp; MID(DJ2,3,2)</f>
        <v>4Q09</v>
      </c>
      <c r="DJ1" s="1738" t="str">
        <f>LEFT(DJ2,4)</f>
        <v>2009</v>
      </c>
      <c r="DK1" s="1738" t="str">
        <f>"1Q" &amp; MID(DO2,3,2)</f>
        <v>1Q10</v>
      </c>
      <c r="DL1" s="1738" t="str">
        <f>"2Q" &amp; MID(DO2,3,2)</f>
        <v>2Q10</v>
      </c>
      <c r="DM1" s="1738" t="str">
        <f>"3Q" &amp; MID(DO2,3,2)</f>
        <v>3Q10</v>
      </c>
      <c r="DN1" s="1738" t="str">
        <f>"4Q" &amp; MID(DO2,3,2)</f>
        <v>4Q10</v>
      </c>
      <c r="DO1" s="1738" t="str">
        <f>LEFT(DO2,4)</f>
        <v>2010</v>
      </c>
      <c r="DP1" s="1738" t="str">
        <f>"1Q" &amp; MID(DT2,3,2)</f>
        <v>1Q11</v>
      </c>
      <c r="DQ1" s="1738" t="str">
        <f>"2Q" &amp; MID(DT2,3,2)</f>
        <v>2Q11</v>
      </c>
      <c r="DR1" s="1738" t="str">
        <f>"3Q" &amp; MID(DT2,3,2)</f>
        <v>3Q11</v>
      </c>
      <c r="DS1" s="1738" t="str">
        <f>"4Q" &amp; MID(DT2,3,2)</f>
        <v>4Q11</v>
      </c>
      <c r="DT1" s="1738" t="str">
        <f>LEFT(DT2,4)</f>
        <v>2011</v>
      </c>
      <c r="DU1" s="1738" t="str">
        <f>"1Q" &amp; MID(DY2,3,2)</f>
        <v>1Q12</v>
      </c>
      <c r="DV1" s="1738" t="str">
        <f>"2Q" &amp; MID(DY2,3,2)</f>
        <v>2Q12</v>
      </c>
      <c r="DW1" s="1738" t="str">
        <f>"3Q" &amp; MID(DY2,3,2)</f>
        <v>3Q12</v>
      </c>
      <c r="DX1" s="1738" t="str">
        <f>"4Q" &amp; MID(DY2,3,2)</f>
        <v>4Q12</v>
      </c>
      <c r="DY1" s="1738" t="str">
        <f>LEFT(DY2,4)</f>
        <v>2012</v>
      </c>
      <c r="DZ1" s="1738" t="str">
        <f>"1Q" &amp; MID(ED2,3,2)</f>
        <v>1Q13</v>
      </c>
      <c r="EA1" s="1738" t="str">
        <f>"2Q" &amp; MID(ED2,3,2)</f>
        <v>2Q13</v>
      </c>
      <c r="EB1" s="1738" t="str">
        <f>"3Q" &amp; MID(ED2,3,2)</f>
        <v>3Q13</v>
      </c>
      <c r="EC1" s="1738" t="str">
        <f>"4Q" &amp; MID(ED2,3,2)</f>
        <v>4Q13</v>
      </c>
      <c r="ED1" s="1738" t="str">
        <f>LEFT(ED2,4)</f>
        <v>2013</v>
      </c>
      <c r="EE1" s="1738" t="str">
        <f>"1Q" &amp; MID(EI2,3,2)</f>
        <v>1Q14</v>
      </c>
      <c r="EF1" s="1738" t="str">
        <f>"2Q" &amp; MID(EI2,3,2)</f>
        <v>2Q14</v>
      </c>
      <c r="EG1" s="1738" t="str">
        <f>"3Q" &amp; MID(EI2,3,2)</f>
        <v>3Q14</v>
      </c>
      <c r="EH1" s="1738" t="str">
        <f>"4Q" &amp; MID(EI2,3,2)</f>
        <v>4Q14</v>
      </c>
      <c r="EI1" s="1738" t="str">
        <f>LEFT(EI2,4)</f>
        <v>2014</v>
      </c>
      <c r="EJ1" s="1738" t="str">
        <f>"1Q" &amp; MID(EN2,3,2)</f>
        <v>1Q15</v>
      </c>
      <c r="EK1" s="1738" t="str">
        <f>"2Q" &amp; MID(EN2,3,2)</f>
        <v>2Q15</v>
      </c>
      <c r="EL1" s="1738" t="str">
        <f>"3Q" &amp; MID(EN2,3,2)</f>
        <v>3Q15</v>
      </c>
      <c r="EM1" s="1738" t="str">
        <f>"4Q" &amp; MID(EN2,3,2)</f>
        <v>4Q15</v>
      </c>
      <c r="EN1" s="1738" t="str">
        <f>LEFT(EN2,4)</f>
        <v>2015</v>
      </c>
      <c r="EO1" s="1738" t="str">
        <f>"1Q" &amp; MID(ES2,3,2)</f>
        <v>1Q16</v>
      </c>
      <c r="EP1" s="1738" t="str">
        <f>"2Q" &amp; MID(ES2,3,2)</f>
        <v>2Q16</v>
      </c>
      <c r="EQ1" s="1738" t="str">
        <f>"3Q" &amp; MID(ES2,3,2)</f>
        <v>3Q16</v>
      </c>
      <c r="ER1" s="1738" t="str">
        <f>"4Q" &amp; MID(ES2,3,2)</f>
        <v>4Q16</v>
      </c>
      <c r="ES1" s="1738" t="str">
        <f>LEFT(ES2,4)</f>
        <v>2016</v>
      </c>
      <c r="ET1" s="1738" t="str">
        <f>"1Q" &amp; MID(EX2,3,2)</f>
        <v>1Q17</v>
      </c>
      <c r="EU1" s="1738" t="str">
        <f>"2Q" &amp; MID(EX2,3,2)</f>
        <v>2Q17</v>
      </c>
      <c r="EV1" s="1738" t="str">
        <f>"3Q" &amp; MID(EX2,3,2)</f>
        <v>3Q17</v>
      </c>
      <c r="EW1" s="1738" t="str">
        <f>"4Q" &amp; MID(EX2,3,2)</f>
        <v>4Q17</v>
      </c>
      <c r="EX1" s="1738" t="str">
        <f>LEFT(EX2,4)</f>
        <v>2017</v>
      </c>
      <c r="EY1" s="1738" t="str">
        <f>"1Q" &amp; MID(FC2,3,2)</f>
        <v>1Q18</v>
      </c>
      <c r="EZ1" s="1738" t="str">
        <f>"2Q" &amp; MID(FC2,3,2)</f>
        <v>2Q18</v>
      </c>
      <c r="FA1" s="1738" t="str">
        <f>"3Q" &amp; MID(FC2,3,2)</f>
        <v>3Q18</v>
      </c>
      <c r="FB1" s="1738" t="str">
        <f>"4Q" &amp; MID(FC2,3,2)</f>
        <v>4Q18</v>
      </c>
      <c r="FC1" s="1738" t="str">
        <f>LEFT(FC2,4)</f>
        <v>2018</v>
      </c>
      <c r="FD1" s="1738" t="str">
        <f>"1Q" &amp; MID(FH2,3,2)</f>
        <v>1Q19</v>
      </c>
      <c r="FE1" s="1738" t="str">
        <f>"2Q" &amp; MID(FH2,3,2)</f>
        <v>2Q19</v>
      </c>
      <c r="FF1" s="1738" t="str">
        <f>"3Q" &amp; MID(FH2,3,2)</f>
        <v>3Q19</v>
      </c>
      <c r="FG1" s="1738" t="str">
        <f>"4Q" &amp; MID(FH2,3,2)</f>
        <v>4Q19</v>
      </c>
      <c r="FH1" s="1738" t="str">
        <f>LEFT(FH2,4)</f>
        <v>2019</v>
      </c>
      <c r="FI1" s="1738" t="str">
        <f>"1Q" &amp; MID(FM2,3,2)</f>
        <v>1Q20</v>
      </c>
      <c r="FJ1" s="1738" t="str">
        <f>"2Q" &amp; MID(FM2,3,2)</f>
        <v>2Q20</v>
      </c>
      <c r="FK1" s="1738" t="str">
        <f>"3Q" &amp; MID(FM2,3,2)</f>
        <v>3Q20</v>
      </c>
      <c r="FL1" s="1738" t="str">
        <f>"4Q" &amp; MID(FM2,3,2)</f>
        <v>4Q20</v>
      </c>
      <c r="FM1" s="1738" t="str">
        <f>LEFT(FM2,4)</f>
        <v>2020</v>
      </c>
    </row>
    <row r="2" spans="1:169">
      <c r="H2" s="2431" t="s">
        <v>468</v>
      </c>
      <c r="I2" s="2432"/>
      <c r="J2" s="2431" t="s">
        <v>469</v>
      </c>
      <c r="K2" s="2432"/>
      <c r="L2" s="2431" t="s">
        <v>470</v>
      </c>
      <c r="M2" s="2432"/>
      <c r="O2" s="2433" t="s">
        <v>471</v>
      </c>
      <c r="P2" s="2433"/>
      <c r="Q2" s="2433"/>
      <c r="R2" s="2433"/>
      <c r="T2" s="2433" t="s">
        <v>472</v>
      </c>
      <c r="U2" s="2433"/>
      <c r="V2" s="2433"/>
      <c r="W2" s="1603"/>
      <c r="X2" s="1603"/>
      <c r="Y2" s="1603"/>
      <c r="Z2" s="1603"/>
      <c r="AA2" s="1603"/>
      <c r="AB2" s="1603"/>
      <c r="AC2" s="1603"/>
      <c r="AD2" s="1603"/>
      <c r="AE2" s="1603"/>
      <c r="AF2" s="1603"/>
      <c r="AG2" s="1603"/>
      <c r="AH2" s="1603"/>
      <c r="AI2" s="1603"/>
      <c r="AJ2" s="1603"/>
      <c r="AK2" s="1603"/>
      <c r="AL2" s="1603"/>
      <c r="AM2" s="1603"/>
      <c r="AN2" s="1603"/>
      <c r="AO2" s="1603"/>
      <c r="AP2" s="1603"/>
      <c r="AQ2" s="1603"/>
      <c r="AR2" s="1603"/>
      <c r="AS2" s="1603"/>
      <c r="AT2" s="1603"/>
      <c r="AU2" s="1603"/>
      <c r="AV2" s="1603"/>
      <c r="AW2" s="1603"/>
      <c r="AX2" s="1603"/>
      <c r="AY2" s="1603"/>
      <c r="AZ2" s="1603"/>
      <c r="BA2" s="1603"/>
      <c r="BB2" s="1603"/>
      <c r="BC2" s="1603"/>
      <c r="BD2" s="1603"/>
      <c r="BE2" s="1603"/>
      <c r="BF2" s="1603"/>
      <c r="BG2" s="1603"/>
      <c r="BH2" s="1603"/>
      <c r="BI2" s="1603"/>
      <c r="BJ2" s="1603"/>
      <c r="BK2" s="1603"/>
      <c r="BL2" s="1603"/>
      <c r="BM2" s="1739" t="s">
        <v>11</v>
      </c>
      <c r="BN2" s="1739" t="s">
        <v>12</v>
      </c>
      <c r="BO2" s="1739" t="s">
        <v>13</v>
      </c>
      <c r="BP2" s="1739" t="s">
        <v>14</v>
      </c>
      <c r="BQ2" s="1739" t="s">
        <v>267</v>
      </c>
      <c r="BR2" s="1739" t="s">
        <v>11</v>
      </c>
      <c r="BS2" s="1739" t="s">
        <v>12</v>
      </c>
      <c r="BT2" s="1739" t="s">
        <v>13</v>
      </c>
      <c r="BU2" s="1739" t="s">
        <v>14</v>
      </c>
      <c r="BV2" s="1739" t="s">
        <v>268</v>
      </c>
      <c r="BW2" s="1739" t="s">
        <v>11</v>
      </c>
      <c r="BX2" s="1739" t="s">
        <v>12</v>
      </c>
      <c r="BY2" s="1739" t="s">
        <v>13</v>
      </c>
      <c r="BZ2" s="1739" t="s">
        <v>14</v>
      </c>
      <c r="CA2" s="1739" t="s">
        <v>269</v>
      </c>
      <c r="CB2" s="1739" t="s">
        <v>11</v>
      </c>
      <c r="CC2" s="1739" t="s">
        <v>12</v>
      </c>
      <c r="CD2" s="1739" t="s">
        <v>13</v>
      </c>
      <c r="CE2" s="1739" t="s">
        <v>14</v>
      </c>
      <c r="CF2" s="1739" t="s">
        <v>270</v>
      </c>
      <c r="CG2" s="1739" t="s">
        <v>11</v>
      </c>
      <c r="CH2" s="1739" t="s">
        <v>12</v>
      </c>
      <c r="CI2" s="1739" t="s">
        <v>13</v>
      </c>
      <c r="CJ2" s="1739" t="s">
        <v>14</v>
      </c>
      <c r="CK2" s="1739" t="s">
        <v>271</v>
      </c>
      <c r="CL2" s="1739" t="s">
        <v>11</v>
      </c>
      <c r="CM2" s="1739" t="s">
        <v>12</v>
      </c>
      <c r="CN2" s="1739" t="s">
        <v>13</v>
      </c>
      <c r="CO2" s="1739" t="s">
        <v>14</v>
      </c>
      <c r="CP2" s="1739" t="s">
        <v>32</v>
      </c>
      <c r="CQ2" s="1739" t="s">
        <v>11</v>
      </c>
      <c r="CR2" s="1739" t="s">
        <v>12</v>
      </c>
      <c r="CS2" s="1739" t="s">
        <v>13</v>
      </c>
      <c r="CT2" s="1739" t="s">
        <v>14</v>
      </c>
      <c r="CU2" s="1739" t="s">
        <v>33</v>
      </c>
      <c r="CV2" s="1739" t="s">
        <v>11</v>
      </c>
      <c r="CW2" s="1739" t="s">
        <v>12</v>
      </c>
      <c r="CX2" s="1739" t="s">
        <v>13</v>
      </c>
      <c r="CY2" s="1739" t="s">
        <v>14</v>
      </c>
      <c r="CZ2" s="1739" t="s">
        <v>34</v>
      </c>
      <c r="DA2" s="1739" t="s">
        <v>11</v>
      </c>
      <c r="DB2" s="1739" t="s">
        <v>12</v>
      </c>
      <c r="DC2" s="1739" t="s">
        <v>13</v>
      </c>
      <c r="DD2" s="1739" t="s">
        <v>14</v>
      </c>
      <c r="DE2" s="1739" t="s">
        <v>38</v>
      </c>
      <c r="DF2" s="1739" t="s">
        <v>11</v>
      </c>
      <c r="DG2" s="1739" t="s">
        <v>12</v>
      </c>
      <c r="DH2" s="1739" t="s">
        <v>13</v>
      </c>
      <c r="DI2" s="1739" t="s">
        <v>14</v>
      </c>
      <c r="DJ2" s="1739" t="s">
        <v>37</v>
      </c>
      <c r="DK2" s="1739" t="s">
        <v>11</v>
      </c>
      <c r="DL2" s="1739" t="s">
        <v>12</v>
      </c>
      <c r="DM2" s="1739" t="s">
        <v>13</v>
      </c>
      <c r="DN2" s="1739" t="s">
        <v>14</v>
      </c>
      <c r="DO2" s="1739" t="s">
        <v>82</v>
      </c>
      <c r="DP2" s="1739" t="s">
        <v>11</v>
      </c>
      <c r="DQ2" s="1739" t="s">
        <v>12</v>
      </c>
      <c r="DR2" s="1739" t="s">
        <v>13</v>
      </c>
      <c r="DS2" s="1739" t="s">
        <v>14</v>
      </c>
      <c r="DT2" s="1739" t="s">
        <v>108</v>
      </c>
      <c r="DU2" s="1739" t="s">
        <v>11</v>
      </c>
      <c r="DV2" s="1740" t="s">
        <v>12</v>
      </c>
      <c r="DW2" s="1740" t="s">
        <v>13</v>
      </c>
      <c r="DX2" s="1740" t="s">
        <v>14</v>
      </c>
      <c r="DY2" s="1739" t="s">
        <v>172</v>
      </c>
      <c r="DZ2" s="1739" t="s">
        <v>11</v>
      </c>
      <c r="EA2" s="1739" t="s">
        <v>12</v>
      </c>
      <c r="EB2" s="1739" t="s">
        <v>13</v>
      </c>
      <c r="EC2" s="1739" t="s">
        <v>14</v>
      </c>
      <c r="ED2" s="1739" t="s">
        <v>179</v>
      </c>
      <c r="EE2" s="1739" t="s">
        <v>11</v>
      </c>
      <c r="EF2" s="1739" t="s">
        <v>12</v>
      </c>
      <c r="EG2" s="1739" t="s">
        <v>13</v>
      </c>
      <c r="EH2" s="1739" t="s">
        <v>14</v>
      </c>
      <c r="EI2" s="1739" t="s">
        <v>183</v>
      </c>
      <c r="EJ2" s="1739" t="s">
        <v>11</v>
      </c>
      <c r="EK2" s="1739" t="s">
        <v>12</v>
      </c>
      <c r="EL2" s="1739" t="s">
        <v>35</v>
      </c>
      <c r="EM2" s="1739" t="s">
        <v>15</v>
      </c>
      <c r="EN2" s="1739" t="s">
        <v>129</v>
      </c>
      <c r="EO2" s="1739" t="s">
        <v>117</v>
      </c>
      <c r="EP2" s="1739" t="s">
        <v>118</v>
      </c>
      <c r="EQ2" s="1739" t="s">
        <v>35</v>
      </c>
      <c r="ER2" s="1739" t="s">
        <v>15</v>
      </c>
      <c r="ES2" s="1739" t="s">
        <v>130</v>
      </c>
      <c r="ET2" s="1739" t="s">
        <v>117</v>
      </c>
      <c r="EU2" s="1739" t="s">
        <v>118</v>
      </c>
      <c r="EV2" s="1739" t="s">
        <v>35</v>
      </c>
      <c r="EW2" s="1739" t="s">
        <v>15</v>
      </c>
      <c r="EX2" s="1739" t="s">
        <v>131</v>
      </c>
      <c r="EY2" s="1739" t="s">
        <v>117</v>
      </c>
      <c r="EZ2" s="1739" t="s">
        <v>118</v>
      </c>
      <c r="FA2" s="1739" t="s">
        <v>35</v>
      </c>
      <c r="FB2" s="1739" t="s">
        <v>15</v>
      </c>
      <c r="FC2" s="1739" t="s">
        <v>209</v>
      </c>
      <c r="FD2" s="1739" t="s">
        <v>117</v>
      </c>
      <c r="FE2" s="1739" t="s">
        <v>118</v>
      </c>
      <c r="FF2" s="1739" t="s">
        <v>35</v>
      </c>
      <c r="FG2" s="1739" t="s">
        <v>15</v>
      </c>
      <c r="FH2" s="1739" t="s">
        <v>210</v>
      </c>
      <c r="FI2" s="1739" t="s">
        <v>117</v>
      </c>
      <c r="FJ2" s="1739" t="s">
        <v>118</v>
      </c>
      <c r="FK2" s="1739" t="s">
        <v>35</v>
      </c>
      <c r="FL2" s="1739" t="s">
        <v>15</v>
      </c>
      <c r="FM2" s="1739" t="s">
        <v>211</v>
      </c>
    </row>
    <row r="3" spans="1:169" ht="23.25" thickBot="1">
      <c r="A3" s="1741" t="s">
        <v>473</v>
      </c>
      <c r="B3" s="1741" t="s">
        <v>127</v>
      </c>
      <c r="C3" s="1741" t="s">
        <v>474</v>
      </c>
      <c r="D3" s="1741" t="s">
        <v>475</v>
      </c>
      <c r="E3" s="1741" t="s">
        <v>476</v>
      </c>
      <c r="F3" s="1742" t="s">
        <v>477</v>
      </c>
      <c r="G3" s="1743"/>
      <c r="H3" s="1744" t="s">
        <v>478</v>
      </c>
      <c r="I3" s="1745" t="s">
        <v>479</v>
      </c>
      <c r="J3" s="1744" t="s">
        <v>478</v>
      </c>
      <c r="K3" s="1745" t="s">
        <v>479</v>
      </c>
      <c r="L3" s="1744" t="s">
        <v>480</v>
      </c>
      <c r="M3" s="1745" t="s">
        <v>479</v>
      </c>
      <c r="O3" s="1746" t="s">
        <v>481</v>
      </c>
      <c r="P3" s="1746" t="s">
        <v>482</v>
      </c>
      <c r="Q3" s="1747" t="s">
        <v>483</v>
      </c>
      <c r="R3" s="1747" t="s">
        <v>484</v>
      </c>
      <c r="T3" s="1746" t="s">
        <v>481</v>
      </c>
      <c r="U3" s="1746" t="s">
        <v>482</v>
      </c>
      <c r="V3" s="1747" t="s">
        <v>483</v>
      </c>
      <c r="W3" s="1603"/>
      <c r="X3" s="1737" t="s">
        <v>485</v>
      </c>
      <c r="Y3" s="1603"/>
      <c r="Z3" s="1603"/>
      <c r="AA3" s="1603"/>
      <c r="AB3" s="1748" t="s">
        <v>473</v>
      </c>
      <c r="AC3" s="1748" t="s">
        <v>486</v>
      </c>
      <c r="AD3" s="1603"/>
      <c r="AE3" s="1603"/>
      <c r="AF3" s="1603"/>
      <c r="AG3" s="1603"/>
      <c r="AH3" s="1603"/>
      <c r="AI3" s="1603"/>
      <c r="AJ3" s="1603"/>
      <c r="AK3" s="1603"/>
      <c r="AL3" s="1603"/>
      <c r="AM3" s="1603"/>
      <c r="AN3" s="1603"/>
      <c r="AO3" s="1603"/>
      <c r="AP3" s="1603"/>
      <c r="AQ3" s="1603"/>
      <c r="AR3" s="1603"/>
      <c r="AS3" s="1603"/>
      <c r="AT3" s="1603"/>
      <c r="AU3" s="1603"/>
      <c r="AV3" s="1603"/>
      <c r="AW3" s="1603"/>
      <c r="AX3" s="1603"/>
      <c r="AY3" s="1603"/>
      <c r="AZ3" s="1603"/>
      <c r="BA3" s="1603"/>
      <c r="BB3" s="1603"/>
      <c r="BC3" s="1603"/>
      <c r="BD3" s="1603"/>
      <c r="BE3" s="1603"/>
      <c r="BF3" s="1603"/>
      <c r="BG3" s="1603"/>
      <c r="BH3" s="1603"/>
      <c r="BI3" s="1603"/>
      <c r="BJ3" s="1603"/>
      <c r="BK3" s="1603"/>
      <c r="BL3" s="1603"/>
      <c r="BM3" s="1603"/>
      <c r="BN3" s="1603"/>
      <c r="BO3" s="1603"/>
      <c r="BP3" s="1603"/>
      <c r="BQ3" s="1603"/>
      <c r="BR3" s="1603"/>
      <c r="BS3" s="1603"/>
      <c r="BT3" s="1603"/>
      <c r="BU3" s="1603"/>
      <c r="BV3" s="1603"/>
      <c r="BW3" s="1603"/>
      <c r="BX3" s="1603"/>
      <c r="BY3" s="1603"/>
      <c r="BZ3" s="1603"/>
      <c r="CA3" s="1603"/>
      <c r="CB3" s="1603"/>
      <c r="CC3" s="1603"/>
      <c r="CD3" s="1603"/>
      <c r="CE3" s="1603"/>
      <c r="CF3" s="1603"/>
      <c r="CG3" s="1603"/>
      <c r="CH3" s="1603"/>
      <c r="CI3" s="1603"/>
      <c r="CJ3" s="1603"/>
      <c r="CK3" s="1603"/>
      <c r="CL3" s="1603"/>
      <c r="CM3" s="1603"/>
      <c r="CN3" s="1603"/>
      <c r="CO3" s="1603"/>
      <c r="CP3" s="1603"/>
      <c r="CQ3" s="1603"/>
      <c r="CR3" s="1603"/>
      <c r="CS3" s="1603"/>
      <c r="CT3" s="1603"/>
      <c r="CU3" s="1603"/>
      <c r="CV3" s="1603"/>
      <c r="CW3" s="1603"/>
      <c r="CX3" s="1603"/>
      <c r="CY3" s="1603"/>
      <c r="CZ3" s="1603"/>
      <c r="DA3" s="1603"/>
      <c r="DB3" s="1603"/>
      <c r="DC3" s="1603"/>
      <c r="DD3" s="1603"/>
      <c r="DE3" s="1603"/>
      <c r="DF3" s="1603"/>
      <c r="DG3" s="1603"/>
      <c r="DH3" s="1603"/>
      <c r="DI3" s="1603"/>
      <c r="DJ3" s="1603"/>
      <c r="DK3" s="1603"/>
      <c r="DL3" s="1603"/>
      <c r="DM3" s="1603"/>
      <c r="DN3" s="1603"/>
      <c r="DO3" s="1603"/>
      <c r="DP3" s="1603"/>
      <c r="DQ3" s="1603"/>
      <c r="DR3" s="1603"/>
      <c r="DS3" s="1603"/>
      <c r="DT3" s="1603"/>
      <c r="DU3" s="1603"/>
      <c r="DV3" s="1603"/>
      <c r="DW3" s="1603"/>
      <c r="DX3" s="1603"/>
      <c r="DY3" s="1603"/>
      <c r="DZ3" s="1603"/>
      <c r="EA3" s="1603"/>
      <c r="EB3" s="1603"/>
      <c r="EC3" s="1603"/>
      <c r="ED3" s="1603"/>
      <c r="EE3" s="1603"/>
      <c r="EF3" s="1603"/>
      <c r="EG3" s="1603"/>
      <c r="EH3" s="1603"/>
      <c r="EI3" s="1603"/>
      <c r="EJ3" s="1603"/>
      <c r="EK3" s="1603"/>
      <c r="EL3" s="1603"/>
      <c r="EM3" s="1603"/>
      <c r="EN3" s="1603"/>
      <c r="EO3" s="1603"/>
      <c r="EP3" s="1603"/>
      <c r="EQ3" s="1603"/>
      <c r="ER3" s="1603"/>
      <c r="ES3" s="1603"/>
      <c r="ET3" s="1603"/>
      <c r="EU3" s="1603"/>
      <c r="EV3" s="1603"/>
      <c r="EW3" s="1603"/>
      <c r="EX3" s="1603"/>
      <c r="EY3" s="1603"/>
      <c r="EZ3" s="1603"/>
      <c r="FA3" s="1603"/>
      <c r="FB3" s="1603"/>
      <c r="FC3" s="1603"/>
      <c r="FD3" s="1603"/>
      <c r="FE3" s="1603"/>
      <c r="FF3" s="1603"/>
      <c r="FG3" s="1603"/>
      <c r="FH3" s="1603"/>
      <c r="FI3" s="1603"/>
      <c r="FJ3" s="1603"/>
      <c r="FK3" s="1603"/>
      <c r="FL3" s="1603"/>
      <c r="FM3" s="1603"/>
    </row>
    <row r="4" spans="1:169">
      <c r="A4" s="1749">
        <f t="shared" ref="A4:A67" si="0">DATE(YEAR(D4),MONTH(D4),1)</f>
        <v>36526</v>
      </c>
      <c r="B4" s="1749" t="str">
        <f t="shared" ref="B4:B67" si="1">VLOOKUP(MONTH(A4),$AB$4:$AC$17,2,FALSE) &amp; "Q" &amp; RIGHT(YEAR(A4),2)</f>
        <v>1Q00</v>
      </c>
      <c r="C4" s="1749" t="str">
        <f t="shared" ref="C4:C67" si="2">VLOOKUP(MONTH(E4),$AB$4:$AC$17,2,FALSE) &amp; "Q" &amp; RIGHT(YEAR(E4),2)</f>
        <v>4Q99</v>
      </c>
      <c r="D4" s="1750">
        <f>E4+7</f>
        <v>36528</v>
      </c>
      <c r="E4" s="1751">
        <v>36521</v>
      </c>
      <c r="F4" s="1735">
        <v>1.298</v>
      </c>
      <c r="G4" s="1752"/>
      <c r="H4" s="1753">
        <f t="shared" ref="H4:H56" si="3">INDEX($O$4:$R$440,MATCH(F4,$O$4:$O$440,1),3)</f>
        <v>0.29899999999999993</v>
      </c>
      <c r="I4" s="1754">
        <f t="shared" ref="I4:M67" si="4">H5</f>
        <v>0.30399999999999994</v>
      </c>
      <c r="J4" s="1755">
        <f t="shared" ref="J4:J55" si="5">+J5</f>
        <v>0.04</v>
      </c>
      <c r="K4" s="1754">
        <f t="shared" si="4"/>
        <v>0.04</v>
      </c>
      <c r="L4" s="1756">
        <f>INDEX($T$4:$V$100,MATCH(F4,$T$4:$T$100,1),3)</f>
        <v>0.04</v>
      </c>
      <c r="M4" s="1757">
        <f t="shared" si="4"/>
        <v>0.05</v>
      </c>
      <c r="O4" s="1752">
        <f t="shared" ref="O4:O42" si="6">+P4-0.05</f>
        <v>-7.6327832942979512E-16</v>
      </c>
      <c r="P4" s="1752">
        <f t="shared" ref="P4:P42" si="7">+O5</f>
        <v>4.9999999999999239E-2</v>
      </c>
      <c r="Q4" s="1758">
        <f>+Q5-0.5%</f>
        <v>0.17399999999999982</v>
      </c>
      <c r="R4" s="1758">
        <f>+R5-0.25%</f>
        <v>8.6999999999999911E-2</v>
      </c>
      <c r="T4" s="1752">
        <v>0</v>
      </c>
      <c r="U4" s="1752">
        <f>T5-0.001</f>
        <v>1.0990000000000002</v>
      </c>
      <c r="V4" s="1759">
        <v>0</v>
      </c>
      <c r="X4" s="1737" t="s">
        <v>487</v>
      </c>
      <c r="Y4" s="1603"/>
      <c r="Z4" s="1603"/>
      <c r="AA4" s="1603"/>
      <c r="AB4" s="1603">
        <v>1</v>
      </c>
      <c r="AC4" s="1603">
        <v>1</v>
      </c>
      <c r="AD4" s="1603"/>
      <c r="AE4" s="1603"/>
      <c r="AF4" s="1603"/>
      <c r="AG4" s="1603"/>
      <c r="AH4" s="1603"/>
      <c r="AI4" s="1603"/>
      <c r="AJ4" s="1603"/>
      <c r="AK4" s="1603"/>
      <c r="AL4" s="1603"/>
      <c r="AM4" s="1603"/>
      <c r="AN4" s="1603"/>
      <c r="AO4" s="1603"/>
      <c r="AP4" s="1603"/>
      <c r="AQ4" s="1603"/>
      <c r="AR4" s="1603"/>
      <c r="AS4" s="1603"/>
      <c r="AT4" s="1603"/>
      <c r="AU4" s="1603"/>
      <c r="AV4" s="1603"/>
      <c r="AW4" s="1603"/>
      <c r="AX4" s="1603"/>
      <c r="AY4" s="1603"/>
      <c r="AZ4" s="1603"/>
      <c r="BA4" s="1603"/>
      <c r="BB4" s="1603"/>
      <c r="BC4" s="1603"/>
      <c r="BD4" s="1603"/>
      <c r="BE4" s="1603"/>
      <c r="BF4" s="1603"/>
      <c r="BG4" s="1603"/>
      <c r="BH4" s="1603"/>
      <c r="BI4" s="1603"/>
      <c r="BJ4" s="1603"/>
      <c r="BK4" s="1603"/>
      <c r="BL4" s="1603"/>
      <c r="BM4" s="1760">
        <f>SUMIF($B:$B,BM$1,$F:$F)/COUNTIF($B:$B,BM$1)</f>
        <v>1.4143076923076923</v>
      </c>
      <c r="BN4" s="1760">
        <f>SUMIF($B:$B,BN$1,$F:$F)/COUNTIF($B:$B,BN$1)</f>
        <v>1.422230769230769</v>
      </c>
      <c r="BO4" s="1760">
        <f>SUMIF($B:$B,BO$1,$F:$F)/COUNTIF($B:$B,BO$1)</f>
        <v>1.4889230769230768</v>
      </c>
      <c r="BP4" s="1760">
        <f>SUMIF($B:$B,BP$1,$F:$F)/COUNTIF($B:$B,BP$1)</f>
        <v>1.6209230769230771</v>
      </c>
      <c r="BQ4" s="1761">
        <f>AVERAGE(BM4:BP4)</f>
        <v>1.4865961538461538</v>
      </c>
      <c r="BR4" s="1760">
        <f>SUMIF($B:$B,BR$1,$F:$F)/COUNTIF($B:$B,BR$1)</f>
        <v>1.4861538461538462</v>
      </c>
      <c r="BS4" s="1760">
        <f>SUMIF($B:$B,BS$1,$F:$F)/COUNTIF($B:$B,BS$1)</f>
        <v>1.4579230769230769</v>
      </c>
      <c r="BT4" s="1760">
        <f>SUMIF($B:$B,BT$1,$F:$F)/COUNTIF($B:$B,BT$1)</f>
        <v>1.4143076923076925</v>
      </c>
      <c r="BU4" s="1760">
        <f>SUMIF($B:$B,BU$1,$F:$F)/COUNTIF($B:$B,BU$1)</f>
        <v>1.2795714285714284</v>
      </c>
      <c r="BV4" s="1761">
        <f>AVERAGE(BR4:BU4)</f>
        <v>1.4094890109890108</v>
      </c>
      <c r="BW4" s="1760">
        <f>SUMIF($B:$B,BW$1,$F:$F)/COUNTIF($B:$B,BW$1)</f>
        <v>1.1689166666666666</v>
      </c>
      <c r="BX4" s="1760">
        <f>SUMIF($B:$B,BX$1,$F:$F)/COUNTIF($B:$B,BX$1)</f>
        <v>1.3005384615384616</v>
      </c>
      <c r="BY4" s="1760">
        <f>SUMIF($B:$B,BY$1,$F:$F)/COUNTIF($B:$B,BY$1)</f>
        <v>1.3359285714285716</v>
      </c>
      <c r="BZ4" s="1760">
        <f>SUMIF($B:$B,BZ$1,$F:$F)/COUNTIF($B:$B,BZ$1)</f>
        <v>1.4319999999999999</v>
      </c>
      <c r="CA4" s="1761">
        <f>AVERAGE(BW4:BZ4)</f>
        <v>1.3093459249084249</v>
      </c>
      <c r="CB4" s="1760">
        <f>SUMIF($B:$B,CB$1,$F:$F)/COUNTIF($B:$B,CB$1)</f>
        <v>1.6151538461538462</v>
      </c>
      <c r="CC4" s="1760">
        <f>SUMIF($B:$B,CC$1,$F:$F)/COUNTIF($B:$B,CC$1)</f>
        <v>1.4797692307692303</v>
      </c>
      <c r="CD4" s="1760">
        <f>SUMIF($B:$B,CD$1,$F:$F)/COUNTIF($B:$B,CD$1)</f>
        <v>1.4623076923076925</v>
      </c>
      <c r="CE4" s="1760">
        <f>SUMIF($B:$B,CE$1,$F:$F)/COUNTIF($B:$B,CE$1)</f>
        <v>1.4792307692307696</v>
      </c>
      <c r="CF4" s="1761">
        <f>AVERAGE(CB4:CE4)</f>
        <v>1.5091153846153844</v>
      </c>
      <c r="CG4" s="1760">
        <f>SUMIF($B:$B,CG$1,$F:$F)/COUNTIF($B:$B,CG$1)</f>
        <v>1.579923076923077</v>
      </c>
      <c r="CH4" s="1760">
        <f>SUMIF($B:$B,CH$1,$F:$F)/COUNTIF($B:$B,CH$1)</f>
        <v>1.7144615384615385</v>
      </c>
      <c r="CI4" s="1760">
        <f>SUMIF($B:$B,CI$1,$F:$F)/COUNTIF($B:$B,CI$1)</f>
        <v>1.8056153846153842</v>
      </c>
      <c r="CJ4" s="1760">
        <f>SUMIF($B:$B,CJ$1,$F:$F)/COUNTIF($B:$B,CJ$1)</f>
        <v>2.1024615384615379</v>
      </c>
      <c r="CK4" s="1761">
        <f>AVERAGE(CG4:CJ4)</f>
        <v>1.8006153846153845</v>
      </c>
      <c r="CL4" s="1760">
        <f>SUMIF($B:$B,CL$1,$F:$F)/COUNTIF($B:$B,CL$1)</f>
        <v>2.0379999999999998</v>
      </c>
      <c r="CM4" s="1760">
        <f>SUMIF($B:$B,CM$1,$F:$F)/COUNTIF($B:$B,CM$1)</f>
        <v>2.2486923076923073</v>
      </c>
      <c r="CN4" s="1760">
        <f>SUMIF($B:$B,CN$1,$F:$F)/COUNTIF($B:$B,CN$1)</f>
        <v>2.5233076923076925</v>
      </c>
      <c r="CO4" s="1760">
        <f>SUMIF($B:$B,CO$1,$F:$F)/COUNTIF($B:$B,CO$1)</f>
        <v>2.7606153846153849</v>
      </c>
      <c r="CP4" s="1761">
        <f>AVERAGE(CL4:CO4)</f>
        <v>2.3926538461538462</v>
      </c>
      <c r="CQ4" s="1760">
        <f>SUMIF($B:$B,CQ$1,$F:$F)/COUNTIF($B:$B,CQ$1)</f>
        <v>2.4888461538461537</v>
      </c>
      <c r="CR4" s="1760">
        <f>SUMIF($B:$B,CR$1,$F:$F)/COUNTIF($B:$B,CR$1)</f>
        <v>2.8217692307692306</v>
      </c>
      <c r="CS4" s="1760">
        <f>SUMIF($B:$B,CS$1,$F:$F)/COUNTIF($B:$B,CS$1)</f>
        <v>2.9424615384615387</v>
      </c>
      <c r="CT4" s="1760">
        <f>SUMIF($B:$B,CT$1,$F:$F)/COUNTIF($B:$B,CT$1)</f>
        <v>2.5549230769230769</v>
      </c>
      <c r="CU4" s="1761">
        <f>AVERAGE(CQ4:CT4)</f>
        <v>2.702</v>
      </c>
      <c r="CV4" s="1760">
        <f>SUMIF($B:$B,CV$1,$F:$F)/COUNTIF($B:$B,CV$1)</f>
        <v>2.5356923076923077</v>
      </c>
      <c r="CW4" s="1760">
        <f>SUMIF($B:$B,CW$1,$F:$F)/COUNTIF($B:$B,CW$1)</f>
        <v>2.802</v>
      </c>
      <c r="CX4" s="1760">
        <f>SUMIF($B:$B,CX$1,$F:$F)/COUNTIF($B:$B,CX$1)</f>
        <v>2.8795384615384614</v>
      </c>
      <c r="CY4" s="1760">
        <f>SUMIF($B:$B,CY$1,$F:$F)/COUNTIF($B:$B,CY$1)</f>
        <v>3.2389285714285712</v>
      </c>
      <c r="CZ4" s="1761">
        <f>AVERAGE(CV4:CY4)</f>
        <v>2.8640398351648351</v>
      </c>
      <c r="DA4" s="1760">
        <f>SUMIF($B:$B,DA$1,$F:$F)/COUNTIF($B:$B,DA$1)</f>
        <v>3.5018461538461545</v>
      </c>
      <c r="DB4" s="1760">
        <f>SUMIF($B:$B,DB$1,$F:$F)/COUNTIF($B:$B,DB$1)</f>
        <v>4.3643846153846164</v>
      </c>
      <c r="DC4" s="1760">
        <f>SUMIF($B:$B,DC$1,$F:$F)/COUNTIF($B:$B,DC$1)</f>
        <v>4.3711538461538462</v>
      </c>
      <c r="DD4" s="1760">
        <f>SUMIF($B:$B,DD$1,$F:$F)/COUNTIF($B:$B,DD$1)</f>
        <v>3.0527692307692309</v>
      </c>
      <c r="DE4" s="1761">
        <f>AVERAGE(DA4:DD4)</f>
        <v>3.8225384615384619</v>
      </c>
      <c r="DF4" s="1760">
        <f>SUMIF($B:$B,DF$1,$F:$F)/COUNTIF($B:$B,DF$1)</f>
        <v>2.1935384615384614</v>
      </c>
      <c r="DG4" s="1760">
        <f>SUMIF($B:$B,DG$1,$F:$F)/COUNTIF($B:$B,DG$1)</f>
        <v>2.3110769230769233</v>
      </c>
      <c r="DH4" s="1760">
        <f>SUMIF($B:$B,DH$1,$F:$F)/COUNTIF($B:$B,DH$1)</f>
        <v>2.6030769230769235</v>
      </c>
      <c r="DI4" s="1760">
        <f>SUMIF($B:$B,DI$1,$F:$F)/COUNTIF($B:$B,DI$1)</f>
        <v>2.7304615384615381</v>
      </c>
      <c r="DJ4" s="1761">
        <f>AVERAGE(DF4:DI4)</f>
        <v>2.4595384615384615</v>
      </c>
      <c r="DK4" s="1760">
        <f>SUMIF($B:$B,DK$1,$F:$F)/COUNTIF($B:$B,DK$1)</f>
        <v>2.8372307692307692</v>
      </c>
      <c r="DL4" s="1760">
        <f>SUMIF($B:$B,DL$1,$F:$F)/COUNTIF($B:$B,DL$1)</f>
        <v>3.0272307692307687</v>
      </c>
      <c r="DM4" s="1760">
        <f>SUMIF($B:$B,DM$1,$F:$F)/COUNTIF($B:$B,DM$1)</f>
        <v>2.9406153846153842</v>
      </c>
      <c r="DN4" s="1760">
        <f>SUMIF($B:$B,DN$1,$F:$F)/COUNTIF($B:$B,DN$1)</f>
        <v>3.117923076923077</v>
      </c>
      <c r="DO4" s="1761">
        <f>AVERAGE(DK4:DN4)</f>
        <v>2.9807499999999996</v>
      </c>
      <c r="DP4" s="1760">
        <f>SUMIF($B:$B,DP$1,$F:$F)/COUNTIF($B:$B,DP$1)</f>
        <v>3.558076923076924</v>
      </c>
      <c r="DQ4" s="1760">
        <f>SUMIF($B:$B,DQ$1,$F:$F)/COUNTIF($B:$B,DQ$1)</f>
        <v>4.020538461538461</v>
      </c>
      <c r="DR4" s="1760">
        <f>SUMIF($B:$B,DR$1,$F:$F)/COUNTIF($B:$B,DR$1)</f>
        <v>3.8746923076923077</v>
      </c>
      <c r="DS4" s="1760">
        <f>SUMIF($B:$B,DS$1,$F:$F)/COUNTIF($B:$B,DS$1)</f>
        <v>3.8673076923076923</v>
      </c>
      <c r="DT4" s="1761">
        <f>AVERAGE(DP4:DS4)</f>
        <v>3.8301538461538462</v>
      </c>
      <c r="DU4" s="1760">
        <f>SUMIF($B:$B,DU$1,$F:$F)/COUNTIF($B:$B,DU$1)</f>
        <v>3.9325384615384618</v>
      </c>
      <c r="DV4" s="1760">
        <f>SUMIF($B:$B,DV$1,$F:$F)/COUNTIF($B:$B,DV$1)</f>
        <v>3.9993846153846153</v>
      </c>
      <c r="DW4" s="1760">
        <f>SUMIF($B:$B,DW$1,$F:$F)/COUNTIF($B:$B,DW$1)</f>
        <v>3.8928461538461536</v>
      </c>
      <c r="DX4" s="1760">
        <f>SUMIF($B:$B,DX$1,$F:$F)/COUNTIF($B:$B,DX$1)</f>
        <v>4.0314999999999994</v>
      </c>
      <c r="DY4" s="1761">
        <f>AVERAGE(DU4:DX4)</f>
        <v>3.9640673076923076</v>
      </c>
      <c r="DZ4" s="1760">
        <f>SUMIF($B:$B,DZ$1,$F:$F)/COUNTIF($B:$B,DZ$1)</f>
        <v>4.0215833333333331</v>
      </c>
      <c r="EA4" s="1760">
        <f>SUMIF($B:$B,EA$1,$F:$F)/COUNTIF($B:$B,EA$1)</f>
        <v>3.899692307692308</v>
      </c>
      <c r="EB4" s="1760">
        <f>SUMIF($B:$B,EB$1,$F:$F)/COUNTIF($B:$B,EB$1)</f>
        <v>3.9050714285714281</v>
      </c>
      <c r="EC4" s="1760">
        <f>SUMIF($B:$B,EC$1,$F:$F)/COUNTIF($B:$B,EC$1)</f>
        <v>3.8706923076923081</v>
      </c>
      <c r="ED4" s="1761">
        <f>AVERAGE(DZ4:EC4)</f>
        <v>3.9242598443223446</v>
      </c>
      <c r="EE4" s="1760">
        <f>SUMIF($B:$B,EE$1,$F:$F)/COUNTIF($B:$B,EE$1)</f>
        <v>3.9567692307692308</v>
      </c>
      <c r="EF4" s="1760">
        <f>SUMIF($B:$B,EF$1,$F:$F)/COUNTIF($B:$B,EF$1)</f>
        <v>3.9395384615384614</v>
      </c>
      <c r="EG4" s="1760">
        <f>SUMIF($B:$B,EG$1,$F:$F)/COUNTIF($B:$B,EG$1)</f>
        <v>3.8471538461538466</v>
      </c>
      <c r="EH4" s="1760">
        <f>SUMIF($B:$B,EH$1,$F:$F)/COUNTIF($B:$B,EH$1)</f>
        <v>3.6081538461538463</v>
      </c>
      <c r="EI4" s="1761">
        <f>AVERAGE(EE4:EH4)</f>
        <v>3.8379038461538464</v>
      </c>
      <c r="EJ4" s="1760">
        <f>SUMIF($B:$B,EJ$1,$F:$F)/COUNTIF($B:$B,EJ$1)</f>
        <v>2.9456923076923074</v>
      </c>
      <c r="EK4" s="1760">
        <f>SUMIF($B:$B,EK$1,$F:$F)/COUNTIF($B:$B,EK$1)</f>
        <v>2.8480769230769232</v>
      </c>
      <c r="EL4" s="1760">
        <f>SUMIF($B:$B,EL$1,$F:$F)/COUNTIF($B:$B,EL$1)</f>
        <v>2.6548461538461536</v>
      </c>
      <c r="EM4" s="1760">
        <f>SUMIF($B:$B,EM$1,$F:$F)/COUNTIF($B:$B,EM$1)</f>
        <v>2.4529999999999998</v>
      </c>
      <c r="EN4" s="1761">
        <f>AVERAGE(EJ4:EM4)</f>
        <v>2.7254038461538457</v>
      </c>
      <c r="EO4" s="1760">
        <f>SUMIF($B:$B,EO$1,$F:$F)/COUNTIF($B:$B,EO$1)</f>
        <v>2.0798461538461543</v>
      </c>
      <c r="EP4" s="1760">
        <f>SUMIF($B:$B,EP$1,$F:$F)/COUNTIF($B:$B,EP$1)</f>
        <v>2.2741538461538462</v>
      </c>
      <c r="EQ4" s="1760">
        <f>SUMIF($B:$B,EQ$1,$F:$F)/COUNTIF($B:$B,EQ$1)</f>
        <v>2.3839999999999999</v>
      </c>
      <c r="ER4" s="1760">
        <f>SUMIF($B:$B,ER$1,$F:$F)/COUNTIF($B:$B,ER$1)</f>
        <v>2.4544615384615387</v>
      </c>
      <c r="ES4" s="1761">
        <f>AVERAGE(EO4:ER4)</f>
        <v>2.298115384615385</v>
      </c>
      <c r="ET4" s="1760">
        <f>SUMIF($B:$B,ET$1,$F:$F)/COUNTIF($B:$B,ET$1)</f>
        <v>2.5686923076923076</v>
      </c>
      <c r="EU4" s="1760">
        <f>SUMIF($B:$B,EU$1,$F:$F)/COUNTIF($B:$B,EU$1)</f>
        <v>2.5570000000000004</v>
      </c>
      <c r="EV4" s="1760">
        <f>SUMIF($B:$B,EV$1,$F:$F)/COUNTIF($B:$B,EV$1)</f>
        <v>2.5906153846153845</v>
      </c>
      <c r="EW4" s="1760">
        <f>SUMIF($B:$B,EW$1,$F:$F)/COUNTIF($B:$B,EW$1)</f>
        <v>2.8559230769230766</v>
      </c>
      <c r="EX4" s="1761">
        <f>AVERAGE(ET4:EW4)</f>
        <v>2.6430576923076923</v>
      </c>
      <c r="EY4" s="1760">
        <f>SUMIF($B:$B,EY$1,$F:$F)/COUNTIF($B:$B,EY$1)</f>
        <v>3.0090769230769232</v>
      </c>
      <c r="EZ4" s="1760">
        <f>SUMIF($B:$B,EZ$1,$F:$F)/COUNTIF($B:$B,EZ$1)</f>
        <v>3.0099999999999989</v>
      </c>
      <c r="FA4" s="1760">
        <f>SUMIF($B:$B,FA$1,$F:$F)/COUNTIF($B:$B,FA$1)</f>
        <v>3.0099999999999989</v>
      </c>
      <c r="FB4" s="1760">
        <f>SUMIF($B:$B,FB$1,$F:$F)/COUNTIF($B:$B,FB$1)</f>
        <v>3.0099999999999989</v>
      </c>
      <c r="FC4" s="1761">
        <f>AVERAGE(EY4:FB4)</f>
        <v>3.0097692307692299</v>
      </c>
      <c r="FD4" s="1760">
        <f>SUMIF($B:$B,FD$1,$F:$F)/COUNTIF($B:$B,FD$1)</f>
        <v>3.0099999999999993</v>
      </c>
      <c r="FE4" s="1760">
        <f>SUMIF($B:$B,FE$1,$F:$F)/COUNTIF($B:$B,FE$1)</f>
        <v>3.0099999999999989</v>
      </c>
      <c r="FF4" s="1760">
        <f>SUMIF($B:$B,FF$1,$F:$F)/COUNTIF($B:$B,FF$1)</f>
        <v>3.0099999999999989</v>
      </c>
      <c r="FG4" s="1760">
        <f>SUMIF($B:$B,FG$1,$F:$F)/COUNTIF($B:$B,FG$1)</f>
        <v>3.0099999999999989</v>
      </c>
      <c r="FH4" s="1761">
        <f>AVERAGE(FD4:FG4)</f>
        <v>3.0099999999999989</v>
      </c>
      <c r="FI4" s="1760">
        <f>SUMIF($B:$B,FI$1,$F:$F)/COUNTIF($B:$B,FI$1)</f>
        <v>3.0099999999999989</v>
      </c>
      <c r="FJ4" s="1760">
        <f>SUMIF($B:$B,FJ$1,$F:$F)/COUNTIF($B:$B,FJ$1)</f>
        <v>3.0099999999999989</v>
      </c>
      <c r="FK4" s="1760">
        <f>SUMIF($B:$B,FK$1,$F:$F)/COUNTIF($B:$B,FK$1)</f>
        <v>3.0099999999999989</v>
      </c>
      <c r="FL4" s="1760">
        <f>SUMIF($B:$B,FL$1,$F:$F)/COUNTIF($B:$B,FL$1)</f>
        <v>3.0099999999999989</v>
      </c>
      <c r="FM4" s="1761">
        <f>AVERAGE(FI4:FL4)</f>
        <v>3.0099999999999989</v>
      </c>
    </row>
    <row r="5" spans="1:169">
      <c r="A5" s="1749">
        <f t="shared" si="0"/>
        <v>36526</v>
      </c>
      <c r="B5" s="1749" t="str">
        <f t="shared" si="1"/>
        <v>1Q00</v>
      </c>
      <c r="C5" s="1749" t="str">
        <f t="shared" si="2"/>
        <v>1Q00</v>
      </c>
      <c r="D5" s="1750">
        <f t="shared" ref="D5:E20" si="8">D4+7</f>
        <v>36535</v>
      </c>
      <c r="E5" s="1750">
        <f t="shared" si="8"/>
        <v>36528</v>
      </c>
      <c r="F5" s="1735">
        <v>1.3090000000000002</v>
      </c>
      <c r="G5" s="1752"/>
      <c r="H5" s="1762">
        <f t="shared" si="3"/>
        <v>0.30399999999999994</v>
      </c>
      <c r="I5" s="1763">
        <f t="shared" si="4"/>
        <v>0.30399999999999994</v>
      </c>
      <c r="J5" s="1755">
        <f t="shared" si="5"/>
        <v>0.04</v>
      </c>
      <c r="K5" s="1763">
        <f t="shared" si="4"/>
        <v>0.04</v>
      </c>
      <c r="L5" s="1764">
        <f t="shared" ref="L5:L68" si="9">INDEX($T$4:$V$100,MATCH(F5,$T$4:$T$100,1),3)</f>
        <v>0.05</v>
      </c>
      <c r="M5" s="1765">
        <f t="shared" si="4"/>
        <v>0.05</v>
      </c>
      <c r="O5" s="1752">
        <f t="shared" si="6"/>
        <v>4.9999999999999239E-2</v>
      </c>
      <c r="P5" s="1752">
        <f t="shared" si="7"/>
        <v>9.9999999999999242E-2</v>
      </c>
      <c r="Q5" s="1758">
        <f>+Q6-0.5%</f>
        <v>0.17899999999999983</v>
      </c>
      <c r="R5" s="1758">
        <f>+R6-0.25%</f>
        <v>8.9499999999999913E-2</v>
      </c>
      <c r="T5" s="1752">
        <v>1.1000000000000001</v>
      </c>
      <c r="U5" s="1752">
        <f>U4+0.05</f>
        <v>1.1490000000000002</v>
      </c>
      <c r="V5" s="1759">
        <v>0.01</v>
      </c>
      <c r="W5" s="1734">
        <v>0</v>
      </c>
      <c r="X5" s="1737" t="s">
        <v>488</v>
      </c>
      <c r="Y5" s="1603"/>
      <c r="Z5" s="1603"/>
      <c r="AA5" s="1603"/>
      <c r="AB5" s="1603">
        <f t="shared" ref="AB5:AB15" si="10">AB4+1</f>
        <v>2</v>
      </c>
      <c r="AC5" s="1603">
        <v>1</v>
      </c>
      <c r="AD5" s="1603"/>
      <c r="AE5" s="1603"/>
      <c r="AF5" s="1603"/>
      <c r="AG5" s="1603"/>
      <c r="AH5" s="1603"/>
      <c r="AI5" s="1603"/>
      <c r="AJ5" s="1603"/>
      <c r="AK5" s="1603"/>
      <c r="AL5" s="1603"/>
      <c r="AM5" s="1603"/>
      <c r="AN5" s="1603"/>
      <c r="AO5" s="1603"/>
      <c r="AP5" s="1603"/>
      <c r="AQ5" s="1603"/>
      <c r="AR5" s="1603"/>
      <c r="AS5" s="1603"/>
      <c r="AT5" s="1603"/>
      <c r="AU5" s="1603"/>
      <c r="AV5" s="1603"/>
      <c r="AW5" s="1603"/>
      <c r="AX5" s="1603"/>
      <c r="AY5" s="1603"/>
      <c r="AZ5" s="1603"/>
      <c r="BA5" s="1603"/>
      <c r="BB5" s="1603"/>
      <c r="BC5" s="1603"/>
      <c r="BD5" s="1603"/>
      <c r="BE5" s="1603"/>
      <c r="BF5" s="1603"/>
      <c r="BG5" s="1603"/>
      <c r="BH5" s="1603"/>
      <c r="BI5" s="1603"/>
      <c r="BJ5" s="1603"/>
      <c r="BK5" s="1603"/>
      <c r="BL5" s="1603"/>
      <c r="BM5" s="1760">
        <f>SUMIF($C:$C,BM$1,$F:$F)/COUNTIF($C:$C,BM$1)</f>
        <v>1.4260769230769232</v>
      </c>
      <c r="BN5" s="1760">
        <f>SUMIF($C:$C,BN$1,$F:$F)/COUNTIF($C:$C,BN$1)</f>
        <v>1.4207692307692308</v>
      </c>
      <c r="BO5" s="1760">
        <f>SUMIF($C:$C,BO$1,$F:$F)/COUNTIF($C:$C,BO$1)</f>
        <v>1.5062307692307693</v>
      </c>
      <c r="BP5" s="1760">
        <f>SUMIF($C:$C,BP$1,$F:$F)/COUNTIF($C:$C,BP$1)</f>
        <v>1.6099999999999999</v>
      </c>
      <c r="BQ5" s="1761">
        <f>AVERAGE(BM5:BP5)</f>
        <v>1.4907692307692306</v>
      </c>
      <c r="BR5" s="1760">
        <f>SUMIF($C:$C,BR$1,$F:$F)/COUNTIF($C:$C,BR$1)</f>
        <v>1.4756923076923079</v>
      </c>
      <c r="BS5" s="1760">
        <f>SUMIF($C:$C,BS$1,$F:$F)/COUNTIF($C:$C,BS$1)</f>
        <v>1.463153846153846</v>
      </c>
      <c r="BT5" s="1760">
        <f>SUMIF($C:$C,BT$1,$F:$F)/COUNTIF($C:$C,BT$1)</f>
        <v>1.4163076923076923</v>
      </c>
      <c r="BU5" s="1760">
        <f>SUMIF($C:$C,BU$1,$F:$F)/COUNTIF($C:$C,BU$1)</f>
        <v>1.257857142857143</v>
      </c>
      <c r="BV5" s="1761">
        <f>AVERAGE(BR5:BU5)</f>
        <v>1.4032527472527474</v>
      </c>
      <c r="BW5" s="1760">
        <f>SUMIF($C:$C,BW$1,$F:$F)/COUNTIF($C:$C,BW$1)</f>
        <v>1.17825</v>
      </c>
      <c r="BX5" s="1760">
        <f>SUMIF($C:$C,BX$1,$F:$F)/COUNTIF($C:$C,BX$1)</f>
        <v>1.3005384615384616</v>
      </c>
      <c r="BY5" s="1760">
        <f>SUMIF($C:$C,BY$1,$F:$F)/COUNTIF($C:$C,BY$1)</f>
        <v>1.3471428571428574</v>
      </c>
      <c r="BZ5" s="1760">
        <f>SUMIF($C:$C,BZ$1,$F:$F)/COUNTIF($C:$C,BZ$1)</f>
        <v>1.4360769230769228</v>
      </c>
      <c r="CA5" s="1761">
        <f>AVERAGE(BW5:BZ5)</f>
        <v>1.3155020604395604</v>
      </c>
      <c r="CB5" s="1760">
        <f>SUMIF($C:$C,CB$1,$F:$F)/COUNTIF($C:$C,CB$1)</f>
        <v>1.6236923076923075</v>
      </c>
      <c r="CC5" s="1760">
        <f>SUMIF($C:$C,CC$1,$F:$F)/COUNTIF($C:$C,CC$1)</f>
        <v>1.4657692307692307</v>
      </c>
      <c r="CD5" s="1760">
        <f>SUMIF($C:$C,CD$1,$F:$F)/COUNTIF($C:$C,CD$1)</f>
        <v>1.4629999999999996</v>
      </c>
      <c r="CE5" s="1760">
        <f>SUMIF($C:$C,CE$1,$F:$F)/COUNTIF($C:$C,CE$1)</f>
        <v>1.4848461538461537</v>
      </c>
      <c r="CF5" s="1761">
        <f>AVERAGE(CB5:CE5)</f>
        <v>1.5093269230769228</v>
      </c>
      <c r="CG5" s="1760">
        <f>SUMIF($C:$C,CG$1,$F:$F)/COUNTIF($C:$C,CG$1)</f>
        <v>1.5906923076923076</v>
      </c>
      <c r="CH5" s="1760">
        <f>SUMIF($C:$C,CH$1,$F:$F)/COUNTIF($C:$C,CH$1)</f>
        <v>1.7189230769230766</v>
      </c>
      <c r="CI5" s="1760">
        <f>SUMIF($C:$C,CI$1,$F:$F)/COUNTIF($C:$C,CI$1)</f>
        <v>1.8296153846153844</v>
      </c>
      <c r="CJ5" s="1760">
        <f>SUMIF($C:$C,CJ$1,$F:$F)/COUNTIF($C:$C,CJ$1)</f>
        <v>2.1005384615384615</v>
      </c>
      <c r="CK5" s="1761">
        <f>AVERAGE(CG5:CJ5)</f>
        <v>1.8099423076923076</v>
      </c>
      <c r="CL5" s="1760">
        <f>SUMIF($C:$C,CL$1,$F:$F)/COUNTIF($C:$C,CL$1)</f>
        <v>2.058153846153846</v>
      </c>
      <c r="CM5" s="1760">
        <f>SUMIF($C:$C,CM$1,$F:$F)/COUNTIF($C:$C,CM$1)</f>
        <v>2.2553846153846155</v>
      </c>
      <c r="CN5" s="1760">
        <f>SUMIF($C:$C,CN$1,$F:$F)/COUNTIF($C:$C,CN$1)</f>
        <v>2.558846153846154</v>
      </c>
      <c r="CO5" s="1760">
        <f>SUMIF($C:$C,CO$1,$F:$F)/COUNTIF($C:$C,CO$1)</f>
        <v>2.7336923076923081</v>
      </c>
      <c r="CP5" s="1761">
        <f>AVERAGE(CL5:CO5)</f>
        <v>2.4015192307692312</v>
      </c>
      <c r="CQ5" s="1760">
        <f>SUMIF($C:$C,CQ$1,$F:$F)/COUNTIF($C:$C,CQ$1)</f>
        <v>2.497846153846154</v>
      </c>
      <c r="CR5" s="1760">
        <f>SUMIF($C:$C,CR$1,$F:$F)/COUNTIF($C:$C,CR$1)</f>
        <v>2.8449999999999998</v>
      </c>
      <c r="CS5" s="1760">
        <f>SUMIF($C:$C,CS$1,$F:$F)/COUNTIF($C:$C,CS$1)</f>
        <v>2.9215384615384616</v>
      </c>
      <c r="CT5" s="1760">
        <f>SUMIF($C:$C,CT$1,$F:$F)/COUNTIF($C:$C,CT$1)</f>
        <v>2.5550000000000002</v>
      </c>
      <c r="CU5" s="1761">
        <f>AVERAGE(CQ5:CT5)</f>
        <v>2.7048461538461535</v>
      </c>
      <c r="CV5" s="1760">
        <f>SUMIF($C:$C,CV$1,$F:$F)/COUNTIF($C:$C,CV$1)</f>
        <v>2.5418461538461536</v>
      </c>
      <c r="CW5" s="1760">
        <f>SUMIF($C:$C,CW$1,$F:$F)/COUNTIF($C:$C,CW$1)</f>
        <v>2.8142307692307691</v>
      </c>
      <c r="CX5" s="1760">
        <f>SUMIF($C:$C,CX$1,$F:$F)/COUNTIF($C:$C,CX$1)</f>
        <v>2.8946923076923077</v>
      </c>
      <c r="CY5" s="1760">
        <f>SUMIF($C:$C,CY$1,$F:$F)/COUNTIF($C:$C,CY$1)</f>
        <v>3.2612857142857137</v>
      </c>
      <c r="CZ5" s="1761">
        <f>AVERAGE(CV5:CY5)</f>
        <v>2.8780137362637364</v>
      </c>
      <c r="DA5" s="1760">
        <f>SUMIF($C:$C,DA$1,$F:$F)/COUNTIF($C:$C,DA$1)</f>
        <v>3.549461538461538</v>
      </c>
      <c r="DB5" s="1760">
        <f>SUMIF($C:$C,DB$1,$F:$F)/COUNTIF($C:$C,DB$1)</f>
        <v>4.4167692307692299</v>
      </c>
      <c r="DC5" s="1760">
        <f>SUMIF($C:$C,DC$1,$F:$F)/COUNTIF($C:$C,DC$1)</f>
        <v>4.3183846153846153</v>
      </c>
      <c r="DD5" s="1760">
        <f>SUMIF($C:$C,DD$1,$F:$F)/COUNTIF($C:$C,DD$1)</f>
        <v>2.9272307692307686</v>
      </c>
      <c r="DE5" s="1761">
        <f>AVERAGE(DA5:DD5)</f>
        <v>3.8029615384615374</v>
      </c>
      <c r="DF5" s="1760">
        <f>SUMIF($C:$C,DF$1,$F:$F)/COUNTIF($C:$C,DF$1)</f>
        <v>2.1853846153846153</v>
      </c>
      <c r="DG5" s="1760">
        <f>SUMIF($C:$C,DG$1,$F:$F)/COUNTIF($C:$C,DG$1)</f>
        <v>2.340846153846154</v>
      </c>
      <c r="DH5" s="1760">
        <f>SUMIF($C:$C,DH$1,$F:$F)/COUNTIF($C:$C,DH$1)</f>
        <v>2.6025384615384612</v>
      </c>
      <c r="DI5" s="1760">
        <f>SUMIF($C:$C,DI$1,$F:$F)/COUNTIF($C:$C,DI$1)</f>
        <v>2.7405384615384611</v>
      </c>
      <c r="DJ5" s="1761">
        <f>AVERAGE(DF5:DI5)</f>
        <v>2.4673269230769233</v>
      </c>
      <c r="DK5" s="1760">
        <f>SUMIF($C:$C,DK$1,$F:$F)/COUNTIF($C:$C,DK$1)</f>
        <v>2.8531538461538464</v>
      </c>
      <c r="DL5" s="1760">
        <f>SUMIF($C:$C,DL$1,$F:$F)/COUNTIF($C:$C,DL$1)</f>
        <v>3.0285384615384618</v>
      </c>
      <c r="DM5" s="1760">
        <f>SUMIF($C:$C,DM$1,$F:$F)/COUNTIF($C:$C,DM$1)</f>
        <v>2.940230769230769</v>
      </c>
      <c r="DN5" s="1760">
        <f>SUMIF($C:$C,DN$1,$F:$F)/COUNTIF($C:$C,DN$1)</f>
        <v>3.1443076923076916</v>
      </c>
      <c r="DO5" s="1761">
        <f>AVERAGE(DK5:DN5)</f>
        <v>2.9915576923076923</v>
      </c>
      <c r="DP5" s="1760">
        <f>SUMIF($C:$C,DP$1,$F:$F)/COUNTIF($C:$C,DP$1)</f>
        <v>3.6071538461538464</v>
      </c>
      <c r="DQ5" s="1760">
        <f>SUMIF($C:$C,DQ$1,$F:$F)/COUNTIF($C:$C,DQ$1)</f>
        <v>4.0171538461538461</v>
      </c>
      <c r="DR5" s="1760">
        <f>SUMIF($C:$C,DR$1,$F:$F)/COUNTIF($C:$C,DR$1)</f>
        <v>3.8668461538461538</v>
      </c>
      <c r="DS5" s="1760">
        <f>SUMIF($C:$C,DS$1,$F:$F)/COUNTIF($C:$C,DS$1)</f>
        <v>3.8676923076923071</v>
      </c>
      <c r="DT5" s="1761">
        <f>AVERAGE(DP5:DS5)</f>
        <v>3.8397115384615383</v>
      </c>
      <c r="DU5" s="1760">
        <f>SUMIF($C:$C,DU$1,$F:$F)/COUNTIF($C:$C,DU$1)</f>
        <v>3.9599230769230767</v>
      </c>
      <c r="DV5" s="1760">
        <f>SUMIF($C:$C,DV$1,$F:$F)/COUNTIF($C:$C,DV$1)</f>
        <v>3.9633076923076915</v>
      </c>
      <c r="DW5" s="1760">
        <f>SUMIF($C:$C,DW$1,$F:$F)/COUNTIF($C:$C,DW$1)</f>
        <v>3.9242307692307694</v>
      </c>
      <c r="DX5" s="1760">
        <f>SUMIF($C:$C,DX$1,$F:$F)/COUNTIF($C:$C,DX$1)</f>
        <v>4.0194999999999999</v>
      </c>
      <c r="DY5" s="1761">
        <f>AVERAGE(DU5:DX5)</f>
        <v>3.9667403846153846</v>
      </c>
      <c r="DZ5" s="1760">
        <f>SUMIF($C:$C,DZ$1,$F:$F)/COUNTIF($C:$C,DZ$1)</f>
        <v>4.0289166666666665</v>
      </c>
      <c r="EA5" s="1760">
        <f>SUMIF($C:$C,EA$1,$F:$F)/COUNTIF($C:$C,EA$1)</f>
        <v>3.8867692307692314</v>
      </c>
      <c r="EB5" s="1760">
        <f>SUMIF($C:$C,EB$1,$F:$F)/COUNTIF($C:$C,EB$1)</f>
        <v>3.9108571428571426</v>
      </c>
      <c r="EC5" s="1760">
        <f>SUMIF($C:$C,EC$1,$F:$F)/COUNTIF($C:$C,EC$1)</f>
        <v>3.8694615384615383</v>
      </c>
      <c r="ED5" s="1761">
        <f>AVERAGE(DZ5:EC5)</f>
        <v>3.9240011446886447</v>
      </c>
      <c r="EE5" s="1760">
        <f>SUMIF($C:$C,EE$1,$F:$F)/COUNTIF($C:$C,EE$1)</f>
        <v>3.9623076923076925</v>
      </c>
      <c r="EF5" s="1760">
        <f>SUMIF($C:$C,EF$1,$F:$F)/COUNTIF($C:$C,EF$1)</f>
        <v>3.9353076923076924</v>
      </c>
      <c r="EG5" s="1760">
        <f>SUMIF($C:$C,EG$1,$F:$F)/COUNTIF($C:$C,EG$1)</f>
        <v>3.834461538461539</v>
      </c>
      <c r="EH5" s="1760">
        <f>SUMIF($C:$C,EH$1,$F:$F)/COUNTIF($C:$C,EH$1)</f>
        <v>3.5664615384615379</v>
      </c>
      <c r="EI5" s="1761">
        <f>AVERAGE(EE5:EH5)</f>
        <v>3.8246346153846158</v>
      </c>
      <c r="EJ5" s="1760">
        <f>SUMIF($C:$C,EJ$1,$F:$F)/COUNTIF($C:$C,EJ$1)</f>
        <v>2.9157692307692296</v>
      </c>
      <c r="EK5" s="1760">
        <f>SUMIF($C:$C,EK$1,$F:$F)/COUNTIF($C:$C,EK$1)</f>
        <v>2.8495384615384611</v>
      </c>
      <c r="EL5" s="1760">
        <f>SUMIF($C:$C,EL$1,$F:$F)/COUNTIF($C:$C,EL$1)</f>
        <v>2.6266153846153846</v>
      </c>
      <c r="EM5" s="1760">
        <f>SUMIF($C:$C,EM$1,$F:$F)/COUNTIF($C:$C,EM$1)</f>
        <v>2.4346153846153844</v>
      </c>
      <c r="EN5" s="1761">
        <f>AVERAGE(EJ5:EM5)</f>
        <v>2.7066346153846146</v>
      </c>
      <c r="EO5" s="1760">
        <f>SUMIF($C:$C,EO$1,$F:$F)/COUNTIF($C:$C,EO$1)</f>
        <v>2.0709230769230769</v>
      </c>
      <c r="EP5" s="1760">
        <f>SUMIF($C:$C,EP$1,$F:$F)/COUNTIF($C:$C,EP$1)</f>
        <v>2.2976153846153853</v>
      </c>
      <c r="EQ5" s="1760">
        <f>SUMIF($C:$C,EQ$1,$F:$F)/COUNTIF($C:$C,EQ$1)</f>
        <v>2.3806153846153846</v>
      </c>
      <c r="ER5" s="1760">
        <f>SUMIF($C:$C,ER$1,$F:$F)/COUNTIF($C:$C,ER$1)</f>
        <v>2.4666153846153844</v>
      </c>
      <c r="ES5" s="1761">
        <f>AVERAGE(EO5:ER5)</f>
        <v>2.3039423076923078</v>
      </c>
      <c r="ET5" s="1760">
        <f>SUMIF($C:$C,ET$1,$F:$F)/COUNTIF($C:$C,ET$1)</f>
        <v>2.5680769230769234</v>
      </c>
      <c r="EU5" s="1760">
        <f>SUMIF($C:$C,EU$1,$F:$F)/COUNTIF($C:$C,EU$1)</f>
        <v>2.5518461538461543</v>
      </c>
      <c r="EV5" s="1760">
        <f>SUMIF($C:$C,EV$1,$F:$F)/COUNTIF($C:$C,EV$1)</f>
        <v>2.6154615384615383</v>
      </c>
      <c r="EW5" s="1760">
        <f>SUMIF($C:$C,EW$1,$F:$F)/COUNTIF($C:$C,EW$1)</f>
        <v>2.8647692307692307</v>
      </c>
      <c r="EX5" s="1761">
        <f>AVERAGE(ET5:EW5)</f>
        <v>2.6500384615384616</v>
      </c>
      <c r="EY5" s="1760">
        <f>SUMIF($C:$C,EY$1,$F:$F)/COUNTIF($C:$C,EY$1)</f>
        <v>3.0173076923076922</v>
      </c>
      <c r="EZ5" s="1760">
        <f>SUMIF($C:$C,EZ$1,$F:$F)/COUNTIF($C:$C,EZ$1)</f>
        <v>3.0099999999999989</v>
      </c>
      <c r="FA5" s="1760">
        <f>SUMIF($C:$C,FA$1,$F:$F)/COUNTIF($C:$C,FA$1)</f>
        <v>3.0099999999999989</v>
      </c>
      <c r="FB5" s="1760">
        <f>SUMIF($C:$C,FB$1,$F:$F)/COUNTIF($C:$C,FB$1)</f>
        <v>3.0099999999999989</v>
      </c>
      <c r="FC5" s="1761">
        <f>AVERAGE(EY5:FB5)</f>
        <v>3.0118269230769217</v>
      </c>
      <c r="FD5" s="1760">
        <f>SUMIF($C:$C,FD$1,$F:$F)/COUNTIF($C:$C,FD$1)</f>
        <v>3.0099999999999993</v>
      </c>
      <c r="FE5" s="1760">
        <f>SUMIF($C:$C,FE$1,$F:$F)/COUNTIF($C:$C,FE$1)</f>
        <v>3.0099999999999989</v>
      </c>
      <c r="FF5" s="1760">
        <f>SUMIF($C:$C,FF$1,$F:$F)/COUNTIF($C:$C,FF$1)</f>
        <v>3.0099999999999989</v>
      </c>
      <c r="FG5" s="1760">
        <f>SUMIF($C:$C,FG$1,$F:$F)/COUNTIF($C:$C,FG$1)</f>
        <v>3.0099999999999989</v>
      </c>
      <c r="FH5" s="1761">
        <f>AVERAGE(FD5:FG5)</f>
        <v>3.0099999999999989</v>
      </c>
      <c r="FI5" s="1760">
        <f>SUMIF($C:$C,FI$1,$F:$F)/COUNTIF($C:$C,FI$1)</f>
        <v>3.0099999999999989</v>
      </c>
      <c r="FJ5" s="1760">
        <f>SUMIF($C:$C,FJ$1,$F:$F)/COUNTIF($C:$C,FJ$1)</f>
        <v>3.0099999999999989</v>
      </c>
      <c r="FK5" s="1760">
        <f>SUMIF($C:$C,FK$1,$F:$F)/COUNTIF($C:$C,FK$1)</f>
        <v>3.0099999999999989</v>
      </c>
      <c r="FL5" s="1760">
        <f>SUMIF($C:$C,FL$1,$F:$F)/COUNTIF($C:$C,FL$1)</f>
        <v>3.0099999999999989</v>
      </c>
      <c r="FM5" s="1761">
        <f>AVERAGE(FI5:FL5)</f>
        <v>3.0099999999999989</v>
      </c>
    </row>
    <row r="6" spans="1:169">
      <c r="A6" s="1749">
        <f t="shared" si="0"/>
        <v>36526</v>
      </c>
      <c r="B6" s="1749" t="str">
        <f t="shared" si="1"/>
        <v>1Q00</v>
      </c>
      <c r="C6" s="1749" t="str">
        <f t="shared" si="2"/>
        <v>1Q00</v>
      </c>
      <c r="D6" s="1750">
        <f t="shared" si="8"/>
        <v>36542</v>
      </c>
      <c r="E6" s="1750">
        <f t="shared" si="8"/>
        <v>36535</v>
      </c>
      <c r="F6" s="1735">
        <v>1.3069999999999999</v>
      </c>
      <c r="G6" s="1752"/>
      <c r="H6" s="1762">
        <f t="shared" si="3"/>
        <v>0.30399999999999994</v>
      </c>
      <c r="I6" s="1763">
        <f t="shared" si="4"/>
        <v>0.30399999999999994</v>
      </c>
      <c r="J6" s="1755">
        <f t="shared" si="5"/>
        <v>0.04</v>
      </c>
      <c r="K6" s="1763">
        <f t="shared" si="4"/>
        <v>0.04</v>
      </c>
      <c r="L6" s="1764">
        <f t="shared" si="9"/>
        <v>0.05</v>
      </c>
      <c r="M6" s="1765">
        <f t="shared" si="4"/>
        <v>0.05</v>
      </c>
      <c r="O6" s="1752">
        <f t="shared" si="6"/>
        <v>9.9999999999999242E-2</v>
      </c>
      <c r="P6" s="1752">
        <f t="shared" si="7"/>
        <v>0.14999999999999925</v>
      </c>
      <c r="Q6" s="1758">
        <f t="shared" ref="Q6:Q42" si="11">+Q7-0.5%</f>
        <v>0.18399999999999983</v>
      </c>
      <c r="R6" s="1758">
        <f t="shared" ref="R6:R42" si="12">+R7-0.25%</f>
        <v>9.1999999999999915E-2</v>
      </c>
      <c r="T6" s="1752">
        <f>T5+0.05</f>
        <v>1.1500000000000001</v>
      </c>
      <c r="U6" s="1752">
        <f>U5+0.05</f>
        <v>1.1990000000000003</v>
      </c>
      <c r="V6" s="1759">
        <f>V5+0.01</f>
        <v>0.02</v>
      </c>
      <c r="X6" s="1603" t="s">
        <v>489</v>
      </c>
      <c r="Y6" s="1603"/>
      <c r="Z6" s="1603"/>
      <c r="AA6" s="1603"/>
      <c r="AB6" s="1603">
        <f t="shared" si="10"/>
        <v>3</v>
      </c>
      <c r="AC6" s="1603">
        <v>1</v>
      </c>
      <c r="AD6" s="1603"/>
      <c r="AE6" s="1603"/>
      <c r="AF6" s="1603"/>
      <c r="AG6" s="1603"/>
      <c r="AH6" s="1603"/>
      <c r="AI6" s="1603"/>
      <c r="AJ6" s="1603"/>
      <c r="AK6" s="1603"/>
      <c r="AL6" s="1603"/>
      <c r="AM6" s="1603"/>
      <c r="AN6" s="1603"/>
      <c r="AO6" s="1603"/>
      <c r="AP6" s="1603"/>
      <c r="AQ6" s="1603"/>
      <c r="AR6" s="1603"/>
      <c r="AS6" s="1603"/>
      <c r="AT6" s="1603"/>
      <c r="AU6" s="1603"/>
      <c r="AV6" s="1603"/>
      <c r="AW6" s="1603"/>
      <c r="AX6" s="1603"/>
      <c r="AY6" s="1603"/>
      <c r="AZ6" s="1603"/>
      <c r="BA6" s="1603"/>
      <c r="BB6" s="1603"/>
      <c r="BC6" s="1603"/>
      <c r="BD6" s="1603"/>
      <c r="BE6" s="1603"/>
      <c r="BF6" s="1603"/>
      <c r="BG6" s="1603"/>
      <c r="BH6" s="1603"/>
      <c r="BI6" s="1603"/>
      <c r="BJ6" s="1603"/>
      <c r="BK6" s="1603"/>
      <c r="BL6" s="1603"/>
      <c r="BM6" s="1760">
        <f t="shared" ref="BM6:DX6" si="13">BM4-BM5</f>
        <v>-1.1769230769230976E-2</v>
      </c>
      <c r="BN6" s="1760">
        <f t="shared" si="13"/>
        <v>1.461538461538181E-3</v>
      </c>
      <c r="BO6" s="1760">
        <f t="shared" si="13"/>
        <v>-1.7307692307692468E-2</v>
      </c>
      <c r="BP6" s="1760">
        <f t="shared" si="13"/>
        <v>1.0923076923077257E-2</v>
      </c>
      <c r="BQ6" s="1761">
        <f t="shared" si="13"/>
        <v>-4.1730769230767795E-3</v>
      </c>
      <c r="BR6" s="1760">
        <f t="shared" si="13"/>
        <v>1.04615384615383E-2</v>
      </c>
      <c r="BS6" s="1760">
        <f t="shared" si="13"/>
        <v>-5.23076923076915E-3</v>
      </c>
      <c r="BT6" s="1760">
        <f t="shared" si="13"/>
        <v>-1.9999999999997797E-3</v>
      </c>
      <c r="BU6" s="1760">
        <f t="shared" si="13"/>
        <v>2.1714285714285353E-2</v>
      </c>
      <c r="BV6" s="1761">
        <f t="shared" si="13"/>
        <v>6.2362637362634032E-3</v>
      </c>
      <c r="BW6" s="1760">
        <f t="shared" si="13"/>
        <v>-9.3333333333334156E-3</v>
      </c>
      <c r="BX6" s="1760">
        <f t="shared" si="13"/>
        <v>0</v>
      </c>
      <c r="BY6" s="1760">
        <f t="shared" si="13"/>
        <v>-1.1214285714285843E-2</v>
      </c>
      <c r="BZ6" s="1760">
        <f t="shared" si="13"/>
        <v>-4.076923076922867E-3</v>
      </c>
      <c r="CA6" s="1761">
        <f t="shared" si="13"/>
        <v>-6.156135531135476E-3</v>
      </c>
      <c r="CB6" s="1760">
        <f t="shared" si="13"/>
        <v>-8.5384615384613838E-3</v>
      </c>
      <c r="CC6" s="1760">
        <f t="shared" si="13"/>
        <v>1.3999999999999568E-2</v>
      </c>
      <c r="CD6" s="1760">
        <f t="shared" si="13"/>
        <v>-6.9230769230710365E-4</v>
      </c>
      <c r="CE6" s="1760">
        <f t="shared" si="13"/>
        <v>-5.6153846153841336E-3</v>
      </c>
      <c r="CF6" s="1761">
        <f t="shared" si="13"/>
        <v>-2.115384615384297E-4</v>
      </c>
      <c r="CG6" s="1760">
        <f t="shared" si="13"/>
        <v>-1.0769230769230642E-2</v>
      </c>
      <c r="CH6" s="1760">
        <f t="shared" si="13"/>
        <v>-4.4615384615380727E-3</v>
      </c>
      <c r="CI6" s="1760">
        <f t="shared" si="13"/>
        <v>-2.4000000000000243E-2</v>
      </c>
      <c r="CJ6" s="1760">
        <f t="shared" si="13"/>
        <v>1.9230769230764722E-3</v>
      </c>
      <c r="CK6" s="1761">
        <f t="shared" si="13"/>
        <v>-9.326923076923066E-3</v>
      </c>
      <c r="CL6" s="1760">
        <f t="shared" si="13"/>
        <v>-2.0153846153846189E-2</v>
      </c>
      <c r="CM6" s="1760">
        <f t="shared" si="13"/>
        <v>-6.6923076923082192E-3</v>
      </c>
      <c r="CN6" s="1760">
        <f t="shared" si="13"/>
        <v>-3.5538461538461519E-2</v>
      </c>
      <c r="CO6" s="1760">
        <f t="shared" si="13"/>
        <v>2.6923076923076827E-2</v>
      </c>
      <c r="CP6" s="1761">
        <f t="shared" si="13"/>
        <v>-8.8653846153849969E-3</v>
      </c>
      <c r="CQ6" s="1760">
        <f t="shared" si="13"/>
        <v>-9.0000000000003411E-3</v>
      </c>
      <c r="CR6" s="1760">
        <f t="shared" si="13"/>
        <v>-2.3230769230769166E-2</v>
      </c>
      <c r="CS6" s="1760">
        <f t="shared" si="13"/>
        <v>2.0923076923077044E-2</v>
      </c>
      <c r="CT6" s="1760">
        <f t="shared" si="13"/>
        <v>-7.6923076923307576E-5</v>
      </c>
      <c r="CU6" s="1761">
        <f t="shared" si="13"/>
        <v>-2.8461538461534985E-3</v>
      </c>
      <c r="CV6" s="1760">
        <f t="shared" si="13"/>
        <v>-6.1538461538459543E-3</v>
      </c>
      <c r="CW6" s="1760">
        <f t="shared" si="13"/>
        <v>-1.2230769230769045E-2</v>
      </c>
      <c r="CX6" s="1760">
        <f t="shared" si="13"/>
        <v>-1.5153846153846295E-2</v>
      </c>
      <c r="CY6" s="1760">
        <f t="shared" si="13"/>
        <v>-2.235714285714252E-2</v>
      </c>
      <c r="CZ6" s="1761">
        <f t="shared" si="13"/>
        <v>-1.3973901098901287E-2</v>
      </c>
      <c r="DA6" s="1760">
        <f t="shared" si="13"/>
        <v>-4.7615384615383505E-2</v>
      </c>
      <c r="DB6" s="1760">
        <f t="shared" si="13"/>
        <v>-5.2384615384613475E-2</v>
      </c>
      <c r="DC6" s="1760">
        <f t="shared" si="13"/>
        <v>5.2769230769230902E-2</v>
      </c>
      <c r="DD6" s="1760">
        <f t="shared" si="13"/>
        <v>0.12553846153846226</v>
      </c>
      <c r="DE6" s="1761">
        <f t="shared" si="13"/>
        <v>1.9576923076924491E-2</v>
      </c>
      <c r="DF6" s="1760">
        <f t="shared" si="13"/>
        <v>8.1538461538461782E-3</v>
      </c>
      <c r="DG6" s="1760">
        <f t="shared" si="13"/>
        <v>-2.976923076923077E-2</v>
      </c>
      <c r="DH6" s="1760">
        <f t="shared" si="13"/>
        <v>5.3846153846226485E-4</v>
      </c>
      <c r="DI6" s="1760">
        <f t="shared" si="13"/>
        <v>-1.0076923076923094E-2</v>
      </c>
      <c r="DJ6" s="1761">
        <f t="shared" si="13"/>
        <v>-7.7884615384617994E-3</v>
      </c>
      <c r="DK6" s="1760">
        <f t="shared" si="13"/>
        <v>-1.5923076923077151E-2</v>
      </c>
      <c r="DL6" s="1760">
        <f t="shared" si="13"/>
        <v>-1.3076923076931202E-3</v>
      </c>
      <c r="DM6" s="1760">
        <f t="shared" si="13"/>
        <v>3.8461538461520561E-4</v>
      </c>
      <c r="DN6" s="1760">
        <f t="shared" si="13"/>
        <v>-2.6384615384614563E-2</v>
      </c>
      <c r="DO6" s="1761">
        <f t="shared" si="13"/>
        <v>-1.080769230769274E-2</v>
      </c>
      <c r="DP6" s="1760">
        <f t="shared" si="13"/>
        <v>-4.9076923076922352E-2</v>
      </c>
      <c r="DQ6" s="1760">
        <f t="shared" si="13"/>
        <v>3.3846153846148752E-3</v>
      </c>
      <c r="DR6" s="1760">
        <f t="shared" si="13"/>
        <v>7.846153846153836E-3</v>
      </c>
      <c r="DS6" s="1760">
        <f t="shared" si="13"/>
        <v>-3.8461538461476152E-4</v>
      </c>
      <c r="DT6" s="1761">
        <f t="shared" si="13"/>
        <v>-9.5576923076921005E-3</v>
      </c>
      <c r="DU6" s="1760">
        <f t="shared" si="13"/>
        <v>-2.7384615384614897E-2</v>
      </c>
      <c r="DV6" s="1760">
        <f t="shared" si="13"/>
        <v>3.6076923076923784E-2</v>
      </c>
      <c r="DW6" s="1760">
        <f t="shared" si="13"/>
        <v>-3.1384615384615788E-2</v>
      </c>
      <c r="DX6" s="1760">
        <f t="shared" si="13"/>
        <v>1.1999999999999567E-2</v>
      </c>
      <c r="DY6" s="1761">
        <f t="shared" ref="DY6:EN6" si="14">DY4-DY5</f>
        <v>-2.6730769230769447E-3</v>
      </c>
      <c r="DZ6" s="1760">
        <f t="shared" si="14"/>
        <v>-7.3333333333334139E-3</v>
      </c>
      <c r="EA6" s="1760">
        <f t="shared" si="14"/>
        <v>1.2923076923076593E-2</v>
      </c>
      <c r="EB6" s="1760">
        <f t="shared" si="14"/>
        <v>-5.785714285714505E-3</v>
      </c>
      <c r="EC6" s="1760">
        <f t="shared" si="14"/>
        <v>1.2307692307698126E-3</v>
      </c>
      <c r="ED6" s="1761">
        <f t="shared" si="14"/>
        <v>2.5869963369995475E-4</v>
      </c>
      <c r="EE6" s="1760">
        <f t="shared" si="14"/>
        <v>-5.5384615384617142E-3</v>
      </c>
      <c r="EF6" s="1760">
        <f t="shared" si="14"/>
        <v>4.2307692307690381E-3</v>
      </c>
      <c r="EG6" s="1760">
        <f t="shared" si="14"/>
        <v>1.2692307692307558E-2</v>
      </c>
      <c r="EH6" s="1760">
        <f t="shared" si="14"/>
        <v>4.1692307692308361E-2</v>
      </c>
      <c r="EI6" s="1761">
        <f t="shared" si="14"/>
        <v>1.3269230769230589E-2</v>
      </c>
      <c r="EJ6" s="1760">
        <f t="shared" si="14"/>
        <v>2.9923076923077829E-2</v>
      </c>
      <c r="EK6" s="1760">
        <f t="shared" si="14"/>
        <v>-1.461538461537959E-3</v>
      </c>
      <c r="EL6" s="1760">
        <f t="shared" si="14"/>
        <v>2.8230769230769059E-2</v>
      </c>
      <c r="EM6" s="1760">
        <f t="shared" si="14"/>
        <v>1.8384615384615444E-2</v>
      </c>
      <c r="EN6" s="1761">
        <f t="shared" si="14"/>
        <v>1.8769230769231093E-2</v>
      </c>
      <c r="EO6" s="1760">
        <f t="shared" ref="EO6:FC6" si="15">EO4-EO5</f>
        <v>8.9230769230774776E-3</v>
      </c>
      <c r="EP6" s="1760">
        <f t="shared" si="15"/>
        <v>-2.3461538461539089E-2</v>
      </c>
      <c r="EQ6" s="1760">
        <f t="shared" si="15"/>
        <v>3.3846153846153193E-3</v>
      </c>
      <c r="ER6" s="1760">
        <f t="shared" si="15"/>
        <v>-1.2153846153845738E-2</v>
      </c>
      <c r="ES6" s="1761">
        <f t="shared" si="15"/>
        <v>-5.8269230769227853E-3</v>
      </c>
      <c r="ET6" s="1760">
        <f t="shared" si="15"/>
        <v>6.1538461538424016E-4</v>
      </c>
      <c r="EU6" s="1760">
        <f t="shared" si="15"/>
        <v>5.1538461538460645E-3</v>
      </c>
      <c r="EV6" s="1760">
        <f t="shared" si="15"/>
        <v>-2.484615384615374E-2</v>
      </c>
      <c r="EW6" s="1760">
        <f t="shared" si="15"/>
        <v>-8.84615384615417E-3</v>
      </c>
      <c r="EX6" s="1761">
        <f t="shared" si="15"/>
        <v>-6.9807692307692903E-3</v>
      </c>
      <c r="EY6" s="1760">
        <f t="shared" si="15"/>
        <v>-8.2307692307690417E-3</v>
      </c>
      <c r="EZ6" s="1760">
        <f t="shared" si="15"/>
        <v>0</v>
      </c>
      <c r="FA6" s="1760">
        <f t="shared" si="15"/>
        <v>0</v>
      </c>
      <c r="FB6" s="1760">
        <f t="shared" si="15"/>
        <v>0</v>
      </c>
      <c r="FC6" s="1761">
        <f t="shared" si="15"/>
        <v>-2.0576923076918163E-3</v>
      </c>
      <c r="FD6" s="1760">
        <f t="shared" ref="FD6:FH6" si="16">FD4-FD5</f>
        <v>0</v>
      </c>
      <c r="FE6" s="1760">
        <f t="shared" si="16"/>
        <v>0</v>
      </c>
      <c r="FF6" s="1760">
        <f t="shared" si="16"/>
        <v>0</v>
      </c>
      <c r="FG6" s="1760">
        <f t="shared" si="16"/>
        <v>0</v>
      </c>
      <c r="FH6" s="1761">
        <f t="shared" si="16"/>
        <v>0</v>
      </c>
      <c r="FI6" s="1760">
        <f t="shared" ref="FI6:FM6" si="17">FI4-FI5</f>
        <v>0</v>
      </c>
      <c r="FJ6" s="1760">
        <f t="shared" si="17"/>
        <v>0</v>
      </c>
      <c r="FK6" s="1760">
        <f t="shared" si="17"/>
        <v>0</v>
      </c>
      <c r="FL6" s="1760">
        <f t="shared" si="17"/>
        <v>0</v>
      </c>
      <c r="FM6" s="1761">
        <f t="shared" si="17"/>
        <v>0</v>
      </c>
    </row>
    <row r="7" spans="1:169" outlineLevel="1">
      <c r="A7" s="1749">
        <f t="shared" si="0"/>
        <v>36526</v>
      </c>
      <c r="B7" s="1749" t="str">
        <f t="shared" si="1"/>
        <v>1Q00</v>
      </c>
      <c r="C7" s="1749" t="str">
        <f t="shared" si="2"/>
        <v>1Q00</v>
      </c>
      <c r="D7" s="1750">
        <f t="shared" si="8"/>
        <v>36549</v>
      </c>
      <c r="E7" s="1750">
        <f t="shared" si="8"/>
        <v>36542</v>
      </c>
      <c r="F7" s="1735">
        <v>1.3069999999999999</v>
      </c>
      <c r="G7" s="1752"/>
      <c r="H7" s="1762">
        <f t="shared" si="3"/>
        <v>0.30399999999999994</v>
      </c>
      <c r="I7" s="1763">
        <f t="shared" si="4"/>
        <v>0.31399999999999995</v>
      </c>
      <c r="J7" s="1755">
        <f t="shared" si="5"/>
        <v>0.04</v>
      </c>
      <c r="K7" s="1763">
        <f t="shared" si="4"/>
        <v>0.04</v>
      </c>
      <c r="L7" s="1764">
        <f t="shared" si="9"/>
        <v>0.05</v>
      </c>
      <c r="M7" s="1765">
        <f t="shared" si="4"/>
        <v>7.0000000000000007E-2</v>
      </c>
      <c r="O7" s="1752">
        <f t="shared" si="6"/>
        <v>0.14999999999999925</v>
      </c>
      <c r="P7" s="1752">
        <f t="shared" si="7"/>
        <v>0.19999999999999923</v>
      </c>
      <c r="Q7" s="1758">
        <f t="shared" si="11"/>
        <v>0.18899999999999983</v>
      </c>
      <c r="R7" s="1758">
        <f t="shared" si="12"/>
        <v>9.4499999999999917E-2</v>
      </c>
      <c r="T7" s="1752">
        <f t="shared" ref="T7:U22" si="18">T6+0.05</f>
        <v>1.2000000000000002</v>
      </c>
      <c r="U7" s="1752">
        <f t="shared" si="18"/>
        <v>1.2490000000000003</v>
      </c>
      <c r="V7" s="1759">
        <f t="shared" ref="V7:V70" si="19">V6+0.01</f>
        <v>0.03</v>
      </c>
      <c r="X7" s="1603"/>
      <c r="Y7" s="1603"/>
      <c r="Z7" s="1603"/>
      <c r="AA7" s="1603"/>
      <c r="AB7" s="1603">
        <f t="shared" si="10"/>
        <v>4</v>
      </c>
      <c r="AC7" s="1603">
        <v>2</v>
      </c>
      <c r="AD7" s="1603"/>
      <c r="AE7" s="1603"/>
      <c r="AF7" s="1603"/>
      <c r="AG7" s="1603"/>
      <c r="AH7" s="1603"/>
      <c r="AI7" s="1603"/>
      <c r="AJ7" s="1603"/>
      <c r="AK7" s="1603"/>
      <c r="AL7" s="1603"/>
      <c r="AM7" s="1603"/>
      <c r="AN7" s="1603"/>
      <c r="AO7" s="1603"/>
      <c r="AP7" s="1603"/>
      <c r="AQ7" s="1603"/>
      <c r="AR7" s="1603"/>
      <c r="AS7" s="1603"/>
      <c r="AT7" s="1603"/>
      <c r="AU7" s="1603"/>
      <c r="AV7" s="1603"/>
      <c r="AW7" s="1603"/>
      <c r="AX7" s="1603"/>
      <c r="AY7" s="1603"/>
      <c r="AZ7" s="1603"/>
      <c r="BA7" s="1603"/>
      <c r="BB7" s="1603"/>
      <c r="BC7" s="1603"/>
      <c r="BD7" s="1603"/>
      <c r="BE7" s="1603"/>
      <c r="BF7" s="1603"/>
      <c r="BG7" s="1603"/>
      <c r="BH7" s="1603"/>
      <c r="BI7" s="1603"/>
      <c r="BJ7" s="1603"/>
      <c r="BK7" s="1603"/>
      <c r="BL7" s="1603"/>
      <c r="BM7" s="1603"/>
      <c r="BN7" s="1603"/>
      <c r="BO7" s="1603"/>
      <c r="BP7" s="1603"/>
      <c r="BQ7" s="1603"/>
      <c r="BR7" s="1603"/>
      <c r="BS7" s="1603"/>
      <c r="BT7" s="1603"/>
      <c r="BU7" s="1603"/>
      <c r="BV7" s="1603"/>
      <c r="BW7" s="1603"/>
      <c r="BX7" s="1603"/>
      <c r="BY7" s="1603"/>
      <c r="BZ7" s="1603"/>
      <c r="CA7" s="1603"/>
      <c r="CB7" s="1603"/>
      <c r="CC7" s="1603"/>
      <c r="CD7" s="1603"/>
      <c r="CE7" s="1603"/>
      <c r="CF7" s="1603"/>
      <c r="CG7" s="1603"/>
      <c r="CH7" s="1603"/>
      <c r="CI7" s="1603"/>
      <c r="CJ7" s="1603"/>
      <c r="CK7" s="1603"/>
      <c r="CL7" s="1603"/>
      <c r="CM7" s="1603"/>
      <c r="CN7" s="1603"/>
      <c r="CO7" s="1603"/>
      <c r="CP7" s="1603"/>
      <c r="CQ7" s="1603"/>
      <c r="CR7" s="1603"/>
      <c r="CS7" s="1603"/>
      <c r="CT7" s="1603"/>
      <c r="CU7" s="1603"/>
      <c r="CV7" s="1603"/>
      <c r="CW7" s="1603"/>
      <c r="CX7" s="1603"/>
      <c r="CY7" s="1603"/>
      <c r="CZ7" s="1603"/>
      <c r="DA7" s="1603"/>
      <c r="DB7" s="1603"/>
      <c r="DC7" s="1603"/>
      <c r="DD7" s="1603"/>
      <c r="DE7" s="1603"/>
      <c r="DF7" s="1603"/>
      <c r="DG7" s="1603"/>
      <c r="DH7" s="1603"/>
      <c r="DI7" s="1603"/>
      <c r="DJ7" s="1603"/>
      <c r="DK7" s="1603"/>
      <c r="DL7" s="1603"/>
      <c r="DM7" s="1603"/>
      <c r="DN7" s="1603"/>
      <c r="DO7" s="1603"/>
      <c r="DP7" s="1603"/>
      <c r="DQ7" s="1603"/>
      <c r="DR7" s="1603"/>
      <c r="DS7" s="1603"/>
      <c r="DT7" s="1603"/>
      <c r="DU7" s="1603"/>
      <c r="DV7" s="1603"/>
      <c r="DW7" s="1603"/>
      <c r="DX7" s="1603"/>
      <c r="DY7" s="1603"/>
      <c r="DZ7" s="1603"/>
      <c r="EA7" s="1603"/>
      <c r="EB7" s="1603"/>
      <c r="EC7" s="1603"/>
      <c r="ED7" s="1603"/>
      <c r="EE7" s="1603"/>
      <c r="EF7" s="1603"/>
      <c r="EG7" s="1603"/>
      <c r="EH7" s="1603"/>
      <c r="EI7" s="1603"/>
      <c r="EJ7" s="1603"/>
      <c r="EK7" s="1603"/>
      <c r="EL7" s="1603"/>
      <c r="EM7" s="1603"/>
      <c r="EN7" s="1603"/>
      <c r="EO7" s="1603"/>
      <c r="EP7" s="1603"/>
      <c r="EQ7" s="1603"/>
      <c r="ER7" s="1603"/>
      <c r="ES7" s="1603"/>
      <c r="ET7" s="1603"/>
      <c r="EU7" s="1603"/>
      <c r="EV7" s="1603"/>
      <c r="EW7" s="1603"/>
      <c r="EX7" s="1603"/>
      <c r="EY7" s="1603"/>
      <c r="EZ7" s="1603"/>
      <c r="FA7" s="1603"/>
      <c r="FB7" s="1603"/>
      <c r="FC7" s="1603"/>
      <c r="FD7" s="1603"/>
      <c r="FE7" s="1603"/>
      <c r="FF7" s="1603"/>
      <c r="FG7" s="1603"/>
      <c r="FH7" s="1603"/>
      <c r="FI7" s="1603"/>
      <c r="FJ7" s="1603"/>
      <c r="FK7" s="1603"/>
      <c r="FL7" s="1603"/>
      <c r="FM7" s="1603"/>
    </row>
    <row r="8" spans="1:169" outlineLevel="1">
      <c r="A8" s="1749">
        <f t="shared" si="0"/>
        <v>36526</v>
      </c>
      <c r="B8" s="1749" t="str">
        <f t="shared" si="1"/>
        <v>1Q00</v>
      </c>
      <c r="C8" s="1749" t="str">
        <f t="shared" si="2"/>
        <v>1Q00</v>
      </c>
      <c r="D8" s="1750">
        <f t="shared" si="8"/>
        <v>36556</v>
      </c>
      <c r="E8" s="1750">
        <f t="shared" si="8"/>
        <v>36549</v>
      </c>
      <c r="F8" s="1735">
        <v>1.4180000000000001</v>
      </c>
      <c r="G8" s="1752"/>
      <c r="H8" s="1762">
        <f t="shared" si="3"/>
        <v>0.31399999999999995</v>
      </c>
      <c r="I8" s="1763">
        <f t="shared" si="4"/>
        <v>0.31399999999999995</v>
      </c>
      <c r="J8" s="1755">
        <f t="shared" si="5"/>
        <v>0.04</v>
      </c>
      <c r="K8" s="1763">
        <f t="shared" si="4"/>
        <v>0.04</v>
      </c>
      <c r="L8" s="1764">
        <f t="shared" si="9"/>
        <v>7.0000000000000007E-2</v>
      </c>
      <c r="M8" s="1765">
        <f t="shared" si="4"/>
        <v>7.0000000000000007E-2</v>
      </c>
      <c r="O8" s="1752">
        <f t="shared" si="6"/>
        <v>0.19999999999999923</v>
      </c>
      <c r="P8" s="1752">
        <f t="shared" si="7"/>
        <v>0.24999999999999922</v>
      </c>
      <c r="Q8" s="1758">
        <f t="shared" si="11"/>
        <v>0.19399999999999984</v>
      </c>
      <c r="R8" s="1758">
        <f t="shared" si="12"/>
        <v>9.699999999999992E-2</v>
      </c>
      <c r="T8" s="1752">
        <f t="shared" si="18"/>
        <v>1.2500000000000002</v>
      </c>
      <c r="U8" s="1752">
        <f t="shared" si="18"/>
        <v>1.2990000000000004</v>
      </c>
      <c r="V8" s="1759">
        <f t="shared" si="19"/>
        <v>0.04</v>
      </c>
      <c r="X8" s="1737"/>
      <c r="Y8" s="1603"/>
      <c r="Z8" s="1603"/>
      <c r="AA8" s="1603"/>
      <c r="AB8" s="1603">
        <f t="shared" si="10"/>
        <v>5</v>
      </c>
      <c r="AC8" s="1603">
        <v>2</v>
      </c>
      <c r="AD8" s="1603"/>
      <c r="AE8" s="1603"/>
      <c r="AF8" s="1603"/>
      <c r="AG8" s="1603"/>
      <c r="AH8" s="1603"/>
      <c r="AI8" s="1603"/>
      <c r="AJ8" s="1603"/>
      <c r="AK8" s="1603"/>
      <c r="AL8" s="1603"/>
      <c r="AM8" s="1603"/>
      <c r="AN8" s="1603"/>
      <c r="AO8" s="1603"/>
      <c r="AP8" s="1603"/>
      <c r="AQ8" s="1603"/>
      <c r="AR8" s="1603"/>
      <c r="AS8" s="1603"/>
      <c r="AT8" s="1603"/>
      <c r="AU8" s="1603"/>
      <c r="AV8" s="1603"/>
      <c r="AW8" s="1603"/>
      <c r="AX8" s="1603"/>
      <c r="AY8" s="1603"/>
      <c r="AZ8" s="1603"/>
      <c r="BA8" s="1603"/>
      <c r="BB8" s="1603"/>
      <c r="BC8" s="1603"/>
      <c r="BD8" s="1603"/>
      <c r="BE8" s="1603"/>
      <c r="BF8" s="1603"/>
      <c r="BG8" s="1603"/>
      <c r="BH8" s="1603"/>
      <c r="BI8" s="1603"/>
      <c r="BJ8" s="1603"/>
      <c r="BK8" s="1603"/>
      <c r="BL8" s="1603"/>
      <c r="BM8" s="1603"/>
      <c r="BN8" s="1603"/>
      <c r="BO8" s="1603"/>
      <c r="BP8" s="1603"/>
      <c r="BQ8" s="1603"/>
      <c r="BR8" s="1603"/>
      <c r="BS8" s="1603"/>
      <c r="BT8" s="1603"/>
      <c r="BU8" s="1603"/>
      <c r="BV8" s="1603"/>
      <c r="BW8" s="1603"/>
      <c r="BX8" s="1603"/>
      <c r="BY8" s="1603"/>
      <c r="BZ8" s="1603"/>
      <c r="CA8" s="1603"/>
      <c r="CB8" s="1603"/>
      <c r="CC8" s="1603"/>
      <c r="CD8" s="1603"/>
      <c r="CE8" s="1603"/>
      <c r="CF8" s="1603"/>
      <c r="CG8" s="1603"/>
      <c r="CH8" s="1603"/>
      <c r="CI8" s="1603"/>
      <c r="CJ8" s="1603"/>
      <c r="CK8" s="1603"/>
      <c r="CL8" s="1603"/>
      <c r="CM8" s="1603"/>
      <c r="CN8" s="1603"/>
      <c r="CO8" s="1603"/>
      <c r="CP8" s="1603"/>
      <c r="CQ8" s="1603"/>
      <c r="CR8" s="1603"/>
      <c r="CS8" s="1603"/>
      <c r="CT8" s="1603"/>
      <c r="CU8" s="1603"/>
      <c r="CV8" s="1603"/>
      <c r="CW8" s="1603"/>
      <c r="CX8" s="1603"/>
      <c r="CY8" s="1603"/>
      <c r="CZ8" s="1603"/>
      <c r="DA8" s="1603"/>
      <c r="DB8" s="1603"/>
      <c r="DC8" s="1603"/>
      <c r="DD8" s="1603"/>
      <c r="DE8" s="1603"/>
      <c r="DF8" s="1603"/>
      <c r="DG8" s="1603"/>
      <c r="DH8" s="1603"/>
      <c r="DI8" s="1603"/>
      <c r="DJ8" s="1603"/>
      <c r="DK8" s="1603"/>
      <c r="DL8" s="1603"/>
      <c r="DM8" s="1603"/>
      <c r="DN8" s="1603"/>
      <c r="DO8" s="1603"/>
      <c r="DP8" s="1603"/>
      <c r="DQ8" s="1603"/>
      <c r="DR8" s="1603"/>
      <c r="DS8" s="1603"/>
      <c r="DT8" s="1603"/>
      <c r="DU8" s="1603"/>
      <c r="DV8" s="1603"/>
      <c r="DW8" s="1603"/>
      <c r="DX8" s="1603"/>
      <c r="DY8" s="1603"/>
      <c r="DZ8" s="1603"/>
      <c r="EA8" s="1603"/>
      <c r="EB8" s="1603"/>
      <c r="EC8" s="1603"/>
      <c r="ED8" s="1603"/>
      <c r="EE8" s="1603"/>
      <c r="EF8" s="1603"/>
      <c r="EG8" s="1603"/>
      <c r="EH8" s="1603"/>
      <c r="EI8" s="1603"/>
      <c r="EJ8" s="1603"/>
      <c r="EK8" s="1603"/>
      <c r="EL8" s="1603"/>
      <c r="EM8" s="1603"/>
      <c r="EN8" s="1603"/>
      <c r="EO8" s="1603"/>
      <c r="EP8" s="1603"/>
      <c r="EQ8" s="1603"/>
      <c r="ER8" s="1603"/>
      <c r="ES8" s="1603"/>
      <c r="ET8" s="1603"/>
      <c r="EU8" s="1603"/>
      <c r="EV8" s="1603"/>
      <c r="EW8" s="1603"/>
      <c r="EX8" s="1603"/>
      <c r="EY8" s="1603"/>
      <c r="EZ8" s="1603"/>
      <c r="FA8" s="1603"/>
      <c r="FB8" s="1603"/>
      <c r="FC8" s="1603"/>
      <c r="FD8" s="1603"/>
      <c r="FE8" s="1603"/>
      <c r="FF8" s="1603"/>
      <c r="FG8" s="1603"/>
      <c r="FH8" s="1603"/>
      <c r="FI8" s="1603"/>
      <c r="FJ8" s="1603"/>
      <c r="FK8" s="1603"/>
      <c r="FL8" s="1603"/>
      <c r="FM8" s="1603"/>
    </row>
    <row r="9" spans="1:169" outlineLevel="1">
      <c r="A9" s="1749">
        <f t="shared" si="0"/>
        <v>36557</v>
      </c>
      <c r="B9" s="1749" t="str">
        <f t="shared" si="1"/>
        <v>1Q00</v>
      </c>
      <c r="C9" s="1749" t="str">
        <f t="shared" si="2"/>
        <v>1Q00</v>
      </c>
      <c r="D9" s="1750">
        <f t="shared" si="8"/>
        <v>36563</v>
      </c>
      <c r="E9" s="1750">
        <f t="shared" si="8"/>
        <v>36556</v>
      </c>
      <c r="F9" s="1735">
        <v>1.4390000000000001</v>
      </c>
      <c r="G9" s="1752"/>
      <c r="H9" s="1762">
        <f t="shared" si="3"/>
        <v>0.31399999999999995</v>
      </c>
      <c r="I9" s="1763">
        <f t="shared" si="4"/>
        <v>0.31899999999999995</v>
      </c>
      <c r="J9" s="1755">
        <f t="shared" si="5"/>
        <v>0.04</v>
      </c>
      <c r="K9" s="1763">
        <f t="shared" si="4"/>
        <v>0.04</v>
      </c>
      <c r="L9" s="1764">
        <f t="shared" si="9"/>
        <v>7.0000000000000007E-2</v>
      </c>
      <c r="M9" s="1765">
        <f t="shared" si="4"/>
        <v>0.08</v>
      </c>
      <c r="O9" s="1752">
        <f t="shared" si="6"/>
        <v>0.24999999999999922</v>
      </c>
      <c r="P9" s="1752">
        <f t="shared" si="7"/>
        <v>0.29999999999999921</v>
      </c>
      <c r="Q9" s="1758">
        <f t="shared" si="11"/>
        <v>0.19899999999999984</v>
      </c>
      <c r="R9" s="1758">
        <f t="shared" si="12"/>
        <v>9.9499999999999922E-2</v>
      </c>
      <c r="T9" s="1752">
        <f t="shared" si="18"/>
        <v>1.3000000000000003</v>
      </c>
      <c r="U9" s="1752">
        <f t="shared" si="18"/>
        <v>1.3490000000000004</v>
      </c>
      <c r="V9" s="1759">
        <f t="shared" si="19"/>
        <v>0.05</v>
      </c>
      <c r="X9" s="1766"/>
      <c r="Y9" s="1603"/>
      <c r="Z9" s="1603"/>
      <c r="AA9" s="1603"/>
      <c r="AB9" s="1603">
        <f t="shared" si="10"/>
        <v>6</v>
      </c>
      <c r="AC9" s="1603">
        <v>2</v>
      </c>
      <c r="AD9" s="1603"/>
      <c r="AE9" s="1603"/>
      <c r="AF9" s="1603"/>
      <c r="AG9" s="1603"/>
      <c r="AH9" s="1603"/>
      <c r="AI9" s="1603"/>
      <c r="AJ9" s="1603"/>
      <c r="AK9" s="1603"/>
      <c r="AL9" s="1603"/>
      <c r="AM9" s="1603"/>
      <c r="AN9" s="1603"/>
      <c r="AO9" s="1603"/>
      <c r="AP9" s="1603"/>
      <c r="AQ9" s="1603"/>
      <c r="AR9" s="1603"/>
      <c r="AS9" s="1603"/>
      <c r="AT9" s="1603"/>
      <c r="AU9" s="1603"/>
      <c r="AV9" s="1603"/>
      <c r="AW9" s="1603"/>
      <c r="AX9" s="1603"/>
      <c r="AY9" s="1603"/>
      <c r="AZ9" s="1603"/>
      <c r="BA9" s="1603"/>
      <c r="BB9" s="1603"/>
      <c r="BC9" s="1603"/>
      <c r="BD9" s="1603"/>
      <c r="BE9" s="1603"/>
      <c r="BF9" s="1603"/>
      <c r="BG9" s="1603"/>
      <c r="BH9" s="1603"/>
      <c r="BI9" s="1603"/>
      <c r="BJ9" s="1603"/>
      <c r="BK9" s="1603"/>
      <c r="BL9" s="1603"/>
      <c r="BM9" s="1603"/>
      <c r="BN9" s="1603"/>
      <c r="BO9" s="1603"/>
      <c r="BP9" s="1603"/>
      <c r="BQ9" s="1603"/>
      <c r="BR9" s="1603"/>
      <c r="BS9" s="1603"/>
      <c r="BT9" s="1603"/>
      <c r="BU9" s="1603"/>
      <c r="BV9" s="1603"/>
      <c r="BW9" s="1603"/>
      <c r="BX9" s="1603"/>
      <c r="BY9" s="1603"/>
      <c r="BZ9" s="1603"/>
      <c r="CA9" s="1603"/>
      <c r="CB9" s="1603"/>
      <c r="CC9" s="1603"/>
      <c r="CD9" s="1603"/>
      <c r="CE9" s="1603"/>
      <c r="CF9" s="1603"/>
      <c r="CG9" s="1603"/>
      <c r="CH9" s="1603"/>
      <c r="CI9" s="1603"/>
      <c r="CJ9" s="1603"/>
      <c r="CK9" s="1603"/>
      <c r="CL9" s="1603"/>
      <c r="CM9" s="1603"/>
      <c r="CN9" s="1603"/>
      <c r="CO9" s="1603"/>
      <c r="CP9" s="1603"/>
      <c r="CQ9" s="1603"/>
      <c r="CR9" s="1603"/>
      <c r="CS9" s="1603"/>
      <c r="CT9" s="1603"/>
      <c r="CU9" s="1603"/>
      <c r="CV9" s="1603"/>
      <c r="CW9" s="1603"/>
      <c r="CX9" s="1603"/>
      <c r="CY9" s="1603"/>
      <c r="CZ9" s="1603"/>
      <c r="DA9" s="1603"/>
      <c r="DB9" s="1603"/>
      <c r="DC9" s="1603"/>
      <c r="DD9" s="1603"/>
      <c r="DE9" s="1603"/>
      <c r="DF9" s="1603"/>
      <c r="DG9" s="1603"/>
      <c r="DH9" s="1603"/>
      <c r="DI9" s="1603"/>
      <c r="DJ9" s="1603"/>
      <c r="DK9" s="1603"/>
      <c r="DL9" s="1603"/>
      <c r="DM9" s="1603"/>
      <c r="DN9" s="1603"/>
      <c r="DO9" s="1603"/>
      <c r="DP9" s="1603"/>
      <c r="DQ9" s="1603"/>
      <c r="DR9" s="1603"/>
      <c r="DS9" s="1603"/>
      <c r="DT9" s="1603"/>
      <c r="DU9" s="1603"/>
      <c r="DV9" s="1603"/>
      <c r="DW9" s="1603"/>
      <c r="DX9" s="1603"/>
      <c r="DY9" s="1603"/>
      <c r="DZ9" s="1603"/>
      <c r="EA9" s="1603"/>
      <c r="EB9" s="1603"/>
      <c r="EC9" s="1603"/>
      <c r="ED9" s="1603"/>
      <c r="EE9" s="1603"/>
      <c r="EF9" s="1603"/>
      <c r="EG9" s="1603"/>
      <c r="EH9" s="1603"/>
      <c r="EI9" s="1603"/>
      <c r="EJ9" s="1603"/>
      <c r="EK9" s="1603"/>
      <c r="EL9" s="1603"/>
      <c r="EM9" s="1603"/>
      <c r="EN9" s="1603"/>
      <c r="EO9" s="1603"/>
      <c r="EP9" s="1603"/>
      <c r="EQ9" s="1603"/>
      <c r="ER9" s="1603"/>
      <c r="ES9" s="1603"/>
      <c r="ET9" s="1603"/>
      <c r="EU9" s="1603"/>
      <c r="EV9" s="1603"/>
      <c r="EW9" s="1603"/>
      <c r="EX9" s="1603"/>
      <c r="EY9" s="1603"/>
      <c r="EZ9" s="1603"/>
      <c r="FA9" s="1603"/>
      <c r="FB9" s="1603"/>
      <c r="FC9" s="1603"/>
      <c r="FD9" s="1603"/>
      <c r="FE9" s="1603"/>
      <c r="FF9" s="1603"/>
      <c r="FG9" s="1603"/>
      <c r="FH9" s="1603"/>
      <c r="FI9" s="1603"/>
      <c r="FJ9" s="1603"/>
      <c r="FK9" s="1603"/>
      <c r="FL9" s="1603"/>
      <c r="FM9" s="1603"/>
    </row>
    <row r="10" spans="1:169" outlineLevel="1">
      <c r="A10" s="1749">
        <f t="shared" si="0"/>
        <v>36557</v>
      </c>
      <c r="B10" s="1749" t="str">
        <f t="shared" si="1"/>
        <v>1Q00</v>
      </c>
      <c r="C10" s="1749" t="str">
        <f t="shared" si="2"/>
        <v>1Q00</v>
      </c>
      <c r="D10" s="1750">
        <f t="shared" si="8"/>
        <v>36570</v>
      </c>
      <c r="E10" s="1750">
        <f t="shared" si="8"/>
        <v>36563</v>
      </c>
      <c r="F10" s="1735">
        <v>1.47</v>
      </c>
      <c r="G10" s="1752"/>
      <c r="H10" s="1762">
        <f t="shared" si="3"/>
        <v>0.31899999999999995</v>
      </c>
      <c r="I10" s="1763">
        <f t="shared" si="4"/>
        <v>0.31899999999999995</v>
      </c>
      <c r="J10" s="1755">
        <f t="shared" si="5"/>
        <v>0.04</v>
      </c>
      <c r="K10" s="1763">
        <f t="shared" si="4"/>
        <v>0.04</v>
      </c>
      <c r="L10" s="1764">
        <f t="shared" si="9"/>
        <v>0.08</v>
      </c>
      <c r="M10" s="1765">
        <f t="shared" si="4"/>
        <v>0.08</v>
      </c>
      <c r="O10" s="1752">
        <f t="shared" si="6"/>
        <v>0.29999999999999921</v>
      </c>
      <c r="P10" s="1752">
        <f t="shared" si="7"/>
        <v>0.3499999999999992</v>
      </c>
      <c r="Q10" s="1758">
        <f t="shared" si="11"/>
        <v>0.20399999999999985</v>
      </c>
      <c r="R10" s="1758">
        <f t="shared" si="12"/>
        <v>0.10199999999999992</v>
      </c>
      <c r="T10" s="1752">
        <f t="shared" si="18"/>
        <v>1.3500000000000003</v>
      </c>
      <c r="U10" s="1752">
        <f t="shared" si="18"/>
        <v>1.3990000000000005</v>
      </c>
      <c r="V10" s="1759">
        <f t="shared" si="19"/>
        <v>6.0000000000000005E-2</v>
      </c>
      <c r="X10" s="1603"/>
      <c r="Y10" s="1603"/>
      <c r="Z10" s="1603"/>
      <c r="AA10" s="1603"/>
      <c r="AB10" s="1603">
        <f t="shared" si="10"/>
        <v>7</v>
      </c>
      <c r="AC10" s="1603">
        <v>3</v>
      </c>
      <c r="AD10" s="1603"/>
      <c r="AE10" s="1603"/>
      <c r="AF10" s="1603"/>
      <c r="AG10" s="1603"/>
      <c r="AH10" s="1603"/>
      <c r="AI10" s="1603"/>
      <c r="AJ10" s="1603"/>
      <c r="AK10" s="1603"/>
      <c r="AL10" s="1603"/>
      <c r="AM10" s="1603"/>
      <c r="AN10" s="1603"/>
      <c r="AO10" s="1603"/>
      <c r="AP10" s="1603"/>
      <c r="AQ10" s="1603"/>
      <c r="AR10" s="1603"/>
      <c r="AS10" s="1603"/>
      <c r="AT10" s="1603"/>
      <c r="AU10" s="1603"/>
      <c r="AV10" s="1603"/>
      <c r="AW10" s="1603"/>
      <c r="AX10" s="1603"/>
      <c r="AY10" s="1603"/>
      <c r="AZ10" s="1603"/>
      <c r="BA10" s="1603"/>
      <c r="BB10" s="1603"/>
      <c r="BC10" s="1603"/>
      <c r="BD10" s="1603"/>
      <c r="BE10" s="1603"/>
      <c r="BF10" s="1603"/>
      <c r="BG10" s="1603"/>
      <c r="BH10" s="1603"/>
      <c r="BI10" s="1603"/>
      <c r="BJ10" s="1603"/>
      <c r="BK10" s="1603"/>
      <c r="BL10" s="1603"/>
      <c r="BM10" s="1760">
        <f>SUMIF($B:$B,BM$1,$H:$H)/COUNTIF($B:$B,BM$1)</f>
        <v>0.31323076923076915</v>
      </c>
      <c r="BN10" s="1760">
        <f>SUMIF($B:$B,BN$1,$H:$H)/COUNTIF($B:$B,BN$1)</f>
        <v>0.314</v>
      </c>
      <c r="BO10" s="1760">
        <f>SUMIF($B:$B,BO$1,$H:$H)/COUNTIF($B:$B,BO$1)</f>
        <v>0.32053846153846155</v>
      </c>
      <c r="BP10" s="1760">
        <f>SUMIF($B:$B,BP$1,$H:$H)/COUNTIF($B:$B,BP$1)</f>
        <v>0.33361538461538459</v>
      </c>
      <c r="BQ10" s="1767"/>
      <c r="BR10" s="1767"/>
      <c r="BS10" s="1767"/>
      <c r="BT10" s="1767"/>
      <c r="BU10" s="1767"/>
      <c r="BV10" s="1767"/>
      <c r="BW10" s="1767"/>
      <c r="BX10" s="1767"/>
      <c r="BY10" s="1767"/>
      <c r="BZ10" s="1767"/>
      <c r="CA10" s="1767"/>
      <c r="CB10" s="1767"/>
      <c r="CC10" s="1767"/>
      <c r="CD10" s="1767"/>
      <c r="CE10" s="1767"/>
      <c r="CF10" s="1767"/>
      <c r="CG10" s="1767"/>
      <c r="CH10" s="1767"/>
      <c r="CI10" s="1767"/>
      <c r="CJ10" s="1767"/>
      <c r="CK10" s="1767"/>
      <c r="CL10" s="1767"/>
      <c r="CM10" s="1767"/>
      <c r="CN10" s="1767"/>
      <c r="CO10" s="1767"/>
      <c r="CP10" s="1767"/>
      <c r="CQ10" s="1767"/>
      <c r="CR10" s="1767"/>
      <c r="CS10" s="1767"/>
      <c r="CT10" s="1767"/>
      <c r="CU10" s="1767"/>
      <c r="CV10" s="1767"/>
      <c r="CW10" s="1767"/>
      <c r="CX10" s="1767"/>
      <c r="CY10" s="1767"/>
      <c r="CZ10" s="1767"/>
      <c r="DA10" s="1767"/>
      <c r="DB10" s="1767"/>
      <c r="DC10" s="1767"/>
      <c r="DD10" s="1767"/>
      <c r="DE10" s="1767"/>
      <c r="DF10" s="1767"/>
      <c r="DG10" s="1767"/>
      <c r="DH10" s="1767"/>
      <c r="DI10" s="1767"/>
      <c r="DJ10" s="1767"/>
      <c r="DK10" s="1767"/>
      <c r="DL10" s="1767"/>
      <c r="DM10" s="1767"/>
      <c r="DN10" s="1767"/>
      <c r="DO10" s="1767"/>
      <c r="DP10" s="1767"/>
      <c r="DQ10" s="1767"/>
      <c r="DR10" s="1767"/>
      <c r="DS10" s="1767"/>
      <c r="DT10" s="1767"/>
      <c r="DU10" s="1767"/>
      <c r="DV10" s="1767"/>
      <c r="DW10" s="1767"/>
      <c r="DX10" s="1767"/>
      <c r="DY10" s="1767"/>
      <c r="DZ10" s="1767"/>
      <c r="EA10" s="1767"/>
      <c r="EB10" s="1767"/>
      <c r="EC10" s="1767"/>
      <c r="ED10" s="1767"/>
      <c r="EE10" s="1767"/>
      <c r="EF10" s="1767"/>
      <c r="EG10" s="1767"/>
      <c r="EH10" s="1767"/>
      <c r="EI10" s="1767"/>
      <c r="EJ10" s="1767"/>
      <c r="EK10" s="1767"/>
      <c r="EL10" s="1767"/>
      <c r="EM10" s="1767"/>
      <c r="EN10" s="1767"/>
      <c r="EO10" s="1767"/>
      <c r="EP10" s="1767"/>
      <c r="EQ10" s="1767"/>
      <c r="ER10" s="1767"/>
      <c r="ES10" s="1767"/>
      <c r="ET10" s="1767"/>
      <c r="EU10" s="1767"/>
      <c r="EV10" s="1767"/>
      <c r="EW10" s="1767"/>
      <c r="EX10" s="1767"/>
      <c r="EY10" s="1767"/>
      <c r="EZ10" s="1767"/>
      <c r="FA10" s="1767"/>
      <c r="FB10" s="1767"/>
      <c r="FC10" s="1767"/>
      <c r="FD10" s="1767"/>
      <c r="FE10" s="1767"/>
      <c r="FF10" s="1767"/>
      <c r="FG10" s="1767"/>
      <c r="FH10" s="1767"/>
      <c r="FI10" s="1767"/>
      <c r="FJ10" s="1767"/>
      <c r="FK10" s="1767"/>
      <c r="FL10" s="1767"/>
      <c r="FM10" s="1767"/>
    </row>
    <row r="11" spans="1:169" outlineLevel="1">
      <c r="A11" s="1749">
        <f t="shared" si="0"/>
        <v>36557</v>
      </c>
      <c r="B11" s="1749" t="str">
        <f t="shared" si="1"/>
        <v>1Q00</v>
      </c>
      <c r="C11" s="1749" t="str">
        <f t="shared" si="2"/>
        <v>1Q00</v>
      </c>
      <c r="D11" s="1750">
        <f t="shared" si="8"/>
        <v>36577</v>
      </c>
      <c r="E11" s="1750">
        <f t="shared" si="8"/>
        <v>36570</v>
      </c>
      <c r="F11" s="1735">
        <v>1.456</v>
      </c>
      <c r="G11" s="1752"/>
      <c r="H11" s="1762">
        <f t="shared" si="3"/>
        <v>0.31899999999999995</v>
      </c>
      <c r="I11" s="1763">
        <f t="shared" si="4"/>
        <v>0.31899999999999995</v>
      </c>
      <c r="J11" s="1755">
        <f t="shared" si="5"/>
        <v>0.04</v>
      </c>
      <c r="K11" s="1763">
        <f t="shared" si="4"/>
        <v>0.04</v>
      </c>
      <c r="L11" s="1764">
        <f t="shared" si="9"/>
        <v>0.08</v>
      </c>
      <c r="M11" s="1765">
        <f t="shared" si="4"/>
        <v>0.08</v>
      </c>
      <c r="O11" s="1752">
        <f t="shared" si="6"/>
        <v>0.3499999999999992</v>
      </c>
      <c r="P11" s="1752">
        <f t="shared" si="7"/>
        <v>0.39999999999999919</v>
      </c>
      <c r="Q11" s="1758">
        <f t="shared" si="11"/>
        <v>0.20899999999999985</v>
      </c>
      <c r="R11" s="1758">
        <f t="shared" si="12"/>
        <v>0.10449999999999993</v>
      </c>
      <c r="T11" s="1752">
        <f t="shared" si="18"/>
        <v>1.4000000000000004</v>
      </c>
      <c r="U11" s="1752">
        <f t="shared" si="18"/>
        <v>1.4490000000000005</v>
      </c>
      <c r="V11" s="1759">
        <f t="shared" si="19"/>
        <v>7.0000000000000007E-2</v>
      </c>
      <c r="X11" s="1603"/>
      <c r="Y11" s="1603"/>
      <c r="Z11" s="1603"/>
      <c r="AA11" s="1603"/>
      <c r="AB11" s="1603">
        <f t="shared" si="10"/>
        <v>8</v>
      </c>
      <c r="AC11" s="1603">
        <v>3</v>
      </c>
      <c r="AD11" s="1603"/>
      <c r="AE11" s="1603"/>
      <c r="AF11" s="1603"/>
      <c r="AG11" s="1603"/>
      <c r="AH11" s="1603"/>
      <c r="AI11" s="1603"/>
      <c r="AJ11" s="1603"/>
      <c r="AK11" s="1603"/>
      <c r="AL11" s="1603"/>
      <c r="AM11" s="1603"/>
      <c r="AN11" s="1603"/>
      <c r="AO11" s="1603"/>
      <c r="AP11" s="1603"/>
      <c r="AQ11" s="1603"/>
      <c r="AR11" s="1603"/>
      <c r="AS11" s="1603"/>
      <c r="AT11" s="1603"/>
      <c r="AU11" s="1603"/>
      <c r="AV11" s="1603"/>
      <c r="AW11" s="1603"/>
      <c r="AX11" s="1603"/>
      <c r="AY11" s="1603"/>
      <c r="AZ11" s="1603"/>
      <c r="BA11" s="1603"/>
      <c r="BB11" s="1603"/>
      <c r="BC11" s="1603"/>
      <c r="BD11" s="1603"/>
      <c r="BE11" s="1603"/>
      <c r="BF11" s="1603"/>
      <c r="BG11" s="1603"/>
      <c r="BH11" s="1603"/>
      <c r="BI11" s="1603"/>
      <c r="BJ11" s="1603"/>
      <c r="BK11" s="1603"/>
      <c r="BL11" s="1603"/>
      <c r="BM11" s="1760">
        <f>SUMIF($B:$B,BM$1,$I:$I)/COUNTIF($B:$B,BM$1)</f>
        <v>0.31476923076923069</v>
      </c>
      <c r="BN11" s="1760">
        <f>SUMIF($B:$B,BN$1,$I:$I)/COUNTIF($B:$B,BN$1)</f>
        <v>0.31361538461538463</v>
      </c>
      <c r="BO11" s="1760">
        <f>SUMIF($B:$B,BO$1,$I:$I)/COUNTIF($B:$B,BO$1)</f>
        <v>0.32246153846153847</v>
      </c>
      <c r="BP11" s="1760">
        <f>SUMIF($B:$B,BP$1,$I:$I)/COUNTIF($B:$B,BP$1)</f>
        <v>0.33246153846153847</v>
      </c>
      <c r="BQ11" s="1767"/>
      <c r="BR11" s="1767"/>
      <c r="BS11" s="1767"/>
      <c r="BT11" s="1767"/>
      <c r="BU11" s="1767"/>
      <c r="BV11" s="1767"/>
      <c r="BW11" s="1767"/>
      <c r="BX11" s="1767"/>
      <c r="BY11" s="1767"/>
      <c r="BZ11" s="1767"/>
      <c r="CA11" s="1767"/>
      <c r="CB11" s="1767"/>
      <c r="CC11" s="1767"/>
      <c r="CD11" s="1767"/>
      <c r="CE11" s="1767"/>
      <c r="CF11" s="1767"/>
      <c r="CG11" s="1767"/>
      <c r="CH11" s="1767"/>
      <c r="CI11" s="1767"/>
      <c r="CJ11" s="1767"/>
      <c r="CK11" s="1767"/>
      <c r="CL11" s="1767"/>
      <c r="CM11" s="1767"/>
      <c r="CN11" s="1767"/>
      <c r="CO11" s="1767"/>
      <c r="CP11" s="1767"/>
      <c r="CQ11" s="1767"/>
      <c r="CR11" s="1767"/>
      <c r="CS11" s="1767"/>
      <c r="CT11" s="1767"/>
      <c r="CU11" s="1767"/>
      <c r="CV11" s="1767"/>
      <c r="CW11" s="1767"/>
      <c r="CX11" s="1767"/>
      <c r="CY11" s="1767"/>
      <c r="CZ11" s="1767"/>
      <c r="DA11" s="1767"/>
      <c r="DB11" s="1767"/>
      <c r="DC11" s="1767"/>
      <c r="DD11" s="1767"/>
      <c r="DE11" s="1767"/>
      <c r="DF11" s="1767"/>
      <c r="DG11" s="1767"/>
      <c r="DH11" s="1767"/>
      <c r="DI11" s="1767"/>
      <c r="DJ11" s="1767"/>
      <c r="DK11" s="1767"/>
      <c r="DL11" s="1767"/>
      <c r="DM11" s="1767"/>
      <c r="DN11" s="1767"/>
      <c r="DO11" s="1767"/>
      <c r="DP11" s="1767"/>
      <c r="DQ11" s="1767"/>
      <c r="DR11" s="1767"/>
      <c r="DS11" s="1767"/>
      <c r="DT11" s="1767"/>
      <c r="DU11" s="1767"/>
      <c r="DV11" s="1767"/>
      <c r="DW11" s="1767"/>
      <c r="DX11" s="1767"/>
      <c r="DY11" s="1767"/>
      <c r="DZ11" s="1767"/>
      <c r="EA11" s="1767"/>
      <c r="EB11" s="1767"/>
      <c r="EC11" s="1767"/>
      <c r="ED11" s="1767"/>
      <c r="EE11" s="1767"/>
      <c r="EF11" s="1767"/>
      <c r="EG11" s="1767"/>
      <c r="EH11" s="1767"/>
      <c r="EI11" s="1767"/>
      <c r="EJ11" s="1767"/>
      <c r="EK11" s="1767"/>
      <c r="EL11" s="1767"/>
      <c r="EM11" s="1767"/>
      <c r="EN11" s="1767"/>
      <c r="EO11" s="1767"/>
      <c r="EP11" s="1767"/>
      <c r="EQ11" s="1767"/>
      <c r="ER11" s="1767"/>
      <c r="ES11" s="1767"/>
      <c r="ET11" s="1767"/>
      <c r="EU11" s="1767"/>
      <c r="EV11" s="1767"/>
      <c r="EW11" s="1767"/>
      <c r="EX11" s="1767"/>
      <c r="EY11" s="1767"/>
      <c r="EZ11" s="1767"/>
      <c r="FA11" s="1767"/>
      <c r="FB11" s="1767"/>
      <c r="FC11" s="1767"/>
      <c r="FD11" s="1767"/>
      <c r="FE11" s="1767"/>
      <c r="FF11" s="1767"/>
      <c r="FG11" s="1767"/>
      <c r="FH11" s="1767"/>
      <c r="FI11" s="1767"/>
      <c r="FJ11" s="1767"/>
      <c r="FK11" s="1767"/>
      <c r="FL11" s="1767"/>
      <c r="FM11" s="1767"/>
    </row>
    <row r="12" spans="1:169" outlineLevel="1">
      <c r="A12" s="1749">
        <f t="shared" si="0"/>
        <v>36557</v>
      </c>
      <c r="B12" s="1749" t="str">
        <f t="shared" si="1"/>
        <v>1Q00</v>
      </c>
      <c r="C12" s="1749" t="str">
        <f t="shared" si="2"/>
        <v>1Q00</v>
      </c>
      <c r="D12" s="1750">
        <f t="shared" si="8"/>
        <v>36584</v>
      </c>
      <c r="E12" s="1750">
        <f t="shared" si="8"/>
        <v>36577</v>
      </c>
      <c r="F12" s="1735">
        <v>1.456</v>
      </c>
      <c r="G12" s="1752"/>
      <c r="H12" s="1762">
        <f t="shared" si="3"/>
        <v>0.31899999999999995</v>
      </c>
      <c r="I12" s="1763">
        <f t="shared" si="4"/>
        <v>0.31899999999999995</v>
      </c>
      <c r="J12" s="1755">
        <f t="shared" si="5"/>
        <v>0.04</v>
      </c>
      <c r="K12" s="1763">
        <f t="shared" si="4"/>
        <v>0.04</v>
      </c>
      <c r="L12" s="1764">
        <f t="shared" si="9"/>
        <v>0.08</v>
      </c>
      <c r="M12" s="1765">
        <f t="shared" si="4"/>
        <v>0.08</v>
      </c>
      <c r="O12" s="1752">
        <f t="shared" si="6"/>
        <v>0.39999999999999919</v>
      </c>
      <c r="P12" s="1752">
        <f t="shared" si="7"/>
        <v>0.44999999999999918</v>
      </c>
      <c r="Q12" s="1758">
        <f t="shared" si="11"/>
        <v>0.21399999999999986</v>
      </c>
      <c r="R12" s="1758">
        <f t="shared" si="12"/>
        <v>0.10699999999999993</v>
      </c>
      <c r="T12" s="1752">
        <f t="shared" si="18"/>
        <v>1.4500000000000004</v>
      </c>
      <c r="U12" s="1752">
        <f t="shared" si="18"/>
        <v>1.4990000000000006</v>
      </c>
      <c r="V12" s="1759">
        <f t="shared" si="19"/>
        <v>0.08</v>
      </c>
      <c r="X12" s="1603"/>
      <c r="Y12" s="1603"/>
      <c r="Z12" s="1603"/>
      <c r="AA12" s="1603"/>
      <c r="AB12" s="1603">
        <f t="shared" si="10"/>
        <v>9</v>
      </c>
      <c r="AC12" s="1603">
        <v>3</v>
      </c>
      <c r="AD12" s="1603"/>
      <c r="AE12" s="1603"/>
      <c r="AF12" s="1603"/>
      <c r="AG12" s="1603"/>
      <c r="AH12" s="1603"/>
      <c r="AI12" s="1603"/>
      <c r="AJ12" s="1603"/>
      <c r="AK12" s="1603"/>
      <c r="AL12" s="1603"/>
      <c r="AM12" s="1603"/>
      <c r="AN12" s="1603"/>
      <c r="AO12" s="1603"/>
      <c r="AP12" s="1603"/>
      <c r="AQ12" s="1603"/>
      <c r="AR12" s="1603"/>
      <c r="AS12" s="1603"/>
      <c r="AT12" s="1603"/>
      <c r="AU12" s="1603"/>
      <c r="AV12" s="1603"/>
      <c r="AW12" s="1603"/>
      <c r="AX12" s="1603"/>
      <c r="AY12" s="1603"/>
      <c r="AZ12" s="1603"/>
      <c r="BA12" s="1603"/>
      <c r="BB12" s="1603"/>
      <c r="BC12" s="1603"/>
      <c r="BD12" s="1603"/>
      <c r="BE12" s="1603"/>
      <c r="BF12" s="1603"/>
      <c r="BG12" s="1603"/>
      <c r="BH12" s="1603"/>
      <c r="BI12" s="1603"/>
      <c r="BJ12" s="1603"/>
      <c r="BK12" s="1603"/>
      <c r="BL12" s="1603"/>
      <c r="BM12" s="1603"/>
      <c r="BN12" s="1603"/>
      <c r="BO12" s="1603"/>
      <c r="BP12" s="1603"/>
      <c r="BQ12" s="1603"/>
      <c r="BR12" s="1603"/>
      <c r="BS12" s="1603"/>
      <c r="BT12" s="1603"/>
      <c r="BU12" s="1603"/>
      <c r="BV12" s="1603"/>
      <c r="BW12" s="1603"/>
      <c r="BX12" s="1603"/>
      <c r="BY12" s="1603"/>
      <c r="BZ12" s="1603"/>
      <c r="CA12" s="1603"/>
      <c r="CB12" s="1603"/>
      <c r="CC12" s="1603"/>
      <c r="CD12" s="1603"/>
      <c r="CE12" s="1603"/>
      <c r="CF12" s="1603"/>
      <c r="CG12" s="1603"/>
      <c r="CH12" s="1603"/>
      <c r="CI12" s="1603"/>
      <c r="CJ12" s="1603"/>
      <c r="CK12" s="1603"/>
      <c r="CL12" s="1603"/>
      <c r="CM12" s="1603"/>
      <c r="CN12" s="1603"/>
      <c r="CO12" s="1603"/>
      <c r="CP12" s="1603"/>
      <c r="CQ12" s="1603"/>
      <c r="CR12" s="1603"/>
      <c r="CS12" s="1603"/>
      <c r="CT12" s="1603"/>
      <c r="CU12" s="1603"/>
      <c r="CV12" s="1603"/>
      <c r="CW12" s="1603"/>
      <c r="CX12" s="1603"/>
      <c r="CY12" s="1603"/>
      <c r="CZ12" s="1603"/>
      <c r="DA12" s="1603"/>
      <c r="DB12" s="1603"/>
      <c r="DC12" s="1603"/>
      <c r="DD12" s="1603"/>
      <c r="DE12" s="1603"/>
      <c r="DF12" s="1603"/>
      <c r="DG12" s="1603"/>
      <c r="DH12" s="1603"/>
      <c r="DI12" s="1603"/>
      <c r="DJ12" s="1603"/>
      <c r="DK12" s="1603"/>
      <c r="DL12" s="1603"/>
      <c r="DM12" s="1603"/>
      <c r="DN12" s="1603"/>
      <c r="DO12" s="1603"/>
      <c r="DP12" s="1603"/>
      <c r="DQ12" s="1603"/>
      <c r="DR12" s="1603"/>
      <c r="DS12" s="1603"/>
      <c r="DT12" s="1603"/>
      <c r="DU12" s="1603"/>
      <c r="DV12" s="1603"/>
      <c r="DW12" s="1603"/>
      <c r="DX12" s="1603"/>
      <c r="DY12" s="1603"/>
      <c r="DZ12" s="1603"/>
      <c r="EA12" s="1603"/>
      <c r="EB12" s="1603"/>
      <c r="EC12" s="1603"/>
      <c r="ED12" s="1603"/>
      <c r="EE12" s="1603"/>
      <c r="EF12" s="1603"/>
      <c r="EG12" s="1603"/>
      <c r="EH12" s="1603"/>
      <c r="EI12" s="1603"/>
      <c r="EJ12" s="1603"/>
      <c r="EK12" s="1603"/>
      <c r="EL12" s="1603"/>
      <c r="EM12" s="1603"/>
      <c r="EN12" s="1603"/>
      <c r="EO12" s="1603"/>
      <c r="EP12" s="1603"/>
      <c r="EQ12" s="1603"/>
      <c r="ER12" s="1603"/>
      <c r="ES12" s="1603"/>
      <c r="ET12" s="1603"/>
      <c r="EU12" s="1603"/>
      <c r="EV12" s="1603"/>
      <c r="EW12" s="1603"/>
      <c r="EX12" s="1603"/>
      <c r="EY12" s="1603"/>
      <c r="EZ12" s="1603"/>
      <c r="FA12" s="1603"/>
      <c r="FB12" s="1603"/>
      <c r="FC12" s="1603"/>
      <c r="FD12" s="1603"/>
      <c r="FE12" s="1603"/>
      <c r="FF12" s="1603"/>
      <c r="FG12" s="1603"/>
      <c r="FH12" s="1603"/>
      <c r="FI12" s="1603"/>
      <c r="FJ12" s="1603"/>
      <c r="FK12" s="1603"/>
      <c r="FL12" s="1603"/>
      <c r="FM12" s="1603"/>
    </row>
    <row r="13" spans="1:169" outlineLevel="1">
      <c r="A13" s="1749">
        <f t="shared" si="0"/>
        <v>36586</v>
      </c>
      <c r="B13" s="1749" t="str">
        <f t="shared" si="1"/>
        <v>1Q00</v>
      </c>
      <c r="C13" s="1749" t="str">
        <f t="shared" si="2"/>
        <v>1Q00</v>
      </c>
      <c r="D13" s="1750">
        <f t="shared" si="8"/>
        <v>36591</v>
      </c>
      <c r="E13" s="1750">
        <f t="shared" si="8"/>
        <v>36584</v>
      </c>
      <c r="F13" s="1735">
        <v>1.4609999999999999</v>
      </c>
      <c r="G13" s="1752"/>
      <c r="H13" s="1762">
        <f t="shared" si="3"/>
        <v>0.31899999999999995</v>
      </c>
      <c r="I13" s="1763">
        <f t="shared" si="4"/>
        <v>0.31899999999999995</v>
      </c>
      <c r="J13" s="1755">
        <f t="shared" si="5"/>
        <v>0.04</v>
      </c>
      <c r="K13" s="1763">
        <f t="shared" si="4"/>
        <v>0.04</v>
      </c>
      <c r="L13" s="1764">
        <f t="shared" si="9"/>
        <v>0.08</v>
      </c>
      <c r="M13" s="1765">
        <f t="shared" si="4"/>
        <v>0.08</v>
      </c>
      <c r="O13" s="1752">
        <f t="shared" si="6"/>
        <v>0.44999999999999918</v>
      </c>
      <c r="P13" s="1752">
        <f t="shared" si="7"/>
        <v>0.49999999999999917</v>
      </c>
      <c r="Q13" s="1758">
        <f t="shared" si="11"/>
        <v>0.21899999999999986</v>
      </c>
      <c r="R13" s="1758">
        <f t="shared" si="12"/>
        <v>0.10949999999999993</v>
      </c>
      <c r="T13" s="1752">
        <f t="shared" si="18"/>
        <v>1.5000000000000004</v>
      </c>
      <c r="U13" s="1752">
        <f t="shared" si="18"/>
        <v>1.5490000000000006</v>
      </c>
      <c r="V13" s="1759">
        <f t="shared" si="19"/>
        <v>0.09</v>
      </c>
      <c r="X13" s="1603"/>
      <c r="Y13" s="1603"/>
      <c r="Z13" s="1603"/>
      <c r="AA13" s="1603"/>
      <c r="AB13" s="1603">
        <f t="shared" si="10"/>
        <v>10</v>
      </c>
      <c r="AC13" s="1603">
        <v>4</v>
      </c>
      <c r="AD13" s="1603"/>
      <c r="AE13" s="1603"/>
      <c r="AF13" s="1603"/>
      <c r="AG13" s="1603"/>
      <c r="AH13" s="1603"/>
      <c r="AI13" s="1603"/>
      <c r="AJ13" s="1603"/>
      <c r="AK13" s="1603"/>
      <c r="AL13" s="1603"/>
      <c r="AM13" s="1603"/>
      <c r="AN13" s="1603"/>
      <c r="AO13" s="1603"/>
      <c r="AP13" s="1603"/>
      <c r="AQ13" s="1603"/>
      <c r="AR13" s="1603"/>
      <c r="AS13" s="1603"/>
      <c r="AT13" s="1603"/>
      <c r="AU13" s="1603"/>
      <c r="AV13" s="1603"/>
      <c r="AW13" s="1603"/>
      <c r="AX13" s="1603"/>
      <c r="AY13" s="1603"/>
      <c r="AZ13" s="1603"/>
      <c r="BA13" s="1603"/>
      <c r="BB13" s="1603"/>
      <c r="BC13" s="1603"/>
      <c r="BD13" s="1603"/>
      <c r="BE13" s="1603"/>
      <c r="BF13" s="1603"/>
      <c r="BG13" s="1603"/>
      <c r="BH13" s="1603"/>
      <c r="BI13" s="1603"/>
      <c r="BJ13" s="1603"/>
      <c r="BK13" s="1603"/>
      <c r="BL13" s="1603"/>
      <c r="BM13" s="1768"/>
      <c r="BN13" s="1768"/>
      <c r="BO13" s="1768"/>
      <c r="BP13" s="1768"/>
      <c r="BQ13" s="1768"/>
      <c r="BR13" s="1768"/>
      <c r="BS13" s="1768"/>
      <c r="BT13" s="1768"/>
      <c r="BU13" s="1768"/>
      <c r="BV13" s="1768"/>
      <c r="BW13" s="1768"/>
      <c r="BX13" s="1768"/>
      <c r="BY13" s="1768"/>
      <c r="BZ13" s="1768"/>
      <c r="CA13" s="1768"/>
      <c r="CB13" s="1768"/>
      <c r="CC13" s="1768"/>
      <c r="CD13" s="1768"/>
      <c r="CE13" s="1768"/>
      <c r="CF13" s="1768"/>
      <c r="CG13" s="1768"/>
      <c r="CH13" s="1768"/>
      <c r="CI13" s="1768"/>
      <c r="CJ13" s="1768"/>
      <c r="CK13" s="1768"/>
      <c r="CL13" s="1768"/>
      <c r="CM13" s="1768"/>
      <c r="CN13" s="1768"/>
      <c r="CO13" s="1768"/>
      <c r="CP13" s="1768"/>
      <c r="CQ13" s="1768"/>
      <c r="CR13" s="1768"/>
      <c r="CS13" s="1768"/>
      <c r="CT13" s="1768"/>
      <c r="CU13" s="1768"/>
      <c r="CV13" s="1768"/>
      <c r="CW13" s="1768"/>
      <c r="CX13" s="1768"/>
      <c r="CY13" s="1768"/>
      <c r="CZ13" s="1768"/>
      <c r="DA13" s="1768"/>
      <c r="DB13" s="1768"/>
      <c r="DC13" s="1768"/>
      <c r="DD13" s="1768"/>
      <c r="DE13" s="1768"/>
      <c r="DF13" s="1768"/>
      <c r="DG13" s="1768"/>
      <c r="DH13" s="1768"/>
      <c r="DI13" s="1768"/>
      <c r="DJ13" s="1768"/>
      <c r="DK13" s="1768"/>
      <c r="DL13" s="1768"/>
      <c r="DM13" s="1768"/>
      <c r="DN13" s="1768"/>
      <c r="DO13" s="1768"/>
      <c r="DP13" s="1768"/>
      <c r="DQ13" s="1768"/>
      <c r="DR13" s="1768"/>
      <c r="DS13" s="1768"/>
      <c r="DT13" s="1768"/>
      <c r="DU13" s="1768"/>
      <c r="DV13" s="1768"/>
      <c r="DW13" s="1768"/>
      <c r="DX13" s="1768"/>
      <c r="DY13" s="1768"/>
      <c r="DZ13" s="1768"/>
      <c r="EA13" s="1768"/>
      <c r="EB13" s="1768"/>
      <c r="EC13" s="1768"/>
      <c r="ED13" s="1768"/>
      <c r="EE13" s="1768"/>
      <c r="EF13" s="1768"/>
      <c r="EG13" s="1768"/>
      <c r="EH13" s="1768"/>
      <c r="EI13" s="1768"/>
      <c r="EJ13" s="1768"/>
      <c r="EK13" s="1768"/>
      <c r="EL13" s="1768"/>
      <c r="EM13" s="1768"/>
      <c r="EN13" s="1768"/>
      <c r="EO13" s="1768"/>
      <c r="EP13" s="1768"/>
      <c r="EQ13" s="1768"/>
      <c r="ER13" s="1768"/>
      <c r="ES13" s="1768"/>
      <c r="ET13" s="1768"/>
      <c r="EU13" s="1768"/>
      <c r="EV13" s="1768"/>
      <c r="EW13" s="1768"/>
      <c r="EX13" s="1768"/>
      <c r="EY13" s="1768"/>
      <c r="EZ13" s="1768"/>
      <c r="FA13" s="1768"/>
      <c r="FB13" s="1768"/>
      <c r="FC13" s="1768"/>
      <c r="FD13" s="1768"/>
      <c r="FE13" s="1768"/>
      <c r="FF13" s="1768"/>
      <c r="FG13" s="1768"/>
      <c r="FH13" s="1768"/>
      <c r="FI13" s="1768"/>
      <c r="FJ13" s="1768"/>
      <c r="FK13" s="1768"/>
      <c r="FL13" s="1768"/>
      <c r="FM13" s="1768"/>
    </row>
    <row r="14" spans="1:169" outlineLevel="1">
      <c r="A14" s="1749">
        <f t="shared" si="0"/>
        <v>36586</v>
      </c>
      <c r="B14" s="1749" t="str">
        <f t="shared" si="1"/>
        <v>1Q00</v>
      </c>
      <c r="C14" s="1749" t="str">
        <f t="shared" si="2"/>
        <v>1Q00</v>
      </c>
      <c r="D14" s="1750">
        <f t="shared" si="8"/>
        <v>36598</v>
      </c>
      <c r="E14" s="1750">
        <f t="shared" si="8"/>
        <v>36591</v>
      </c>
      <c r="F14" s="1735">
        <v>1.49</v>
      </c>
      <c r="G14" s="1752"/>
      <c r="H14" s="1762">
        <f t="shared" si="3"/>
        <v>0.31899999999999995</v>
      </c>
      <c r="I14" s="1763">
        <f t="shared" si="4"/>
        <v>0.31899999999999995</v>
      </c>
      <c r="J14" s="1755">
        <f t="shared" si="5"/>
        <v>0.04</v>
      </c>
      <c r="K14" s="1763">
        <f t="shared" si="4"/>
        <v>0.04</v>
      </c>
      <c r="L14" s="1764">
        <f t="shared" si="9"/>
        <v>0.08</v>
      </c>
      <c r="M14" s="1765">
        <f t="shared" si="4"/>
        <v>0.08</v>
      </c>
      <c r="O14" s="1752">
        <f t="shared" si="6"/>
        <v>0.49999999999999917</v>
      </c>
      <c r="P14" s="1752">
        <f t="shared" si="7"/>
        <v>0.54999999999999916</v>
      </c>
      <c r="Q14" s="1758">
        <f t="shared" si="11"/>
        <v>0.22399999999999987</v>
      </c>
      <c r="R14" s="1758">
        <f t="shared" si="12"/>
        <v>0.11199999999999993</v>
      </c>
      <c r="T14" s="1752">
        <f t="shared" si="18"/>
        <v>1.5500000000000005</v>
      </c>
      <c r="U14" s="1752">
        <f t="shared" si="18"/>
        <v>1.5990000000000006</v>
      </c>
      <c r="V14" s="1759">
        <f t="shared" si="19"/>
        <v>9.9999999999999992E-2</v>
      </c>
      <c r="X14" s="1766"/>
      <c r="Y14" s="1603"/>
      <c r="Z14" s="1603"/>
      <c r="AA14" s="1603"/>
      <c r="AB14" s="1603">
        <f t="shared" si="10"/>
        <v>11</v>
      </c>
      <c r="AC14" s="1603">
        <v>4</v>
      </c>
      <c r="AD14" s="1603"/>
      <c r="AE14" s="1603"/>
      <c r="AF14" s="1603"/>
      <c r="AG14" s="1603"/>
      <c r="AH14" s="1603"/>
      <c r="AI14" s="1603"/>
      <c r="AJ14" s="1603"/>
      <c r="AK14" s="1603"/>
      <c r="AL14" s="1603"/>
      <c r="AM14" s="1603"/>
      <c r="AN14" s="1603"/>
      <c r="AO14" s="1603"/>
      <c r="AP14" s="1603"/>
      <c r="AQ14" s="1603"/>
      <c r="AR14" s="1603"/>
      <c r="AS14" s="1603"/>
      <c r="AT14" s="1603"/>
      <c r="AU14" s="1603"/>
      <c r="AV14" s="1603"/>
      <c r="AW14" s="1603"/>
      <c r="AX14" s="1603"/>
      <c r="AY14" s="1603"/>
      <c r="AZ14" s="1603"/>
      <c r="BA14" s="1603"/>
      <c r="BB14" s="1603"/>
      <c r="BC14" s="1603"/>
      <c r="BD14" s="1603"/>
      <c r="BE14" s="1603"/>
      <c r="BF14" s="1603"/>
      <c r="BG14" s="1603"/>
      <c r="BH14" s="1603"/>
      <c r="BI14" s="1603"/>
      <c r="BJ14" s="1603"/>
      <c r="BK14" s="1603"/>
      <c r="BL14" s="1603"/>
      <c r="BM14" s="1769"/>
      <c r="BN14" s="1769"/>
      <c r="BO14" s="1769"/>
      <c r="BP14" s="1769"/>
      <c r="BQ14" s="1769"/>
      <c r="BR14" s="1769"/>
      <c r="BS14" s="1769"/>
      <c r="BT14" s="1769"/>
      <c r="BU14" s="1769"/>
      <c r="BV14" s="1769"/>
      <c r="BW14" s="1769"/>
      <c r="BX14" s="1769"/>
      <c r="BY14" s="1769"/>
      <c r="BZ14" s="1769"/>
      <c r="CA14" s="1769"/>
      <c r="CB14" s="1769"/>
      <c r="CC14" s="1769"/>
      <c r="CD14" s="1769"/>
      <c r="CE14" s="1769"/>
      <c r="CF14" s="1769"/>
      <c r="CG14" s="1769"/>
      <c r="CH14" s="1769"/>
      <c r="CI14" s="1769"/>
      <c r="CJ14" s="1769"/>
      <c r="CK14" s="1769"/>
      <c r="CL14" s="1769"/>
      <c r="CM14" s="1769"/>
      <c r="CN14" s="1769"/>
      <c r="CO14" s="1769"/>
      <c r="CP14" s="1769"/>
      <c r="CQ14" s="1769"/>
      <c r="CR14" s="1769"/>
      <c r="CS14" s="1769"/>
      <c r="CT14" s="1769"/>
      <c r="CU14" s="1769"/>
      <c r="CV14" s="1769"/>
      <c r="CW14" s="1769"/>
      <c r="CX14" s="1769"/>
      <c r="CY14" s="1769"/>
      <c r="CZ14" s="1769"/>
      <c r="DA14" s="1769"/>
      <c r="DB14" s="1769"/>
      <c r="DC14" s="1769"/>
      <c r="DD14" s="1769"/>
      <c r="DE14" s="1769"/>
      <c r="DF14" s="1769"/>
      <c r="DG14" s="1769"/>
      <c r="DH14" s="1769"/>
      <c r="DI14" s="1769"/>
      <c r="DJ14" s="1769"/>
      <c r="DK14" s="1769"/>
      <c r="DL14" s="1769"/>
      <c r="DM14" s="1769"/>
      <c r="DN14" s="1769"/>
      <c r="DO14" s="1769"/>
      <c r="DP14" s="1769"/>
      <c r="DQ14" s="1769"/>
      <c r="DR14" s="1769"/>
      <c r="DS14" s="1769"/>
      <c r="DT14" s="1769"/>
      <c r="DU14" s="1769"/>
      <c r="DV14" s="1769"/>
      <c r="DW14" s="1769"/>
      <c r="DX14" s="1769"/>
      <c r="DY14" s="1769"/>
      <c r="DZ14" s="1769"/>
      <c r="EA14" s="1769"/>
      <c r="EB14" s="1769"/>
      <c r="EC14" s="1769"/>
      <c r="ED14" s="1769"/>
      <c r="EE14" s="1769"/>
      <c r="EF14" s="1769"/>
      <c r="EG14" s="1769"/>
      <c r="EH14" s="1769"/>
      <c r="EI14" s="1769"/>
      <c r="EJ14" s="1769"/>
      <c r="EK14" s="1769"/>
      <c r="EL14" s="1769"/>
      <c r="EM14" s="1769"/>
      <c r="EN14" s="1769"/>
      <c r="EO14" s="1769"/>
      <c r="EP14" s="1769"/>
      <c r="EQ14" s="1769"/>
      <c r="ER14" s="1769"/>
      <c r="ES14" s="1769"/>
      <c r="ET14" s="1769"/>
      <c r="EU14" s="1769"/>
      <c r="EV14" s="1769"/>
      <c r="EW14" s="1769"/>
      <c r="EX14" s="1769"/>
      <c r="EY14" s="1769"/>
      <c r="EZ14" s="1769"/>
      <c r="FA14" s="1769"/>
      <c r="FB14" s="1769"/>
      <c r="FC14" s="1769"/>
      <c r="FD14" s="1769"/>
      <c r="FE14" s="1769"/>
      <c r="FF14" s="1769"/>
      <c r="FG14" s="1769"/>
      <c r="FH14" s="1769"/>
      <c r="FI14" s="1769"/>
      <c r="FJ14" s="1769"/>
      <c r="FK14" s="1769"/>
      <c r="FL14" s="1769"/>
      <c r="FM14" s="1769"/>
    </row>
    <row r="15" spans="1:169" outlineLevel="1">
      <c r="A15" s="1749">
        <f t="shared" si="0"/>
        <v>36586</v>
      </c>
      <c r="B15" s="1749" t="str">
        <f t="shared" si="1"/>
        <v>1Q00</v>
      </c>
      <c r="C15" s="1749" t="str">
        <f t="shared" si="2"/>
        <v>1Q00</v>
      </c>
      <c r="D15" s="1750">
        <f t="shared" si="8"/>
        <v>36605</v>
      </c>
      <c r="E15" s="1750">
        <f t="shared" si="8"/>
        <v>36598</v>
      </c>
      <c r="F15" s="1735">
        <v>1.496</v>
      </c>
      <c r="G15" s="1752"/>
      <c r="H15" s="1762">
        <f t="shared" si="3"/>
        <v>0.31899999999999995</v>
      </c>
      <c r="I15" s="1763">
        <f t="shared" si="4"/>
        <v>0.31899999999999995</v>
      </c>
      <c r="J15" s="1755">
        <f t="shared" si="5"/>
        <v>0.04</v>
      </c>
      <c r="K15" s="1763">
        <f t="shared" si="4"/>
        <v>0.04</v>
      </c>
      <c r="L15" s="1764">
        <f t="shared" si="9"/>
        <v>0.08</v>
      </c>
      <c r="M15" s="1765">
        <f t="shared" si="4"/>
        <v>0.08</v>
      </c>
      <c r="O15" s="1752">
        <f t="shared" si="6"/>
        <v>0.54999999999999916</v>
      </c>
      <c r="P15" s="1752">
        <f t="shared" si="7"/>
        <v>0.5999999999999992</v>
      </c>
      <c r="Q15" s="1758">
        <f t="shared" si="11"/>
        <v>0.22899999999999987</v>
      </c>
      <c r="R15" s="1758">
        <f t="shared" si="12"/>
        <v>0.11449999999999994</v>
      </c>
      <c r="T15" s="1752">
        <f t="shared" si="18"/>
        <v>1.6000000000000005</v>
      </c>
      <c r="U15" s="1752">
        <f t="shared" si="18"/>
        <v>1.6490000000000007</v>
      </c>
      <c r="V15" s="1759">
        <f t="shared" si="19"/>
        <v>0.10999999999999999</v>
      </c>
      <c r="X15" s="1603"/>
      <c r="Y15" s="1603"/>
      <c r="Z15" s="1603"/>
      <c r="AA15" s="1603"/>
      <c r="AB15" s="1603">
        <f t="shared" si="10"/>
        <v>12</v>
      </c>
      <c r="AC15" s="1603">
        <v>4</v>
      </c>
      <c r="AD15" s="1603"/>
      <c r="AE15" s="1603"/>
      <c r="AF15" s="1603"/>
      <c r="AG15" s="1603"/>
      <c r="AH15" s="1603"/>
      <c r="AI15" s="1603"/>
      <c r="AJ15" s="1603"/>
      <c r="AK15" s="1603"/>
      <c r="AL15" s="1603"/>
      <c r="AM15" s="1603"/>
      <c r="AN15" s="1603"/>
      <c r="AO15" s="1603"/>
      <c r="AP15" s="1603"/>
      <c r="AQ15" s="1603"/>
      <c r="AR15" s="1603"/>
      <c r="AS15" s="1603"/>
      <c r="AT15" s="1603"/>
      <c r="AU15" s="1603"/>
      <c r="AV15" s="1603"/>
      <c r="AW15" s="1603"/>
      <c r="AX15" s="1603"/>
      <c r="AY15" s="1603"/>
      <c r="AZ15" s="1603"/>
      <c r="BA15" s="1603"/>
      <c r="BB15" s="1603"/>
      <c r="BC15" s="1603"/>
      <c r="BD15" s="1603"/>
      <c r="BE15" s="1603"/>
      <c r="BF15" s="1603"/>
      <c r="BG15" s="1603"/>
      <c r="BH15" s="1603"/>
      <c r="BI15" s="1603"/>
      <c r="BJ15" s="1603"/>
      <c r="BK15" s="1603"/>
      <c r="BL15" s="1603"/>
      <c r="BM15" s="1767">
        <f>SUMIF($B:$B,BM$1,$J:$J)/COUNTIF($B:$B,BM$1)</f>
        <v>3.9999999999999994E-2</v>
      </c>
      <c r="BN15" s="1767">
        <f>SUMIF($B:$B,BN$1,$J:$J)/COUNTIF($B:$B,BN$1)</f>
        <v>3.9999999999999994E-2</v>
      </c>
      <c r="BO15" s="1767">
        <f>SUMIF($B:$B,BO$1,$J:$J)/COUNTIF($B:$B,BO$1)</f>
        <v>3.9999999999999994E-2</v>
      </c>
      <c r="BP15" s="1767">
        <f>SUMIF($B:$B,BP$1,$J:$J)/COUNTIF($B:$B,BP$1)</f>
        <v>3.9999999999999994E-2</v>
      </c>
      <c r="BQ15" s="1767"/>
      <c r="BR15" s="1767">
        <f>SUMIF($B:$B,BR$1,$J:$J)/COUNTIF($B:$B,BR$1)</f>
        <v>3.6307692307692312E-2</v>
      </c>
      <c r="BS15" s="1767">
        <f>SUMIF($B:$B,BS$1,$J:$J)/COUNTIF($B:$B,BS$1)</f>
        <v>3.3384615384615381E-2</v>
      </c>
      <c r="BT15" s="1767">
        <f>SUMIF($B:$B,BT$1,$J:$J)/COUNTIF($B:$B,BT$1)</f>
        <v>2.8923076923076916E-2</v>
      </c>
      <c r="BU15" s="1767">
        <f>SUMIF($B:$B,BU$1,$J:$J)/COUNTIF($B:$B,BU$1)</f>
        <v>1.5714285714285715E-2</v>
      </c>
      <c r="BV15" s="1767"/>
      <c r="BW15" s="1767">
        <f>SUMIF($B:$B,BW$1,$J:$J)/COUNTIF($B:$B,BW$1)</f>
        <v>6.1666666666666667E-3</v>
      </c>
      <c r="BX15" s="1767">
        <f>SUMIF($B:$B,BX$1,$J:$J)/COUNTIF($B:$B,BX$1)</f>
        <v>2.5769230769230773E-2</v>
      </c>
      <c r="BY15" s="1767">
        <f>SUMIF($B:$B,BY$1,$J:$J)/COUNTIF($B:$B,BY$1)</f>
        <v>3.0428571428571423E-2</v>
      </c>
      <c r="BZ15" s="1767">
        <f>SUMIF($B:$B,BZ$1,$J:$J)/COUNTIF($B:$B,BZ$1)</f>
        <v>4.2384615384615382E-2</v>
      </c>
      <c r="CA15" s="1767"/>
      <c r="CB15" s="1767">
        <f>SUMIF($B:$B,CB$1,$J:$J)/COUNTIF($B:$B,CB$1)</f>
        <v>6.2692307692307686E-2</v>
      </c>
      <c r="CC15" s="1767">
        <f>SUMIF($B:$B,CC$1,$J:$J)/COUNTIF($B:$B,CC$1)</f>
        <v>4.8615384615384616E-2</v>
      </c>
      <c r="CD15" s="1767">
        <f>SUMIF($B:$B,CD$1,$J:$J)/COUNTIF($B:$B,CD$1)</f>
        <v>4.6153846153846149E-2</v>
      </c>
      <c r="CE15" s="1767">
        <f>SUMIF($B:$B,CE$1,$J:$J)/COUNTIF($B:$B,CE$1)</f>
        <v>4.823076923076923E-2</v>
      </c>
      <c r="CF15" s="1767"/>
      <c r="CG15" s="1767">
        <f>SUMIF($B:$B,CG$1,$J:$J)/COUNTIF($B:$B,CG$1)</f>
        <v>6.130769230769232E-2</v>
      </c>
      <c r="CH15" s="1767">
        <f>SUMIF($B:$B,CH$1,$J:$J)/COUNTIF($B:$B,CH$1)</f>
        <v>7.7153846153846142E-2</v>
      </c>
      <c r="CI15" s="1767">
        <f>SUMIF($B:$B,CI$1,$J:$J)/COUNTIF($B:$B,CI$1)</f>
        <v>8.9076923076923067E-2</v>
      </c>
      <c r="CJ15" s="1767">
        <f>SUMIF($B:$B,CJ$1,$J:$J)/COUNTIF($B:$B,CJ$1)</f>
        <v>0.11823076923076922</v>
      </c>
      <c r="CK15" s="1767"/>
      <c r="CL15" s="1767">
        <f>SUMIF($B:$B,CL$1,$J:$J)/COUNTIF($B:$B,CL$1)</f>
        <v>0.1123076923076923</v>
      </c>
      <c r="CM15" s="1767">
        <f>SUMIF($B:$B,CM$1,$J:$J)/COUNTIF($B:$B,CM$1)</f>
        <v>0.13330769230769235</v>
      </c>
      <c r="CN15" s="1767">
        <f>SUMIF($B:$B,CN$1,$J:$J)/COUNTIF($B:$B,CN$1)</f>
        <v>0.15476923076923074</v>
      </c>
      <c r="CO15" s="1767">
        <f>SUMIF($B:$B,CO$1,$J:$J)/COUNTIF($B:$B,CO$1)</f>
        <v>0.1675384615384615</v>
      </c>
      <c r="CP15" s="1767"/>
      <c r="CQ15" s="1767">
        <f>SUMIF($B:$B,CQ$1,$J:$J)/COUNTIF($B:$B,CQ$1)</f>
        <v>0.15730769230769232</v>
      </c>
      <c r="CR15" s="1767">
        <f>SUMIF($B:$B,CR$1,$J:$J)/COUNTIF($B:$B,CR$1)</f>
        <v>0.1823846153846154</v>
      </c>
      <c r="CS15" s="1767">
        <f>SUMIF($B:$B,CS$1,$J:$J)/COUNTIF($B:$B,CS$1)</f>
        <v>0.20153846153846158</v>
      </c>
      <c r="CT15" s="1767">
        <f>SUMIF($B:$B,CT$1,$J:$J)/COUNTIF($B:$B,CT$1)</f>
        <v>0.16399999999999998</v>
      </c>
      <c r="CU15" s="1767"/>
      <c r="CV15" s="1767">
        <f>SUMIF($B:$B,CV$1,$J:$J)/COUNTIF($B:$B,CV$1)</f>
        <v>0.16223076923076923</v>
      </c>
      <c r="CW15" s="1767">
        <f>SUMIF($B:$B,CW$1,$J:$J)/COUNTIF($B:$B,CW$1)</f>
        <v>0.18884615384615386</v>
      </c>
      <c r="CX15" s="1767">
        <f>SUMIF($B:$B,CX$1,$J:$J)/COUNTIF($B:$B,CX$1)</f>
        <v>0.19630769230769235</v>
      </c>
      <c r="CY15" s="1767">
        <f>SUMIF($B:$B,CY$1,$J:$J)/COUNTIF($B:$B,CY$1)</f>
        <v>0.23235714285714285</v>
      </c>
      <c r="CZ15" s="1767"/>
      <c r="DA15" s="1767">
        <f>SUMIF($B:$B,DA$1,$J:$J)/COUNTIF($B:$B,DA$1)</f>
        <v>0.25869230769230767</v>
      </c>
      <c r="DB15" s="1767">
        <f>SUMIF($B:$B,DB$1,$J:$J)/COUNTIF($B:$B,DB$1)</f>
        <v>0.34492307692307694</v>
      </c>
      <c r="DC15" s="1767">
        <f>SUMIF($B:$B,DC$1,$J:$J)/COUNTIF($B:$B,DC$1)</f>
        <v>0.34561538461538466</v>
      </c>
      <c r="DD15" s="1767">
        <f>SUMIF($B:$B,DD$1,$J:$J)/COUNTIF($B:$B,DD$1)</f>
        <v>0.21369230769230768</v>
      </c>
      <c r="DE15" s="1767"/>
      <c r="DF15" s="1767">
        <f>SUMIF($B:$B,DF$1,$J:$J)/COUNTIF($B:$B,DF$1)</f>
        <v>0.12784615384615389</v>
      </c>
      <c r="DG15" s="1767">
        <f>SUMIF($B:$B,DG$1,$J:$J)/COUNTIF($B:$B,DG$1)</f>
        <v>0.13969230769230767</v>
      </c>
      <c r="DH15" s="1767">
        <f>SUMIF($B:$B,DH$1,$J:$J)/COUNTIF($B:$B,DH$1)</f>
        <v>0.16884615384615384</v>
      </c>
      <c r="DI15" s="1767">
        <f>SUMIF($B:$B,DI$1,$J:$J)/COUNTIF($B:$B,DI$1)</f>
        <v>0.18169230769230771</v>
      </c>
      <c r="DJ15" s="1767"/>
      <c r="DK15" s="1767">
        <f>SUMIF($B:$B,DK$1,$J:$J)/COUNTIF($B:$B,DK$1)</f>
        <v>0.19230769230769232</v>
      </c>
      <c r="DL15" s="1767">
        <f>SUMIF($B:$B,DL$1,$J:$J)/COUNTIF($B:$B,DL$1)</f>
        <v>0.21123076923076922</v>
      </c>
      <c r="DM15" s="1767">
        <f>SUMIF($B:$B,DM$1,$J:$J)/COUNTIF($B:$B,DM$1)</f>
        <v>0.20253846153846153</v>
      </c>
      <c r="DN15" s="1767">
        <f>SUMIF($B:$B,DN$1,$J:$J)/COUNTIF($B:$B,DN$1)</f>
        <v>0.22038461538461543</v>
      </c>
      <c r="DO15" s="1767"/>
      <c r="DP15" s="1767">
        <f>SUMIF($B:$B,DP$1,$J:$J)/COUNTIF($B:$B,DP$1)</f>
        <v>0.26438461538461538</v>
      </c>
      <c r="DQ15" s="1767">
        <f>SUMIF($B:$B,DQ$1,$J:$J)/COUNTIF($B:$B,DQ$1)</f>
        <v>0.31061538461538457</v>
      </c>
      <c r="DR15" s="1767">
        <f>SUMIF($B:$B,DR$1,$J:$J)/COUNTIF($B:$B,DR$1)</f>
        <v>0.29599999999999993</v>
      </c>
      <c r="DS15" s="1767">
        <f>SUMIF($B:$B,DS$1,$J:$J)/COUNTIF($B:$B,DS$1)</f>
        <v>0.29530769230769233</v>
      </c>
      <c r="DT15" s="1767"/>
      <c r="DU15" s="1767">
        <f>SUMIF($B:$B,DU$1,$J:$J)/COUNTIF($B:$B,DU$1)</f>
        <v>0.30192307692307696</v>
      </c>
      <c r="DV15" s="1767">
        <f>SUMIF($B:$B,DV$1,$J:$J)/COUNTIF($B:$B,DV$1)</f>
        <v>0.30838461538461542</v>
      </c>
      <c r="DW15" s="1767">
        <f>SUMIF($B:$B,DW$1,$J:$J)/COUNTIF($B:$B,DW$1)</f>
        <v>0.29776923076923079</v>
      </c>
      <c r="DX15" s="1767">
        <f>SUMIF($B:$B,DX$1,$J:$J)/COUNTIF($B:$B,DX$1)</f>
        <v>0.31178571428571428</v>
      </c>
      <c r="DY15" s="1767"/>
      <c r="DZ15" s="1767">
        <f>SUMIF($B:$B,DZ$1,$J:$J)/COUNTIF($B:$B,DZ$1)</f>
        <v>0.31066666666666665</v>
      </c>
      <c r="EA15" s="1767">
        <f>SUMIF($B:$B,EA$1,$J:$J)/COUNTIF($B:$B,EA$1)</f>
        <v>0.29853846153846153</v>
      </c>
      <c r="EB15" s="1767">
        <f>SUMIF($B:$B,EB$1,$J:$J)/COUNTIF($B:$B,EB$1)</f>
        <v>0.29899999999999999</v>
      </c>
      <c r="EC15" s="1767">
        <f>SUMIF($B:$B,EC$1,$J:$J)/COUNTIF($B:$B,EC$1)</f>
        <v>0.29569230769230764</v>
      </c>
      <c r="ED15" s="1767"/>
      <c r="EE15" s="1767">
        <f>SUMIF($B:$B,EE$1,$J:$J)/COUNTIF($B:$B,EE$1)</f>
        <v>0.30423076923076925</v>
      </c>
      <c r="EF15" s="1767">
        <f>SUMIF($B:$B,EF$1,$J:$J)/COUNTIF($B:$B,EF$1)</f>
        <v>0.30246153846153845</v>
      </c>
      <c r="EG15" s="1767">
        <f>SUMIF($B:$B,EG$1,$J:$J)/COUNTIF($B:$B,EG$1)</f>
        <v>0.29330769230769232</v>
      </c>
      <c r="EH15" s="1767">
        <f>SUMIF($B:$B,EH$1,$J:$J)/COUNTIF($B:$B,EH$1)</f>
        <v>0.27030769230769242</v>
      </c>
      <c r="EI15" s="1767"/>
      <c r="EJ15" s="1767">
        <f>SUMIF($B:$B,EJ$1,$J:$J)/COUNTIF($B:$B,EJ$1)</f>
        <v>0.22642307692307698</v>
      </c>
      <c r="EK15" s="1767">
        <f>SUMIF($B:$B,EK$1,$J:$J)/COUNTIF($B:$B,EK$1)</f>
        <v>0.22853846153846155</v>
      </c>
      <c r="EL15" s="1767">
        <f>SUMIF($B:$B,EL$1,$J:$J)/COUNTIF($B:$B,EL$1)</f>
        <v>0.2185384615384616</v>
      </c>
      <c r="EM15" s="1767">
        <f>SUMIF($B:$B,EM$1,$J:$J)/COUNTIF($B:$B,EM$1)</f>
        <v>0.20815384615384616</v>
      </c>
      <c r="EN15" s="1767"/>
      <c r="EO15" s="1767">
        <f>SUMIF($B:$B,EO$1,$J:$J)/COUNTIF($B:$B,EO$1)</f>
        <v>0.18969230769230772</v>
      </c>
      <c r="EP15" s="1767">
        <f>SUMIF($B:$B,EP$1,$J:$J)/COUNTIF($B:$B,EP$1)</f>
        <v>0.19949999999999998</v>
      </c>
      <c r="EQ15" s="1767">
        <f>SUMIF($B:$B,EQ$1,$J:$J)/COUNTIF($B:$B,EQ$1)</f>
        <v>0.20507692307692305</v>
      </c>
      <c r="ER15" s="1767">
        <f>SUMIF($B:$B,ER$1,$J:$J)/COUNTIF($B:$B,ER$1)</f>
        <v>0.20815384615384616</v>
      </c>
      <c r="ES15" s="1767"/>
      <c r="ET15" s="1767">
        <f>SUMIF($B:$B,ET$1,$J:$J)/COUNTIF($B:$B,ET$1)</f>
        <v>0.21411538461538462</v>
      </c>
      <c r="EU15" s="1767">
        <f>SUMIF($B:$B,EU$1,$J:$J)/COUNTIF($B:$B,EU$1)</f>
        <v>0.21334615384615382</v>
      </c>
      <c r="EV15" s="1767">
        <f>SUMIF($B:$B,EV$1,$J:$J)/COUNTIF($B:$B,EV$1)</f>
        <v>0.21526923076923071</v>
      </c>
      <c r="EW15" s="1767">
        <f>SUMIF($B:$B,EW$1,$J:$J)/COUNTIF($B:$B,EW$1)</f>
        <v>0.22853846153846161</v>
      </c>
      <c r="EX15" s="1767"/>
      <c r="EY15" s="1767">
        <f>SUMIF($B:$B,EY$1,$J:$J)/COUNTIF($B:$B,EY$1)</f>
        <v>0.23623076923076927</v>
      </c>
      <c r="EZ15" s="1767">
        <f>SUMIF($B:$B,EZ$1,$J:$J)/COUNTIF($B:$B,EZ$1)</f>
        <v>0.23700000000000007</v>
      </c>
      <c r="FA15" s="1767">
        <f>SUMIF($B:$B,FA$1,$J:$J)/COUNTIF($B:$B,FA$1)</f>
        <v>0.23700000000000007</v>
      </c>
      <c r="FB15" s="1767">
        <f>SUMIF($B:$B,FB$1,$J:$J)/COUNTIF($B:$B,FB$1)</f>
        <v>0.23700000000000007</v>
      </c>
      <c r="FC15" s="1767"/>
      <c r="FD15" s="1767">
        <f>SUMIF($B:$B,FD$1,$J:$J)/COUNTIF($B:$B,FD$1)</f>
        <v>0.23700000000000007</v>
      </c>
      <c r="FE15" s="1767">
        <f t="shared" ref="FE15:FG15" si="20">SUMIF($B:$B,FE$1,$J:$J)/COUNTIF($B:$B,FE$1)</f>
        <v>0.23700000000000007</v>
      </c>
      <c r="FF15" s="1767">
        <f t="shared" si="20"/>
        <v>0.23700000000000007</v>
      </c>
      <c r="FG15" s="1767">
        <f t="shared" si="20"/>
        <v>0.23700000000000007</v>
      </c>
      <c r="FH15" s="2391">
        <f>FG15</f>
        <v>0.23700000000000007</v>
      </c>
      <c r="FI15" s="1767">
        <f>SUMIF($B:$B,FI$1,$J:$J)/COUNTIF($B:$B,FI$1)</f>
        <v>0.23700000000000007</v>
      </c>
      <c r="FJ15" s="1767">
        <f>SUMIF($B:$B,FJ$1,$J:$J)/COUNTIF($B:$B,FJ$1)</f>
        <v>0.23700000000000007</v>
      </c>
      <c r="FK15" s="1767">
        <f>SUMIF($B:$B,FK$1,$J:$J)/COUNTIF($B:$B,FK$1)</f>
        <v>0.23700000000000007</v>
      </c>
      <c r="FL15" s="1767">
        <f>SUMIF($B:$B,FL$1,$J:$J)/COUNTIF($B:$B,FL$1)</f>
        <v>0.23700000000000007</v>
      </c>
      <c r="FM15" s="2391">
        <f>FL15</f>
        <v>0.23700000000000007</v>
      </c>
    </row>
    <row r="16" spans="1:169" outlineLevel="1">
      <c r="A16" s="1749">
        <f t="shared" si="0"/>
        <v>36586</v>
      </c>
      <c r="B16" s="1749" t="str">
        <f t="shared" si="1"/>
        <v>1Q00</v>
      </c>
      <c r="C16" s="1749" t="str">
        <f t="shared" si="2"/>
        <v>1Q00</v>
      </c>
      <c r="D16" s="1750">
        <f t="shared" si="8"/>
        <v>36612</v>
      </c>
      <c r="E16" s="1750">
        <f t="shared" si="8"/>
        <v>36605</v>
      </c>
      <c r="F16" s="1735">
        <v>1.4790000000000001</v>
      </c>
      <c r="G16" s="1752"/>
      <c r="H16" s="1762">
        <f t="shared" si="3"/>
        <v>0.31899999999999995</v>
      </c>
      <c r="I16" s="1763">
        <f t="shared" si="4"/>
        <v>0.31899999999999995</v>
      </c>
      <c r="J16" s="1755">
        <f t="shared" si="5"/>
        <v>0.04</v>
      </c>
      <c r="K16" s="1763">
        <f t="shared" si="4"/>
        <v>0.04</v>
      </c>
      <c r="L16" s="1764">
        <f t="shared" si="9"/>
        <v>0.08</v>
      </c>
      <c r="M16" s="1765">
        <f t="shared" si="4"/>
        <v>0.08</v>
      </c>
      <c r="O16" s="1752">
        <f t="shared" si="6"/>
        <v>0.5999999999999992</v>
      </c>
      <c r="P16" s="1752">
        <f t="shared" si="7"/>
        <v>0.64999999999999925</v>
      </c>
      <c r="Q16" s="1758">
        <f t="shared" si="11"/>
        <v>0.23399999999999987</v>
      </c>
      <c r="R16" s="1758">
        <f t="shared" si="12"/>
        <v>0.11699999999999994</v>
      </c>
      <c r="T16" s="1752">
        <f t="shared" si="18"/>
        <v>1.6500000000000006</v>
      </c>
      <c r="U16" s="1752">
        <f t="shared" si="18"/>
        <v>1.6990000000000007</v>
      </c>
      <c r="V16" s="1759">
        <f t="shared" si="19"/>
        <v>0.11999999999999998</v>
      </c>
      <c r="X16" s="1603"/>
      <c r="Y16" s="1737"/>
      <c r="Z16" s="1737"/>
      <c r="AA16" s="1737"/>
      <c r="AB16" s="1737"/>
      <c r="AC16" s="1737"/>
      <c r="AD16" s="1737"/>
      <c r="AE16" s="1737"/>
      <c r="AF16" s="1737"/>
      <c r="AG16" s="1737"/>
      <c r="AH16" s="1737"/>
      <c r="AI16" s="1737"/>
      <c r="AJ16" s="1737"/>
      <c r="AK16" s="1737"/>
      <c r="AL16" s="1737"/>
      <c r="AM16" s="1737"/>
      <c r="AN16" s="1737"/>
      <c r="AO16" s="1737"/>
      <c r="AP16" s="1737"/>
      <c r="AQ16" s="1737"/>
      <c r="AR16" s="1737"/>
      <c r="AS16" s="1737"/>
      <c r="AT16" s="1737"/>
      <c r="AU16" s="1737"/>
      <c r="AV16" s="1737"/>
      <c r="AW16" s="1737"/>
      <c r="AX16" s="1737"/>
      <c r="AY16" s="1737"/>
      <c r="AZ16" s="1737"/>
      <c r="BA16" s="1737"/>
      <c r="BB16" s="1737"/>
      <c r="BC16" s="1737"/>
      <c r="BD16" s="1737"/>
      <c r="BE16" s="1737"/>
      <c r="BF16" s="1737"/>
      <c r="BG16" s="1737"/>
      <c r="BH16" s="1737"/>
      <c r="BI16" s="1737"/>
      <c r="BJ16" s="1737"/>
      <c r="BK16" s="1737"/>
      <c r="BL16" s="1737"/>
      <c r="BM16" s="1767">
        <f>SUMIF($B:$B,BM$1,$K:$K)/COUNTIF($B:$B,BM$1)</f>
        <v>3.9999999999999994E-2</v>
      </c>
      <c r="BN16" s="1767">
        <f>SUMIF($B:$B,BN$1,$K:$K)/COUNTIF($B:$B,BN$1)</f>
        <v>3.9999999999999994E-2</v>
      </c>
      <c r="BO16" s="1767">
        <f>SUMIF($B:$B,BO$1,$K:$K)/COUNTIF($B:$B,BO$1)</f>
        <v>3.9999999999999994E-2</v>
      </c>
      <c r="BP16" s="1767">
        <f>SUMIF($B:$B,BP$1,$K:$K)/COUNTIF($B:$B,BP$1)</f>
        <v>3.9999999999999994E-2</v>
      </c>
      <c r="BQ16" s="1767"/>
      <c r="BR16" s="1767">
        <f>SUMIF($B:$B,BR$1,$K:$K)/COUNTIF($B:$B,BR$1)</f>
        <v>3.5153846153846161E-2</v>
      </c>
      <c r="BS16" s="1767">
        <f>SUMIF($B:$B,BS$1,$K:$K)/COUNTIF($B:$B,BS$1)</f>
        <v>3.3923076923076917E-2</v>
      </c>
      <c r="BT16" s="1767">
        <f>SUMIF($B:$B,BT$1,$K:$K)/COUNTIF($B:$B,BT$1)</f>
        <v>2.9153846153846145E-2</v>
      </c>
      <c r="BU16" s="1767">
        <f>SUMIF($B:$B,BU$1,$K:$K)/COUNTIF($B:$B,BU$1)</f>
        <v>1.3642857142857148E-2</v>
      </c>
      <c r="BV16" s="1767"/>
      <c r="BW16" s="1767">
        <f>SUMIF($B:$B,BW$1,$K:$K)/COUNTIF($B:$B,BW$1)</f>
        <v>7.6666666666666662E-3</v>
      </c>
      <c r="BX16" s="1767">
        <f>SUMIF($B:$B,BX$1,$K:$K)/COUNTIF($B:$B,BX$1)</f>
        <v>2.5769230769230773E-2</v>
      </c>
      <c r="BY16" s="1767">
        <f>SUMIF($B:$B,BY$1,$K:$K)/COUNTIF($B:$B,BY$1)</f>
        <v>3.1785714285714278E-2</v>
      </c>
      <c r="BZ16" s="1767">
        <f>SUMIF($B:$B,BZ$1,$K:$K)/COUNTIF($B:$B,BZ$1)</f>
        <v>6.4384615384615401E-2</v>
      </c>
      <c r="CA16" s="1767"/>
      <c r="CB16" s="1767">
        <f>SUMIF($B:$B,CB$1,$K:$K)/COUNTIF($B:$B,CB$1)</f>
        <v>6.384615384615383E-2</v>
      </c>
      <c r="CC16" s="1767">
        <f>SUMIF($B:$B,CC$1,$K:$K)/COUNTIF($B:$B,CC$1)</f>
        <v>4.6846153846153843E-2</v>
      </c>
      <c r="CD16" s="1767">
        <f>SUMIF($B:$B,CD$1,$K:$K)/COUNTIF($B:$B,CD$1)</f>
        <v>4.6153846153846149E-2</v>
      </c>
      <c r="CE16" s="1767">
        <f>SUMIF($B:$B,CE$1,$K:$K)/COUNTIF($B:$B,CE$1)</f>
        <v>4.8923076923076923E-2</v>
      </c>
      <c r="CF16" s="1767"/>
      <c r="CG16" s="1767">
        <f>SUMIF($B:$B,CG$1,$K:$K)/COUNTIF($B:$B,CG$1)</f>
        <v>6.2769230769230785E-2</v>
      </c>
      <c r="CH16" s="1767">
        <f>SUMIF($B:$B,CH$1,$K:$K)/COUNTIF($B:$B,CH$1)</f>
        <v>7.7692307692307672E-2</v>
      </c>
      <c r="CI16" s="1767">
        <f>SUMIF($B:$B,CI$1,$K:$K)/COUNTIF($B:$B,CI$1)</f>
        <v>9.1615384615384626E-2</v>
      </c>
      <c r="CJ16" s="1767">
        <f>SUMIF($B:$B,CJ$1,$K:$K)/COUNTIF($B:$B,CJ$1)</f>
        <v>0.11800000000000001</v>
      </c>
      <c r="CK16" s="1767"/>
      <c r="CL16" s="1767">
        <f>SUMIF($B:$B,CL$1,$K:$K)/COUNTIF($B:$B,CL$1)</f>
        <v>0.11430769230769232</v>
      </c>
      <c r="CM16" s="1767">
        <f>SUMIF($B:$B,CM$1,$K:$K)/COUNTIF($B:$B,CM$1)</f>
        <v>0.13400000000000004</v>
      </c>
      <c r="CN16" s="1767">
        <f>SUMIF($B:$B,CN$1,$K:$K)/COUNTIF($B:$B,CN$1)</f>
        <v>0.15661538461538457</v>
      </c>
      <c r="CO16" s="1767">
        <f>SUMIF($B:$B,CO$1,$K:$K)/COUNTIF($B:$B,CO$1)</f>
        <v>0.1665384615384615</v>
      </c>
      <c r="CP16" s="1767"/>
      <c r="CQ16" s="1767">
        <f>SUMIF($B:$B,CQ$1,$K:$K)/COUNTIF($B:$B,CQ$1)</f>
        <v>0.15823076923076923</v>
      </c>
      <c r="CR16" s="1767">
        <f>SUMIF($B:$B,CR$1,$K:$K)/COUNTIF($B:$B,CR$1)</f>
        <v>0.18353846153846154</v>
      </c>
      <c r="CS16" s="1767">
        <f>SUMIF($B:$B,CS$1,$K:$K)/COUNTIF($B:$B,CS$1)</f>
        <v>0.20061538461538467</v>
      </c>
      <c r="CT16" s="1767">
        <f>SUMIF($B:$B,CT$1,$K:$K)/COUNTIF($B:$B,CT$1)</f>
        <v>0.16400000000000001</v>
      </c>
      <c r="CU16" s="1767"/>
      <c r="CV16" s="1767">
        <f>SUMIF($B:$B,CV$1,$K:$K)/COUNTIF($B:$B,CV$1)</f>
        <v>0.16284615384615383</v>
      </c>
      <c r="CW16" s="1767">
        <f>SUMIF($B:$B,CW$1,$K:$K)/COUNTIF($B:$B,CW$1)</f>
        <v>0.19007692307692309</v>
      </c>
      <c r="CX16" s="1767">
        <f>SUMIF($B:$B,CX$1,$K:$K)/COUNTIF($B:$B,CX$1)</f>
        <v>0.19784615384615389</v>
      </c>
      <c r="CY16" s="1767">
        <f>SUMIF($B:$B,CY$1,$K:$K)/COUNTIF($B:$B,CY$1)</f>
        <v>0.23457142857142857</v>
      </c>
      <c r="CZ16" s="1767"/>
      <c r="DA16" s="1767">
        <f>SUMIF($B:$B,DA$1,$K:$K)/COUNTIF($B:$B,DA$1)</f>
        <v>0.26346153846153847</v>
      </c>
      <c r="DB16" s="1767">
        <f>SUMIF($B:$B,DB$1,$K:$K)/COUNTIF($B:$B,DB$1)</f>
        <v>0.3501538461538462</v>
      </c>
      <c r="DC16" s="1767">
        <f>SUMIF($B:$B,DC$1,$K:$K)/COUNTIF($B:$B,DC$1)</f>
        <v>0.34030769230769231</v>
      </c>
      <c r="DD16" s="1767">
        <f>SUMIF($B:$B,DD$1,$K:$K)/COUNTIF($B:$B,DD$1)</f>
        <v>0.20115384615384618</v>
      </c>
      <c r="DE16" s="1767"/>
      <c r="DF16" s="1767">
        <f>SUMIF($B:$B,DF$1,$K:$K)/COUNTIF($B:$B,DF$1)</f>
        <v>0.12707692307692312</v>
      </c>
      <c r="DG16" s="1767">
        <f>SUMIF($B:$B,DG$1,$K:$K)/COUNTIF($B:$B,DG$1)</f>
        <v>0.14261538461538462</v>
      </c>
      <c r="DH16" s="1767">
        <f>SUMIF($B:$B,DH$1,$K:$K)/COUNTIF($B:$B,DH$1)</f>
        <v>0.16884615384615384</v>
      </c>
      <c r="DI16" s="1767">
        <f>SUMIF($B:$B,DI$1,$K:$K)/COUNTIF($B:$B,DI$1)</f>
        <v>0.18269230769230768</v>
      </c>
      <c r="DJ16" s="1767"/>
      <c r="DK16" s="1767">
        <f>SUMIF($B:$B,DK$1,$K:$K)/COUNTIF($B:$B,DK$1)</f>
        <v>0.19384615384615383</v>
      </c>
      <c r="DL16" s="1767">
        <f>SUMIF($B:$B,DL$1,$K:$K)/COUNTIF($B:$B,DL$1)</f>
        <v>0.21138461538461545</v>
      </c>
      <c r="DM16" s="1767">
        <f>SUMIF($B:$B,DM$1,$K:$K)/COUNTIF($B:$B,DM$1)</f>
        <v>0.20253846153846153</v>
      </c>
      <c r="DN16" s="1767">
        <f>SUMIF($B:$B,DN$1,$K:$K)/COUNTIF($B:$B,DN$1)</f>
        <v>0.22300000000000003</v>
      </c>
      <c r="DO16" s="1767"/>
      <c r="DP16" s="1767">
        <f>SUMIF($B:$B,DP$1,$K:$K)/COUNTIF($B:$B,DP$1)</f>
        <v>0.26930769230769236</v>
      </c>
      <c r="DQ16" s="1767">
        <f>SUMIF($B:$B,DQ$1,$K:$K)/COUNTIF($B:$B,DQ$1)</f>
        <v>0.3102307692307692</v>
      </c>
      <c r="DR16" s="1767">
        <f>SUMIF($B:$B,DR$1,$K:$K)/COUNTIF($B:$B,DR$1)</f>
        <v>0.29523076923076919</v>
      </c>
      <c r="DS16" s="1767">
        <f>SUMIF($B:$B,DS$1,$K:$K)/COUNTIF($B:$B,DS$1)</f>
        <v>0.29538461538461536</v>
      </c>
      <c r="DT16" s="1767"/>
      <c r="DU16" s="1767">
        <f>SUMIF($B:$B,DU$1,$K:$K)/COUNTIF($B:$B,DU$1)</f>
        <v>0.30461538461538462</v>
      </c>
      <c r="DV16" s="1767">
        <f>SUMIF($B:$B,DV$1,$K:$K)/COUNTIF($B:$B,DV$1)</f>
        <v>0.30476923076923079</v>
      </c>
      <c r="DW16" s="1767">
        <f>SUMIF($B:$B,DW$1,$K:$K)/COUNTIF($B:$B,DW$1)</f>
        <v>0.30092307692307696</v>
      </c>
      <c r="DX16" s="1767">
        <f>SUMIF($B:$B,DX$1,$K:$K)/COUNTIF($B:$B,DX$1)</f>
        <v>0.31057142857142855</v>
      </c>
      <c r="DY16" s="1767"/>
      <c r="DZ16" s="1767">
        <f>SUMIF($B:$B,DZ$1,$K:$K)/COUNTIF($B:$B,DZ$1)</f>
        <v>0.31141666666666667</v>
      </c>
      <c r="EA16" s="1767">
        <f>SUMIF($B:$B,EA$1,$K:$K)/COUNTIF($B:$B,EA$1)</f>
        <v>0.29723076923076924</v>
      </c>
      <c r="EB16" s="1767">
        <f>SUMIF($B:$B,EB$1,$K:$K)/COUNTIF($B:$B,EB$1)</f>
        <v>0.29957142857142849</v>
      </c>
      <c r="EC16" s="1767">
        <f>SUMIF($B:$B,EC$1,$K:$K)/COUNTIF($B:$B,EC$1)</f>
        <v>0.29561538461538461</v>
      </c>
      <c r="ED16" s="1767"/>
      <c r="EE16" s="1767">
        <f>SUMIF($B:$B,EE$1,$K:$K)/COUNTIF($B:$B,EE$1)</f>
        <v>0.30476923076923079</v>
      </c>
      <c r="EF16" s="1767">
        <f>SUMIF($B:$B,EF$1,$K:$K)/COUNTIF($B:$B,EF$1)</f>
        <v>0.30207692307692308</v>
      </c>
      <c r="EG16" s="1767">
        <f>SUMIF($B:$B,EG$1,$K:$K)/COUNTIF($B:$B,EG$1)</f>
        <v>0.29199999999999998</v>
      </c>
      <c r="EH16" s="1767">
        <f>SUMIF($B:$B,EH$1,$K:$K)/COUNTIF($B:$B,EH$1)</f>
        <v>0.26630769230769236</v>
      </c>
      <c r="EI16" s="1767"/>
      <c r="EJ16" s="1767">
        <f>SUMIF($B:$B,EJ$1,$K:$K)/COUNTIF($B:$B,EJ$1)</f>
        <v>0.22603846153846158</v>
      </c>
      <c r="EK16" s="1767">
        <f>SUMIF($B:$B,EK$1,$K:$K)/COUNTIF($B:$B,EK$1)</f>
        <v>0.22853846153846147</v>
      </c>
      <c r="EL16" s="1767">
        <f>SUMIF($B:$B,EL$1,$K:$K)/COUNTIF($B:$B,EL$1)</f>
        <v>0.21719230769230766</v>
      </c>
      <c r="EM16" s="1767">
        <f>SUMIF($B:$B,EM$1,$K:$K)/COUNTIF($B:$B,EM$1)</f>
        <v>0.2071923076923077</v>
      </c>
      <c r="EN16" s="1767"/>
      <c r="EO16" s="1767">
        <f>SUMIF($B:$B,EO$1,$K:$K)/COUNTIF($B:$B,EO$1)</f>
        <v>0.18930769230769234</v>
      </c>
      <c r="EP16" s="1767">
        <f>SUMIF($B:$B,EP$1,$K:$K)/COUNTIF($B:$B,EP$1)</f>
        <v>0.20065384615384613</v>
      </c>
      <c r="EQ16" s="1767">
        <f>SUMIF($B:$B,EQ$1,$K:$K)/COUNTIF($B:$B,EQ$1)</f>
        <v>0.20488461538461536</v>
      </c>
      <c r="ER16" s="1767">
        <f>SUMIF($B:$B,ER$1,$K:$K)/COUNTIF($B:$B,ER$1)</f>
        <v>0.20873076923076925</v>
      </c>
      <c r="ES16" s="1767"/>
      <c r="ET16" s="1767">
        <f>SUMIF($B:$B,ET$1,$K:$K)/COUNTIF($B:$B,ET$1)</f>
        <v>0.21411538461538462</v>
      </c>
      <c r="EU16" s="1767">
        <f>SUMIF($B:$B,EU$1,$K:$K)/COUNTIF($B:$B,EU$1)</f>
        <v>0.21315384615384611</v>
      </c>
      <c r="EV16" s="1767">
        <f>SUMIF($B:$B,EV$1,$K:$K)/COUNTIF($B:$B,EV$1)</f>
        <v>0.21642307692307688</v>
      </c>
      <c r="EW16" s="1767">
        <f>SUMIF($B:$B,EW$1,$K:$K)/COUNTIF($B:$B,EW$1)</f>
        <v>0.22911538461538467</v>
      </c>
      <c r="EX16" s="1767"/>
      <c r="EY16" s="1767">
        <f>SUMIF($B:$B,EY$1,$K:$K)/COUNTIF($B:$B,EY$1)</f>
        <v>0.23661538461538464</v>
      </c>
      <c r="EZ16" s="1767">
        <f>SUMIF($B:$B,EZ$1,$K:$K)/COUNTIF($B:$B,EZ$1)</f>
        <v>0.23700000000000007</v>
      </c>
      <c r="FA16" s="1767">
        <f>SUMIF($B:$B,FA$1,$K:$K)/COUNTIF($B:$B,FA$1)</f>
        <v>0.23700000000000007</v>
      </c>
      <c r="FB16" s="1767">
        <f>SUMIF($B:$B,FB$1,$K:$K)/COUNTIF($B:$B,FB$1)</f>
        <v>0.23700000000000007</v>
      </c>
      <c r="FC16" s="1767"/>
      <c r="FD16" s="1767">
        <f>SUMIF($B:$B,FD$1,$K:$K)/COUNTIF($B:$B,FD$1)</f>
        <v>0.23700000000000007</v>
      </c>
      <c r="FE16" s="1767">
        <f t="shared" ref="FE16:FG16" si="21">SUMIF($B:$B,FE$1,$K:$K)/COUNTIF($B:$B,FE$1)</f>
        <v>0.23700000000000007</v>
      </c>
      <c r="FF16" s="1767">
        <f t="shared" si="21"/>
        <v>0.23700000000000007</v>
      </c>
      <c r="FG16" s="1767">
        <f t="shared" si="21"/>
        <v>0.23700000000000007</v>
      </c>
      <c r="FH16" s="2391">
        <f>FG16</f>
        <v>0.23700000000000007</v>
      </c>
      <c r="FI16" s="1767">
        <f>SUMIF($B:$B,FI$1,$K:$K)/COUNTIF($B:$B,FI$1)</f>
        <v>0.23700000000000007</v>
      </c>
      <c r="FJ16" s="1767">
        <f>SUMIF($B:$B,FJ$1,$K:$K)/COUNTIF($B:$B,FJ$1)</f>
        <v>0.23700000000000007</v>
      </c>
      <c r="FK16" s="1767">
        <f>SUMIF($B:$B,FK$1,$K:$K)/COUNTIF($B:$B,FK$1)</f>
        <v>0.23700000000000007</v>
      </c>
      <c r="FL16" s="1767">
        <f>SUMIF($B:$B,FL$1,$K:$K)/COUNTIF($B:$B,FL$1)</f>
        <v>0.23700000000000007</v>
      </c>
      <c r="FM16" s="2391">
        <f>FL16</f>
        <v>0.23700000000000007</v>
      </c>
    </row>
    <row r="17" spans="1:169" outlineLevel="1">
      <c r="A17" s="1749">
        <f t="shared" si="0"/>
        <v>36617</v>
      </c>
      <c r="B17" s="1749" t="str">
        <f t="shared" si="1"/>
        <v>2Q00</v>
      </c>
      <c r="C17" s="1749" t="str">
        <f t="shared" si="2"/>
        <v>1Q00</v>
      </c>
      <c r="D17" s="1750">
        <f t="shared" si="8"/>
        <v>36619</v>
      </c>
      <c r="E17" s="1750">
        <f t="shared" si="8"/>
        <v>36612</v>
      </c>
      <c r="F17" s="1735">
        <v>1.4509999999999998</v>
      </c>
      <c r="G17" s="1752"/>
      <c r="H17" s="1762">
        <f t="shared" si="3"/>
        <v>0.31899999999999995</v>
      </c>
      <c r="I17" s="1763">
        <f t="shared" si="4"/>
        <v>0.31399999999999995</v>
      </c>
      <c r="J17" s="1755">
        <f t="shared" si="5"/>
        <v>0.04</v>
      </c>
      <c r="K17" s="1763">
        <f t="shared" si="4"/>
        <v>0.04</v>
      </c>
      <c r="L17" s="1764">
        <f t="shared" si="9"/>
        <v>0.08</v>
      </c>
      <c r="M17" s="1765">
        <f t="shared" si="4"/>
        <v>7.0000000000000007E-2</v>
      </c>
      <c r="O17" s="1752">
        <f t="shared" si="6"/>
        <v>0.64999999999999925</v>
      </c>
      <c r="P17" s="1752">
        <f t="shared" si="7"/>
        <v>0.69999999999999929</v>
      </c>
      <c r="Q17" s="1758">
        <f t="shared" si="11"/>
        <v>0.23899999999999988</v>
      </c>
      <c r="R17" s="1758">
        <f t="shared" si="12"/>
        <v>0.11949999999999994</v>
      </c>
      <c r="T17" s="1752">
        <f t="shared" si="18"/>
        <v>1.7000000000000006</v>
      </c>
      <c r="U17" s="1752">
        <f t="shared" si="18"/>
        <v>1.7490000000000008</v>
      </c>
      <c r="V17" s="1759">
        <f t="shared" si="19"/>
        <v>0.12999999999999998</v>
      </c>
      <c r="X17" s="1603"/>
      <c r="Y17" s="1737"/>
      <c r="Z17" s="1737"/>
      <c r="AA17" s="1737"/>
      <c r="AB17" s="1737"/>
      <c r="AC17" s="1737"/>
      <c r="AD17" s="1737"/>
      <c r="AE17" s="1737"/>
      <c r="AF17" s="1737"/>
      <c r="AG17" s="1737"/>
      <c r="AH17" s="1737"/>
      <c r="AI17" s="1737"/>
      <c r="AJ17" s="1737"/>
      <c r="AK17" s="1737"/>
      <c r="AL17" s="1737"/>
      <c r="AM17" s="1737"/>
      <c r="AN17" s="1737"/>
      <c r="AO17" s="1737"/>
      <c r="AP17" s="1737"/>
      <c r="AQ17" s="1737"/>
      <c r="AR17" s="1737"/>
      <c r="AS17" s="1737"/>
      <c r="AT17" s="1737"/>
      <c r="AU17" s="1737"/>
      <c r="AV17" s="1737"/>
      <c r="AW17" s="1737"/>
      <c r="AX17" s="1737"/>
      <c r="AY17" s="1737"/>
      <c r="AZ17" s="1737"/>
      <c r="BA17" s="1737"/>
      <c r="BB17" s="1737"/>
      <c r="BC17" s="1737"/>
      <c r="BD17" s="1737"/>
      <c r="BE17" s="1737"/>
      <c r="BF17" s="1737"/>
      <c r="BG17" s="1737"/>
      <c r="BH17" s="1737"/>
      <c r="BI17" s="1737"/>
      <c r="BJ17" s="1737"/>
      <c r="BK17" s="1737"/>
      <c r="BL17" s="1737"/>
      <c r="BM17" s="1603"/>
      <c r="BN17" s="1603"/>
      <c r="BO17" s="1603"/>
      <c r="BP17" s="1603"/>
      <c r="BQ17" s="1603"/>
      <c r="BR17" s="1603"/>
      <c r="BS17" s="1603"/>
      <c r="BT17" s="1603"/>
      <c r="BU17" s="1603"/>
      <c r="BV17" s="1603"/>
      <c r="BW17" s="1603"/>
      <c r="BX17" s="1603"/>
      <c r="BY17" s="1603"/>
      <c r="BZ17" s="1603"/>
      <c r="CA17" s="1603"/>
      <c r="CB17" s="1603"/>
      <c r="CC17" s="1603"/>
      <c r="CD17" s="1603"/>
      <c r="CE17" s="1603"/>
      <c r="CF17" s="1603"/>
      <c r="CG17" s="1603"/>
      <c r="CH17" s="1603"/>
      <c r="CI17" s="1603"/>
      <c r="CJ17" s="1603"/>
      <c r="CK17" s="1603"/>
      <c r="CL17" s="1603"/>
      <c r="CM17" s="1603"/>
      <c r="CN17" s="1603"/>
      <c r="CO17" s="1603"/>
      <c r="CP17" s="1603"/>
      <c r="CQ17" s="1603"/>
      <c r="CR17" s="1603"/>
      <c r="CS17" s="1603"/>
      <c r="CT17" s="1603"/>
      <c r="CU17" s="1603"/>
      <c r="CV17" s="1603"/>
      <c r="CW17" s="1603"/>
      <c r="CX17" s="1603"/>
      <c r="CY17" s="1603"/>
      <c r="CZ17" s="1603"/>
      <c r="DA17" s="1603"/>
      <c r="DB17" s="1603"/>
      <c r="DC17" s="1603"/>
      <c r="DD17" s="1603"/>
      <c r="DE17" s="1603"/>
      <c r="DF17" s="1603"/>
      <c r="DG17" s="1603"/>
      <c r="DH17" s="1603"/>
      <c r="DI17" s="1603"/>
      <c r="DJ17" s="1603"/>
      <c r="DK17" s="1603"/>
      <c r="DL17" s="1603"/>
      <c r="DM17" s="1603"/>
      <c r="DN17" s="1603"/>
      <c r="DO17" s="1603"/>
      <c r="DP17" s="1603"/>
      <c r="DQ17" s="1603"/>
      <c r="DR17" s="1603"/>
      <c r="DS17" s="1603"/>
      <c r="DT17" s="1603"/>
      <c r="DU17" s="1603"/>
      <c r="DV17" s="1603"/>
      <c r="DW17" s="1603"/>
      <c r="DX17" s="1603"/>
      <c r="DY17" s="1603"/>
      <c r="DZ17" s="1603"/>
      <c r="EA17" s="1603"/>
      <c r="EB17" s="1603"/>
      <c r="EC17" s="1603"/>
      <c r="ED17" s="1603"/>
      <c r="EE17" s="1603"/>
      <c r="EF17" s="1603"/>
      <c r="EG17" s="1603"/>
      <c r="EH17" s="1603"/>
      <c r="EI17" s="1603"/>
      <c r="EJ17" s="1603"/>
      <c r="EK17" s="1603"/>
      <c r="EL17" s="1603"/>
      <c r="EM17" s="1603"/>
      <c r="EN17" s="1603"/>
      <c r="EO17" s="1603"/>
      <c r="EP17" s="1603"/>
      <c r="EQ17" s="1603"/>
      <c r="ER17" s="1603"/>
      <c r="ES17" s="1603"/>
      <c r="ET17" s="1603"/>
      <c r="EU17" s="1603"/>
      <c r="EV17" s="1603"/>
      <c r="EW17" s="1603"/>
      <c r="EX17" s="1603"/>
      <c r="EY17" s="1603"/>
      <c r="EZ17" s="1603"/>
      <c r="FA17" s="1603"/>
      <c r="FB17" s="1603"/>
      <c r="FC17" s="1603"/>
      <c r="FD17" s="1603"/>
      <c r="FE17" s="1603"/>
      <c r="FF17" s="1603"/>
      <c r="FG17" s="1603"/>
      <c r="FH17" s="1603"/>
      <c r="FI17" s="1603"/>
      <c r="FJ17" s="1603"/>
      <c r="FK17" s="1603"/>
      <c r="FL17" s="1603"/>
      <c r="FM17" s="1603"/>
    </row>
    <row r="18" spans="1:169" outlineLevel="1">
      <c r="A18" s="1749">
        <f t="shared" si="0"/>
        <v>36617</v>
      </c>
      <c r="B18" s="1749" t="str">
        <f t="shared" si="1"/>
        <v>2Q00</v>
      </c>
      <c r="C18" s="1749" t="str">
        <f t="shared" si="2"/>
        <v>2Q00</v>
      </c>
      <c r="D18" s="1750">
        <f t="shared" si="8"/>
        <v>36626</v>
      </c>
      <c r="E18" s="1750">
        <f t="shared" si="8"/>
        <v>36619</v>
      </c>
      <c r="F18" s="1735">
        <v>1.4419999999999999</v>
      </c>
      <c r="G18" s="1752"/>
      <c r="H18" s="1762">
        <f t="shared" si="3"/>
        <v>0.31399999999999995</v>
      </c>
      <c r="I18" s="1763">
        <f t="shared" si="4"/>
        <v>0.31399999999999995</v>
      </c>
      <c r="J18" s="1755">
        <f t="shared" si="5"/>
        <v>0.04</v>
      </c>
      <c r="K18" s="1763">
        <f t="shared" si="4"/>
        <v>0.04</v>
      </c>
      <c r="L18" s="1764">
        <f t="shared" si="9"/>
        <v>7.0000000000000007E-2</v>
      </c>
      <c r="M18" s="1765">
        <f t="shared" si="4"/>
        <v>7.0000000000000007E-2</v>
      </c>
      <c r="O18" s="1752">
        <f t="shared" si="6"/>
        <v>0.69999999999999929</v>
      </c>
      <c r="P18" s="1752">
        <f t="shared" si="7"/>
        <v>0.74999999999999933</v>
      </c>
      <c r="Q18" s="1758">
        <f t="shared" si="11"/>
        <v>0.24399999999999988</v>
      </c>
      <c r="R18" s="1758">
        <f t="shared" si="12"/>
        <v>0.12199999999999994</v>
      </c>
      <c r="T18" s="1752">
        <f t="shared" si="18"/>
        <v>1.7500000000000007</v>
      </c>
      <c r="U18" s="1752">
        <f t="shared" si="18"/>
        <v>1.7990000000000008</v>
      </c>
      <c r="V18" s="1759">
        <f t="shared" si="19"/>
        <v>0.13999999999999999</v>
      </c>
      <c r="X18" s="1603"/>
      <c r="Y18" s="1603"/>
      <c r="Z18" s="1603"/>
      <c r="AA18" s="1603"/>
      <c r="AB18" s="1603"/>
      <c r="AC18" s="1603"/>
      <c r="AD18" s="1603"/>
      <c r="AE18" s="1603"/>
      <c r="AF18" s="1603"/>
      <c r="AG18" s="1603"/>
      <c r="AH18" s="1603"/>
      <c r="AI18" s="1603"/>
      <c r="AJ18" s="1603"/>
      <c r="AK18" s="1603"/>
      <c r="AL18" s="1603"/>
      <c r="AM18" s="1603"/>
      <c r="AN18" s="1603"/>
      <c r="AO18" s="1603"/>
      <c r="AP18" s="1603"/>
      <c r="AQ18" s="1603"/>
      <c r="AR18" s="1603"/>
      <c r="AS18" s="1603"/>
      <c r="AT18" s="1603"/>
      <c r="AU18" s="1603"/>
      <c r="AV18" s="1603"/>
      <c r="AW18" s="1603"/>
      <c r="AX18" s="1603"/>
      <c r="AY18" s="1603"/>
      <c r="AZ18" s="1603"/>
      <c r="BA18" s="1603"/>
      <c r="BB18" s="1603"/>
      <c r="BC18" s="1603"/>
      <c r="BD18" s="1603"/>
      <c r="BE18" s="1603"/>
      <c r="BF18" s="1603"/>
      <c r="BG18" s="1603"/>
      <c r="BH18" s="1603"/>
      <c r="BI18" s="1603"/>
      <c r="BJ18" s="1603"/>
      <c r="BK18" s="1603"/>
      <c r="BL18" s="1603"/>
      <c r="BM18" s="1603"/>
      <c r="BN18" s="1603"/>
      <c r="BO18" s="1603"/>
      <c r="BP18" s="1603"/>
      <c r="BQ18" s="1603"/>
      <c r="BR18" s="1603"/>
      <c r="BS18" s="1603"/>
      <c r="BT18" s="1603"/>
      <c r="BU18" s="1603"/>
      <c r="BV18" s="1603"/>
      <c r="BW18" s="1603"/>
      <c r="BX18" s="1603"/>
      <c r="BY18" s="1603"/>
      <c r="BZ18" s="1603"/>
      <c r="CA18" s="1603"/>
      <c r="CB18" s="1603"/>
      <c r="CC18" s="1603"/>
      <c r="CD18" s="1603"/>
      <c r="CE18" s="1603"/>
      <c r="CF18" s="1603"/>
      <c r="CG18" s="1603"/>
      <c r="CH18" s="1603"/>
      <c r="CI18" s="1603"/>
      <c r="CJ18" s="1603"/>
      <c r="CK18" s="1603"/>
      <c r="CL18" s="1603"/>
      <c r="CM18" s="1603"/>
      <c r="CN18" s="1603"/>
      <c r="CO18" s="1603"/>
      <c r="CP18" s="1603"/>
      <c r="CQ18" s="1603"/>
      <c r="CR18" s="1603"/>
      <c r="CS18" s="1603"/>
      <c r="CT18" s="1603"/>
      <c r="CU18" s="1603"/>
      <c r="CV18" s="1603"/>
      <c r="CW18" s="1603"/>
      <c r="CX18" s="1603"/>
      <c r="CY18" s="1603"/>
      <c r="CZ18" s="1603"/>
      <c r="DA18" s="1603"/>
      <c r="DB18" s="1603"/>
      <c r="DC18" s="1603"/>
      <c r="DD18" s="1603"/>
      <c r="DE18" s="1603"/>
      <c r="DF18" s="1603"/>
      <c r="DG18" s="1603"/>
      <c r="DH18" s="1603"/>
      <c r="DI18" s="1603"/>
      <c r="DJ18" s="1603"/>
      <c r="DK18" s="1603"/>
      <c r="DL18" s="1603"/>
      <c r="DM18" s="1603"/>
      <c r="DN18" s="1603"/>
      <c r="DO18" s="1603"/>
      <c r="DP18" s="1603"/>
      <c r="DQ18" s="1603"/>
      <c r="DR18" s="1603"/>
      <c r="DS18" s="1603"/>
      <c r="DT18" s="1603"/>
      <c r="DU18" s="1603"/>
      <c r="DV18" s="1603"/>
      <c r="DW18" s="1603"/>
      <c r="DX18" s="1603"/>
      <c r="DY18" s="1603"/>
      <c r="DZ18" s="1603"/>
      <c r="EA18" s="1603"/>
      <c r="EB18" s="1603"/>
      <c r="EC18" s="1603"/>
      <c r="ED18" s="1603"/>
      <c r="EE18" s="1603"/>
      <c r="EF18" s="1603"/>
      <c r="EG18" s="1603"/>
      <c r="EH18" s="1603"/>
      <c r="EI18" s="1603"/>
      <c r="EJ18" s="1603"/>
      <c r="EK18" s="1603"/>
      <c r="EL18" s="1603"/>
      <c r="EM18" s="1603"/>
      <c r="EN18" s="1603"/>
      <c r="EO18" s="1603"/>
      <c r="EP18" s="1603"/>
      <c r="EQ18" s="1603"/>
      <c r="ER18" s="1603"/>
      <c r="ES18" s="1603"/>
      <c r="ET18" s="1603"/>
      <c r="EU18" s="1603"/>
      <c r="EV18" s="1603"/>
      <c r="EW18" s="1603"/>
      <c r="EX18" s="1603"/>
      <c r="EY18" s="1603"/>
      <c r="EZ18" s="1603"/>
      <c r="FA18" s="1603"/>
      <c r="FB18" s="1603"/>
      <c r="FC18" s="1603"/>
      <c r="FD18" s="1603"/>
      <c r="FE18" s="1603"/>
      <c r="FF18" s="1603"/>
      <c r="FG18" s="1603"/>
      <c r="FH18" s="1603"/>
      <c r="FI18" s="1603"/>
      <c r="FJ18" s="1603"/>
      <c r="FK18" s="1603"/>
      <c r="FL18" s="1603"/>
      <c r="FM18" s="1603"/>
    </row>
    <row r="19" spans="1:169" outlineLevel="1">
      <c r="A19" s="1749">
        <f t="shared" si="0"/>
        <v>36617</v>
      </c>
      <c r="B19" s="1749" t="str">
        <f t="shared" si="1"/>
        <v>2Q00</v>
      </c>
      <c r="C19" s="1749" t="str">
        <f t="shared" si="2"/>
        <v>2Q00</v>
      </c>
      <c r="D19" s="1750">
        <f t="shared" si="8"/>
        <v>36633</v>
      </c>
      <c r="E19" s="1750">
        <f t="shared" si="8"/>
        <v>36626</v>
      </c>
      <c r="F19" s="1735">
        <v>1.419</v>
      </c>
      <c r="G19" s="1752"/>
      <c r="H19" s="1762">
        <f t="shared" si="3"/>
        <v>0.31399999999999995</v>
      </c>
      <c r="I19" s="1763">
        <f t="shared" si="4"/>
        <v>0.30899999999999994</v>
      </c>
      <c r="J19" s="1755">
        <f t="shared" si="5"/>
        <v>0.04</v>
      </c>
      <c r="K19" s="1763">
        <f t="shared" si="4"/>
        <v>0.04</v>
      </c>
      <c r="L19" s="1764">
        <f t="shared" si="9"/>
        <v>7.0000000000000007E-2</v>
      </c>
      <c r="M19" s="1765">
        <f t="shared" si="4"/>
        <v>6.0000000000000005E-2</v>
      </c>
      <c r="O19" s="1752">
        <f t="shared" si="6"/>
        <v>0.74999999999999933</v>
      </c>
      <c r="P19" s="1752">
        <f t="shared" si="7"/>
        <v>0.79999999999999938</v>
      </c>
      <c r="Q19" s="1758">
        <f t="shared" si="11"/>
        <v>0.24899999999999989</v>
      </c>
      <c r="R19" s="1758">
        <f t="shared" si="12"/>
        <v>0.12449999999999994</v>
      </c>
      <c r="T19" s="1752">
        <f t="shared" si="18"/>
        <v>1.8000000000000007</v>
      </c>
      <c r="U19" s="1752">
        <f t="shared" si="18"/>
        <v>1.8490000000000009</v>
      </c>
      <c r="V19" s="1759">
        <f t="shared" si="19"/>
        <v>0.15</v>
      </c>
      <c r="X19" s="1766"/>
      <c r="Y19" s="1603"/>
      <c r="Z19" s="1603"/>
      <c r="AA19" s="1603"/>
      <c r="AB19" s="1603">
        <f>AB23+1</f>
        <v>1</v>
      </c>
      <c r="AC19" s="1603">
        <v>4</v>
      </c>
      <c r="AD19" s="1603"/>
      <c r="AE19" s="1603"/>
      <c r="AF19" s="1603"/>
      <c r="AG19" s="1603"/>
      <c r="AH19" s="1603"/>
      <c r="AI19" s="1603"/>
      <c r="AJ19" s="1603"/>
      <c r="AK19" s="1603"/>
      <c r="AL19" s="1603"/>
      <c r="AM19" s="1603"/>
      <c r="AN19" s="1603"/>
      <c r="AO19" s="1603"/>
      <c r="AP19" s="1603"/>
      <c r="AQ19" s="1603"/>
      <c r="AR19" s="1603"/>
      <c r="AS19" s="1603"/>
      <c r="AT19" s="1603"/>
      <c r="AU19" s="1603"/>
      <c r="AV19" s="1603"/>
      <c r="AW19" s="1603"/>
      <c r="AX19" s="1603"/>
      <c r="AY19" s="1603"/>
      <c r="AZ19" s="1603"/>
      <c r="BA19" s="1603"/>
      <c r="BB19" s="1603"/>
      <c r="BC19" s="1603"/>
      <c r="BD19" s="1603"/>
      <c r="BE19" s="1603"/>
      <c r="BF19" s="1603"/>
      <c r="BG19" s="1603"/>
      <c r="BH19" s="1603"/>
      <c r="BI19" s="1603"/>
      <c r="BJ19" s="1603"/>
      <c r="BK19" s="1603"/>
      <c r="BL19" s="1603"/>
      <c r="BM19" s="1769"/>
      <c r="BN19" s="1769"/>
      <c r="BO19" s="1769"/>
      <c r="BP19" s="1769"/>
      <c r="BQ19" s="1769"/>
      <c r="BR19" s="1769"/>
      <c r="BS19" s="1769"/>
      <c r="BT19" s="1769"/>
      <c r="BU19" s="1769"/>
      <c r="BV19" s="1769"/>
      <c r="BW19" s="1769"/>
      <c r="BX19" s="1769"/>
      <c r="BY19" s="1769"/>
      <c r="BZ19" s="1769"/>
      <c r="CA19" s="1769"/>
      <c r="CB19" s="1769"/>
      <c r="CC19" s="1769"/>
      <c r="CD19" s="1769"/>
      <c r="CE19" s="1769"/>
      <c r="CF19" s="1769"/>
      <c r="CG19" s="1769"/>
      <c r="CH19" s="1769"/>
      <c r="CI19" s="1769"/>
      <c r="CJ19" s="1769"/>
      <c r="CK19" s="1769"/>
      <c r="CL19" s="1769"/>
      <c r="CM19" s="1769"/>
      <c r="CN19" s="1769"/>
      <c r="CO19" s="1769"/>
      <c r="CP19" s="1769"/>
      <c r="CQ19" s="1769"/>
      <c r="CR19" s="1769"/>
      <c r="CS19" s="1769"/>
      <c r="CT19" s="1769"/>
      <c r="CU19" s="1769"/>
      <c r="CV19" s="1769"/>
      <c r="CW19" s="1769"/>
      <c r="CX19" s="1769"/>
      <c r="CY19" s="1769"/>
      <c r="CZ19" s="1769"/>
      <c r="DA19" s="1769"/>
      <c r="DB19" s="1769"/>
      <c r="DC19" s="1769"/>
      <c r="DD19" s="1769"/>
      <c r="DE19" s="1769"/>
      <c r="DF19" s="1769"/>
      <c r="DG19" s="1769"/>
      <c r="DH19" s="1769"/>
      <c r="DI19" s="1769"/>
      <c r="DJ19" s="1769"/>
      <c r="DK19" s="1769"/>
      <c r="DL19" s="1769"/>
      <c r="DM19" s="1769"/>
      <c r="DN19" s="1769"/>
      <c r="DO19" s="1769"/>
      <c r="DP19" s="1769"/>
      <c r="DQ19" s="1769"/>
      <c r="DR19" s="1769"/>
      <c r="DS19" s="1769"/>
      <c r="DT19" s="1769"/>
      <c r="DU19" s="1769"/>
      <c r="DV19" s="1769"/>
      <c r="DW19" s="1769"/>
      <c r="DX19" s="1769"/>
      <c r="DY19" s="1769"/>
      <c r="DZ19" s="1769"/>
      <c r="EA19" s="1769"/>
      <c r="EB19" s="1769"/>
      <c r="EC19" s="1769"/>
      <c r="ED19" s="1769"/>
      <c r="EE19" s="1769"/>
      <c r="EF19" s="1769"/>
      <c r="EG19" s="1769"/>
      <c r="EH19" s="1769"/>
      <c r="EI19" s="1769"/>
      <c r="EJ19" s="1769"/>
      <c r="EK19" s="1769"/>
      <c r="EL19" s="1769"/>
      <c r="EM19" s="1769"/>
      <c r="EN19" s="1769"/>
      <c r="EO19" s="1769"/>
      <c r="EP19" s="1769"/>
      <c r="EQ19" s="1769"/>
      <c r="ER19" s="1769"/>
      <c r="ES19" s="1769"/>
      <c r="ET19" s="1769"/>
      <c r="EU19" s="1769"/>
      <c r="EV19" s="1769"/>
      <c r="EW19" s="1769"/>
      <c r="EX19" s="1769"/>
      <c r="EY19" s="1769"/>
      <c r="EZ19" s="1769"/>
      <c r="FA19" s="1769"/>
      <c r="FB19" s="1769"/>
      <c r="FC19" s="1769"/>
      <c r="FD19" s="1769"/>
      <c r="FE19" s="1769"/>
      <c r="FF19" s="1769"/>
      <c r="FG19" s="1769"/>
      <c r="FH19" s="1769"/>
      <c r="FI19" s="1769"/>
      <c r="FJ19" s="1769"/>
      <c r="FK19" s="1769"/>
      <c r="FL19" s="1769"/>
      <c r="FM19" s="1769"/>
    </row>
    <row r="20" spans="1:169" outlineLevel="1">
      <c r="A20" s="1749">
        <f t="shared" si="0"/>
        <v>36617</v>
      </c>
      <c r="B20" s="1749" t="str">
        <f t="shared" si="1"/>
        <v>2Q00</v>
      </c>
      <c r="C20" s="1749" t="str">
        <f t="shared" si="2"/>
        <v>2Q00</v>
      </c>
      <c r="D20" s="1750">
        <f t="shared" si="8"/>
        <v>36640</v>
      </c>
      <c r="E20" s="1750">
        <f t="shared" si="8"/>
        <v>36633</v>
      </c>
      <c r="F20" s="1735">
        <v>1.3980000000000001</v>
      </c>
      <c r="G20" s="1752"/>
      <c r="H20" s="1762">
        <f t="shared" si="3"/>
        <v>0.30899999999999994</v>
      </c>
      <c r="I20" s="1763">
        <f t="shared" si="4"/>
        <v>0.31399999999999995</v>
      </c>
      <c r="J20" s="1755">
        <f t="shared" si="5"/>
        <v>0.04</v>
      </c>
      <c r="K20" s="1763">
        <f t="shared" si="4"/>
        <v>0.04</v>
      </c>
      <c r="L20" s="1764">
        <f t="shared" si="9"/>
        <v>6.0000000000000005E-2</v>
      </c>
      <c r="M20" s="1765">
        <f t="shared" si="4"/>
        <v>7.0000000000000007E-2</v>
      </c>
      <c r="O20" s="1752">
        <f t="shared" si="6"/>
        <v>0.79999999999999938</v>
      </c>
      <c r="P20" s="1752">
        <f t="shared" si="7"/>
        <v>0.84999999999999942</v>
      </c>
      <c r="Q20" s="1758">
        <f t="shared" si="11"/>
        <v>0.25399999999999989</v>
      </c>
      <c r="R20" s="1758">
        <f t="shared" si="12"/>
        <v>0.12699999999999995</v>
      </c>
      <c r="T20" s="1752">
        <f t="shared" si="18"/>
        <v>1.8500000000000008</v>
      </c>
      <c r="U20" s="1752">
        <f t="shared" si="18"/>
        <v>1.8990000000000009</v>
      </c>
      <c r="V20" s="1759">
        <f t="shared" si="19"/>
        <v>0.16</v>
      </c>
      <c r="X20" s="1603"/>
      <c r="Y20" s="1603"/>
      <c r="Z20" s="1603"/>
      <c r="AA20" s="1603"/>
      <c r="AB20" s="1603">
        <f>AB19+1</f>
        <v>2</v>
      </c>
      <c r="AC20" s="1603">
        <v>4</v>
      </c>
      <c r="AD20" s="1603"/>
      <c r="AE20" s="1603"/>
      <c r="AF20" s="1603"/>
      <c r="AG20" s="1603"/>
      <c r="AH20" s="1603"/>
      <c r="AI20" s="1603"/>
      <c r="AJ20" s="1603"/>
      <c r="AK20" s="1603"/>
      <c r="AL20" s="1603"/>
      <c r="AM20" s="1603"/>
      <c r="AN20" s="1603"/>
      <c r="AO20" s="1603"/>
      <c r="AP20" s="1603"/>
      <c r="AQ20" s="1603"/>
      <c r="AR20" s="1603"/>
      <c r="AS20" s="1603"/>
      <c r="AT20" s="1603"/>
      <c r="AU20" s="1603"/>
      <c r="AV20" s="1603"/>
      <c r="AW20" s="1603"/>
      <c r="AX20" s="1603"/>
      <c r="AY20" s="1603"/>
      <c r="AZ20" s="1603"/>
      <c r="BA20" s="1603"/>
      <c r="BB20" s="1603"/>
      <c r="BC20" s="1603"/>
      <c r="BD20" s="1603"/>
      <c r="BE20" s="1603"/>
      <c r="BF20" s="1603"/>
      <c r="BG20" s="1603"/>
      <c r="BH20" s="1603"/>
      <c r="BI20" s="1603"/>
      <c r="BJ20" s="1603"/>
      <c r="BK20" s="1603"/>
      <c r="BL20" s="1760"/>
      <c r="BM20" s="1770">
        <f>SUMIF($B:$B,BM$1,$L:$L)/COUNTIF($B:$B,BM$1)</f>
        <v>6.8461538461538449E-2</v>
      </c>
      <c r="BN20" s="1770">
        <f>SUMIF($B:$B,BN$1,$L:$L)/COUNTIF($B:$B,BN$1)</f>
        <v>7.0000000000000034E-2</v>
      </c>
      <c r="BO20" s="1770">
        <f>SUMIF($B:$B,BO$1,$L:$L)/COUNTIF($B:$B,BO$1)</f>
        <v>8.3076923076923062E-2</v>
      </c>
      <c r="BP20" s="1770">
        <f>SUMIF($B:$B,BP$1,$L:$L)/COUNTIF($B:$B,BP$1)</f>
        <v>0.10923076923076921</v>
      </c>
      <c r="BQ20" s="1770"/>
      <c r="BR20" s="1770"/>
      <c r="BS20" s="1770"/>
      <c r="BT20" s="1770"/>
      <c r="BU20" s="1770"/>
      <c r="BV20" s="1770"/>
      <c r="BW20" s="1770"/>
      <c r="BX20" s="1770"/>
      <c r="BY20" s="1770"/>
      <c r="BZ20" s="1770"/>
      <c r="CA20" s="1770"/>
      <c r="CB20" s="1770"/>
      <c r="CC20" s="1770"/>
      <c r="CD20" s="1770"/>
      <c r="CE20" s="1770"/>
      <c r="CF20" s="1770"/>
      <c r="CG20" s="1770"/>
      <c r="CH20" s="1770"/>
      <c r="CI20" s="1770"/>
      <c r="CJ20" s="1770"/>
      <c r="CK20" s="1770"/>
      <c r="CL20" s="1770"/>
      <c r="CM20" s="1770"/>
      <c r="CN20" s="1770"/>
      <c r="CO20" s="1770"/>
      <c r="CP20" s="1770"/>
      <c r="CQ20" s="1770"/>
      <c r="CR20" s="1770"/>
      <c r="CS20" s="1770"/>
      <c r="CT20" s="1770"/>
      <c r="CU20" s="1770"/>
      <c r="CV20" s="1770"/>
      <c r="CW20" s="1770"/>
      <c r="CX20" s="1770"/>
      <c r="CY20" s="1770"/>
      <c r="CZ20" s="1770"/>
      <c r="DA20" s="1770"/>
      <c r="DB20" s="1770"/>
      <c r="DC20" s="1770"/>
      <c r="DD20" s="1770"/>
      <c r="DE20" s="1770"/>
      <c r="DF20" s="1770"/>
      <c r="DG20" s="1770"/>
      <c r="DH20" s="1770"/>
      <c r="DI20" s="1770"/>
      <c r="DJ20" s="1770"/>
      <c r="DK20" s="1770"/>
      <c r="DL20" s="1770"/>
      <c r="DM20" s="1770"/>
      <c r="DN20" s="1770"/>
      <c r="DO20" s="1770"/>
      <c r="DP20" s="1770"/>
      <c r="DQ20" s="1770"/>
      <c r="DR20" s="1770"/>
      <c r="DS20" s="1770"/>
      <c r="DT20" s="1770"/>
      <c r="DU20" s="1770"/>
      <c r="DV20" s="1770"/>
      <c r="DW20" s="1770"/>
      <c r="DX20" s="1770"/>
      <c r="DY20" s="1770"/>
      <c r="DZ20" s="1770"/>
      <c r="EA20" s="1770"/>
      <c r="EB20" s="1770"/>
      <c r="EC20" s="1770"/>
      <c r="ED20" s="1770"/>
      <c r="EE20" s="1770"/>
      <c r="EF20" s="1770"/>
      <c r="EG20" s="1770"/>
      <c r="EH20" s="1770"/>
      <c r="EI20" s="1770"/>
      <c r="EJ20" s="1770"/>
      <c r="EK20" s="1770"/>
      <c r="EL20" s="1770"/>
      <c r="EM20" s="1770"/>
      <c r="EN20" s="1770"/>
      <c r="EO20" s="1770"/>
      <c r="EP20" s="1770"/>
      <c r="EQ20" s="1770"/>
      <c r="ER20" s="1770"/>
      <c r="ES20" s="1770"/>
      <c r="ET20" s="1770"/>
      <c r="EU20" s="1770"/>
      <c r="EV20" s="1770"/>
      <c r="EW20" s="1770"/>
      <c r="EX20" s="1770"/>
      <c r="EY20" s="1770"/>
      <c r="EZ20" s="1770"/>
      <c r="FA20" s="1770"/>
      <c r="FB20" s="1770"/>
      <c r="FC20" s="1770"/>
      <c r="FD20" s="1770"/>
      <c r="FE20" s="1770"/>
      <c r="FF20" s="1770"/>
      <c r="FG20" s="1770"/>
      <c r="FH20" s="1770"/>
      <c r="FI20" s="1770"/>
      <c r="FJ20" s="1770"/>
      <c r="FK20" s="1770"/>
      <c r="FL20" s="1770"/>
      <c r="FM20" s="1770"/>
    </row>
    <row r="21" spans="1:169" outlineLevel="1">
      <c r="A21" s="1749">
        <f t="shared" si="0"/>
        <v>36647</v>
      </c>
      <c r="B21" s="1749" t="str">
        <f t="shared" si="1"/>
        <v>2Q00</v>
      </c>
      <c r="C21" s="1749" t="str">
        <f t="shared" si="2"/>
        <v>2Q00</v>
      </c>
      <c r="D21" s="1750">
        <f t="shared" ref="D21:E36" si="22">D20+7</f>
        <v>36647</v>
      </c>
      <c r="E21" s="1750">
        <f t="shared" si="22"/>
        <v>36640</v>
      </c>
      <c r="F21" s="1735">
        <v>1.4280000000000002</v>
      </c>
      <c r="G21" s="1752"/>
      <c r="H21" s="1762">
        <f t="shared" si="3"/>
        <v>0.31399999999999995</v>
      </c>
      <c r="I21" s="1763">
        <f t="shared" si="4"/>
        <v>0.31399999999999995</v>
      </c>
      <c r="J21" s="1755">
        <f t="shared" si="5"/>
        <v>0.04</v>
      </c>
      <c r="K21" s="1763">
        <f t="shared" si="4"/>
        <v>0.04</v>
      </c>
      <c r="L21" s="1764">
        <f t="shared" si="9"/>
        <v>7.0000000000000007E-2</v>
      </c>
      <c r="M21" s="1765">
        <f t="shared" si="4"/>
        <v>7.0000000000000007E-2</v>
      </c>
      <c r="O21" s="1752">
        <f t="shared" si="6"/>
        <v>0.84999999999999942</v>
      </c>
      <c r="P21" s="1752">
        <f t="shared" si="7"/>
        <v>0.89999999999999947</v>
      </c>
      <c r="Q21" s="1758">
        <f t="shared" si="11"/>
        <v>0.2589999999999999</v>
      </c>
      <c r="R21" s="1758">
        <f t="shared" si="12"/>
        <v>0.12949999999999995</v>
      </c>
      <c r="T21" s="1752">
        <f t="shared" si="18"/>
        <v>1.9000000000000008</v>
      </c>
      <c r="U21" s="1752">
        <f t="shared" si="18"/>
        <v>1.949000000000001</v>
      </c>
      <c r="V21" s="1759">
        <f t="shared" si="19"/>
        <v>0.17</v>
      </c>
      <c r="X21" s="1603"/>
      <c r="Y21" s="1737"/>
      <c r="Z21" s="1737"/>
      <c r="AA21" s="1737"/>
      <c r="AB21" s="1737"/>
      <c r="AC21" s="1737"/>
      <c r="AD21" s="1737"/>
      <c r="AE21" s="1737"/>
      <c r="AF21" s="1737"/>
      <c r="AG21" s="1737"/>
      <c r="AH21" s="1737"/>
      <c r="AI21" s="1737"/>
      <c r="AJ21" s="1737"/>
      <c r="AK21" s="1737"/>
      <c r="AL21" s="1737"/>
      <c r="AM21" s="1737"/>
      <c r="AN21" s="1737"/>
      <c r="AO21" s="1737"/>
      <c r="AP21" s="1737"/>
      <c r="AQ21" s="1737"/>
      <c r="AR21" s="1737"/>
      <c r="AS21" s="1737"/>
      <c r="AT21" s="1737"/>
      <c r="AU21" s="1737"/>
      <c r="AV21" s="1737"/>
      <c r="AW21" s="1737"/>
      <c r="AX21" s="1737"/>
      <c r="AY21" s="1737"/>
      <c r="AZ21" s="1737"/>
      <c r="BA21" s="1737"/>
      <c r="BB21" s="1737"/>
      <c r="BC21" s="1737"/>
      <c r="BD21" s="1737"/>
      <c r="BE21" s="1737"/>
      <c r="BF21" s="1737"/>
      <c r="BG21" s="1737"/>
      <c r="BH21" s="1737"/>
      <c r="BI21" s="1737"/>
      <c r="BJ21" s="1737"/>
      <c r="BK21" s="1737"/>
      <c r="BL21" s="1771"/>
      <c r="BM21" s="1770">
        <f>SUMIF($B:$B,BM$1,$M:$M)/COUNTIF($B:$B,BM$1)</f>
        <v>7.1538461538461523E-2</v>
      </c>
      <c r="BN21" s="1770">
        <f>SUMIF($B:$B,BN$1,$M:$M)/COUNTIF($B:$B,BN$1)</f>
        <v>6.9230769230769262E-2</v>
      </c>
      <c r="BO21" s="1770">
        <f>SUMIF($B:$B,BO$1,$M:$M)/COUNTIF($B:$B,BO$1)</f>
        <v>8.6923076923076895E-2</v>
      </c>
      <c r="BP21" s="1770">
        <f>SUMIF($B:$B,BP$1,$M:$M)/COUNTIF($B:$B,BP$1)</f>
        <v>0.10692307692307693</v>
      </c>
      <c r="BQ21" s="1770"/>
      <c r="BR21" s="1770"/>
      <c r="BS21" s="1770"/>
      <c r="BT21" s="1770"/>
      <c r="BU21" s="1770"/>
      <c r="BV21" s="1770"/>
      <c r="BW21" s="1770"/>
      <c r="BX21" s="1770"/>
      <c r="BY21" s="1770"/>
      <c r="BZ21" s="1770"/>
      <c r="CA21" s="1770"/>
      <c r="CB21" s="1770"/>
      <c r="CC21" s="1770"/>
      <c r="CD21" s="1770"/>
      <c r="CE21" s="1770"/>
      <c r="CF21" s="1770"/>
      <c r="CG21" s="1770"/>
      <c r="CH21" s="1770"/>
      <c r="CI21" s="1770"/>
      <c r="CJ21" s="1770"/>
      <c r="CK21" s="1770"/>
      <c r="CL21" s="1770"/>
      <c r="CM21" s="1770"/>
      <c r="CN21" s="1770"/>
      <c r="CO21" s="1770"/>
      <c r="CP21" s="1770"/>
      <c r="CQ21" s="1770"/>
      <c r="CR21" s="1770"/>
      <c r="CS21" s="1770"/>
      <c r="CT21" s="1770"/>
      <c r="CU21" s="1770"/>
      <c r="CV21" s="1770"/>
      <c r="CW21" s="1770"/>
      <c r="CX21" s="1770"/>
      <c r="CY21" s="1770"/>
      <c r="CZ21" s="1770"/>
      <c r="DA21" s="1770"/>
      <c r="DB21" s="1770"/>
      <c r="DC21" s="1770"/>
      <c r="DD21" s="1770"/>
      <c r="DE21" s="1770"/>
      <c r="DF21" s="1770"/>
      <c r="DG21" s="1770"/>
      <c r="DH21" s="1770"/>
      <c r="DI21" s="1770"/>
      <c r="DJ21" s="1770"/>
      <c r="DK21" s="1770"/>
      <c r="DL21" s="1770"/>
      <c r="DM21" s="1770"/>
      <c r="DN21" s="1770"/>
      <c r="DO21" s="1770"/>
      <c r="DP21" s="1770"/>
      <c r="DQ21" s="1770"/>
      <c r="DR21" s="1770"/>
      <c r="DS21" s="1770"/>
      <c r="DT21" s="1770"/>
      <c r="DU21" s="1770"/>
      <c r="DV21" s="1770"/>
      <c r="DW21" s="1770"/>
      <c r="DX21" s="1770"/>
      <c r="DY21" s="1770"/>
      <c r="DZ21" s="1770"/>
      <c r="EA21" s="1770"/>
      <c r="EB21" s="1770"/>
      <c r="EC21" s="1770"/>
      <c r="ED21" s="1770"/>
      <c r="EE21" s="1770"/>
      <c r="EF21" s="1770"/>
      <c r="EG21" s="1770"/>
      <c r="EH21" s="1770"/>
      <c r="EI21" s="1770"/>
      <c r="EJ21" s="1770"/>
      <c r="EK21" s="1770"/>
      <c r="EL21" s="1770"/>
      <c r="EM21" s="1770"/>
      <c r="EN21" s="1770"/>
      <c r="EO21" s="1770"/>
      <c r="EP21" s="1770"/>
      <c r="EQ21" s="1770"/>
      <c r="ER21" s="1770"/>
      <c r="ES21" s="1770"/>
      <c r="ET21" s="1770"/>
      <c r="EU21" s="1770"/>
      <c r="EV21" s="1770"/>
      <c r="EW21" s="1770"/>
      <c r="EX21" s="1770"/>
      <c r="EY21" s="1770"/>
      <c r="EZ21" s="1770"/>
      <c r="FA21" s="1770"/>
      <c r="FB21" s="1770"/>
      <c r="FC21" s="1770"/>
      <c r="FD21" s="1770"/>
      <c r="FE21" s="1770"/>
      <c r="FF21" s="1770"/>
      <c r="FG21" s="1770"/>
      <c r="FH21" s="1770"/>
      <c r="FI21" s="1770"/>
      <c r="FJ21" s="1770"/>
      <c r="FK21" s="1770"/>
      <c r="FL21" s="1770"/>
      <c r="FM21" s="1770"/>
    </row>
    <row r="22" spans="1:169" outlineLevel="1">
      <c r="A22" s="1749">
        <f t="shared" si="0"/>
        <v>36647</v>
      </c>
      <c r="B22" s="1749" t="str">
        <f t="shared" si="1"/>
        <v>2Q00</v>
      </c>
      <c r="C22" s="1749" t="str">
        <f t="shared" si="2"/>
        <v>2Q00</v>
      </c>
      <c r="D22" s="1750">
        <f t="shared" si="22"/>
        <v>36654</v>
      </c>
      <c r="E22" s="1750">
        <f t="shared" si="22"/>
        <v>36647</v>
      </c>
      <c r="F22" s="1735">
        <v>1.4180000000000001</v>
      </c>
      <c r="G22" s="1752"/>
      <c r="H22" s="1762">
        <f t="shared" si="3"/>
        <v>0.31399999999999995</v>
      </c>
      <c r="I22" s="1763">
        <f t="shared" si="4"/>
        <v>0.31399999999999995</v>
      </c>
      <c r="J22" s="1755">
        <f t="shared" si="5"/>
        <v>0.04</v>
      </c>
      <c r="K22" s="1763">
        <f t="shared" si="4"/>
        <v>0.04</v>
      </c>
      <c r="L22" s="1764">
        <f t="shared" si="9"/>
        <v>7.0000000000000007E-2</v>
      </c>
      <c r="M22" s="1765">
        <f t="shared" si="4"/>
        <v>7.0000000000000007E-2</v>
      </c>
      <c r="O22" s="1752">
        <f t="shared" si="6"/>
        <v>0.89999999999999947</v>
      </c>
      <c r="P22" s="1752">
        <f t="shared" si="7"/>
        <v>0.94999999999999951</v>
      </c>
      <c r="Q22" s="1758">
        <f t="shared" si="11"/>
        <v>0.2639999999999999</v>
      </c>
      <c r="R22" s="1758">
        <f t="shared" si="12"/>
        <v>0.13199999999999995</v>
      </c>
      <c r="T22" s="1752">
        <f t="shared" si="18"/>
        <v>1.9500000000000008</v>
      </c>
      <c r="U22" s="1752">
        <f t="shared" si="18"/>
        <v>1.999000000000001</v>
      </c>
      <c r="V22" s="1759">
        <f t="shared" si="19"/>
        <v>0.18000000000000002</v>
      </c>
      <c r="X22" s="1603"/>
      <c r="Y22" s="1737"/>
      <c r="Z22" s="1737"/>
      <c r="AA22" s="1737"/>
      <c r="AB22" s="1737"/>
      <c r="AC22" s="1737"/>
      <c r="AD22" s="1737"/>
      <c r="AE22" s="1737"/>
      <c r="AF22" s="1737"/>
      <c r="AG22" s="1737"/>
      <c r="AH22" s="1737"/>
      <c r="AI22" s="1737"/>
      <c r="AJ22" s="1737"/>
      <c r="AK22" s="1737"/>
      <c r="AL22" s="1737"/>
      <c r="AM22" s="1737"/>
      <c r="AN22" s="1737"/>
      <c r="AO22" s="1737"/>
      <c r="AP22" s="1737"/>
      <c r="AQ22" s="1737"/>
      <c r="AR22" s="1737"/>
      <c r="AS22" s="1737"/>
      <c r="AT22" s="1737"/>
      <c r="AU22" s="1737"/>
      <c r="AV22" s="1737"/>
      <c r="AW22" s="1737"/>
      <c r="AX22" s="1737"/>
      <c r="AY22" s="1737"/>
      <c r="AZ22" s="1737"/>
      <c r="BA22" s="1737"/>
      <c r="BB22" s="1737"/>
      <c r="BC22" s="1737"/>
      <c r="BD22" s="1737"/>
      <c r="BE22" s="1737"/>
      <c r="BF22" s="1737"/>
      <c r="BG22" s="1737"/>
      <c r="BH22" s="1737"/>
      <c r="BI22" s="1737"/>
      <c r="BJ22" s="1737"/>
      <c r="BK22" s="1737"/>
      <c r="BL22" s="1737"/>
      <c r="BM22" s="1769"/>
      <c r="BN22" s="1769"/>
      <c r="BO22" s="1769"/>
      <c r="BP22" s="1769"/>
      <c r="BQ22" s="1769"/>
      <c r="BR22" s="1769"/>
      <c r="BS22" s="1769"/>
      <c r="BT22" s="1769"/>
      <c r="BU22" s="1769"/>
      <c r="BV22" s="1769"/>
      <c r="BW22" s="1769"/>
      <c r="BX22" s="1769"/>
      <c r="BY22" s="1769"/>
      <c r="BZ22" s="1769"/>
      <c r="CA22" s="1769"/>
      <c r="CB22" s="1769"/>
      <c r="CC22" s="1769"/>
      <c r="CD22" s="1769"/>
      <c r="CE22" s="1769"/>
      <c r="CF22" s="1769"/>
      <c r="CG22" s="1769"/>
      <c r="CH22" s="1769"/>
      <c r="CI22" s="1769"/>
      <c r="CJ22" s="1769"/>
      <c r="CK22" s="1769"/>
      <c r="CL22" s="1769"/>
      <c r="CM22" s="1769"/>
      <c r="CN22" s="1769"/>
      <c r="CO22" s="1769"/>
      <c r="CP22" s="1769"/>
      <c r="CQ22" s="1769"/>
      <c r="CR22" s="1769"/>
      <c r="CS22" s="1769"/>
      <c r="CT22" s="1769"/>
      <c r="CU22" s="1769"/>
      <c r="CV22" s="1769"/>
      <c r="CW22" s="1769"/>
      <c r="CX22" s="1769"/>
      <c r="CY22" s="1769"/>
      <c r="CZ22" s="1769"/>
      <c r="DA22" s="1769"/>
      <c r="DB22" s="1769"/>
      <c r="DC22" s="1769"/>
      <c r="DD22" s="1769"/>
      <c r="DE22" s="1769"/>
      <c r="DF22" s="1769"/>
      <c r="DG22" s="1769"/>
      <c r="DH22" s="1769"/>
      <c r="DI22" s="1769"/>
      <c r="DJ22" s="1769"/>
      <c r="DK22" s="1769"/>
      <c r="DL22" s="1769"/>
      <c r="DM22" s="1769"/>
      <c r="DN22" s="1769"/>
      <c r="DO22" s="1769"/>
      <c r="DP22" s="1769"/>
      <c r="DQ22" s="1769"/>
      <c r="DR22" s="1769"/>
      <c r="DS22" s="1769"/>
      <c r="DT22" s="1769"/>
      <c r="DU22" s="1769"/>
      <c r="DV22" s="1769"/>
      <c r="DW22" s="1769"/>
      <c r="DX22" s="1769"/>
      <c r="DY22" s="1769"/>
      <c r="DZ22" s="1769"/>
      <c r="EA22" s="1769"/>
      <c r="EB22" s="1769"/>
      <c r="EC22" s="1769"/>
      <c r="ED22" s="1769"/>
      <c r="EE22" s="1769"/>
      <c r="EF22" s="1769"/>
      <c r="EG22" s="1769"/>
      <c r="EH22" s="1769"/>
      <c r="EI22" s="1769"/>
      <c r="EJ22" s="1769"/>
      <c r="EK22" s="1769"/>
      <c r="EL22" s="1769"/>
      <c r="EM22" s="1769"/>
      <c r="EN22" s="1769"/>
      <c r="EO22" s="1769"/>
      <c r="EP22" s="1769"/>
      <c r="EQ22" s="1769"/>
      <c r="ER22" s="1769"/>
      <c r="ES22" s="1769"/>
      <c r="ET22" s="1769"/>
      <c r="EU22" s="1769"/>
      <c r="EV22" s="1769"/>
      <c r="EW22" s="1769"/>
      <c r="EX22" s="1769"/>
      <c r="EY22" s="1769"/>
      <c r="EZ22" s="1769"/>
      <c r="FA22" s="1769"/>
      <c r="FB22" s="1769"/>
      <c r="FC22" s="1769"/>
      <c r="FD22" s="1769"/>
      <c r="FE22" s="1769"/>
      <c r="FF22" s="1769"/>
      <c r="FG22" s="1769"/>
      <c r="FH22" s="1769"/>
      <c r="FI22" s="1769"/>
      <c r="FJ22" s="1769"/>
      <c r="FK22" s="1769"/>
      <c r="FL22" s="1769"/>
      <c r="FM22" s="1769"/>
    </row>
    <row r="23" spans="1:169" outlineLevel="1">
      <c r="A23" s="1749">
        <f t="shared" si="0"/>
        <v>36647</v>
      </c>
      <c r="B23" s="1749" t="str">
        <f t="shared" si="1"/>
        <v>2Q00</v>
      </c>
      <c r="C23" s="1749" t="str">
        <f t="shared" si="2"/>
        <v>2Q00</v>
      </c>
      <c r="D23" s="1750">
        <f t="shared" si="22"/>
        <v>36661</v>
      </c>
      <c r="E23" s="1750">
        <f t="shared" si="22"/>
        <v>36654</v>
      </c>
      <c r="F23" s="1735">
        <v>1.4019999999999999</v>
      </c>
      <c r="G23" s="1752"/>
      <c r="H23" s="1762">
        <f t="shared" si="3"/>
        <v>0.31399999999999995</v>
      </c>
      <c r="I23" s="1763">
        <f t="shared" si="4"/>
        <v>0.31399999999999995</v>
      </c>
      <c r="J23" s="1755">
        <f t="shared" si="5"/>
        <v>0.04</v>
      </c>
      <c r="K23" s="1763">
        <f t="shared" si="4"/>
        <v>0.04</v>
      </c>
      <c r="L23" s="1764">
        <f t="shared" si="9"/>
        <v>7.0000000000000007E-2</v>
      </c>
      <c r="M23" s="1765">
        <f t="shared" si="4"/>
        <v>7.0000000000000007E-2</v>
      </c>
      <c r="O23" s="1752">
        <f t="shared" si="6"/>
        <v>0.94999999999999951</v>
      </c>
      <c r="P23" s="1752">
        <f t="shared" si="7"/>
        <v>0.99999999999999956</v>
      </c>
      <c r="Q23" s="1758">
        <f t="shared" si="11"/>
        <v>0.26899999999999991</v>
      </c>
      <c r="R23" s="1758">
        <f t="shared" si="12"/>
        <v>0.13449999999999995</v>
      </c>
      <c r="T23" s="1752">
        <f t="shared" ref="T23:U38" si="23">T22+0.05</f>
        <v>2.0000000000000009</v>
      </c>
      <c r="U23" s="1752">
        <f t="shared" si="23"/>
        <v>2.0490000000000008</v>
      </c>
      <c r="V23" s="1759">
        <f t="shared" si="19"/>
        <v>0.19000000000000003</v>
      </c>
      <c r="DT23" s="1603"/>
      <c r="DU23" s="1603"/>
      <c r="DV23" s="1603"/>
      <c r="DW23" s="1603"/>
      <c r="DX23" s="1603"/>
      <c r="DY23" s="1603"/>
      <c r="DZ23" s="1603"/>
      <c r="EA23" s="1603"/>
      <c r="EB23" s="1603"/>
      <c r="EC23" s="1603"/>
      <c r="ED23" s="1603"/>
      <c r="EE23" s="1603"/>
      <c r="EF23" s="1603"/>
      <c r="EG23" s="1603"/>
      <c r="EH23" s="1603"/>
      <c r="EI23" s="1603"/>
      <c r="EJ23" s="1603"/>
      <c r="EK23" s="1603"/>
      <c r="EL23" s="1603"/>
      <c r="EM23" s="1603"/>
      <c r="EN23" s="1603"/>
      <c r="EO23" s="1603"/>
      <c r="EP23" s="1603"/>
      <c r="EQ23" s="1603"/>
      <c r="ER23" s="1603"/>
      <c r="ES23" s="1603"/>
      <c r="ET23" s="1603"/>
      <c r="EU23" s="1603"/>
      <c r="EV23" s="1603"/>
      <c r="EW23" s="1603"/>
      <c r="EX23" s="1603"/>
      <c r="EY23" s="1603"/>
      <c r="EZ23" s="1603"/>
      <c r="FA23" s="1603"/>
      <c r="FB23" s="1603"/>
      <c r="FC23" s="1603"/>
      <c r="FD23" s="1603"/>
      <c r="FE23" s="1603"/>
      <c r="FF23" s="1603"/>
      <c r="FG23" s="1603"/>
      <c r="FH23" s="1603"/>
      <c r="FI23" s="1603"/>
      <c r="FJ23" s="1603"/>
      <c r="FK23" s="1603"/>
      <c r="FL23" s="1603"/>
      <c r="FM23" s="1603"/>
    </row>
    <row r="24" spans="1:169" outlineLevel="1">
      <c r="A24" s="1749">
        <f t="shared" si="0"/>
        <v>36647</v>
      </c>
      <c r="B24" s="1749" t="str">
        <f t="shared" si="1"/>
        <v>2Q00</v>
      </c>
      <c r="C24" s="1749" t="str">
        <f t="shared" si="2"/>
        <v>2Q00</v>
      </c>
      <c r="D24" s="1750">
        <f t="shared" si="22"/>
        <v>36668</v>
      </c>
      <c r="E24" s="1750">
        <f t="shared" si="22"/>
        <v>36661</v>
      </c>
      <c r="F24" s="1735">
        <v>1.415</v>
      </c>
      <c r="G24" s="1752"/>
      <c r="H24" s="1762">
        <f t="shared" si="3"/>
        <v>0.31399999999999995</v>
      </c>
      <c r="I24" s="1763">
        <f t="shared" si="4"/>
        <v>0.31399999999999995</v>
      </c>
      <c r="J24" s="1755">
        <f t="shared" si="5"/>
        <v>0.04</v>
      </c>
      <c r="K24" s="1763">
        <f t="shared" si="4"/>
        <v>0.04</v>
      </c>
      <c r="L24" s="1764">
        <f t="shared" si="9"/>
        <v>7.0000000000000007E-2</v>
      </c>
      <c r="M24" s="1765">
        <f t="shared" si="4"/>
        <v>7.0000000000000007E-2</v>
      </c>
      <c r="O24" s="1752">
        <f t="shared" si="6"/>
        <v>0.99999999999999956</v>
      </c>
      <c r="P24" s="1752">
        <f t="shared" si="7"/>
        <v>1.0499999999999996</v>
      </c>
      <c r="Q24" s="1758">
        <f t="shared" si="11"/>
        <v>0.27399999999999991</v>
      </c>
      <c r="R24" s="1758">
        <f t="shared" si="12"/>
        <v>0.13699999999999996</v>
      </c>
      <c r="T24" s="1752">
        <f t="shared" si="23"/>
        <v>2.0500000000000007</v>
      </c>
      <c r="U24" s="1752">
        <f t="shared" si="23"/>
        <v>2.0990000000000006</v>
      </c>
      <c r="V24" s="1759">
        <f t="shared" si="19"/>
        <v>0.20000000000000004</v>
      </c>
      <c r="DT24" s="1603"/>
      <c r="DU24" s="1603"/>
      <c r="DV24" s="1603"/>
      <c r="DW24" s="1603"/>
      <c r="DX24" s="1603"/>
      <c r="DY24" s="1603"/>
      <c r="DZ24" s="1603"/>
      <c r="EA24" s="1603"/>
      <c r="EB24" s="1603"/>
      <c r="EC24" s="1603"/>
      <c r="ED24" s="1603"/>
      <c r="EE24" s="1603"/>
      <c r="EF24" s="1603"/>
      <c r="EG24" s="1603"/>
      <c r="EH24" s="1603"/>
      <c r="EI24" s="1603"/>
      <c r="EJ24" s="1603"/>
      <c r="EK24" s="1603"/>
      <c r="EL24" s="1603"/>
      <c r="EM24" s="1603"/>
      <c r="EN24" s="1603"/>
      <c r="EO24" s="1603"/>
      <c r="EP24" s="1603"/>
      <c r="EQ24" s="1603"/>
      <c r="ER24" s="1603"/>
      <c r="ES24" s="1603"/>
      <c r="ET24" s="1603"/>
      <c r="EU24" s="1603"/>
      <c r="EV24" s="1603"/>
      <c r="EW24" s="1603"/>
      <c r="EX24" s="1603"/>
      <c r="EY24" s="1603"/>
      <c r="EZ24" s="1603"/>
      <c r="FA24" s="1603"/>
      <c r="FB24" s="1603"/>
      <c r="FC24" s="1603"/>
      <c r="FD24" s="1603"/>
      <c r="FE24" s="1603"/>
      <c r="FF24" s="1603"/>
      <c r="FG24" s="1603"/>
      <c r="FH24" s="1603"/>
      <c r="FI24" s="1603"/>
      <c r="FJ24" s="1603"/>
      <c r="FK24" s="1603"/>
      <c r="FL24" s="1603"/>
      <c r="FM24" s="1603"/>
    </row>
    <row r="25" spans="1:169" outlineLevel="1">
      <c r="A25" s="1749">
        <f t="shared" si="0"/>
        <v>36647</v>
      </c>
      <c r="B25" s="1749" t="str">
        <f t="shared" si="1"/>
        <v>2Q00</v>
      </c>
      <c r="C25" s="1749" t="str">
        <f t="shared" si="2"/>
        <v>2Q00</v>
      </c>
      <c r="D25" s="1750">
        <f t="shared" si="22"/>
        <v>36675</v>
      </c>
      <c r="E25" s="1750">
        <f t="shared" si="22"/>
        <v>36668</v>
      </c>
      <c r="F25" s="1735">
        <v>1.4319999999999999</v>
      </c>
      <c r="G25" s="1752"/>
      <c r="H25" s="1762">
        <f t="shared" si="3"/>
        <v>0.31399999999999995</v>
      </c>
      <c r="I25" s="1763">
        <f t="shared" si="4"/>
        <v>0.31399999999999995</v>
      </c>
      <c r="J25" s="1755">
        <f t="shared" si="5"/>
        <v>0.04</v>
      </c>
      <c r="K25" s="1763">
        <f t="shared" si="4"/>
        <v>0.04</v>
      </c>
      <c r="L25" s="1764">
        <f t="shared" si="9"/>
        <v>7.0000000000000007E-2</v>
      </c>
      <c r="M25" s="1765">
        <f t="shared" si="4"/>
        <v>7.0000000000000007E-2</v>
      </c>
      <c r="O25" s="1752">
        <f t="shared" si="6"/>
        <v>1.0499999999999996</v>
      </c>
      <c r="P25" s="1752">
        <f t="shared" si="7"/>
        <v>1.0999999999999996</v>
      </c>
      <c r="Q25" s="1758">
        <f t="shared" si="11"/>
        <v>0.27899999999999991</v>
      </c>
      <c r="R25" s="1758">
        <f t="shared" si="12"/>
        <v>0.13949999999999996</v>
      </c>
      <c r="T25" s="1752">
        <f t="shared" si="23"/>
        <v>2.1000000000000005</v>
      </c>
      <c r="U25" s="1752">
        <f t="shared" si="23"/>
        <v>2.1490000000000005</v>
      </c>
      <c r="V25" s="1759">
        <f t="shared" si="19"/>
        <v>0.21000000000000005</v>
      </c>
    </row>
    <row r="26" spans="1:169" outlineLevel="1">
      <c r="A26" s="1749">
        <f t="shared" si="0"/>
        <v>36678</v>
      </c>
      <c r="B26" s="1749" t="str">
        <f t="shared" si="1"/>
        <v>2Q00</v>
      </c>
      <c r="C26" s="1749" t="str">
        <f t="shared" si="2"/>
        <v>2Q00</v>
      </c>
      <c r="D26" s="1750">
        <f t="shared" si="22"/>
        <v>36682</v>
      </c>
      <c r="E26" s="1750">
        <f t="shared" si="22"/>
        <v>36675</v>
      </c>
      <c r="F26" s="1735">
        <v>1.431</v>
      </c>
      <c r="G26" s="1752"/>
      <c r="H26" s="1762">
        <f t="shared" si="3"/>
        <v>0.31399999999999995</v>
      </c>
      <c r="I26" s="1763">
        <f t="shared" si="4"/>
        <v>0.31399999999999995</v>
      </c>
      <c r="J26" s="1755">
        <f t="shared" si="5"/>
        <v>0.04</v>
      </c>
      <c r="K26" s="1763">
        <f t="shared" si="4"/>
        <v>0.04</v>
      </c>
      <c r="L26" s="1764">
        <f t="shared" si="9"/>
        <v>7.0000000000000007E-2</v>
      </c>
      <c r="M26" s="1765">
        <f t="shared" si="4"/>
        <v>7.0000000000000007E-2</v>
      </c>
      <c r="O26" s="1752">
        <f t="shared" si="6"/>
        <v>1.0999999999999996</v>
      </c>
      <c r="P26" s="1752">
        <f t="shared" si="7"/>
        <v>1.1499999999999997</v>
      </c>
      <c r="Q26" s="1758">
        <f t="shared" si="11"/>
        <v>0.28399999999999992</v>
      </c>
      <c r="R26" s="1758">
        <f t="shared" si="12"/>
        <v>0.14199999999999996</v>
      </c>
      <c r="T26" s="1752">
        <f t="shared" si="23"/>
        <v>2.1500000000000004</v>
      </c>
      <c r="U26" s="1752">
        <f t="shared" si="23"/>
        <v>2.1990000000000003</v>
      </c>
      <c r="V26" s="1759">
        <f t="shared" si="19"/>
        <v>0.22000000000000006</v>
      </c>
    </row>
    <row r="27" spans="1:169" outlineLevel="1">
      <c r="A27" s="1749">
        <f t="shared" si="0"/>
        <v>36678</v>
      </c>
      <c r="B27" s="1749" t="str">
        <f t="shared" si="1"/>
        <v>2Q00</v>
      </c>
      <c r="C27" s="1749" t="str">
        <f t="shared" si="2"/>
        <v>2Q00</v>
      </c>
      <c r="D27" s="1750">
        <f t="shared" si="22"/>
        <v>36689</v>
      </c>
      <c r="E27" s="1750">
        <f t="shared" si="22"/>
        <v>36682</v>
      </c>
      <c r="F27" s="1735">
        <v>1.419</v>
      </c>
      <c r="G27" s="1752"/>
      <c r="H27" s="1762">
        <f t="shared" si="3"/>
        <v>0.31399999999999995</v>
      </c>
      <c r="I27" s="1763">
        <f t="shared" si="4"/>
        <v>0.31399999999999995</v>
      </c>
      <c r="J27" s="1755">
        <f t="shared" si="5"/>
        <v>0.04</v>
      </c>
      <c r="K27" s="1763">
        <f t="shared" si="4"/>
        <v>0.04</v>
      </c>
      <c r="L27" s="1764">
        <f t="shared" si="9"/>
        <v>7.0000000000000007E-2</v>
      </c>
      <c r="M27" s="1765">
        <f t="shared" si="4"/>
        <v>7.0000000000000007E-2</v>
      </c>
      <c r="O27" s="1752">
        <f t="shared" si="6"/>
        <v>1.1499999999999997</v>
      </c>
      <c r="P27" s="1752">
        <f t="shared" si="7"/>
        <v>1.1999999999999997</v>
      </c>
      <c r="Q27" s="1758">
        <f t="shared" si="11"/>
        <v>0.28899999999999992</v>
      </c>
      <c r="R27" s="1758">
        <f t="shared" si="12"/>
        <v>0.14449999999999996</v>
      </c>
      <c r="T27" s="1752">
        <f t="shared" si="23"/>
        <v>2.2000000000000002</v>
      </c>
      <c r="U27" s="1752">
        <f t="shared" si="23"/>
        <v>2.2490000000000001</v>
      </c>
      <c r="V27" s="1759">
        <f t="shared" si="19"/>
        <v>0.23000000000000007</v>
      </c>
    </row>
    <row r="28" spans="1:169" outlineLevel="1">
      <c r="A28" s="1749">
        <f t="shared" si="0"/>
        <v>36678</v>
      </c>
      <c r="B28" s="1749" t="str">
        <f t="shared" si="1"/>
        <v>2Q00</v>
      </c>
      <c r="C28" s="1749" t="str">
        <f t="shared" si="2"/>
        <v>2Q00</v>
      </c>
      <c r="D28" s="1750">
        <f t="shared" si="22"/>
        <v>36696</v>
      </c>
      <c r="E28" s="1750">
        <f t="shared" si="22"/>
        <v>36689</v>
      </c>
      <c r="F28" s="1735">
        <v>1.411</v>
      </c>
      <c r="G28" s="1752"/>
      <c r="H28" s="1762">
        <f t="shared" si="3"/>
        <v>0.31399999999999995</v>
      </c>
      <c r="I28" s="1763">
        <f t="shared" si="4"/>
        <v>0.31399999999999995</v>
      </c>
      <c r="J28" s="1755">
        <f t="shared" si="5"/>
        <v>0.04</v>
      </c>
      <c r="K28" s="1763">
        <f t="shared" si="4"/>
        <v>0.04</v>
      </c>
      <c r="L28" s="1764">
        <f t="shared" si="9"/>
        <v>7.0000000000000007E-2</v>
      </c>
      <c r="M28" s="1765">
        <f t="shared" si="4"/>
        <v>7.0000000000000007E-2</v>
      </c>
      <c r="O28" s="1752">
        <f t="shared" si="6"/>
        <v>1.1999999999999997</v>
      </c>
      <c r="P28" s="1752">
        <f t="shared" si="7"/>
        <v>1.2499999999999998</v>
      </c>
      <c r="Q28" s="1758">
        <f t="shared" si="11"/>
        <v>0.29399999999999993</v>
      </c>
      <c r="R28" s="1758">
        <f t="shared" si="12"/>
        <v>0.14699999999999996</v>
      </c>
      <c r="T28" s="1752">
        <f t="shared" si="23"/>
        <v>2.25</v>
      </c>
      <c r="U28" s="1752">
        <f t="shared" si="23"/>
        <v>2.2989999999999999</v>
      </c>
      <c r="V28" s="1759">
        <f t="shared" si="19"/>
        <v>0.24000000000000007</v>
      </c>
    </row>
    <row r="29" spans="1:169" outlineLevel="1">
      <c r="A29" s="1749">
        <f t="shared" si="0"/>
        <v>36678</v>
      </c>
      <c r="B29" s="1749" t="str">
        <f t="shared" si="1"/>
        <v>2Q00</v>
      </c>
      <c r="C29" s="1749" t="str">
        <f t="shared" si="2"/>
        <v>2Q00</v>
      </c>
      <c r="D29" s="1750">
        <f t="shared" si="22"/>
        <v>36703</v>
      </c>
      <c r="E29" s="1750">
        <f t="shared" si="22"/>
        <v>36696</v>
      </c>
      <c r="F29" s="1735">
        <v>1.423</v>
      </c>
      <c r="G29" s="1752"/>
      <c r="H29" s="1762">
        <f t="shared" si="3"/>
        <v>0.31399999999999995</v>
      </c>
      <c r="I29" s="1763">
        <f t="shared" si="4"/>
        <v>0.31399999999999995</v>
      </c>
      <c r="J29" s="1755">
        <f t="shared" si="5"/>
        <v>0.04</v>
      </c>
      <c r="K29" s="1763">
        <f t="shared" si="4"/>
        <v>0.04</v>
      </c>
      <c r="L29" s="1764">
        <f t="shared" si="9"/>
        <v>7.0000000000000007E-2</v>
      </c>
      <c r="M29" s="1765">
        <f t="shared" si="4"/>
        <v>7.0000000000000007E-2</v>
      </c>
      <c r="O29" s="1752">
        <f t="shared" si="6"/>
        <v>1.2499999999999998</v>
      </c>
      <c r="P29" s="1752">
        <f t="shared" si="7"/>
        <v>1.2999999999999998</v>
      </c>
      <c r="Q29" s="1758">
        <f t="shared" si="11"/>
        <v>0.29899999999999993</v>
      </c>
      <c r="R29" s="1758">
        <f t="shared" si="12"/>
        <v>0.14949999999999997</v>
      </c>
      <c r="T29" s="1752">
        <f t="shared" si="23"/>
        <v>2.2999999999999998</v>
      </c>
      <c r="U29" s="1752">
        <f t="shared" si="23"/>
        <v>2.3489999999999998</v>
      </c>
      <c r="V29" s="1759">
        <f t="shared" si="19"/>
        <v>0.25000000000000006</v>
      </c>
    </row>
    <row r="30" spans="1:169" outlineLevel="1">
      <c r="A30" s="1749">
        <f t="shared" si="0"/>
        <v>36708</v>
      </c>
      <c r="B30" s="1749" t="str">
        <f t="shared" si="1"/>
        <v>3Q00</v>
      </c>
      <c r="C30" s="1749" t="str">
        <f t="shared" si="2"/>
        <v>2Q00</v>
      </c>
      <c r="D30" s="1750">
        <f t="shared" si="22"/>
        <v>36710</v>
      </c>
      <c r="E30" s="1750">
        <f t="shared" si="22"/>
        <v>36703</v>
      </c>
      <c r="F30" s="1735">
        <v>1.4319999999999999</v>
      </c>
      <c r="G30" s="1752"/>
      <c r="H30" s="1762">
        <f t="shared" si="3"/>
        <v>0.31399999999999995</v>
      </c>
      <c r="I30" s="1763">
        <f t="shared" si="4"/>
        <v>0.31899999999999995</v>
      </c>
      <c r="J30" s="1755">
        <f t="shared" si="5"/>
        <v>0.04</v>
      </c>
      <c r="K30" s="1763">
        <f t="shared" si="4"/>
        <v>0.04</v>
      </c>
      <c r="L30" s="1764">
        <f t="shared" si="9"/>
        <v>7.0000000000000007E-2</v>
      </c>
      <c r="M30" s="1765">
        <f t="shared" si="4"/>
        <v>0.08</v>
      </c>
      <c r="O30" s="1752">
        <f t="shared" si="6"/>
        <v>1.2999999999999998</v>
      </c>
      <c r="P30" s="1752">
        <f t="shared" si="7"/>
        <v>1.3499999999999999</v>
      </c>
      <c r="Q30" s="1758">
        <f t="shared" si="11"/>
        <v>0.30399999999999994</v>
      </c>
      <c r="R30" s="1758">
        <f t="shared" si="12"/>
        <v>0.15199999999999997</v>
      </c>
      <c r="T30" s="1752">
        <f t="shared" si="23"/>
        <v>2.3499999999999996</v>
      </c>
      <c r="U30" s="1752">
        <f t="shared" si="23"/>
        <v>2.3989999999999996</v>
      </c>
      <c r="V30" s="1759">
        <f t="shared" si="19"/>
        <v>0.26000000000000006</v>
      </c>
    </row>
    <row r="31" spans="1:169" outlineLevel="1">
      <c r="A31" s="1749">
        <f t="shared" si="0"/>
        <v>36708</v>
      </c>
      <c r="B31" s="1749" t="str">
        <f t="shared" si="1"/>
        <v>3Q00</v>
      </c>
      <c r="C31" s="1749" t="str">
        <f t="shared" si="2"/>
        <v>3Q00</v>
      </c>
      <c r="D31" s="1750">
        <f t="shared" si="22"/>
        <v>36717</v>
      </c>
      <c r="E31" s="1750">
        <f t="shared" si="22"/>
        <v>36710</v>
      </c>
      <c r="F31" s="1735">
        <v>1.4530000000000001</v>
      </c>
      <c r="G31" s="1752"/>
      <c r="H31" s="1762">
        <f t="shared" si="3"/>
        <v>0.31899999999999995</v>
      </c>
      <c r="I31" s="1763">
        <f t="shared" si="4"/>
        <v>0.31399999999999995</v>
      </c>
      <c r="J31" s="1755">
        <f t="shared" si="5"/>
        <v>0.04</v>
      </c>
      <c r="K31" s="1763">
        <f t="shared" si="4"/>
        <v>0.04</v>
      </c>
      <c r="L31" s="1764">
        <f t="shared" si="9"/>
        <v>0.08</v>
      </c>
      <c r="M31" s="1765">
        <f t="shared" si="4"/>
        <v>7.0000000000000007E-2</v>
      </c>
      <c r="O31" s="1752">
        <f t="shared" si="6"/>
        <v>1.3499999999999999</v>
      </c>
      <c r="P31" s="1752">
        <f t="shared" si="7"/>
        <v>1.4</v>
      </c>
      <c r="Q31" s="1758">
        <f t="shared" si="11"/>
        <v>0.30899999999999994</v>
      </c>
      <c r="R31" s="1758">
        <f t="shared" si="12"/>
        <v>0.15449999999999997</v>
      </c>
      <c r="T31" s="1752">
        <f t="shared" si="23"/>
        <v>2.3999999999999995</v>
      </c>
      <c r="U31" s="1752">
        <f t="shared" si="23"/>
        <v>2.4489999999999994</v>
      </c>
      <c r="V31" s="1759">
        <f t="shared" si="19"/>
        <v>0.27000000000000007</v>
      </c>
    </row>
    <row r="32" spans="1:169" outlineLevel="1">
      <c r="A32" s="1749">
        <f t="shared" si="0"/>
        <v>36708</v>
      </c>
      <c r="B32" s="1749" t="str">
        <f t="shared" si="1"/>
        <v>3Q00</v>
      </c>
      <c r="C32" s="1749" t="str">
        <f t="shared" si="2"/>
        <v>3Q00</v>
      </c>
      <c r="D32" s="1750">
        <f t="shared" si="22"/>
        <v>36724</v>
      </c>
      <c r="E32" s="1750">
        <f t="shared" si="22"/>
        <v>36717</v>
      </c>
      <c r="F32" s="1735">
        <v>1.4490000000000001</v>
      </c>
      <c r="G32" s="1752"/>
      <c r="H32" s="1762">
        <f t="shared" si="3"/>
        <v>0.31399999999999995</v>
      </c>
      <c r="I32" s="1763">
        <f t="shared" si="4"/>
        <v>0.31399999999999995</v>
      </c>
      <c r="J32" s="1755">
        <f t="shared" si="5"/>
        <v>0.04</v>
      </c>
      <c r="K32" s="1763">
        <f t="shared" si="4"/>
        <v>0.04</v>
      </c>
      <c r="L32" s="1764">
        <f t="shared" si="9"/>
        <v>7.0000000000000007E-2</v>
      </c>
      <c r="M32" s="1765">
        <f t="shared" si="4"/>
        <v>7.0000000000000007E-2</v>
      </c>
      <c r="O32" s="1752">
        <f t="shared" si="6"/>
        <v>1.4</v>
      </c>
      <c r="P32" s="1752">
        <f t="shared" si="7"/>
        <v>1.45</v>
      </c>
      <c r="Q32" s="1758">
        <f t="shared" si="11"/>
        <v>0.31399999999999995</v>
      </c>
      <c r="R32" s="1758">
        <f t="shared" si="12"/>
        <v>0.15699999999999997</v>
      </c>
      <c r="T32" s="1752">
        <f t="shared" si="23"/>
        <v>2.4499999999999993</v>
      </c>
      <c r="U32" s="1752">
        <f t="shared" si="23"/>
        <v>2.4989999999999992</v>
      </c>
      <c r="V32" s="1759">
        <f t="shared" si="19"/>
        <v>0.28000000000000008</v>
      </c>
    </row>
    <row r="33" spans="1:22" outlineLevel="1">
      <c r="A33" s="1749">
        <f t="shared" si="0"/>
        <v>36708</v>
      </c>
      <c r="B33" s="1749" t="str">
        <f t="shared" si="1"/>
        <v>3Q00</v>
      </c>
      <c r="C33" s="1749" t="str">
        <f t="shared" si="2"/>
        <v>3Q00</v>
      </c>
      <c r="D33" s="1750">
        <f t="shared" si="22"/>
        <v>36731</v>
      </c>
      <c r="E33" s="1750">
        <f t="shared" si="22"/>
        <v>36724</v>
      </c>
      <c r="F33" s="1735">
        <v>1.4350000000000001</v>
      </c>
      <c r="G33" s="1752"/>
      <c r="H33" s="1762">
        <f t="shared" si="3"/>
        <v>0.31399999999999995</v>
      </c>
      <c r="I33" s="1763">
        <f t="shared" si="4"/>
        <v>0.31399999999999995</v>
      </c>
      <c r="J33" s="1755">
        <f t="shared" si="5"/>
        <v>0.04</v>
      </c>
      <c r="K33" s="1763">
        <f t="shared" si="4"/>
        <v>0.04</v>
      </c>
      <c r="L33" s="1764">
        <f t="shared" si="9"/>
        <v>7.0000000000000007E-2</v>
      </c>
      <c r="M33" s="1765">
        <f t="shared" si="4"/>
        <v>7.0000000000000007E-2</v>
      </c>
      <c r="O33" s="1752">
        <f t="shared" si="6"/>
        <v>1.45</v>
      </c>
      <c r="P33" s="1752">
        <f t="shared" si="7"/>
        <v>1.5</v>
      </c>
      <c r="Q33" s="1758">
        <f t="shared" si="11"/>
        <v>0.31899999999999995</v>
      </c>
      <c r="R33" s="1758">
        <f t="shared" si="12"/>
        <v>0.15949999999999998</v>
      </c>
      <c r="T33" s="1752">
        <f t="shared" si="23"/>
        <v>2.4999999999999991</v>
      </c>
      <c r="U33" s="1752">
        <f t="shared" si="23"/>
        <v>2.548999999999999</v>
      </c>
      <c r="V33" s="1759">
        <f t="shared" si="19"/>
        <v>0.29000000000000009</v>
      </c>
    </row>
    <row r="34" spans="1:22" outlineLevel="1">
      <c r="A34" s="1749">
        <f t="shared" si="0"/>
        <v>36708</v>
      </c>
      <c r="B34" s="1749" t="str">
        <f t="shared" si="1"/>
        <v>3Q00</v>
      </c>
      <c r="C34" s="1749" t="str">
        <f t="shared" si="2"/>
        <v>3Q00</v>
      </c>
      <c r="D34" s="1750">
        <f t="shared" si="22"/>
        <v>36738</v>
      </c>
      <c r="E34" s="1750">
        <f t="shared" si="22"/>
        <v>36731</v>
      </c>
      <c r="F34" s="1735">
        <v>1.4240000000000002</v>
      </c>
      <c r="G34" s="1752"/>
      <c r="H34" s="1762">
        <f t="shared" si="3"/>
        <v>0.31399999999999995</v>
      </c>
      <c r="I34" s="1763">
        <f t="shared" si="4"/>
        <v>0.31399999999999995</v>
      </c>
      <c r="J34" s="1755">
        <f t="shared" si="5"/>
        <v>0.04</v>
      </c>
      <c r="K34" s="1763">
        <f t="shared" si="4"/>
        <v>0.04</v>
      </c>
      <c r="L34" s="1764">
        <f t="shared" si="9"/>
        <v>7.0000000000000007E-2</v>
      </c>
      <c r="M34" s="1765">
        <f t="shared" si="4"/>
        <v>7.0000000000000007E-2</v>
      </c>
      <c r="O34" s="1752">
        <f t="shared" si="6"/>
        <v>1.5</v>
      </c>
      <c r="P34" s="1752">
        <f t="shared" si="7"/>
        <v>1.55</v>
      </c>
      <c r="Q34" s="1758">
        <f t="shared" si="11"/>
        <v>0.32399999999999995</v>
      </c>
      <c r="R34" s="1758">
        <f t="shared" si="12"/>
        <v>0.16199999999999998</v>
      </c>
      <c r="T34" s="1752">
        <f t="shared" si="23"/>
        <v>2.5499999999999989</v>
      </c>
      <c r="U34" s="1752">
        <f t="shared" si="23"/>
        <v>2.5989999999999989</v>
      </c>
      <c r="V34" s="1759">
        <f t="shared" si="19"/>
        <v>0.3000000000000001</v>
      </c>
    </row>
    <row r="35" spans="1:22" outlineLevel="1">
      <c r="A35" s="1749">
        <f t="shared" si="0"/>
        <v>36739</v>
      </c>
      <c r="B35" s="1749" t="str">
        <f t="shared" si="1"/>
        <v>3Q00</v>
      </c>
      <c r="C35" s="1749" t="str">
        <f t="shared" si="2"/>
        <v>3Q00</v>
      </c>
      <c r="D35" s="1750">
        <f t="shared" si="22"/>
        <v>36745</v>
      </c>
      <c r="E35" s="1750">
        <f t="shared" si="22"/>
        <v>36738</v>
      </c>
      <c r="F35" s="1735">
        <v>1.4080000000000001</v>
      </c>
      <c r="G35" s="1752"/>
      <c r="H35" s="1762">
        <f t="shared" si="3"/>
        <v>0.31399999999999995</v>
      </c>
      <c r="I35" s="1763">
        <f t="shared" si="4"/>
        <v>0.31399999999999995</v>
      </c>
      <c r="J35" s="1755">
        <f t="shared" si="5"/>
        <v>0.04</v>
      </c>
      <c r="K35" s="1763">
        <f t="shared" si="4"/>
        <v>0.04</v>
      </c>
      <c r="L35" s="1764">
        <f t="shared" si="9"/>
        <v>7.0000000000000007E-2</v>
      </c>
      <c r="M35" s="1765">
        <f t="shared" si="4"/>
        <v>7.0000000000000007E-2</v>
      </c>
      <c r="O35" s="1752">
        <f t="shared" si="6"/>
        <v>1.55</v>
      </c>
      <c r="P35" s="1752">
        <f t="shared" si="7"/>
        <v>1.6</v>
      </c>
      <c r="Q35" s="1758">
        <f t="shared" si="11"/>
        <v>0.32899999999999996</v>
      </c>
      <c r="R35" s="1758">
        <f t="shared" si="12"/>
        <v>0.16449999999999998</v>
      </c>
      <c r="T35" s="1752">
        <f t="shared" si="23"/>
        <v>2.5999999999999988</v>
      </c>
      <c r="U35" s="1752">
        <f t="shared" si="23"/>
        <v>2.6489999999999987</v>
      </c>
      <c r="V35" s="1759">
        <f t="shared" si="19"/>
        <v>0.31000000000000011</v>
      </c>
    </row>
    <row r="36" spans="1:22" outlineLevel="1">
      <c r="A36" s="1749">
        <f t="shared" si="0"/>
        <v>36739</v>
      </c>
      <c r="B36" s="1749" t="str">
        <f t="shared" si="1"/>
        <v>3Q00</v>
      </c>
      <c r="C36" s="1749" t="str">
        <f t="shared" si="2"/>
        <v>3Q00</v>
      </c>
      <c r="D36" s="1750">
        <f t="shared" si="22"/>
        <v>36752</v>
      </c>
      <c r="E36" s="1750">
        <f t="shared" si="22"/>
        <v>36745</v>
      </c>
      <c r="F36" s="1735">
        <v>1.41</v>
      </c>
      <c r="G36" s="1752"/>
      <c r="H36" s="1762">
        <f t="shared" si="3"/>
        <v>0.31399999999999995</v>
      </c>
      <c r="I36" s="1763">
        <f t="shared" si="4"/>
        <v>0.31399999999999995</v>
      </c>
      <c r="J36" s="1755">
        <f t="shared" si="5"/>
        <v>0.04</v>
      </c>
      <c r="K36" s="1763">
        <f t="shared" si="4"/>
        <v>0.04</v>
      </c>
      <c r="L36" s="1764">
        <f t="shared" si="9"/>
        <v>7.0000000000000007E-2</v>
      </c>
      <c r="M36" s="1765">
        <f t="shared" si="4"/>
        <v>7.0000000000000007E-2</v>
      </c>
      <c r="O36" s="1752">
        <f t="shared" si="6"/>
        <v>1.6</v>
      </c>
      <c r="P36" s="1752">
        <f t="shared" si="7"/>
        <v>1.6500000000000001</v>
      </c>
      <c r="Q36" s="1758">
        <f t="shared" si="11"/>
        <v>0.33399999999999996</v>
      </c>
      <c r="R36" s="1758">
        <f t="shared" si="12"/>
        <v>0.16699999999999998</v>
      </c>
      <c r="T36" s="1752">
        <f t="shared" si="23"/>
        <v>2.6499999999999986</v>
      </c>
      <c r="U36" s="1752">
        <f t="shared" si="23"/>
        <v>2.6989999999999985</v>
      </c>
      <c r="V36" s="1759">
        <f t="shared" si="19"/>
        <v>0.32000000000000012</v>
      </c>
    </row>
    <row r="37" spans="1:22" outlineLevel="1">
      <c r="A37" s="1749">
        <f t="shared" si="0"/>
        <v>36739</v>
      </c>
      <c r="B37" s="1749" t="str">
        <f t="shared" si="1"/>
        <v>3Q00</v>
      </c>
      <c r="C37" s="1749" t="str">
        <f t="shared" si="2"/>
        <v>3Q00</v>
      </c>
      <c r="D37" s="1750">
        <f t="shared" ref="D37:E52" si="24">D36+7</f>
        <v>36759</v>
      </c>
      <c r="E37" s="1750">
        <f t="shared" si="24"/>
        <v>36752</v>
      </c>
      <c r="F37" s="1735">
        <v>1.4469999999999998</v>
      </c>
      <c r="G37" s="1752"/>
      <c r="H37" s="1762">
        <f t="shared" si="3"/>
        <v>0.31399999999999995</v>
      </c>
      <c r="I37" s="1763">
        <f t="shared" si="4"/>
        <v>0.31899999999999995</v>
      </c>
      <c r="J37" s="1755">
        <f t="shared" si="5"/>
        <v>0.04</v>
      </c>
      <c r="K37" s="1763">
        <f t="shared" si="4"/>
        <v>0.04</v>
      </c>
      <c r="L37" s="1764">
        <f t="shared" si="9"/>
        <v>7.0000000000000007E-2</v>
      </c>
      <c r="M37" s="1765">
        <f t="shared" si="4"/>
        <v>0.08</v>
      </c>
      <c r="O37" s="1752">
        <f t="shared" si="6"/>
        <v>1.6500000000000001</v>
      </c>
      <c r="P37" s="1752">
        <f t="shared" si="7"/>
        <v>1.7000000000000002</v>
      </c>
      <c r="Q37" s="1758">
        <f t="shared" si="11"/>
        <v>0.33899999999999997</v>
      </c>
      <c r="R37" s="1758">
        <f t="shared" si="12"/>
        <v>0.16949999999999998</v>
      </c>
      <c r="T37" s="1752">
        <f t="shared" si="23"/>
        <v>2.6999999999999984</v>
      </c>
      <c r="U37" s="1752">
        <f t="shared" si="23"/>
        <v>2.7489999999999983</v>
      </c>
      <c r="V37" s="1759">
        <f t="shared" si="19"/>
        <v>0.33000000000000013</v>
      </c>
    </row>
    <row r="38" spans="1:22" outlineLevel="1">
      <c r="A38" s="1749">
        <f t="shared" si="0"/>
        <v>36739</v>
      </c>
      <c r="B38" s="1749" t="str">
        <f t="shared" si="1"/>
        <v>3Q00</v>
      </c>
      <c r="C38" s="1749" t="str">
        <f t="shared" si="2"/>
        <v>3Q00</v>
      </c>
      <c r="D38" s="1750">
        <f t="shared" si="24"/>
        <v>36766</v>
      </c>
      <c r="E38" s="1750">
        <f t="shared" si="24"/>
        <v>36759</v>
      </c>
      <c r="F38" s="1735">
        <v>1.4709999999999999</v>
      </c>
      <c r="G38" s="1752"/>
      <c r="H38" s="1762">
        <f t="shared" si="3"/>
        <v>0.31899999999999995</v>
      </c>
      <c r="I38" s="1763">
        <f t="shared" si="4"/>
        <v>0.32399999999999995</v>
      </c>
      <c r="J38" s="1755">
        <f t="shared" si="5"/>
        <v>0.04</v>
      </c>
      <c r="K38" s="1763">
        <f t="shared" si="4"/>
        <v>0.04</v>
      </c>
      <c r="L38" s="1764">
        <f t="shared" si="9"/>
        <v>0.08</v>
      </c>
      <c r="M38" s="1765">
        <f t="shared" si="4"/>
        <v>0.09</v>
      </c>
      <c r="O38" s="1752">
        <f t="shared" si="6"/>
        <v>1.7000000000000002</v>
      </c>
      <c r="P38" s="1752">
        <f t="shared" si="7"/>
        <v>1.7500000000000002</v>
      </c>
      <c r="Q38" s="1758">
        <f t="shared" si="11"/>
        <v>0.34399999999999997</v>
      </c>
      <c r="R38" s="1758">
        <f t="shared" si="12"/>
        <v>0.17199999999999999</v>
      </c>
      <c r="T38" s="1752">
        <f t="shared" si="23"/>
        <v>2.7499999999999982</v>
      </c>
      <c r="U38" s="1752">
        <f t="shared" si="23"/>
        <v>2.7989999999999982</v>
      </c>
      <c r="V38" s="1759">
        <f t="shared" si="19"/>
        <v>0.34000000000000014</v>
      </c>
    </row>
    <row r="39" spans="1:22" outlineLevel="1">
      <c r="A39" s="1749">
        <f t="shared" si="0"/>
        <v>36770</v>
      </c>
      <c r="B39" s="1749" t="str">
        <f t="shared" si="1"/>
        <v>3Q00</v>
      </c>
      <c r="C39" s="1749" t="str">
        <f t="shared" si="2"/>
        <v>3Q00</v>
      </c>
      <c r="D39" s="1750">
        <f t="shared" si="24"/>
        <v>36773</v>
      </c>
      <c r="E39" s="1750">
        <f t="shared" si="24"/>
        <v>36766</v>
      </c>
      <c r="F39" s="1735">
        <v>1.536</v>
      </c>
      <c r="G39" s="1752"/>
      <c r="H39" s="1762">
        <f t="shared" si="3"/>
        <v>0.32399999999999995</v>
      </c>
      <c r="I39" s="1763">
        <f t="shared" si="4"/>
        <v>0.33399999999999996</v>
      </c>
      <c r="J39" s="1755">
        <f t="shared" si="5"/>
        <v>0.04</v>
      </c>
      <c r="K39" s="1763">
        <f t="shared" si="4"/>
        <v>0.04</v>
      </c>
      <c r="L39" s="1764">
        <f t="shared" si="9"/>
        <v>0.09</v>
      </c>
      <c r="M39" s="1765">
        <f t="shared" si="4"/>
        <v>0.10999999999999999</v>
      </c>
      <c r="O39" s="1752">
        <f t="shared" si="6"/>
        <v>1.7500000000000002</v>
      </c>
      <c r="P39" s="1752">
        <f t="shared" si="7"/>
        <v>1.8000000000000003</v>
      </c>
      <c r="Q39" s="1758">
        <f t="shared" si="11"/>
        <v>0.34899999999999998</v>
      </c>
      <c r="R39" s="1758">
        <f t="shared" si="12"/>
        <v>0.17449999999999999</v>
      </c>
      <c r="T39" s="1752">
        <f t="shared" ref="T39:U54" si="25">T38+0.05</f>
        <v>2.799999999999998</v>
      </c>
      <c r="U39" s="1752">
        <f t="shared" si="25"/>
        <v>2.848999999999998</v>
      </c>
      <c r="V39" s="1759">
        <f t="shared" si="19"/>
        <v>0.35000000000000014</v>
      </c>
    </row>
    <row r="40" spans="1:22" outlineLevel="1">
      <c r="A40" s="1749">
        <f t="shared" si="0"/>
        <v>36770</v>
      </c>
      <c r="B40" s="1749" t="str">
        <f t="shared" si="1"/>
        <v>3Q00</v>
      </c>
      <c r="C40" s="1749" t="str">
        <f t="shared" si="2"/>
        <v>3Q00</v>
      </c>
      <c r="D40" s="1750">
        <f t="shared" si="24"/>
        <v>36780</v>
      </c>
      <c r="E40" s="1750">
        <f t="shared" si="24"/>
        <v>36773</v>
      </c>
      <c r="F40" s="1735">
        <v>1.609</v>
      </c>
      <c r="G40" s="1752"/>
      <c r="H40" s="1762">
        <f t="shared" si="3"/>
        <v>0.33399999999999996</v>
      </c>
      <c r="I40" s="1763">
        <f t="shared" si="4"/>
        <v>0.33399999999999996</v>
      </c>
      <c r="J40" s="1755">
        <f t="shared" si="5"/>
        <v>0.04</v>
      </c>
      <c r="K40" s="1763">
        <f t="shared" si="4"/>
        <v>0.04</v>
      </c>
      <c r="L40" s="1764">
        <f t="shared" si="9"/>
        <v>0.10999999999999999</v>
      </c>
      <c r="M40" s="1765">
        <f t="shared" si="4"/>
        <v>0.10999999999999999</v>
      </c>
      <c r="O40" s="1752">
        <f t="shared" si="6"/>
        <v>1.8000000000000003</v>
      </c>
      <c r="P40" s="1752">
        <f t="shared" si="7"/>
        <v>1.8500000000000003</v>
      </c>
      <c r="Q40" s="1758">
        <f t="shared" si="11"/>
        <v>0.35399999999999998</v>
      </c>
      <c r="R40" s="1758">
        <f t="shared" si="12"/>
        <v>0.17699999999999999</v>
      </c>
      <c r="T40" s="1752">
        <f t="shared" si="25"/>
        <v>2.8499999999999979</v>
      </c>
      <c r="U40" s="1752">
        <f t="shared" si="25"/>
        <v>2.8989999999999978</v>
      </c>
      <c r="V40" s="1759">
        <f t="shared" si="19"/>
        <v>0.36000000000000015</v>
      </c>
    </row>
    <row r="41" spans="1:22" outlineLevel="1">
      <c r="A41" s="1749">
        <f t="shared" si="0"/>
        <v>36770</v>
      </c>
      <c r="B41" s="1749" t="str">
        <f t="shared" si="1"/>
        <v>3Q00</v>
      </c>
      <c r="C41" s="1749" t="str">
        <f t="shared" si="2"/>
        <v>3Q00</v>
      </c>
      <c r="D41" s="1750">
        <f t="shared" si="24"/>
        <v>36787</v>
      </c>
      <c r="E41" s="1750">
        <f t="shared" si="24"/>
        <v>36780</v>
      </c>
      <c r="F41" s="1735">
        <v>1.629</v>
      </c>
      <c r="G41" s="1752"/>
      <c r="H41" s="1762">
        <f t="shared" si="3"/>
        <v>0.33399999999999996</v>
      </c>
      <c r="I41" s="1763">
        <f t="shared" si="4"/>
        <v>0.33899999999999997</v>
      </c>
      <c r="J41" s="1755">
        <f t="shared" si="5"/>
        <v>0.04</v>
      </c>
      <c r="K41" s="1763">
        <f t="shared" si="4"/>
        <v>0.04</v>
      </c>
      <c r="L41" s="1764">
        <f t="shared" si="9"/>
        <v>0.10999999999999999</v>
      </c>
      <c r="M41" s="1765">
        <f t="shared" si="4"/>
        <v>0.11999999999999998</v>
      </c>
      <c r="O41" s="1752">
        <f t="shared" si="6"/>
        <v>1.8500000000000003</v>
      </c>
      <c r="P41" s="1752">
        <f t="shared" si="7"/>
        <v>1.9000000000000004</v>
      </c>
      <c r="Q41" s="1758">
        <f t="shared" si="11"/>
        <v>0.35899999999999999</v>
      </c>
      <c r="R41" s="1758">
        <f t="shared" si="12"/>
        <v>0.17949999999999999</v>
      </c>
      <c r="T41" s="1752">
        <f t="shared" si="25"/>
        <v>2.8999999999999977</v>
      </c>
      <c r="U41" s="1752">
        <f t="shared" si="25"/>
        <v>2.9489999999999976</v>
      </c>
      <c r="V41" s="1759">
        <f t="shared" si="19"/>
        <v>0.37000000000000016</v>
      </c>
    </row>
    <row r="42" spans="1:22" outlineLevel="1">
      <c r="A42" s="1749">
        <f t="shared" si="0"/>
        <v>36770</v>
      </c>
      <c r="B42" s="1749" t="str">
        <f t="shared" si="1"/>
        <v>3Q00</v>
      </c>
      <c r="C42" s="1749" t="str">
        <f t="shared" si="2"/>
        <v>3Q00</v>
      </c>
      <c r="D42" s="1750">
        <f t="shared" si="24"/>
        <v>36794</v>
      </c>
      <c r="E42" s="1750">
        <f t="shared" si="24"/>
        <v>36787</v>
      </c>
      <c r="F42" s="1735">
        <v>1.653</v>
      </c>
      <c r="G42" s="1752"/>
      <c r="H42" s="1762">
        <f t="shared" si="3"/>
        <v>0.33899999999999997</v>
      </c>
      <c r="I42" s="1763">
        <f t="shared" si="4"/>
        <v>0.33899999999999997</v>
      </c>
      <c r="J42" s="1755">
        <f t="shared" si="5"/>
        <v>0.04</v>
      </c>
      <c r="K42" s="1763">
        <f t="shared" si="4"/>
        <v>0.04</v>
      </c>
      <c r="L42" s="1764">
        <f t="shared" si="9"/>
        <v>0.11999999999999998</v>
      </c>
      <c r="M42" s="1765">
        <f t="shared" si="4"/>
        <v>0.11999999999999998</v>
      </c>
      <c r="O42" s="1752">
        <f t="shared" si="6"/>
        <v>1.9000000000000004</v>
      </c>
      <c r="P42" s="1752">
        <f t="shared" si="7"/>
        <v>1.9500000000000004</v>
      </c>
      <c r="Q42" s="1758">
        <f t="shared" si="11"/>
        <v>0.36399999999999999</v>
      </c>
      <c r="R42" s="1758">
        <f t="shared" si="12"/>
        <v>0.182</v>
      </c>
      <c r="T42" s="1752">
        <f t="shared" si="25"/>
        <v>2.9499999999999975</v>
      </c>
      <c r="U42" s="1752">
        <f t="shared" si="25"/>
        <v>2.9989999999999974</v>
      </c>
      <c r="V42" s="1759">
        <f t="shared" si="19"/>
        <v>0.38000000000000017</v>
      </c>
    </row>
    <row r="43" spans="1:22" outlineLevel="1">
      <c r="A43" s="1749">
        <f t="shared" si="0"/>
        <v>36800</v>
      </c>
      <c r="B43" s="1749" t="str">
        <f t="shared" si="1"/>
        <v>4Q00</v>
      </c>
      <c r="C43" s="1749" t="str">
        <f t="shared" si="2"/>
        <v>3Q00</v>
      </c>
      <c r="D43" s="1750">
        <f t="shared" si="24"/>
        <v>36801</v>
      </c>
      <c r="E43" s="1750">
        <f t="shared" si="24"/>
        <v>36794</v>
      </c>
      <c r="F43" s="1735">
        <v>1.6569999999999998</v>
      </c>
      <c r="G43" s="1752"/>
      <c r="H43" s="1762">
        <f t="shared" si="3"/>
        <v>0.33899999999999997</v>
      </c>
      <c r="I43" s="1763">
        <f t="shared" si="4"/>
        <v>0.33399999999999996</v>
      </c>
      <c r="J43" s="1755">
        <f t="shared" si="5"/>
        <v>0.04</v>
      </c>
      <c r="K43" s="1763">
        <f t="shared" si="4"/>
        <v>0.04</v>
      </c>
      <c r="L43" s="1764">
        <f t="shared" si="9"/>
        <v>0.11999999999999998</v>
      </c>
      <c r="M43" s="1765">
        <f t="shared" si="4"/>
        <v>0.10999999999999999</v>
      </c>
      <c r="O43" s="1752">
        <f>+P43-0.05</f>
        <v>1.9500000000000004</v>
      </c>
      <c r="P43" s="1752">
        <f>+O44</f>
        <v>2.0000000000000004</v>
      </c>
      <c r="Q43" s="1758">
        <f>+Q44-0.5%</f>
        <v>0.36899999999999999</v>
      </c>
      <c r="R43" s="1758">
        <f>+R44-0.25%</f>
        <v>0.1845</v>
      </c>
      <c r="T43" s="1752">
        <f t="shared" si="25"/>
        <v>2.9999999999999973</v>
      </c>
      <c r="U43" s="1752">
        <f t="shared" si="25"/>
        <v>3.0489999999999973</v>
      </c>
      <c r="V43" s="1759">
        <f t="shared" si="19"/>
        <v>0.39000000000000018</v>
      </c>
    </row>
    <row r="44" spans="1:22" outlineLevel="1">
      <c r="A44" s="1749">
        <f t="shared" si="0"/>
        <v>36800</v>
      </c>
      <c r="B44" s="1749" t="str">
        <f t="shared" si="1"/>
        <v>4Q00</v>
      </c>
      <c r="C44" s="1749" t="str">
        <f t="shared" si="2"/>
        <v>4Q00</v>
      </c>
      <c r="D44" s="1750">
        <f t="shared" si="24"/>
        <v>36808</v>
      </c>
      <c r="E44" s="1750">
        <f t="shared" si="24"/>
        <v>36801</v>
      </c>
      <c r="F44" s="1735">
        <v>1.625</v>
      </c>
      <c r="G44" s="1752"/>
      <c r="H44" s="1762">
        <f t="shared" si="3"/>
        <v>0.33399999999999996</v>
      </c>
      <c r="I44" s="1763">
        <f t="shared" si="4"/>
        <v>0.33399999999999996</v>
      </c>
      <c r="J44" s="1755">
        <f t="shared" si="5"/>
        <v>0.04</v>
      </c>
      <c r="K44" s="1763">
        <f t="shared" si="4"/>
        <v>0.04</v>
      </c>
      <c r="L44" s="1764">
        <f t="shared" si="9"/>
        <v>0.10999999999999999</v>
      </c>
      <c r="M44" s="1765">
        <f t="shared" si="4"/>
        <v>0.10999999999999999</v>
      </c>
      <c r="O44" s="1772">
        <v>2.0000000000000004</v>
      </c>
      <c r="P44" s="1752">
        <f>+O44+0.05</f>
        <v>2.0500000000000003</v>
      </c>
      <c r="Q44" s="1773">
        <v>0.374</v>
      </c>
      <c r="R44" s="1773">
        <v>0.187</v>
      </c>
      <c r="T44" s="1752">
        <f t="shared" si="25"/>
        <v>3.0499999999999972</v>
      </c>
      <c r="U44" s="1752">
        <f t="shared" si="25"/>
        <v>3.0989999999999971</v>
      </c>
      <c r="V44" s="1759">
        <f t="shared" si="19"/>
        <v>0.40000000000000019</v>
      </c>
    </row>
    <row r="45" spans="1:22" outlineLevel="1">
      <c r="A45" s="1749">
        <f t="shared" si="0"/>
        <v>36800</v>
      </c>
      <c r="B45" s="1749" t="str">
        <f t="shared" si="1"/>
        <v>4Q00</v>
      </c>
      <c r="C45" s="1749" t="str">
        <f t="shared" si="2"/>
        <v>4Q00</v>
      </c>
      <c r="D45" s="1750">
        <f t="shared" si="24"/>
        <v>36815</v>
      </c>
      <c r="E45" s="1750">
        <f t="shared" si="24"/>
        <v>36808</v>
      </c>
      <c r="F45" s="1735">
        <v>1.6140000000000001</v>
      </c>
      <c r="G45" s="1752"/>
      <c r="H45" s="1762">
        <f t="shared" si="3"/>
        <v>0.33399999999999996</v>
      </c>
      <c r="I45" s="1763">
        <f t="shared" si="4"/>
        <v>0.33899999999999997</v>
      </c>
      <c r="J45" s="1755">
        <f t="shared" si="5"/>
        <v>0.04</v>
      </c>
      <c r="K45" s="1763">
        <f t="shared" si="4"/>
        <v>0.04</v>
      </c>
      <c r="L45" s="1764">
        <f t="shared" si="9"/>
        <v>0.10999999999999999</v>
      </c>
      <c r="M45" s="1765">
        <f t="shared" si="4"/>
        <v>0.11999999999999998</v>
      </c>
      <c r="O45" s="1752">
        <f>+P44</f>
        <v>2.0500000000000003</v>
      </c>
      <c r="P45" s="1752">
        <f>+O45+0.05</f>
        <v>2.1</v>
      </c>
      <c r="Q45" s="1773">
        <v>0.379</v>
      </c>
      <c r="R45" s="1773">
        <v>0.1895</v>
      </c>
      <c r="T45" s="1752">
        <f t="shared" si="25"/>
        <v>3.099999999999997</v>
      </c>
      <c r="U45" s="1752">
        <f t="shared" si="25"/>
        <v>3.1489999999999969</v>
      </c>
      <c r="V45" s="1759">
        <f t="shared" si="19"/>
        <v>0.4100000000000002</v>
      </c>
    </row>
    <row r="46" spans="1:22" outlineLevel="1">
      <c r="A46" s="1749">
        <f t="shared" si="0"/>
        <v>36800</v>
      </c>
      <c r="B46" s="1749" t="str">
        <f t="shared" si="1"/>
        <v>4Q00</v>
      </c>
      <c r="C46" s="1749" t="str">
        <f t="shared" si="2"/>
        <v>4Q00</v>
      </c>
      <c r="D46" s="1750">
        <f t="shared" si="24"/>
        <v>36822</v>
      </c>
      <c r="E46" s="1750">
        <f t="shared" si="24"/>
        <v>36815</v>
      </c>
      <c r="F46" s="1735">
        <v>1.67</v>
      </c>
      <c r="G46" s="1752"/>
      <c r="H46" s="1762">
        <f t="shared" si="3"/>
        <v>0.33899999999999997</v>
      </c>
      <c r="I46" s="1763">
        <f t="shared" si="4"/>
        <v>0.33399999999999996</v>
      </c>
      <c r="J46" s="1755">
        <f t="shared" si="5"/>
        <v>0.04</v>
      </c>
      <c r="K46" s="1763">
        <f t="shared" si="4"/>
        <v>0.04</v>
      </c>
      <c r="L46" s="1764">
        <f t="shared" si="9"/>
        <v>0.11999999999999998</v>
      </c>
      <c r="M46" s="1765">
        <f t="shared" si="4"/>
        <v>0.10999999999999999</v>
      </c>
      <c r="O46" s="1752">
        <f t="shared" ref="O46:O109" si="26">+P45</f>
        <v>2.1</v>
      </c>
      <c r="P46" s="1752">
        <f t="shared" ref="P46:P109" si="27">+O46+0.05</f>
        <v>2.15</v>
      </c>
      <c r="Q46" s="1773">
        <v>0.38400000000000001</v>
      </c>
      <c r="R46" s="1773">
        <v>0.192</v>
      </c>
      <c r="T46" s="1752">
        <f t="shared" si="25"/>
        <v>3.1499999999999968</v>
      </c>
      <c r="U46" s="1752">
        <f t="shared" si="25"/>
        <v>3.1989999999999967</v>
      </c>
      <c r="V46" s="1759">
        <f t="shared" si="19"/>
        <v>0.42000000000000021</v>
      </c>
    </row>
    <row r="47" spans="1:22" outlineLevel="1">
      <c r="A47" s="1749">
        <f t="shared" si="0"/>
        <v>36800</v>
      </c>
      <c r="B47" s="1749" t="str">
        <f t="shared" si="1"/>
        <v>4Q00</v>
      </c>
      <c r="C47" s="1749" t="str">
        <f t="shared" si="2"/>
        <v>4Q00</v>
      </c>
      <c r="D47" s="1750">
        <f t="shared" si="24"/>
        <v>36829</v>
      </c>
      <c r="E47" s="1750">
        <f t="shared" si="24"/>
        <v>36822</v>
      </c>
      <c r="F47" s="1735">
        <v>1.6480000000000001</v>
      </c>
      <c r="G47" s="1752"/>
      <c r="H47" s="1762">
        <f t="shared" si="3"/>
        <v>0.33399999999999996</v>
      </c>
      <c r="I47" s="1763">
        <f t="shared" si="4"/>
        <v>0.33399999999999996</v>
      </c>
      <c r="J47" s="1755">
        <f t="shared" si="5"/>
        <v>0.04</v>
      </c>
      <c r="K47" s="1763">
        <f t="shared" si="4"/>
        <v>0.04</v>
      </c>
      <c r="L47" s="1764">
        <f t="shared" si="9"/>
        <v>0.10999999999999999</v>
      </c>
      <c r="M47" s="1765">
        <f t="shared" si="4"/>
        <v>0.10999999999999999</v>
      </c>
      <c r="O47" s="1752">
        <f t="shared" si="26"/>
        <v>2.15</v>
      </c>
      <c r="P47" s="1752">
        <f t="shared" si="27"/>
        <v>2.1999999999999997</v>
      </c>
      <c r="Q47" s="1773">
        <v>0.38900000000000001</v>
      </c>
      <c r="R47" s="1773">
        <v>0.19450000000000001</v>
      </c>
      <c r="T47" s="1752">
        <f t="shared" si="25"/>
        <v>3.1999999999999966</v>
      </c>
      <c r="U47" s="1752">
        <f t="shared" si="25"/>
        <v>3.2489999999999966</v>
      </c>
      <c r="V47" s="1759">
        <f t="shared" si="19"/>
        <v>0.43000000000000022</v>
      </c>
    </row>
    <row r="48" spans="1:22" outlineLevel="1">
      <c r="A48" s="1749">
        <f t="shared" si="0"/>
        <v>36831</v>
      </c>
      <c r="B48" s="1749" t="str">
        <f t="shared" si="1"/>
        <v>4Q00</v>
      </c>
      <c r="C48" s="1749" t="str">
        <f t="shared" si="2"/>
        <v>4Q00</v>
      </c>
      <c r="D48" s="1750">
        <f t="shared" si="24"/>
        <v>36836</v>
      </c>
      <c r="E48" s="1750">
        <f t="shared" si="24"/>
        <v>36829</v>
      </c>
      <c r="F48" s="1735">
        <v>1.629</v>
      </c>
      <c r="G48" s="1752"/>
      <c r="H48" s="1762">
        <f t="shared" si="3"/>
        <v>0.33399999999999996</v>
      </c>
      <c r="I48" s="1763">
        <f t="shared" si="4"/>
        <v>0.33399999999999996</v>
      </c>
      <c r="J48" s="1755">
        <f t="shared" si="5"/>
        <v>0.04</v>
      </c>
      <c r="K48" s="1763">
        <f t="shared" si="4"/>
        <v>0.04</v>
      </c>
      <c r="L48" s="1764">
        <f t="shared" si="9"/>
        <v>0.10999999999999999</v>
      </c>
      <c r="M48" s="1765">
        <f t="shared" si="4"/>
        <v>0.10999999999999999</v>
      </c>
      <c r="O48" s="1752">
        <f t="shared" si="26"/>
        <v>2.1999999999999997</v>
      </c>
      <c r="P48" s="1752">
        <f t="shared" si="27"/>
        <v>2.2499999999999996</v>
      </c>
      <c r="Q48" s="1773">
        <v>0.39400000000000002</v>
      </c>
      <c r="R48" s="1773">
        <v>0.19700000000000001</v>
      </c>
      <c r="T48" s="1752">
        <f t="shared" si="25"/>
        <v>3.2499999999999964</v>
      </c>
      <c r="U48" s="1752">
        <f t="shared" si="25"/>
        <v>3.2989999999999964</v>
      </c>
      <c r="V48" s="1759">
        <f t="shared" si="19"/>
        <v>0.44000000000000022</v>
      </c>
    </row>
    <row r="49" spans="1:22" outlineLevel="1">
      <c r="A49" s="1749">
        <f t="shared" si="0"/>
        <v>36831</v>
      </c>
      <c r="B49" s="1749" t="str">
        <f t="shared" si="1"/>
        <v>4Q00</v>
      </c>
      <c r="C49" s="1749" t="str">
        <f t="shared" si="2"/>
        <v>4Q00</v>
      </c>
      <c r="D49" s="1750">
        <f t="shared" si="24"/>
        <v>36843</v>
      </c>
      <c r="E49" s="1750">
        <f t="shared" si="24"/>
        <v>36836</v>
      </c>
      <c r="F49" s="1735">
        <v>1.61</v>
      </c>
      <c r="G49" s="1752"/>
      <c r="H49" s="1762">
        <f t="shared" si="3"/>
        <v>0.33399999999999996</v>
      </c>
      <c r="I49" s="1763">
        <f t="shared" si="4"/>
        <v>0.33399999999999996</v>
      </c>
      <c r="J49" s="1755">
        <f t="shared" si="5"/>
        <v>0.04</v>
      </c>
      <c r="K49" s="1763">
        <f t="shared" si="4"/>
        <v>0.04</v>
      </c>
      <c r="L49" s="1764">
        <f t="shared" si="9"/>
        <v>0.10999999999999999</v>
      </c>
      <c r="M49" s="1765">
        <f t="shared" si="4"/>
        <v>0.10999999999999999</v>
      </c>
      <c r="O49" s="1752">
        <f t="shared" si="26"/>
        <v>2.2499999999999996</v>
      </c>
      <c r="P49" s="1752">
        <f t="shared" si="27"/>
        <v>2.2999999999999994</v>
      </c>
      <c r="Q49" s="1773">
        <v>0.39900000000000002</v>
      </c>
      <c r="R49" s="1773">
        <v>0.19950000000000001</v>
      </c>
      <c r="T49" s="1752">
        <f t="shared" si="25"/>
        <v>3.2999999999999963</v>
      </c>
      <c r="U49" s="1752">
        <f t="shared" si="25"/>
        <v>3.3489999999999962</v>
      </c>
      <c r="V49" s="1759">
        <f t="shared" si="19"/>
        <v>0.45000000000000023</v>
      </c>
    </row>
    <row r="50" spans="1:22" outlineLevel="1">
      <c r="A50" s="1749">
        <f t="shared" si="0"/>
        <v>36831</v>
      </c>
      <c r="B50" s="1749" t="str">
        <f t="shared" si="1"/>
        <v>4Q00</v>
      </c>
      <c r="C50" s="1749" t="str">
        <f t="shared" si="2"/>
        <v>4Q00</v>
      </c>
      <c r="D50" s="1750">
        <f t="shared" si="24"/>
        <v>36850</v>
      </c>
      <c r="E50" s="1750">
        <f t="shared" si="24"/>
        <v>36843</v>
      </c>
      <c r="F50" s="1735">
        <v>1.6030000000000002</v>
      </c>
      <c r="G50" s="1752"/>
      <c r="H50" s="1762">
        <f t="shared" si="3"/>
        <v>0.33399999999999996</v>
      </c>
      <c r="I50" s="1763">
        <f t="shared" si="4"/>
        <v>0.33399999999999996</v>
      </c>
      <c r="J50" s="1755">
        <f t="shared" si="5"/>
        <v>0.04</v>
      </c>
      <c r="K50" s="1763">
        <f t="shared" si="4"/>
        <v>0.04</v>
      </c>
      <c r="L50" s="1764">
        <f t="shared" si="9"/>
        <v>0.10999999999999999</v>
      </c>
      <c r="M50" s="1765">
        <f t="shared" si="4"/>
        <v>0.10999999999999999</v>
      </c>
      <c r="O50" s="1752">
        <f t="shared" si="26"/>
        <v>2.2999999999999994</v>
      </c>
      <c r="P50" s="1752">
        <f t="shared" si="27"/>
        <v>2.3499999999999992</v>
      </c>
      <c r="Q50" s="1773">
        <v>0.40400000000000003</v>
      </c>
      <c r="R50" s="1773">
        <v>0.20200000000000001</v>
      </c>
      <c r="T50" s="1752">
        <f t="shared" si="25"/>
        <v>3.3499999999999961</v>
      </c>
      <c r="U50" s="1752">
        <f t="shared" si="25"/>
        <v>3.398999999999996</v>
      </c>
      <c r="V50" s="1759">
        <f t="shared" si="19"/>
        <v>0.46000000000000024</v>
      </c>
    </row>
    <row r="51" spans="1:22" outlineLevel="1">
      <c r="A51" s="1749">
        <f t="shared" si="0"/>
        <v>36831</v>
      </c>
      <c r="B51" s="1749" t="str">
        <f t="shared" si="1"/>
        <v>4Q00</v>
      </c>
      <c r="C51" s="1749" t="str">
        <f t="shared" si="2"/>
        <v>4Q00</v>
      </c>
      <c r="D51" s="1750">
        <f t="shared" si="24"/>
        <v>36857</v>
      </c>
      <c r="E51" s="1750">
        <f t="shared" si="24"/>
        <v>36850</v>
      </c>
      <c r="F51" s="1735">
        <v>1.6269999999999998</v>
      </c>
      <c r="G51" s="1752"/>
      <c r="H51" s="1762">
        <f t="shared" si="3"/>
        <v>0.33399999999999996</v>
      </c>
      <c r="I51" s="1763">
        <f t="shared" si="4"/>
        <v>0.33399999999999996</v>
      </c>
      <c r="J51" s="1755">
        <f t="shared" si="5"/>
        <v>0.04</v>
      </c>
      <c r="K51" s="1763">
        <f t="shared" si="4"/>
        <v>0.04</v>
      </c>
      <c r="L51" s="1764">
        <f t="shared" si="9"/>
        <v>0.10999999999999999</v>
      </c>
      <c r="M51" s="1765">
        <f t="shared" si="4"/>
        <v>0.10999999999999999</v>
      </c>
      <c r="O51" s="1752">
        <f t="shared" si="26"/>
        <v>2.3499999999999992</v>
      </c>
      <c r="P51" s="1752">
        <f t="shared" si="27"/>
        <v>2.399999999999999</v>
      </c>
      <c r="Q51" s="1773">
        <v>0.40899999999999997</v>
      </c>
      <c r="R51" s="1773">
        <v>0.20449999999999999</v>
      </c>
      <c r="T51" s="1752">
        <f t="shared" si="25"/>
        <v>3.3999999999999959</v>
      </c>
      <c r="U51" s="1752">
        <f t="shared" si="25"/>
        <v>3.4489999999999958</v>
      </c>
      <c r="V51" s="1759">
        <f t="shared" si="19"/>
        <v>0.47000000000000025</v>
      </c>
    </row>
    <row r="52" spans="1:22" outlineLevel="1">
      <c r="A52" s="1749">
        <f t="shared" si="0"/>
        <v>36861</v>
      </c>
      <c r="B52" s="1749" t="str">
        <f t="shared" si="1"/>
        <v>4Q00</v>
      </c>
      <c r="C52" s="1749" t="str">
        <f t="shared" si="2"/>
        <v>4Q00</v>
      </c>
      <c r="D52" s="1750">
        <f t="shared" si="24"/>
        <v>36864</v>
      </c>
      <c r="E52" s="1750">
        <f t="shared" si="24"/>
        <v>36857</v>
      </c>
      <c r="F52" s="1735">
        <v>1.645</v>
      </c>
      <c r="G52" s="1752"/>
      <c r="H52" s="1762">
        <f t="shared" si="3"/>
        <v>0.33399999999999996</v>
      </c>
      <c r="I52" s="1763">
        <f t="shared" si="4"/>
        <v>0.33399999999999996</v>
      </c>
      <c r="J52" s="1755">
        <f t="shared" si="5"/>
        <v>0.04</v>
      </c>
      <c r="K52" s="1763">
        <f t="shared" si="4"/>
        <v>0.04</v>
      </c>
      <c r="L52" s="1764">
        <f t="shared" si="9"/>
        <v>0.10999999999999999</v>
      </c>
      <c r="M52" s="1765">
        <f t="shared" si="4"/>
        <v>0.10999999999999999</v>
      </c>
      <c r="O52" s="1752">
        <f t="shared" si="26"/>
        <v>2.399999999999999</v>
      </c>
      <c r="P52" s="1752">
        <f t="shared" si="27"/>
        <v>2.4499999999999988</v>
      </c>
      <c r="Q52" s="1773">
        <v>0.41399999999999998</v>
      </c>
      <c r="R52" s="1773">
        <v>0.20699999999999999</v>
      </c>
      <c r="T52" s="1752">
        <f t="shared" si="25"/>
        <v>3.4499999999999957</v>
      </c>
      <c r="U52" s="1752">
        <f t="shared" si="25"/>
        <v>3.4989999999999957</v>
      </c>
      <c r="V52" s="1759">
        <f t="shared" si="19"/>
        <v>0.48000000000000026</v>
      </c>
    </row>
    <row r="53" spans="1:22" outlineLevel="1">
      <c r="A53" s="1749">
        <f t="shared" si="0"/>
        <v>36861</v>
      </c>
      <c r="B53" s="1749" t="str">
        <f t="shared" si="1"/>
        <v>4Q00</v>
      </c>
      <c r="C53" s="1749" t="str">
        <f t="shared" si="2"/>
        <v>4Q00</v>
      </c>
      <c r="D53" s="1750">
        <f t="shared" ref="D53:E68" si="28">D52+7</f>
        <v>36871</v>
      </c>
      <c r="E53" s="1750">
        <f t="shared" si="28"/>
        <v>36864</v>
      </c>
      <c r="F53" s="1735">
        <v>1.6219999999999999</v>
      </c>
      <c r="G53" s="1752"/>
      <c r="H53" s="1762">
        <f t="shared" si="3"/>
        <v>0.33399999999999996</v>
      </c>
      <c r="I53" s="1763">
        <f t="shared" si="4"/>
        <v>0.32899999999999996</v>
      </c>
      <c r="J53" s="1755">
        <f t="shared" si="5"/>
        <v>0.04</v>
      </c>
      <c r="K53" s="1763">
        <f t="shared" si="4"/>
        <v>0.04</v>
      </c>
      <c r="L53" s="1764">
        <f t="shared" si="9"/>
        <v>0.10999999999999999</v>
      </c>
      <c r="M53" s="1765">
        <f t="shared" si="4"/>
        <v>9.9999999999999992E-2</v>
      </c>
      <c r="O53" s="1752">
        <f t="shared" si="26"/>
        <v>2.4499999999999988</v>
      </c>
      <c r="P53" s="1752">
        <f t="shared" si="27"/>
        <v>2.4999999999999987</v>
      </c>
      <c r="Q53" s="1773">
        <v>0.41899999999999998</v>
      </c>
      <c r="R53" s="1773">
        <v>0.20949999999999999</v>
      </c>
      <c r="T53" s="1752">
        <f t="shared" si="25"/>
        <v>3.4999999999999956</v>
      </c>
      <c r="U53" s="1752">
        <f t="shared" si="25"/>
        <v>3.5489999999999955</v>
      </c>
      <c r="V53" s="1759">
        <f t="shared" si="19"/>
        <v>0.49000000000000027</v>
      </c>
    </row>
    <row r="54" spans="1:22" outlineLevel="1">
      <c r="A54" s="1749">
        <f t="shared" si="0"/>
        <v>36861</v>
      </c>
      <c r="B54" s="1749" t="str">
        <f t="shared" si="1"/>
        <v>4Q00</v>
      </c>
      <c r="C54" s="1749" t="str">
        <f t="shared" si="2"/>
        <v>4Q00</v>
      </c>
      <c r="D54" s="1750">
        <f t="shared" si="28"/>
        <v>36878</v>
      </c>
      <c r="E54" s="1750">
        <f t="shared" si="28"/>
        <v>36871</v>
      </c>
      <c r="F54" s="1735">
        <v>1.577</v>
      </c>
      <c r="G54" s="1752"/>
      <c r="H54" s="1762">
        <f t="shared" si="3"/>
        <v>0.32899999999999996</v>
      </c>
      <c r="I54" s="1763">
        <f t="shared" si="4"/>
        <v>0.32399999999999995</v>
      </c>
      <c r="J54" s="1755">
        <f t="shared" si="5"/>
        <v>0.04</v>
      </c>
      <c r="K54" s="1763">
        <f t="shared" si="4"/>
        <v>0.04</v>
      </c>
      <c r="L54" s="1764">
        <f t="shared" si="9"/>
        <v>9.9999999999999992E-2</v>
      </c>
      <c r="M54" s="1765">
        <f t="shared" si="4"/>
        <v>0.09</v>
      </c>
      <c r="O54" s="1752">
        <f t="shared" si="26"/>
        <v>2.4999999999999987</v>
      </c>
      <c r="P54" s="1752">
        <f t="shared" si="27"/>
        <v>2.5499999999999985</v>
      </c>
      <c r="Q54" s="1773">
        <v>0.42399999999999999</v>
      </c>
      <c r="R54" s="1773">
        <v>0.21199999999999999</v>
      </c>
      <c r="T54" s="1752">
        <f t="shared" si="25"/>
        <v>3.5499999999999954</v>
      </c>
      <c r="U54" s="1752">
        <f t="shared" si="25"/>
        <v>3.5989999999999953</v>
      </c>
      <c r="V54" s="1759">
        <f t="shared" si="19"/>
        <v>0.50000000000000022</v>
      </c>
    </row>
    <row r="55" spans="1:22" outlineLevel="1">
      <c r="A55" s="1749">
        <f t="shared" si="0"/>
        <v>36861</v>
      </c>
      <c r="B55" s="1749" t="str">
        <f t="shared" si="1"/>
        <v>4Q00</v>
      </c>
      <c r="C55" s="1749" t="str">
        <f t="shared" si="2"/>
        <v>4Q00</v>
      </c>
      <c r="D55" s="1750">
        <f t="shared" si="28"/>
        <v>36885</v>
      </c>
      <c r="E55" s="1750">
        <f t="shared" si="28"/>
        <v>36878</v>
      </c>
      <c r="F55" s="1735">
        <v>1.5449999999999999</v>
      </c>
      <c r="G55" s="1752"/>
      <c r="H55" s="1762">
        <f t="shared" si="3"/>
        <v>0.32399999999999995</v>
      </c>
      <c r="I55" s="1763">
        <f t="shared" si="4"/>
        <v>0.32399999999999995</v>
      </c>
      <c r="J55" s="1755">
        <f t="shared" si="5"/>
        <v>0.04</v>
      </c>
      <c r="K55" s="1763">
        <f t="shared" si="4"/>
        <v>0.04</v>
      </c>
      <c r="L55" s="1764">
        <f t="shared" si="9"/>
        <v>0.09</v>
      </c>
      <c r="M55" s="1765">
        <f t="shared" si="4"/>
        <v>0.09</v>
      </c>
      <c r="O55" s="1752">
        <f t="shared" si="26"/>
        <v>2.5499999999999985</v>
      </c>
      <c r="P55" s="1752">
        <f t="shared" si="27"/>
        <v>2.5999999999999983</v>
      </c>
      <c r="Q55" s="1773">
        <v>0.42899999999999999</v>
      </c>
      <c r="R55" s="1773">
        <v>0.2145</v>
      </c>
      <c r="T55" s="1752">
        <f t="shared" ref="T55:U70" si="29">T54+0.05</f>
        <v>3.5999999999999952</v>
      </c>
      <c r="U55" s="1752">
        <f t="shared" si="29"/>
        <v>3.6489999999999951</v>
      </c>
      <c r="V55" s="1759">
        <f t="shared" si="19"/>
        <v>0.51000000000000023</v>
      </c>
    </row>
    <row r="56" spans="1:22" outlineLevel="1">
      <c r="A56" s="1749">
        <f t="shared" si="0"/>
        <v>36892</v>
      </c>
      <c r="B56" s="1749" t="str">
        <f t="shared" si="1"/>
        <v>1Q01</v>
      </c>
      <c r="C56" s="1749" t="str">
        <f t="shared" si="2"/>
        <v>4Q00</v>
      </c>
      <c r="D56" s="1750">
        <f t="shared" si="28"/>
        <v>36892</v>
      </c>
      <c r="E56" s="1750">
        <f t="shared" si="28"/>
        <v>36885</v>
      </c>
      <c r="F56" s="1735">
        <v>1.5149999999999999</v>
      </c>
      <c r="G56" s="1752"/>
      <c r="H56" s="1762">
        <f t="shared" si="3"/>
        <v>0.32399999999999995</v>
      </c>
      <c r="I56" s="1763">
        <f t="shared" si="4"/>
        <v>0.08</v>
      </c>
      <c r="J56" s="1755">
        <f>+J57</f>
        <v>0.04</v>
      </c>
      <c r="K56" s="1763">
        <f t="shared" si="4"/>
        <v>0.04</v>
      </c>
      <c r="L56" s="1764">
        <f t="shared" si="9"/>
        <v>0.09</v>
      </c>
      <c r="M56" s="1765">
        <f t="shared" si="4"/>
        <v>0.09</v>
      </c>
      <c r="O56" s="1752">
        <f t="shared" si="26"/>
        <v>2.5999999999999983</v>
      </c>
      <c r="P56" s="1752">
        <f t="shared" si="27"/>
        <v>2.6499999999999981</v>
      </c>
      <c r="Q56" s="1773">
        <v>0.434</v>
      </c>
      <c r="R56" s="1773">
        <v>0.217</v>
      </c>
      <c r="T56" s="1752">
        <f t="shared" si="29"/>
        <v>3.649999999999995</v>
      </c>
      <c r="U56" s="1752">
        <f t="shared" si="29"/>
        <v>3.698999999999995</v>
      </c>
      <c r="V56" s="1759">
        <f t="shared" si="19"/>
        <v>0.52000000000000024</v>
      </c>
    </row>
    <row r="57" spans="1:22" s="537" customFormat="1" outlineLevel="1">
      <c r="A57" s="1774">
        <f t="shared" si="0"/>
        <v>36892</v>
      </c>
      <c r="B57" s="1774" t="str">
        <f t="shared" si="1"/>
        <v>1Q01</v>
      </c>
      <c r="C57" s="1774" t="str">
        <f t="shared" si="2"/>
        <v>1Q01</v>
      </c>
      <c r="D57" s="1775">
        <f t="shared" si="28"/>
        <v>36899</v>
      </c>
      <c r="E57" s="1775">
        <f t="shared" si="28"/>
        <v>36892</v>
      </c>
      <c r="F57" s="1776">
        <v>1.5219999999999998</v>
      </c>
      <c r="G57" s="1777"/>
      <c r="H57" s="1778">
        <v>0.08</v>
      </c>
      <c r="I57" s="1779">
        <f t="shared" si="4"/>
        <v>0.08</v>
      </c>
      <c r="J57" s="1778">
        <v>0.04</v>
      </c>
      <c r="K57" s="1779">
        <f t="shared" si="4"/>
        <v>0.04</v>
      </c>
      <c r="L57" s="1780">
        <f t="shared" si="9"/>
        <v>0.09</v>
      </c>
      <c r="M57" s="1781">
        <f t="shared" si="4"/>
        <v>0.09</v>
      </c>
      <c r="O57" s="1777">
        <f t="shared" si="26"/>
        <v>2.6499999999999981</v>
      </c>
      <c r="P57" s="1777">
        <f t="shared" si="27"/>
        <v>2.699999999999998</v>
      </c>
      <c r="Q57" s="1782">
        <v>0.439</v>
      </c>
      <c r="R57" s="1782">
        <v>0.2195</v>
      </c>
      <c r="T57" s="1777">
        <f t="shared" si="29"/>
        <v>3.6999999999999948</v>
      </c>
      <c r="U57" s="1777">
        <f t="shared" si="29"/>
        <v>3.7489999999999948</v>
      </c>
      <c r="V57" s="1783">
        <f t="shared" si="19"/>
        <v>0.53000000000000025</v>
      </c>
    </row>
    <row r="58" spans="1:22" outlineLevel="1">
      <c r="A58" s="1749">
        <f t="shared" si="0"/>
        <v>36892</v>
      </c>
      <c r="B58" s="1749" t="str">
        <f t="shared" si="1"/>
        <v>1Q01</v>
      </c>
      <c r="C58" s="1749" t="str">
        <f t="shared" si="2"/>
        <v>1Q01</v>
      </c>
      <c r="D58" s="1750">
        <f t="shared" si="28"/>
        <v>36906</v>
      </c>
      <c r="E58" s="1750">
        <f t="shared" si="28"/>
        <v>36899</v>
      </c>
      <c r="F58" s="1735">
        <v>1.52</v>
      </c>
      <c r="G58" s="1752"/>
      <c r="H58" s="1784">
        <v>0.08</v>
      </c>
      <c r="I58" s="1763">
        <f t="shared" si="4"/>
        <v>7.5999999999999998E-2</v>
      </c>
      <c r="J58" s="1784">
        <v>0.04</v>
      </c>
      <c r="K58" s="1763">
        <f t="shared" si="4"/>
        <v>3.7999999999999999E-2</v>
      </c>
      <c r="L58" s="1764">
        <f t="shared" si="9"/>
        <v>0.09</v>
      </c>
      <c r="M58" s="1765">
        <f t="shared" si="4"/>
        <v>0.09</v>
      </c>
      <c r="O58" s="1752">
        <f t="shared" si="26"/>
        <v>2.699999999999998</v>
      </c>
      <c r="P58" s="1752">
        <f t="shared" si="27"/>
        <v>2.7499999999999978</v>
      </c>
      <c r="Q58" s="1773">
        <v>0.44400000000000001</v>
      </c>
      <c r="R58" s="1773">
        <v>0.222</v>
      </c>
      <c r="T58" s="1752">
        <f t="shared" si="29"/>
        <v>3.7499999999999947</v>
      </c>
      <c r="U58" s="1752">
        <f t="shared" si="29"/>
        <v>3.7989999999999946</v>
      </c>
      <c r="V58" s="1759">
        <f t="shared" si="19"/>
        <v>0.54000000000000026</v>
      </c>
    </row>
    <row r="59" spans="1:22" outlineLevel="1">
      <c r="A59" s="1749">
        <f t="shared" si="0"/>
        <v>36892</v>
      </c>
      <c r="B59" s="1749" t="str">
        <f t="shared" si="1"/>
        <v>1Q01</v>
      </c>
      <c r="C59" s="1749" t="str">
        <f t="shared" si="2"/>
        <v>1Q01</v>
      </c>
      <c r="D59" s="1750">
        <f t="shared" si="28"/>
        <v>36913</v>
      </c>
      <c r="E59" s="1750">
        <f t="shared" si="28"/>
        <v>36906</v>
      </c>
      <c r="F59" s="1735">
        <v>1.5090000000000001</v>
      </c>
      <c r="G59" s="1752"/>
      <c r="H59" s="1784">
        <v>7.5999999999999998E-2</v>
      </c>
      <c r="I59" s="1763">
        <f t="shared" si="4"/>
        <v>0.08</v>
      </c>
      <c r="J59" s="1784">
        <v>3.7999999999999999E-2</v>
      </c>
      <c r="K59" s="1763">
        <f t="shared" si="4"/>
        <v>0.04</v>
      </c>
      <c r="L59" s="1764">
        <f t="shared" si="9"/>
        <v>0.09</v>
      </c>
      <c r="M59" s="1765">
        <f t="shared" si="4"/>
        <v>0.09</v>
      </c>
      <c r="O59" s="1752">
        <f t="shared" si="26"/>
        <v>2.7499999999999978</v>
      </c>
      <c r="P59" s="1752">
        <f t="shared" si="27"/>
        <v>2.7999999999999976</v>
      </c>
      <c r="Q59" s="1773">
        <v>0.44900000000000001</v>
      </c>
      <c r="R59" s="1773">
        <v>0.22450000000000001</v>
      </c>
      <c r="T59" s="1752">
        <f t="shared" si="29"/>
        <v>3.7999999999999945</v>
      </c>
      <c r="U59" s="1752">
        <f t="shared" si="29"/>
        <v>3.8489999999999944</v>
      </c>
      <c r="V59" s="1759">
        <f t="shared" si="19"/>
        <v>0.55000000000000027</v>
      </c>
    </row>
    <row r="60" spans="1:22" outlineLevel="1">
      <c r="A60" s="1749">
        <f t="shared" si="0"/>
        <v>36892</v>
      </c>
      <c r="B60" s="1749" t="str">
        <f t="shared" si="1"/>
        <v>1Q01</v>
      </c>
      <c r="C60" s="1749" t="str">
        <f t="shared" si="2"/>
        <v>1Q01</v>
      </c>
      <c r="D60" s="1750">
        <f t="shared" si="28"/>
        <v>36920</v>
      </c>
      <c r="E60" s="1750">
        <f t="shared" si="28"/>
        <v>36913</v>
      </c>
      <c r="F60" s="1735">
        <v>1.528</v>
      </c>
      <c r="G60" s="1752"/>
      <c r="H60" s="1784">
        <v>0.08</v>
      </c>
      <c r="I60" s="1763">
        <f t="shared" si="4"/>
        <v>8.2000000000000003E-2</v>
      </c>
      <c r="J60" s="1784">
        <v>0.04</v>
      </c>
      <c r="K60" s="1763">
        <f t="shared" si="4"/>
        <v>4.1000000000000002E-2</v>
      </c>
      <c r="L60" s="1764">
        <f t="shared" si="9"/>
        <v>0.09</v>
      </c>
      <c r="M60" s="1765">
        <f t="shared" si="4"/>
        <v>0.09</v>
      </c>
      <c r="O60" s="1752">
        <f t="shared" si="26"/>
        <v>2.7999999999999976</v>
      </c>
      <c r="P60" s="1752">
        <f t="shared" si="27"/>
        <v>2.8499999999999974</v>
      </c>
      <c r="Q60" s="1773">
        <v>0.45400000000000001</v>
      </c>
      <c r="R60" s="1773">
        <v>0.22700000000000001</v>
      </c>
      <c r="T60" s="1752">
        <f t="shared" si="29"/>
        <v>3.8499999999999943</v>
      </c>
      <c r="U60" s="1752">
        <f t="shared" si="29"/>
        <v>3.8989999999999942</v>
      </c>
      <c r="V60" s="1759">
        <f t="shared" si="19"/>
        <v>0.56000000000000028</v>
      </c>
    </row>
    <row r="61" spans="1:22" outlineLevel="1">
      <c r="A61" s="1749">
        <f t="shared" si="0"/>
        <v>36923</v>
      </c>
      <c r="B61" s="1749" t="str">
        <f t="shared" si="1"/>
        <v>1Q01</v>
      </c>
      <c r="C61" s="1749" t="str">
        <f t="shared" si="2"/>
        <v>1Q01</v>
      </c>
      <c r="D61" s="1750">
        <f t="shared" si="28"/>
        <v>36927</v>
      </c>
      <c r="E61" s="1750">
        <f t="shared" si="28"/>
        <v>36920</v>
      </c>
      <c r="F61" s="1735">
        <v>1.5390000000000001</v>
      </c>
      <c r="G61" s="1752"/>
      <c r="H61" s="1784">
        <v>8.2000000000000003E-2</v>
      </c>
      <c r="I61" s="1763">
        <f t="shared" si="4"/>
        <v>0.08</v>
      </c>
      <c r="J61" s="1784">
        <v>4.1000000000000002E-2</v>
      </c>
      <c r="K61" s="1763">
        <f t="shared" si="4"/>
        <v>0.04</v>
      </c>
      <c r="L61" s="1764">
        <f t="shared" si="9"/>
        <v>0.09</v>
      </c>
      <c r="M61" s="1765">
        <f t="shared" si="4"/>
        <v>0.09</v>
      </c>
      <c r="O61" s="1752">
        <f t="shared" si="26"/>
        <v>2.8499999999999974</v>
      </c>
      <c r="P61" s="1752">
        <f t="shared" si="27"/>
        <v>2.8999999999999972</v>
      </c>
      <c r="Q61" s="1773">
        <v>0.45900000000000002</v>
      </c>
      <c r="R61" s="1773">
        <v>0.22950000000000001</v>
      </c>
      <c r="T61" s="1752">
        <f t="shared" si="29"/>
        <v>3.8999999999999941</v>
      </c>
      <c r="U61" s="1752">
        <f t="shared" si="29"/>
        <v>3.9489999999999941</v>
      </c>
      <c r="V61" s="1759">
        <f t="shared" si="19"/>
        <v>0.57000000000000028</v>
      </c>
    </row>
    <row r="62" spans="1:22" outlineLevel="1">
      <c r="A62" s="1749">
        <f t="shared" si="0"/>
        <v>36923</v>
      </c>
      <c r="B62" s="1749" t="str">
        <f t="shared" si="1"/>
        <v>1Q01</v>
      </c>
      <c r="C62" s="1749" t="str">
        <f t="shared" si="2"/>
        <v>1Q01</v>
      </c>
      <c r="D62" s="1750">
        <f t="shared" si="28"/>
        <v>36934</v>
      </c>
      <c r="E62" s="1750">
        <f t="shared" si="28"/>
        <v>36927</v>
      </c>
      <c r="F62" s="1735">
        <v>1.52</v>
      </c>
      <c r="G62" s="1752"/>
      <c r="H62" s="1784">
        <v>0.08</v>
      </c>
      <c r="I62" s="1763">
        <f t="shared" si="4"/>
        <v>7.8E-2</v>
      </c>
      <c r="J62" s="1784">
        <v>0.04</v>
      </c>
      <c r="K62" s="1763">
        <f t="shared" si="4"/>
        <v>3.9E-2</v>
      </c>
      <c r="L62" s="1764">
        <f t="shared" si="9"/>
        <v>0.09</v>
      </c>
      <c r="M62" s="1765">
        <f t="shared" si="4"/>
        <v>0.09</v>
      </c>
      <c r="O62" s="1752">
        <f t="shared" si="26"/>
        <v>2.8999999999999972</v>
      </c>
      <c r="P62" s="1752">
        <f t="shared" si="27"/>
        <v>2.9499999999999971</v>
      </c>
      <c r="Q62" s="1773">
        <v>0.46400000000000002</v>
      </c>
      <c r="R62" s="1773">
        <v>0.23200000000000001</v>
      </c>
      <c r="T62" s="1752">
        <f t="shared" si="29"/>
        <v>3.949999999999994</v>
      </c>
      <c r="U62" s="1752">
        <f t="shared" si="29"/>
        <v>3.9989999999999939</v>
      </c>
      <c r="V62" s="1759">
        <f t="shared" si="19"/>
        <v>0.58000000000000029</v>
      </c>
    </row>
    <row r="63" spans="1:22" outlineLevel="1">
      <c r="A63" s="1749">
        <f t="shared" si="0"/>
        <v>36923</v>
      </c>
      <c r="B63" s="1749" t="str">
        <f t="shared" si="1"/>
        <v>1Q01</v>
      </c>
      <c r="C63" s="1749" t="str">
        <f t="shared" si="2"/>
        <v>1Q01</v>
      </c>
      <c r="D63" s="1750">
        <f t="shared" si="28"/>
        <v>36941</v>
      </c>
      <c r="E63" s="1750">
        <f t="shared" si="28"/>
        <v>36934</v>
      </c>
      <c r="F63" s="1735">
        <v>1.518</v>
      </c>
      <c r="G63" s="1752"/>
      <c r="H63" s="1784">
        <v>7.8E-2</v>
      </c>
      <c r="I63" s="1763">
        <f t="shared" si="4"/>
        <v>7.1999999999999995E-2</v>
      </c>
      <c r="J63" s="1784">
        <v>3.9E-2</v>
      </c>
      <c r="K63" s="1763">
        <f t="shared" si="4"/>
        <v>3.5999999999999997E-2</v>
      </c>
      <c r="L63" s="1764">
        <f t="shared" si="9"/>
        <v>0.09</v>
      </c>
      <c r="M63" s="1765">
        <f t="shared" si="4"/>
        <v>0.08</v>
      </c>
      <c r="O63" s="1752">
        <f t="shared" si="26"/>
        <v>2.9499999999999971</v>
      </c>
      <c r="P63" s="1752">
        <f t="shared" si="27"/>
        <v>2.9999999999999969</v>
      </c>
      <c r="Q63" s="1773">
        <v>0.46899999999999997</v>
      </c>
      <c r="R63" s="1773">
        <v>0.23449999999999999</v>
      </c>
      <c r="T63" s="1752">
        <f t="shared" si="29"/>
        <v>3.9999999999999938</v>
      </c>
      <c r="U63" s="1752">
        <f t="shared" si="29"/>
        <v>4.0489999999999942</v>
      </c>
      <c r="V63" s="1759">
        <f t="shared" si="19"/>
        <v>0.5900000000000003</v>
      </c>
    </row>
    <row r="64" spans="1:22" outlineLevel="1">
      <c r="A64" s="1749">
        <f t="shared" si="0"/>
        <v>36923</v>
      </c>
      <c r="B64" s="1749" t="str">
        <f t="shared" si="1"/>
        <v>1Q01</v>
      </c>
      <c r="C64" s="1749" t="str">
        <f t="shared" si="2"/>
        <v>1Q01</v>
      </c>
      <c r="D64" s="1750">
        <f t="shared" si="28"/>
        <v>36948</v>
      </c>
      <c r="E64" s="1750">
        <f t="shared" si="28"/>
        <v>36941</v>
      </c>
      <c r="F64" s="1735">
        <v>1.48</v>
      </c>
      <c r="G64" s="1752"/>
      <c r="H64" s="1784">
        <v>7.1999999999999995E-2</v>
      </c>
      <c r="I64" s="1763">
        <f t="shared" si="4"/>
        <v>6.6000000000000003E-2</v>
      </c>
      <c r="J64" s="1784">
        <v>3.5999999999999997E-2</v>
      </c>
      <c r="K64" s="1763">
        <f t="shared" si="4"/>
        <v>3.3000000000000002E-2</v>
      </c>
      <c r="L64" s="1764">
        <f t="shared" si="9"/>
        <v>0.08</v>
      </c>
      <c r="M64" s="1765">
        <f t="shared" si="4"/>
        <v>0.08</v>
      </c>
      <c r="O64" s="1752">
        <f t="shared" si="26"/>
        <v>2.9999999999999969</v>
      </c>
      <c r="P64" s="1752">
        <f t="shared" si="27"/>
        <v>3.0499999999999967</v>
      </c>
      <c r="Q64" s="1773">
        <v>0.47399999999999998</v>
      </c>
      <c r="R64" s="1773">
        <v>0.23699999999999999</v>
      </c>
      <c r="T64" s="1752">
        <f t="shared" si="29"/>
        <v>4.0499999999999936</v>
      </c>
      <c r="U64" s="1752">
        <f t="shared" si="29"/>
        <v>4.098999999999994</v>
      </c>
      <c r="V64" s="1759">
        <f t="shared" si="19"/>
        <v>0.60000000000000031</v>
      </c>
    </row>
    <row r="65" spans="1:22" outlineLevel="1">
      <c r="A65" s="1749">
        <f t="shared" si="0"/>
        <v>36951</v>
      </c>
      <c r="B65" s="1749" t="str">
        <f t="shared" si="1"/>
        <v>1Q01</v>
      </c>
      <c r="C65" s="1749" t="str">
        <f t="shared" si="2"/>
        <v>1Q01</v>
      </c>
      <c r="D65" s="1750">
        <f t="shared" si="28"/>
        <v>36955</v>
      </c>
      <c r="E65" s="1750">
        <f t="shared" si="28"/>
        <v>36948</v>
      </c>
      <c r="F65" s="1735">
        <v>1.4509999999999998</v>
      </c>
      <c r="G65" s="1752"/>
      <c r="H65" s="1784">
        <v>6.6000000000000003E-2</v>
      </c>
      <c r="I65" s="1763">
        <f t="shared" si="4"/>
        <v>0.06</v>
      </c>
      <c r="J65" s="1784">
        <v>3.3000000000000002E-2</v>
      </c>
      <c r="K65" s="1763">
        <f t="shared" si="4"/>
        <v>0.03</v>
      </c>
      <c r="L65" s="1764">
        <f t="shared" si="9"/>
        <v>0.08</v>
      </c>
      <c r="M65" s="1765">
        <f t="shared" si="4"/>
        <v>7.0000000000000007E-2</v>
      </c>
      <c r="O65" s="1752">
        <f t="shared" si="26"/>
        <v>3.0499999999999967</v>
      </c>
      <c r="P65" s="1752">
        <f t="shared" si="27"/>
        <v>3.0999999999999965</v>
      </c>
      <c r="Q65" s="1773">
        <v>0.47899999999999998</v>
      </c>
      <c r="R65" s="1773">
        <v>0.23949999999999999</v>
      </c>
      <c r="T65" s="1752">
        <f t="shared" si="29"/>
        <v>4.0999999999999934</v>
      </c>
      <c r="U65" s="1752">
        <f t="shared" si="29"/>
        <v>4.1489999999999938</v>
      </c>
      <c r="V65" s="1759">
        <f t="shared" si="19"/>
        <v>0.61000000000000032</v>
      </c>
    </row>
    <row r="66" spans="1:22" outlineLevel="1">
      <c r="A66" s="1749">
        <f t="shared" si="0"/>
        <v>36951</v>
      </c>
      <c r="B66" s="1749" t="str">
        <f t="shared" si="1"/>
        <v>1Q01</v>
      </c>
      <c r="C66" s="1749" t="str">
        <f t="shared" si="2"/>
        <v>1Q01</v>
      </c>
      <c r="D66" s="1750">
        <f t="shared" si="28"/>
        <v>36962</v>
      </c>
      <c r="E66" s="1750">
        <f t="shared" si="28"/>
        <v>36955</v>
      </c>
      <c r="F66" s="1735">
        <v>1.42</v>
      </c>
      <c r="G66" s="1752"/>
      <c r="H66" s="1784">
        <v>0.06</v>
      </c>
      <c r="I66" s="1763">
        <f t="shared" si="4"/>
        <v>5.6000000000000001E-2</v>
      </c>
      <c r="J66" s="1784">
        <v>0.03</v>
      </c>
      <c r="K66" s="1763">
        <f t="shared" si="4"/>
        <v>2.8000000000000001E-2</v>
      </c>
      <c r="L66" s="1764">
        <f t="shared" si="9"/>
        <v>7.0000000000000007E-2</v>
      </c>
      <c r="M66" s="1765">
        <f t="shared" si="4"/>
        <v>7.0000000000000007E-2</v>
      </c>
      <c r="O66" s="1752">
        <f t="shared" si="26"/>
        <v>3.0999999999999965</v>
      </c>
      <c r="P66" s="1752">
        <f t="shared" si="27"/>
        <v>3.1499999999999964</v>
      </c>
      <c r="Q66" s="1773">
        <v>0.48399999999999999</v>
      </c>
      <c r="R66" s="1773">
        <v>0.24199999999999999</v>
      </c>
      <c r="T66" s="1752">
        <f t="shared" si="29"/>
        <v>4.1499999999999932</v>
      </c>
      <c r="U66" s="1752">
        <f t="shared" si="29"/>
        <v>4.1989999999999936</v>
      </c>
      <c r="V66" s="1759">
        <f t="shared" si="19"/>
        <v>0.62000000000000033</v>
      </c>
    </row>
    <row r="67" spans="1:22" outlineLevel="1">
      <c r="A67" s="1749">
        <f t="shared" si="0"/>
        <v>36951</v>
      </c>
      <c r="B67" s="1749" t="str">
        <f t="shared" si="1"/>
        <v>1Q01</v>
      </c>
      <c r="C67" s="1749" t="str">
        <f t="shared" si="2"/>
        <v>1Q01</v>
      </c>
      <c r="D67" s="1750">
        <f t="shared" si="28"/>
        <v>36969</v>
      </c>
      <c r="E67" s="1750">
        <f t="shared" si="28"/>
        <v>36962</v>
      </c>
      <c r="F67" s="1735">
        <v>1.4059999999999999</v>
      </c>
      <c r="G67" s="1752"/>
      <c r="H67" s="1784">
        <v>5.6000000000000001E-2</v>
      </c>
      <c r="I67" s="1763">
        <f t="shared" si="4"/>
        <v>5.3999999999999999E-2</v>
      </c>
      <c r="J67" s="1784">
        <v>2.8000000000000001E-2</v>
      </c>
      <c r="K67" s="1763">
        <f t="shared" si="4"/>
        <v>2.7E-2</v>
      </c>
      <c r="L67" s="1764">
        <f t="shared" si="9"/>
        <v>7.0000000000000007E-2</v>
      </c>
      <c r="M67" s="1765">
        <f t="shared" si="4"/>
        <v>6.0000000000000005E-2</v>
      </c>
      <c r="O67" s="1752">
        <f t="shared" si="26"/>
        <v>3.1499999999999964</v>
      </c>
      <c r="P67" s="1752">
        <f t="shared" si="27"/>
        <v>3.1999999999999962</v>
      </c>
      <c r="Q67" s="1773">
        <v>0.48899999999999999</v>
      </c>
      <c r="R67" s="1773">
        <v>0.2445</v>
      </c>
      <c r="T67" s="1752">
        <f t="shared" si="29"/>
        <v>4.1999999999999931</v>
      </c>
      <c r="U67" s="1752">
        <f t="shared" si="29"/>
        <v>4.2489999999999934</v>
      </c>
      <c r="V67" s="1759">
        <f t="shared" si="19"/>
        <v>0.63000000000000034</v>
      </c>
    </row>
    <row r="68" spans="1:22" outlineLevel="1">
      <c r="A68" s="1749">
        <f t="shared" ref="A68:A131" si="30">DATE(YEAR(D68),MONTH(D68),1)</f>
        <v>36951</v>
      </c>
      <c r="B68" s="1749" t="str">
        <f t="shared" ref="B68:B131" si="31">VLOOKUP(MONTH(A68),$AB$4:$AC$17,2,FALSE) &amp; "Q" &amp; RIGHT(YEAR(A68),2)</f>
        <v>1Q01</v>
      </c>
      <c r="C68" s="1749" t="str">
        <f t="shared" ref="C68:C131" si="32">VLOOKUP(MONTH(E68),$AB$4:$AC$17,2,FALSE) &amp; "Q" &amp; RIGHT(YEAR(E68),2)</f>
        <v>1Q01</v>
      </c>
      <c r="D68" s="1750">
        <f t="shared" si="28"/>
        <v>36976</v>
      </c>
      <c r="E68" s="1750">
        <f t="shared" si="28"/>
        <v>36969</v>
      </c>
      <c r="F68" s="1735">
        <v>1.3919999999999999</v>
      </c>
      <c r="G68" s="1752"/>
      <c r="H68" s="1784">
        <v>5.3999999999999999E-2</v>
      </c>
      <c r="I68" s="1763">
        <f t="shared" ref="I68:I131" si="33">H69</f>
        <v>0.05</v>
      </c>
      <c r="J68" s="1784">
        <v>2.7E-2</v>
      </c>
      <c r="K68" s="1763">
        <f t="shared" ref="K68:K131" si="34">J69</f>
        <v>2.5000000000000001E-2</v>
      </c>
      <c r="L68" s="1764">
        <f t="shared" si="9"/>
        <v>6.0000000000000005E-2</v>
      </c>
      <c r="M68" s="1765">
        <f t="shared" ref="M68:M131" si="35">L69</f>
        <v>6.0000000000000005E-2</v>
      </c>
      <c r="O68" s="1752">
        <f t="shared" si="26"/>
        <v>3.1999999999999962</v>
      </c>
      <c r="P68" s="1752">
        <f t="shared" si="27"/>
        <v>3.249999999999996</v>
      </c>
      <c r="Q68" s="1773">
        <v>0.49399999999999999</v>
      </c>
      <c r="R68" s="1773">
        <v>0.247</v>
      </c>
      <c r="T68" s="1752">
        <f t="shared" si="29"/>
        <v>4.2499999999999929</v>
      </c>
      <c r="U68" s="1752">
        <f t="shared" si="29"/>
        <v>4.2989999999999933</v>
      </c>
      <c r="V68" s="1759">
        <f t="shared" si="19"/>
        <v>0.64000000000000035</v>
      </c>
    </row>
    <row r="69" spans="1:22" outlineLevel="1">
      <c r="A69" s="1749">
        <f t="shared" si="30"/>
        <v>36982</v>
      </c>
      <c r="B69" s="1749" t="str">
        <f t="shared" si="31"/>
        <v>2Q01</v>
      </c>
      <c r="C69" s="1749" t="str">
        <f t="shared" si="32"/>
        <v>1Q01</v>
      </c>
      <c r="D69" s="1750">
        <f t="shared" ref="D69:E84" si="36">D68+7</f>
        <v>36983</v>
      </c>
      <c r="E69" s="1750">
        <f t="shared" si="36"/>
        <v>36976</v>
      </c>
      <c r="F69" s="1735">
        <v>1.379</v>
      </c>
      <c r="G69" s="1752"/>
      <c r="H69" s="1784">
        <v>0.05</v>
      </c>
      <c r="I69" s="1763">
        <f t="shared" si="33"/>
        <v>5.3999999999999999E-2</v>
      </c>
      <c r="J69" s="1784">
        <v>2.5000000000000001E-2</v>
      </c>
      <c r="K69" s="1763">
        <f t="shared" si="34"/>
        <v>2.7E-2</v>
      </c>
      <c r="L69" s="1764">
        <f t="shared" ref="L69:L132" si="37">INDEX($T$4:$V$100,MATCH(F69,$T$4:$T$100,1),3)</f>
        <v>6.0000000000000005E-2</v>
      </c>
      <c r="M69" s="1765">
        <f t="shared" si="35"/>
        <v>6.0000000000000005E-2</v>
      </c>
      <c r="O69" s="1752">
        <f t="shared" si="26"/>
        <v>3.249999999999996</v>
      </c>
      <c r="P69" s="1752">
        <f t="shared" si="27"/>
        <v>3.2999999999999958</v>
      </c>
      <c r="Q69" s="1773">
        <v>0.499</v>
      </c>
      <c r="R69" s="1773">
        <v>0.2495</v>
      </c>
      <c r="T69" s="1752">
        <f t="shared" si="29"/>
        <v>4.2999999999999927</v>
      </c>
      <c r="U69" s="1752">
        <f t="shared" si="29"/>
        <v>4.3489999999999931</v>
      </c>
      <c r="V69" s="1759">
        <f t="shared" si="19"/>
        <v>0.65000000000000036</v>
      </c>
    </row>
    <row r="70" spans="1:22" outlineLevel="1">
      <c r="A70" s="1749">
        <f t="shared" si="30"/>
        <v>36982</v>
      </c>
      <c r="B70" s="1749" t="str">
        <f t="shared" si="31"/>
        <v>2Q01</v>
      </c>
      <c r="C70" s="1749" t="str">
        <f t="shared" si="32"/>
        <v>2Q01</v>
      </c>
      <c r="D70" s="1750">
        <f t="shared" si="36"/>
        <v>36990</v>
      </c>
      <c r="E70" s="1750">
        <f t="shared" si="36"/>
        <v>36983</v>
      </c>
      <c r="F70" s="1735">
        <v>1.391</v>
      </c>
      <c r="G70" s="1752"/>
      <c r="H70" s="1784">
        <v>5.3999999999999999E-2</v>
      </c>
      <c r="I70" s="1763">
        <f t="shared" si="33"/>
        <v>5.3999999999999999E-2</v>
      </c>
      <c r="J70" s="1784">
        <v>2.7E-2</v>
      </c>
      <c r="K70" s="1763">
        <f t="shared" si="34"/>
        <v>2.7E-2</v>
      </c>
      <c r="L70" s="1764">
        <f t="shared" si="37"/>
        <v>6.0000000000000005E-2</v>
      </c>
      <c r="M70" s="1765">
        <f t="shared" si="35"/>
        <v>6.0000000000000005E-2</v>
      </c>
      <c r="O70" s="1752">
        <f t="shared" si="26"/>
        <v>3.2999999999999958</v>
      </c>
      <c r="P70" s="1752">
        <f t="shared" si="27"/>
        <v>3.3499999999999956</v>
      </c>
      <c r="Q70" s="1773">
        <v>0.504</v>
      </c>
      <c r="R70" s="1773">
        <v>0.252</v>
      </c>
      <c r="T70" s="1752">
        <f t="shared" si="29"/>
        <v>4.3499999999999925</v>
      </c>
      <c r="U70" s="1752">
        <f t="shared" si="29"/>
        <v>4.3989999999999929</v>
      </c>
      <c r="V70" s="1759">
        <f t="shared" si="19"/>
        <v>0.66000000000000036</v>
      </c>
    </row>
    <row r="71" spans="1:22" outlineLevel="1">
      <c r="A71" s="1749">
        <f t="shared" si="30"/>
        <v>36982</v>
      </c>
      <c r="B71" s="1749" t="str">
        <f t="shared" si="31"/>
        <v>2Q01</v>
      </c>
      <c r="C71" s="1749" t="str">
        <f t="shared" si="32"/>
        <v>2Q01</v>
      </c>
      <c r="D71" s="1750">
        <f t="shared" si="36"/>
        <v>36997</v>
      </c>
      <c r="E71" s="1750">
        <f t="shared" si="36"/>
        <v>36990</v>
      </c>
      <c r="F71" s="1735">
        <v>1.3969999999999998</v>
      </c>
      <c r="G71" s="1752"/>
      <c r="H71" s="1784">
        <v>5.3999999999999999E-2</v>
      </c>
      <c r="I71" s="1763">
        <f t="shared" si="33"/>
        <v>6.2E-2</v>
      </c>
      <c r="J71" s="1784">
        <v>2.7E-2</v>
      </c>
      <c r="K71" s="1763">
        <f t="shared" si="34"/>
        <v>3.1E-2</v>
      </c>
      <c r="L71" s="1764">
        <f t="shared" si="37"/>
        <v>6.0000000000000005E-2</v>
      </c>
      <c r="M71" s="1765">
        <f t="shared" si="35"/>
        <v>7.0000000000000007E-2</v>
      </c>
      <c r="O71" s="1752">
        <f t="shared" si="26"/>
        <v>3.3499999999999956</v>
      </c>
      <c r="P71" s="1752">
        <f t="shared" si="27"/>
        <v>3.3999999999999955</v>
      </c>
      <c r="Q71" s="1773">
        <v>0.50900000000000001</v>
      </c>
      <c r="R71" s="1773">
        <v>0.2545</v>
      </c>
      <c r="T71" s="1752">
        <f t="shared" ref="T71:U86" si="38">T70+0.05</f>
        <v>4.3999999999999924</v>
      </c>
      <c r="U71" s="1752">
        <f t="shared" si="38"/>
        <v>4.4489999999999927</v>
      </c>
      <c r="V71" s="1759">
        <f t="shared" ref="V71:V93" si="39">V70+0.01</f>
        <v>0.67000000000000037</v>
      </c>
    </row>
    <row r="72" spans="1:22" outlineLevel="1">
      <c r="A72" s="1749">
        <f t="shared" si="30"/>
        <v>36982</v>
      </c>
      <c r="B72" s="1749" t="str">
        <f t="shared" si="31"/>
        <v>2Q01</v>
      </c>
      <c r="C72" s="1749" t="str">
        <f t="shared" si="32"/>
        <v>2Q01</v>
      </c>
      <c r="D72" s="1750">
        <f t="shared" si="36"/>
        <v>37004</v>
      </c>
      <c r="E72" s="1750">
        <f t="shared" si="36"/>
        <v>36997</v>
      </c>
      <c r="F72" s="1735">
        <v>1.4369999999999998</v>
      </c>
      <c r="G72" s="1752"/>
      <c r="H72" s="1784">
        <v>6.2E-2</v>
      </c>
      <c r="I72" s="1763">
        <f t="shared" si="33"/>
        <v>6.4000000000000001E-2</v>
      </c>
      <c r="J72" s="1784">
        <v>3.1E-2</v>
      </c>
      <c r="K72" s="1763">
        <f t="shared" si="34"/>
        <v>3.2000000000000001E-2</v>
      </c>
      <c r="L72" s="1764">
        <f t="shared" si="37"/>
        <v>7.0000000000000007E-2</v>
      </c>
      <c r="M72" s="1765">
        <f t="shared" si="35"/>
        <v>7.0000000000000007E-2</v>
      </c>
      <c r="O72" s="1752">
        <f t="shared" si="26"/>
        <v>3.3999999999999955</v>
      </c>
      <c r="P72" s="1752">
        <f t="shared" si="27"/>
        <v>3.4499999999999953</v>
      </c>
      <c r="Q72" s="1773">
        <v>0.51400000000000001</v>
      </c>
      <c r="R72" s="1773">
        <v>0.25700000000000001</v>
      </c>
      <c r="T72" s="1752">
        <f t="shared" si="38"/>
        <v>4.4499999999999922</v>
      </c>
      <c r="U72" s="1752">
        <f t="shared" si="38"/>
        <v>4.4989999999999926</v>
      </c>
      <c r="V72" s="1759">
        <f t="shared" si="39"/>
        <v>0.68000000000000038</v>
      </c>
    </row>
    <row r="73" spans="1:22" outlineLevel="1">
      <c r="A73" s="1749">
        <f t="shared" si="30"/>
        <v>36982</v>
      </c>
      <c r="B73" s="1749" t="str">
        <f t="shared" si="31"/>
        <v>2Q01</v>
      </c>
      <c r="C73" s="1749" t="str">
        <f t="shared" si="32"/>
        <v>2Q01</v>
      </c>
      <c r="D73" s="1750">
        <f t="shared" si="36"/>
        <v>37011</v>
      </c>
      <c r="E73" s="1750">
        <f t="shared" si="36"/>
        <v>37004</v>
      </c>
      <c r="F73" s="1735">
        <v>1.4430000000000001</v>
      </c>
      <c r="G73" s="1752"/>
      <c r="H73" s="1784">
        <v>6.4000000000000001E-2</v>
      </c>
      <c r="I73" s="1763">
        <f t="shared" si="33"/>
        <v>6.4000000000000001E-2</v>
      </c>
      <c r="J73" s="1784">
        <v>3.2000000000000001E-2</v>
      </c>
      <c r="K73" s="1763">
        <f t="shared" si="34"/>
        <v>3.2000000000000001E-2</v>
      </c>
      <c r="L73" s="1764">
        <f t="shared" si="37"/>
        <v>7.0000000000000007E-2</v>
      </c>
      <c r="M73" s="1765">
        <f t="shared" si="35"/>
        <v>7.0000000000000007E-2</v>
      </c>
      <c r="O73" s="1752">
        <f t="shared" si="26"/>
        <v>3.4499999999999953</v>
      </c>
      <c r="P73" s="1752">
        <f t="shared" si="27"/>
        <v>3.4999999999999951</v>
      </c>
      <c r="Q73" s="1773">
        <v>0.51900000000000002</v>
      </c>
      <c r="R73" s="1773">
        <v>0.25950000000000001</v>
      </c>
      <c r="T73" s="1752">
        <f t="shared" si="38"/>
        <v>4.499999999999992</v>
      </c>
      <c r="U73" s="1752">
        <f t="shared" si="38"/>
        <v>4.5489999999999924</v>
      </c>
      <c r="V73" s="1759">
        <f t="shared" si="39"/>
        <v>0.69000000000000039</v>
      </c>
    </row>
    <row r="74" spans="1:22" outlineLevel="1">
      <c r="A74" s="1749">
        <f t="shared" si="30"/>
        <v>37012</v>
      </c>
      <c r="B74" s="1749" t="str">
        <f t="shared" si="31"/>
        <v>2Q01</v>
      </c>
      <c r="C74" s="1749" t="str">
        <f t="shared" si="32"/>
        <v>2Q01</v>
      </c>
      <c r="D74" s="1750">
        <f t="shared" si="36"/>
        <v>37018</v>
      </c>
      <c r="E74" s="1750">
        <f t="shared" si="36"/>
        <v>37011</v>
      </c>
      <c r="F74" s="1735">
        <v>1.4419999999999999</v>
      </c>
      <c r="G74" s="1752"/>
      <c r="H74" s="1784">
        <v>6.4000000000000001E-2</v>
      </c>
      <c r="I74" s="1763">
        <f t="shared" si="33"/>
        <v>7.0000000000000007E-2</v>
      </c>
      <c r="J74" s="1784">
        <v>3.2000000000000001E-2</v>
      </c>
      <c r="K74" s="1763">
        <f t="shared" si="34"/>
        <v>3.5000000000000003E-2</v>
      </c>
      <c r="L74" s="1764">
        <f t="shared" si="37"/>
        <v>7.0000000000000007E-2</v>
      </c>
      <c r="M74" s="1765">
        <f t="shared" si="35"/>
        <v>0.08</v>
      </c>
      <c r="O74" s="1752">
        <f t="shared" si="26"/>
        <v>3.4999999999999951</v>
      </c>
      <c r="P74" s="1752">
        <f t="shared" si="27"/>
        <v>3.5499999999999949</v>
      </c>
      <c r="Q74" s="1773">
        <v>0.52400000000000002</v>
      </c>
      <c r="R74" s="1773">
        <v>0.26200000000000001</v>
      </c>
      <c r="T74" s="1752">
        <f t="shared" si="38"/>
        <v>4.5499999999999918</v>
      </c>
      <c r="U74" s="1752">
        <f t="shared" si="38"/>
        <v>4.5989999999999922</v>
      </c>
      <c r="V74" s="1759">
        <f t="shared" si="39"/>
        <v>0.7000000000000004</v>
      </c>
    </row>
    <row r="75" spans="1:22" outlineLevel="1">
      <c r="A75" s="1749">
        <f t="shared" si="30"/>
        <v>37012</v>
      </c>
      <c r="B75" s="1749" t="str">
        <f t="shared" si="31"/>
        <v>2Q01</v>
      </c>
      <c r="C75" s="1749" t="str">
        <f t="shared" si="32"/>
        <v>2Q01</v>
      </c>
      <c r="D75" s="1750">
        <f t="shared" si="36"/>
        <v>37025</v>
      </c>
      <c r="E75" s="1750">
        <f t="shared" si="36"/>
        <v>37018</v>
      </c>
      <c r="F75" s="1735">
        <v>1.47</v>
      </c>
      <c r="G75" s="1752"/>
      <c r="H75" s="1784">
        <v>7.0000000000000007E-2</v>
      </c>
      <c r="I75" s="1763">
        <f t="shared" si="33"/>
        <v>7.3999999999999996E-2</v>
      </c>
      <c r="J75" s="1784">
        <v>3.5000000000000003E-2</v>
      </c>
      <c r="K75" s="1763">
        <f t="shared" si="34"/>
        <v>3.6999999999999998E-2</v>
      </c>
      <c r="L75" s="1764">
        <f t="shared" si="37"/>
        <v>0.08</v>
      </c>
      <c r="M75" s="1765">
        <f t="shared" si="35"/>
        <v>0.08</v>
      </c>
      <c r="O75" s="1752">
        <f t="shared" si="26"/>
        <v>3.5499999999999949</v>
      </c>
      <c r="P75" s="1752">
        <f t="shared" si="27"/>
        <v>3.5999999999999948</v>
      </c>
      <c r="Q75" s="1773">
        <v>0.52900000000000003</v>
      </c>
      <c r="R75" s="1773">
        <v>0.26450000000000001</v>
      </c>
      <c r="T75" s="1752">
        <f t="shared" si="38"/>
        <v>4.5999999999999917</v>
      </c>
      <c r="U75" s="1752">
        <f t="shared" si="38"/>
        <v>4.648999999999992</v>
      </c>
      <c r="V75" s="1759">
        <f t="shared" si="39"/>
        <v>0.71000000000000041</v>
      </c>
    </row>
    <row r="76" spans="1:22" outlineLevel="1">
      <c r="A76" s="1749">
        <f t="shared" si="30"/>
        <v>37012</v>
      </c>
      <c r="B76" s="1749" t="str">
        <f t="shared" si="31"/>
        <v>2Q01</v>
      </c>
      <c r="C76" s="1749" t="str">
        <f t="shared" si="32"/>
        <v>2Q01</v>
      </c>
      <c r="D76" s="1750">
        <f t="shared" si="36"/>
        <v>37032</v>
      </c>
      <c r="E76" s="1750">
        <f t="shared" si="36"/>
        <v>37025</v>
      </c>
      <c r="F76" s="1735">
        <v>1.4909999999999999</v>
      </c>
      <c r="G76" s="1752"/>
      <c r="H76" s="1784">
        <v>7.3999999999999996E-2</v>
      </c>
      <c r="I76" s="1763">
        <f t="shared" si="33"/>
        <v>7.3999999999999996E-2</v>
      </c>
      <c r="J76" s="1784">
        <v>3.6999999999999998E-2</v>
      </c>
      <c r="K76" s="1763">
        <f t="shared" si="34"/>
        <v>3.6999999999999998E-2</v>
      </c>
      <c r="L76" s="1764">
        <f t="shared" si="37"/>
        <v>0.08</v>
      </c>
      <c r="M76" s="1765">
        <f t="shared" si="35"/>
        <v>0.08</v>
      </c>
      <c r="O76" s="1752">
        <f t="shared" si="26"/>
        <v>3.5999999999999948</v>
      </c>
      <c r="P76" s="1752">
        <f t="shared" si="27"/>
        <v>3.6499999999999946</v>
      </c>
      <c r="Q76" s="1773">
        <v>0.53400000000000003</v>
      </c>
      <c r="R76" s="1773">
        <v>0.26700000000000002</v>
      </c>
      <c r="T76" s="1752">
        <f t="shared" si="38"/>
        <v>4.6499999999999915</v>
      </c>
      <c r="U76" s="1752">
        <f t="shared" si="38"/>
        <v>4.6989999999999919</v>
      </c>
      <c r="V76" s="1759">
        <f t="shared" si="39"/>
        <v>0.72000000000000042</v>
      </c>
    </row>
    <row r="77" spans="1:22" outlineLevel="1">
      <c r="A77" s="1749">
        <f t="shared" si="30"/>
        <v>37012</v>
      </c>
      <c r="B77" s="1749" t="str">
        <f t="shared" si="31"/>
        <v>2Q01</v>
      </c>
      <c r="C77" s="1749" t="str">
        <f t="shared" si="32"/>
        <v>2Q01</v>
      </c>
      <c r="D77" s="1750">
        <f t="shared" si="36"/>
        <v>37039</v>
      </c>
      <c r="E77" s="1750">
        <f t="shared" si="36"/>
        <v>37032</v>
      </c>
      <c r="F77" s="1735">
        <v>1.494</v>
      </c>
      <c r="G77" s="1752"/>
      <c r="H77" s="1784">
        <v>7.3999999999999996E-2</v>
      </c>
      <c r="I77" s="1763">
        <f t="shared" si="33"/>
        <v>0.08</v>
      </c>
      <c r="J77" s="1784">
        <v>3.6999999999999998E-2</v>
      </c>
      <c r="K77" s="1763">
        <f t="shared" si="34"/>
        <v>0.04</v>
      </c>
      <c r="L77" s="1764">
        <f t="shared" si="37"/>
        <v>0.08</v>
      </c>
      <c r="M77" s="1765">
        <f t="shared" si="35"/>
        <v>0.09</v>
      </c>
      <c r="O77" s="1752">
        <f t="shared" si="26"/>
        <v>3.6499999999999946</v>
      </c>
      <c r="P77" s="1752">
        <f t="shared" si="27"/>
        <v>3.6999999999999944</v>
      </c>
      <c r="Q77" s="1773">
        <v>0.53900000000000003</v>
      </c>
      <c r="R77" s="1773">
        <v>0.26950000000000002</v>
      </c>
      <c r="T77" s="1752">
        <f t="shared" si="38"/>
        <v>4.6999999999999913</v>
      </c>
      <c r="U77" s="1752">
        <f t="shared" si="38"/>
        <v>4.7489999999999917</v>
      </c>
      <c r="V77" s="1759">
        <f t="shared" si="39"/>
        <v>0.73000000000000043</v>
      </c>
    </row>
    <row r="78" spans="1:22" outlineLevel="1">
      <c r="A78" s="1749">
        <f t="shared" si="30"/>
        <v>37043</v>
      </c>
      <c r="B78" s="1749" t="str">
        <f t="shared" si="31"/>
        <v>2Q01</v>
      </c>
      <c r="C78" s="1749" t="str">
        <f t="shared" si="32"/>
        <v>2Q01</v>
      </c>
      <c r="D78" s="1750">
        <f t="shared" si="36"/>
        <v>37046</v>
      </c>
      <c r="E78" s="1750">
        <f t="shared" si="36"/>
        <v>37039</v>
      </c>
      <c r="F78" s="1735">
        <v>1.5290000000000001</v>
      </c>
      <c r="G78" s="1752"/>
      <c r="H78" s="1784">
        <v>0.08</v>
      </c>
      <c r="I78" s="1763">
        <f t="shared" si="33"/>
        <v>7.8E-2</v>
      </c>
      <c r="J78" s="1784">
        <v>0.04</v>
      </c>
      <c r="K78" s="1763">
        <f t="shared" si="34"/>
        <v>3.9E-2</v>
      </c>
      <c r="L78" s="1764">
        <f t="shared" si="37"/>
        <v>0.09</v>
      </c>
      <c r="M78" s="1765">
        <f t="shared" si="35"/>
        <v>0.09</v>
      </c>
      <c r="O78" s="1752">
        <f t="shared" si="26"/>
        <v>3.6999999999999944</v>
      </c>
      <c r="P78" s="1752">
        <f t="shared" si="27"/>
        <v>3.7499999999999942</v>
      </c>
      <c r="Q78" s="1773">
        <v>0.54400000000000004</v>
      </c>
      <c r="R78" s="1773">
        <v>0.27200000000000002</v>
      </c>
      <c r="T78" s="1752">
        <f t="shared" si="38"/>
        <v>4.7499999999999911</v>
      </c>
      <c r="U78" s="1752">
        <f t="shared" si="38"/>
        <v>4.7989999999999915</v>
      </c>
      <c r="V78" s="1759">
        <f t="shared" si="39"/>
        <v>0.74000000000000044</v>
      </c>
    </row>
    <row r="79" spans="1:22" outlineLevel="1">
      <c r="A79" s="1749">
        <f t="shared" si="30"/>
        <v>37043</v>
      </c>
      <c r="B79" s="1749" t="str">
        <f t="shared" si="31"/>
        <v>2Q01</v>
      </c>
      <c r="C79" s="1749" t="str">
        <f t="shared" si="32"/>
        <v>2Q01</v>
      </c>
      <c r="D79" s="1750">
        <f t="shared" si="36"/>
        <v>37053</v>
      </c>
      <c r="E79" s="1750">
        <f t="shared" si="36"/>
        <v>37046</v>
      </c>
      <c r="F79" s="1735">
        <v>1.514</v>
      </c>
      <c r="G79" s="1752"/>
      <c r="H79" s="1784">
        <v>7.8E-2</v>
      </c>
      <c r="I79" s="1763">
        <f t="shared" si="33"/>
        <v>7.1999999999999995E-2</v>
      </c>
      <c r="J79" s="1784">
        <v>3.9E-2</v>
      </c>
      <c r="K79" s="1763">
        <f t="shared" si="34"/>
        <v>3.5999999999999997E-2</v>
      </c>
      <c r="L79" s="1764">
        <f t="shared" si="37"/>
        <v>0.09</v>
      </c>
      <c r="M79" s="1765">
        <f t="shared" si="35"/>
        <v>0.08</v>
      </c>
      <c r="O79" s="1752">
        <f t="shared" si="26"/>
        <v>3.7499999999999942</v>
      </c>
      <c r="P79" s="1752">
        <f t="shared" si="27"/>
        <v>3.799999999999994</v>
      </c>
      <c r="Q79" s="1773">
        <v>0.54900000000000004</v>
      </c>
      <c r="R79" s="1773">
        <v>0.27450000000000002</v>
      </c>
      <c r="T79" s="1752">
        <f t="shared" si="38"/>
        <v>4.7999999999999909</v>
      </c>
      <c r="U79" s="1752">
        <f t="shared" si="38"/>
        <v>4.8489999999999913</v>
      </c>
      <c r="V79" s="1759">
        <f t="shared" si="39"/>
        <v>0.75000000000000044</v>
      </c>
    </row>
    <row r="80" spans="1:22" outlineLevel="1">
      <c r="A80" s="1749">
        <f t="shared" si="30"/>
        <v>37043</v>
      </c>
      <c r="B80" s="1749" t="str">
        <f t="shared" si="31"/>
        <v>2Q01</v>
      </c>
      <c r="C80" s="1749" t="str">
        <f t="shared" si="32"/>
        <v>2Q01</v>
      </c>
      <c r="D80" s="1750">
        <f t="shared" si="36"/>
        <v>37060</v>
      </c>
      <c r="E80" s="1750">
        <f t="shared" si="36"/>
        <v>37053</v>
      </c>
      <c r="F80" s="1735">
        <v>1.486</v>
      </c>
      <c r="G80" s="1752"/>
      <c r="H80" s="1784">
        <v>7.1999999999999995E-2</v>
      </c>
      <c r="I80" s="1763">
        <f t="shared" si="33"/>
        <v>7.1999999999999995E-2</v>
      </c>
      <c r="J80" s="1784">
        <v>3.5999999999999997E-2</v>
      </c>
      <c r="K80" s="1763">
        <f t="shared" si="34"/>
        <v>3.5999999999999997E-2</v>
      </c>
      <c r="L80" s="1764">
        <f t="shared" si="37"/>
        <v>0.08</v>
      </c>
      <c r="M80" s="1765">
        <f t="shared" si="35"/>
        <v>0.08</v>
      </c>
      <c r="O80" s="1752">
        <f t="shared" si="26"/>
        <v>3.799999999999994</v>
      </c>
      <c r="P80" s="1752">
        <f t="shared" si="27"/>
        <v>3.8499999999999939</v>
      </c>
      <c r="Q80" s="1773">
        <v>0.55400000000000005</v>
      </c>
      <c r="R80" s="1773">
        <v>0.27700000000000002</v>
      </c>
      <c r="T80" s="1752">
        <f t="shared" si="38"/>
        <v>4.8499999999999908</v>
      </c>
      <c r="U80" s="1752">
        <f t="shared" si="38"/>
        <v>4.8989999999999911</v>
      </c>
      <c r="V80" s="1759">
        <f t="shared" si="39"/>
        <v>0.76000000000000045</v>
      </c>
    </row>
    <row r="81" spans="1:22" outlineLevel="1">
      <c r="A81" s="1749">
        <f t="shared" si="30"/>
        <v>37043</v>
      </c>
      <c r="B81" s="1749" t="str">
        <f t="shared" si="31"/>
        <v>2Q01</v>
      </c>
      <c r="C81" s="1749" t="str">
        <f t="shared" si="32"/>
        <v>2Q01</v>
      </c>
      <c r="D81" s="1750">
        <f t="shared" si="36"/>
        <v>37067</v>
      </c>
      <c r="E81" s="1750">
        <f t="shared" si="36"/>
        <v>37060</v>
      </c>
      <c r="F81" s="1735">
        <v>1.48</v>
      </c>
      <c r="G81" s="1752"/>
      <c r="H81" s="1784">
        <v>7.1999999999999995E-2</v>
      </c>
      <c r="I81" s="1763">
        <f t="shared" si="33"/>
        <v>6.4000000000000001E-2</v>
      </c>
      <c r="J81" s="1784">
        <v>3.5999999999999997E-2</v>
      </c>
      <c r="K81" s="1763">
        <f t="shared" si="34"/>
        <v>3.2000000000000001E-2</v>
      </c>
      <c r="L81" s="1764">
        <f t="shared" si="37"/>
        <v>0.08</v>
      </c>
      <c r="M81" s="1765">
        <f t="shared" si="35"/>
        <v>7.0000000000000007E-2</v>
      </c>
      <c r="O81" s="1752">
        <f t="shared" si="26"/>
        <v>3.8499999999999939</v>
      </c>
      <c r="P81" s="1752">
        <f t="shared" si="27"/>
        <v>3.8999999999999937</v>
      </c>
      <c r="Q81" s="1773">
        <v>0.55900000000000005</v>
      </c>
      <c r="R81" s="1773">
        <v>0.27950000000000003</v>
      </c>
      <c r="T81" s="1752">
        <f t="shared" si="38"/>
        <v>4.8999999999999906</v>
      </c>
      <c r="U81" s="1752">
        <f t="shared" si="38"/>
        <v>4.948999999999991</v>
      </c>
      <c r="V81" s="1759">
        <f t="shared" si="39"/>
        <v>0.77000000000000046</v>
      </c>
    </row>
    <row r="82" spans="1:22" outlineLevel="1">
      <c r="A82" s="1749">
        <f t="shared" si="30"/>
        <v>37073</v>
      </c>
      <c r="B82" s="1749" t="str">
        <f t="shared" si="31"/>
        <v>3Q01</v>
      </c>
      <c r="C82" s="1749" t="str">
        <f t="shared" si="32"/>
        <v>2Q01</v>
      </c>
      <c r="D82" s="1750">
        <f t="shared" si="36"/>
        <v>37074</v>
      </c>
      <c r="E82" s="1750">
        <f t="shared" si="36"/>
        <v>37067</v>
      </c>
      <c r="F82" s="1735">
        <v>1.4469999999999998</v>
      </c>
      <c r="G82" s="1752"/>
      <c r="H82" s="1784">
        <v>6.4000000000000001E-2</v>
      </c>
      <c r="I82" s="1763">
        <f t="shared" si="33"/>
        <v>5.6000000000000001E-2</v>
      </c>
      <c r="J82" s="1784">
        <v>3.2000000000000001E-2</v>
      </c>
      <c r="K82" s="1763">
        <f t="shared" si="34"/>
        <v>2.8000000000000001E-2</v>
      </c>
      <c r="L82" s="1764">
        <f t="shared" si="37"/>
        <v>7.0000000000000007E-2</v>
      </c>
      <c r="M82" s="1765">
        <f t="shared" si="35"/>
        <v>7.0000000000000007E-2</v>
      </c>
      <c r="O82" s="1752">
        <f t="shared" si="26"/>
        <v>3.8999999999999937</v>
      </c>
      <c r="P82" s="1752">
        <f t="shared" si="27"/>
        <v>3.9499999999999935</v>
      </c>
      <c r="Q82" s="1773">
        <v>0.56399999999999995</v>
      </c>
      <c r="R82" s="1773">
        <v>0.28199999999999997</v>
      </c>
      <c r="T82" s="1752">
        <f t="shared" si="38"/>
        <v>4.9499999999999904</v>
      </c>
      <c r="U82" s="1752">
        <f t="shared" si="38"/>
        <v>4.9989999999999908</v>
      </c>
      <c r="V82" s="1759">
        <f t="shared" si="39"/>
        <v>0.78000000000000047</v>
      </c>
    </row>
    <row r="83" spans="1:22" outlineLevel="1">
      <c r="A83" s="1749">
        <f t="shared" si="30"/>
        <v>37073</v>
      </c>
      <c r="B83" s="1749" t="str">
        <f t="shared" si="31"/>
        <v>3Q01</v>
      </c>
      <c r="C83" s="1749" t="str">
        <f t="shared" si="32"/>
        <v>3Q01</v>
      </c>
      <c r="D83" s="1750">
        <f t="shared" si="36"/>
        <v>37081</v>
      </c>
      <c r="E83" s="1750">
        <f t="shared" si="36"/>
        <v>37074</v>
      </c>
      <c r="F83" s="1735">
        <v>1.4069999999999998</v>
      </c>
      <c r="G83" s="1752"/>
      <c r="H83" s="1784">
        <v>5.6000000000000001E-2</v>
      </c>
      <c r="I83" s="1763">
        <f t="shared" si="33"/>
        <v>5.3999999999999999E-2</v>
      </c>
      <c r="J83" s="1784">
        <v>2.8000000000000001E-2</v>
      </c>
      <c r="K83" s="1763">
        <f t="shared" si="34"/>
        <v>2.7E-2</v>
      </c>
      <c r="L83" s="1764">
        <f t="shared" si="37"/>
        <v>7.0000000000000007E-2</v>
      </c>
      <c r="M83" s="1765">
        <f t="shared" si="35"/>
        <v>6.0000000000000005E-2</v>
      </c>
      <c r="O83" s="1752">
        <f t="shared" si="26"/>
        <v>3.9499999999999935</v>
      </c>
      <c r="P83" s="1752">
        <f t="shared" si="27"/>
        <v>3.9999999999999933</v>
      </c>
      <c r="Q83" s="1773">
        <v>0.56899999999999995</v>
      </c>
      <c r="R83" s="1773">
        <v>0.28449999999999998</v>
      </c>
      <c r="T83" s="1752">
        <f t="shared" si="38"/>
        <v>4.9999999999999902</v>
      </c>
      <c r="U83" s="1752">
        <f t="shared" si="38"/>
        <v>5.0489999999999906</v>
      </c>
      <c r="V83" s="1759">
        <f t="shared" si="39"/>
        <v>0.79000000000000048</v>
      </c>
    </row>
    <row r="84" spans="1:22" outlineLevel="1">
      <c r="A84" s="1749">
        <f t="shared" si="30"/>
        <v>37073</v>
      </c>
      <c r="B84" s="1749" t="str">
        <f t="shared" si="31"/>
        <v>3Q01</v>
      </c>
      <c r="C84" s="1749" t="str">
        <f t="shared" si="32"/>
        <v>3Q01</v>
      </c>
      <c r="D84" s="1750">
        <f t="shared" si="36"/>
        <v>37088</v>
      </c>
      <c r="E84" s="1750">
        <f t="shared" si="36"/>
        <v>37081</v>
      </c>
      <c r="F84" s="1735">
        <v>1.3919999999999999</v>
      </c>
      <c r="G84" s="1752"/>
      <c r="H84" s="1784">
        <v>5.3999999999999999E-2</v>
      </c>
      <c r="I84" s="1763">
        <f t="shared" si="33"/>
        <v>5.1999999999999998E-2</v>
      </c>
      <c r="J84" s="1784">
        <v>2.7E-2</v>
      </c>
      <c r="K84" s="1763">
        <f t="shared" si="34"/>
        <v>2.5999999999999999E-2</v>
      </c>
      <c r="L84" s="1764">
        <f t="shared" si="37"/>
        <v>6.0000000000000005E-2</v>
      </c>
      <c r="M84" s="1765">
        <f t="shared" si="35"/>
        <v>6.0000000000000005E-2</v>
      </c>
      <c r="O84" s="1752">
        <f t="shared" si="26"/>
        <v>3.9999999999999933</v>
      </c>
      <c r="P84" s="1752">
        <f t="shared" si="27"/>
        <v>4.0499999999999936</v>
      </c>
      <c r="Q84" s="1773">
        <v>0.57399999999999995</v>
      </c>
      <c r="R84" s="1773">
        <v>0.28699999999999998</v>
      </c>
      <c r="T84" s="1752">
        <f t="shared" si="38"/>
        <v>5.0499999999999901</v>
      </c>
      <c r="U84" s="1752">
        <f t="shared" si="38"/>
        <v>5.0989999999999904</v>
      </c>
      <c r="V84" s="1759">
        <f t="shared" si="39"/>
        <v>0.80000000000000049</v>
      </c>
    </row>
    <row r="85" spans="1:22" outlineLevel="1">
      <c r="A85" s="1749">
        <f t="shared" si="30"/>
        <v>37073</v>
      </c>
      <c r="B85" s="1749" t="str">
        <f t="shared" si="31"/>
        <v>3Q01</v>
      </c>
      <c r="C85" s="1749" t="str">
        <f t="shared" si="32"/>
        <v>3Q01</v>
      </c>
      <c r="D85" s="1750">
        <f t="shared" ref="D85:E100" si="40">D84+7</f>
        <v>37095</v>
      </c>
      <c r="E85" s="1750">
        <f t="shared" si="40"/>
        <v>37088</v>
      </c>
      <c r="F85" s="1735">
        <v>1.38</v>
      </c>
      <c r="G85" s="1752"/>
      <c r="H85" s="1784">
        <v>5.1999999999999998E-2</v>
      </c>
      <c r="I85" s="1763">
        <f t="shared" si="33"/>
        <v>4.3999999999999997E-2</v>
      </c>
      <c r="J85" s="1784">
        <v>2.5999999999999999E-2</v>
      </c>
      <c r="K85" s="1763">
        <f t="shared" si="34"/>
        <v>2.1999999999999999E-2</v>
      </c>
      <c r="L85" s="1764">
        <f t="shared" si="37"/>
        <v>6.0000000000000005E-2</v>
      </c>
      <c r="M85" s="1765">
        <f t="shared" si="35"/>
        <v>0.05</v>
      </c>
      <c r="O85" s="1752">
        <f t="shared" si="26"/>
        <v>4.0499999999999936</v>
      </c>
      <c r="P85" s="1752">
        <f t="shared" si="27"/>
        <v>4.0999999999999934</v>
      </c>
      <c r="Q85" s="1773">
        <v>0.57899999999999996</v>
      </c>
      <c r="R85" s="1773">
        <v>0.28949999999999998</v>
      </c>
      <c r="T85" s="1752">
        <f t="shared" si="38"/>
        <v>5.0999999999999899</v>
      </c>
      <c r="U85" s="1752">
        <f t="shared" si="38"/>
        <v>5.1489999999999903</v>
      </c>
      <c r="V85" s="1759">
        <f t="shared" si="39"/>
        <v>0.8100000000000005</v>
      </c>
    </row>
    <row r="86" spans="1:22" outlineLevel="1">
      <c r="A86" s="1749">
        <f t="shared" si="30"/>
        <v>37073</v>
      </c>
      <c r="B86" s="1749" t="str">
        <f t="shared" si="31"/>
        <v>3Q01</v>
      </c>
      <c r="C86" s="1749" t="str">
        <f t="shared" si="32"/>
        <v>3Q01</v>
      </c>
      <c r="D86" s="1750">
        <f t="shared" si="40"/>
        <v>37102</v>
      </c>
      <c r="E86" s="1750">
        <f t="shared" si="40"/>
        <v>37095</v>
      </c>
      <c r="F86" s="1735">
        <v>1.3480000000000001</v>
      </c>
      <c r="G86" s="1752"/>
      <c r="H86" s="1784">
        <v>4.3999999999999997E-2</v>
      </c>
      <c r="I86" s="1763">
        <f t="shared" si="33"/>
        <v>4.3999999999999997E-2</v>
      </c>
      <c r="J86" s="1784">
        <v>2.1999999999999999E-2</v>
      </c>
      <c r="K86" s="1763">
        <f t="shared" si="34"/>
        <v>2.1999999999999999E-2</v>
      </c>
      <c r="L86" s="1764">
        <f t="shared" si="37"/>
        <v>0.05</v>
      </c>
      <c r="M86" s="1765">
        <f t="shared" si="35"/>
        <v>0.05</v>
      </c>
      <c r="O86" s="1752">
        <f t="shared" si="26"/>
        <v>4.0999999999999934</v>
      </c>
      <c r="P86" s="1752">
        <f t="shared" si="27"/>
        <v>4.1499999999999932</v>
      </c>
      <c r="Q86" s="1773">
        <v>0.58399999999999996</v>
      </c>
      <c r="R86" s="1773">
        <v>0.29199999999999998</v>
      </c>
      <c r="T86" s="1752">
        <f t="shared" si="38"/>
        <v>5.1499999999999897</v>
      </c>
      <c r="U86" s="1752">
        <f t="shared" si="38"/>
        <v>5.1989999999999901</v>
      </c>
      <c r="V86" s="1759">
        <f t="shared" si="39"/>
        <v>0.82000000000000051</v>
      </c>
    </row>
    <row r="87" spans="1:22" outlineLevel="1">
      <c r="A87" s="1749">
        <f t="shared" si="30"/>
        <v>37104</v>
      </c>
      <c r="B87" s="1749" t="str">
        <f t="shared" si="31"/>
        <v>3Q01</v>
      </c>
      <c r="C87" s="1749" t="str">
        <f t="shared" si="32"/>
        <v>3Q01</v>
      </c>
      <c r="D87" s="1750">
        <f t="shared" si="40"/>
        <v>37109</v>
      </c>
      <c r="E87" s="1750">
        <f t="shared" si="40"/>
        <v>37102</v>
      </c>
      <c r="F87" s="1735">
        <v>1.347</v>
      </c>
      <c r="G87" s="1752"/>
      <c r="H87" s="1784">
        <v>4.3999999999999997E-2</v>
      </c>
      <c r="I87" s="1763">
        <f t="shared" si="33"/>
        <v>4.3999999999999997E-2</v>
      </c>
      <c r="J87" s="1784">
        <v>2.1999999999999999E-2</v>
      </c>
      <c r="K87" s="1763">
        <f t="shared" si="34"/>
        <v>2.1999999999999999E-2</v>
      </c>
      <c r="L87" s="1764">
        <f t="shared" si="37"/>
        <v>0.05</v>
      </c>
      <c r="M87" s="1765">
        <f t="shared" si="35"/>
        <v>0.05</v>
      </c>
      <c r="O87" s="1752">
        <f t="shared" si="26"/>
        <v>4.1499999999999932</v>
      </c>
      <c r="P87" s="1752">
        <f t="shared" si="27"/>
        <v>4.1999999999999931</v>
      </c>
      <c r="Q87" s="1773">
        <v>0.58899999999999997</v>
      </c>
      <c r="R87" s="1773">
        <v>0.29449999999999998</v>
      </c>
      <c r="T87" s="1752">
        <f t="shared" ref="T87:U93" si="41">T86+0.05</f>
        <v>5.1999999999999895</v>
      </c>
      <c r="U87" s="1752">
        <f t="shared" si="41"/>
        <v>5.2489999999999899</v>
      </c>
      <c r="V87" s="1759">
        <f t="shared" si="39"/>
        <v>0.83000000000000052</v>
      </c>
    </row>
    <row r="88" spans="1:22" outlineLevel="1">
      <c r="A88" s="1749">
        <f t="shared" si="30"/>
        <v>37104</v>
      </c>
      <c r="B88" s="1749" t="str">
        <f t="shared" si="31"/>
        <v>3Q01</v>
      </c>
      <c r="C88" s="1749" t="str">
        <f t="shared" si="32"/>
        <v>3Q01</v>
      </c>
      <c r="D88" s="1750">
        <f t="shared" si="40"/>
        <v>37116</v>
      </c>
      <c r="E88" s="1750">
        <f t="shared" si="40"/>
        <v>37109</v>
      </c>
      <c r="F88" s="1735">
        <v>1.345</v>
      </c>
      <c r="G88" s="1752"/>
      <c r="H88" s="1784">
        <v>4.3999999999999997E-2</v>
      </c>
      <c r="I88" s="1763">
        <f t="shared" si="33"/>
        <v>4.8000000000000001E-2</v>
      </c>
      <c r="J88" s="1784">
        <v>2.1999999999999999E-2</v>
      </c>
      <c r="K88" s="1763">
        <f t="shared" si="34"/>
        <v>2.4E-2</v>
      </c>
      <c r="L88" s="1764">
        <f t="shared" si="37"/>
        <v>0.05</v>
      </c>
      <c r="M88" s="1765">
        <f t="shared" si="35"/>
        <v>6.0000000000000005E-2</v>
      </c>
      <c r="O88" s="1752">
        <f t="shared" si="26"/>
        <v>4.1999999999999931</v>
      </c>
      <c r="P88" s="1752">
        <f t="shared" si="27"/>
        <v>4.2499999999999929</v>
      </c>
      <c r="Q88" s="1773">
        <v>0.59399999999999997</v>
      </c>
      <c r="R88" s="1773">
        <v>0.29699999999999999</v>
      </c>
      <c r="T88" s="1752">
        <f t="shared" si="41"/>
        <v>5.2499999999999893</v>
      </c>
      <c r="U88" s="1752">
        <f t="shared" si="41"/>
        <v>5.2989999999999897</v>
      </c>
      <c r="V88" s="1759">
        <f t="shared" si="39"/>
        <v>0.84000000000000052</v>
      </c>
    </row>
    <row r="89" spans="1:22" outlineLevel="1">
      <c r="A89" s="1749">
        <f t="shared" si="30"/>
        <v>37104</v>
      </c>
      <c r="B89" s="1749" t="str">
        <f t="shared" si="31"/>
        <v>3Q01</v>
      </c>
      <c r="C89" s="1749" t="str">
        <f t="shared" si="32"/>
        <v>3Q01</v>
      </c>
      <c r="D89" s="1750">
        <f t="shared" si="40"/>
        <v>37123</v>
      </c>
      <c r="E89" s="1750">
        <f t="shared" si="40"/>
        <v>37116</v>
      </c>
      <c r="F89" s="1735">
        <v>1.367</v>
      </c>
      <c r="G89" s="1752"/>
      <c r="H89" s="1784">
        <v>4.8000000000000001E-2</v>
      </c>
      <c r="I89" s="1763">
        <f t="shared" si="33"/>
        <v>5.3999999999999999E-2</v>
      </c>
      <c r="J89" s="1784">
        <v>2.4E-2</v>
      </c>
      <c r="K89" s="1763">
        <f t="shared" si="34"/>
        <v>2.7E-2</v>
      </c>
      <c r="L89" s="1764">
        <f t="shared" si="37"/>
        <v>6.0000000000000005E-2</v>
      </c>
      <c r="M89" s="1765">
        <f t="shared" si="35"/>
        <v>6.0000000000000005E-2</v>
      </c>
      <c r="O89" s="1752">
        <f t="shared" si="26"/>
        <v>4.2499999999999929</v>
      </c>
      <c r="P89" s="1752">
        <f t="shared" si="27"/>
        <v>4.2999999999999927</v>
      </c>
      <c r="Q89" s="1773">
        <v>0.59899999999999998</v>
      </c>
      <c r="R89" s="1773">
        <v>0.29949999999999999</v>
      </c>
      <c r="T89" s="1752">
        <f t="shared" si="41"/>
        <v>5.2999999999999892</v>
      </c>
      <c r="U89" s="1752">
        <f t="shared" si="41"/>
        <v>5.3489999999999895</v>
      </c>
      <c r="V89" s="1759">
        <f t="shared" si="39"/>
        <v>0.85000000000000053</v>
      </c>
    </row>
    <row r="90" spans="1:22" outlineLevel="1">
      <c r="A90" s="1749">
        <f t="shared" si="30"/>
        <v>37104</v>
      </c>
      <c r="B90" s="1749" t="str">
        <f t="shared" si="31"/>
        <v>3Q01</v>
      </c>
      <c r="C90" s="1749" t="str">
        <f t="shared" si="32"/>
        <v>3Q01</v>
      </c>
      <c r="D90" s="1750">
        <f t="shared" si="40"/>
        <v>37130</v>
      </c>
      <c r="E90" s="1750">
        <f t="shared" si="40"/>
        <v>37123</v>
      </c>
      <c r="F90" s="1735">
        <v>1.3940000000000001</v>
      </c>
      <c r="G90" s="1752"/>
      <c r="H90" s="1784">
        <v>5.3999999999999999E-2</v>
      </c>
      <c r="I90" s="1763">
        <f t="shared" si="33"/>
        <v>6.6000000000000003E-2</v>
      </c>
      <c r="J90" s="1784">
        <v>2.7E-2</v>
      </c>
      <c r="K90" s="1763">
        <f t="shared" si="34"/>
        <v>3.3000000000000002E-2</v>
      </c>
      <c r="L90" s="1764">
        <f t="shared" si="37"/>
        <v>6.0000000000000005E-2</v>
      </c>
      <c r="M90" s="1765">
        <f t="shared" si="35"/>
        <v>0.08</v>
      </c>
      <c r="O90" s="1752">
        <f t="shared" si="26"/>
        <v>4.2999999999999927</v>
      </c>
      <c r="P90" s="1752">
        <f t="shared" si="27"/>
        <v>4.3499999999999925</v>
      </c>
      <c r="Q90" s="1773">
        <v>0.60399999999999998</v>
      </c>
      <c r="R90" s="1773">
        <v>0.30199999999999999</v>
      </c>
      <c r="T90" s="1752">
        <f t="shared" si="41"/>
        <v>5.349999999999989</v>
      </c>
      <c r="U90" s="1752">
        <f t="shared" si="41"/>
        <v>5.3989999999999894</v>
      </c>
      <c r="V90" s="1759">
        <f t="shared" si="39"/>
        <v>0.86000000000000054</v>
      </c>
    </row>
    <row r="91" spans="1:22" outlineLevel="1">
      <c r="A91" s="1749">
        <f t="shared" si="30"/>
        <v>37135</v>
      </c>
      <c r="B91" s="1749" t="str">
        <f t="shared" si="31"/>
        <v>3Q01</v>
      </c>
      <c r="C91" s="1749" t="str">
        <f t="shared" si="32"/>
        <v>3Q01</v>
      </c>
      <c r="D91" s="1750">
        <f t="shared" si="40"/>
        <v>37137</v>
      </c>
      <c r="E91" s="1750">
        <f t="shared" si="40"/>
        <v>37130</v>
      </c>
      <c r="F91" s="1735">
        <v>1.452</v>
      </c>
      <c r="G91" s="1752"/>
      <c r="H91" s="1784">
        <v>6.6000000000000003E-2</v>
      </c>
      <c r="I91" s="1763">
        <f t="shared" si="33"/>
        <v>7.1999999999999995E-2</v>
      </c>
      <c r="J91" s="1784">
        <v>3.3000000000000002E-2</v>
      </c>
      <c r="K91" s="1763">
        <f t="shared" si="34"/>
        <v>3.5999999999999997E-2</v>
      </c>
      <c r="L91" s="1764">
        <f t="shared" si="37"/>
        <v>0.08</v>
      </c>
      <c r="M91" s="1765">
        <f t="shared" si="35"/>
        <v>0.08</v>
      </c>
      <c r="O91" s="1752">
        <f t="shared" si="26"/>
        <v>4.3499999999999925</v>
      </c>
      <c r="P91" s="1752">
        <f t="shared" si="27"/>
        <v>4.3999999999999924</v>
      </c>
      <c r="Q91" s="1773">
        <v>0.60899999999999999</v>
      </c>
      <c r="R91" s="1773">
        <v>0.30449999999999999</v>
      </c>
      <c r="T91" s="1752">
        <f t="shared" si="41"/>
        <v>5.3999999999999888</v>
      </c>
      <c r="U91" s="1752">
        <f t="shared" si="41"/>
        <v>5.4489999999999892</v>
      </c>
      <c r="V91" s="1759">
        <f t="shared" si="39"/>
        <v>0.87000000000000055</v>
      </c>
    </row>
    <row r="92" spans="1:22" outlineLevel="1">
      <c r="A92" s="1749">
        <f t="shared" si="30"/>
        <v>37135</v>
      </c>
      <c r="B92" s="1749" t="str">
        <f t="shared" si="31"/>
        <v>3Q01</v>
      </c>
      <c r="C92" s="1749" t="str">
        <f t="shared" si="32"/>
        <v>3Q01</v>
      </c>
      <c r="D92" s="1750">
        <f t="shared" si="40"/>
        <v>37144</v>
      </c>
      <c r="E92" s="1750">
        <f t="shared" si="40"/>
        <v>37137</v>
      </c>
      <c r="F92" s="1735">
        <v>1.4880000000000002</v>
      </c>
      <c r="G92" s="1752"/>
      <c r="H92" s="1784">
        <v>7.1999999999999995E-2</v>
      </c>
      <c r="I92" s="1763">
        <f t="shared" si="33"/>
        <v>7.3999999999999996E-2</v>
      </c>
      <c r="J92" s="1784">
        <v>3.5999999999999997E-2</v>
      </c>
      <c r="K92" s="1763">
        <f t="shared" si="34"/>
        <v>3.6999999999999998E-2</v>
      </c>
      <c r="L92" s="1764">
        <f t="shared" si="37"/>
        <v>0.08</v>
      </c>
      <c r="M92" s="1765">
        <f t="shared" si="35"/>
        <v>0.08</v>
      </c>
      <c r="O92" s="1752">
        <f t="shared" si="26"/>
        <v>4.3999999999999924</v>
      </c>
      <c r="P92" s="1752">
        <f t="shared" si="27"/>
        <v>4.4499999999999922</v>
      </c>
      <c r="Q92" s="1773">
        <v>0.61399999999999999</v>
      </c>
      <c r="R92" s="1773">
        <v>0.307</v>
      </c>
      <c r="T92" s="1752">
        <f t="shared" si="41"/>
        <v>5.4499999999999886</v>
      </c>
      <c r="U92" s="1752">
        <f t="shared" si="41"/>
        <v>5.498999999999989</v>
      </c>
      <c r="V92" s="1759">
        <f t="shared" si="39"/>
        <v>0.88000000000000056</v>
      </c>
    </row>
    <row r="93" spans="1:22" outlineLevel="1">
      <c r="A93" s="1749">
        <f t="shared" si="30"/>
        <v>37135</v>
      </c>
      <c r="B93" s="1749" t="str">
        <f t="shared" si="31"/>
        <v>3Q01</v>
      </c>
      <c r="C93" s="1749" t="str">
        <f t="shared" si="32"/>
        <v>3Q01</v>
      </c>
      <c r="D93" s="1750">
        <f t="shared" si="40"/>
        <v>37151</v>
      </c>
      <c r="E93" s="1750">
        <f t="shared" si="40"/>
        <v>37144</v>
      </c>
      <c r="F93" s="1735">
        <v>1.492</v>
      </c>
      <c r="G93" s="1752"/>
      <c r="H93" s="1784">
        <v>7.3999999999999996E-2</v>
      </c>
      <c r="I93" s="1763">
        <f t="shared" si="33"/>
        <v>0.08</v>
      </c>
      <c r="J93" s="1784">
        <v>3.6999999999999998E-2</v>
      </c>
      <c r="K93" s="1763">
        <f t="shared" si="34"/>
        <v>0.04</v>
      </c>
      <c r="L93" s="1764">
        <f t="shared" si="37"/>
        <v>0.08</v>
      </c>
      <c r="M93" s="1765">
        <f t="shared" si="35"/>
        <v>0.09</v>
      </c>
      <c r="O93" s="1752">
        <f t="shared" si="26"/>
        <v>4.4499999999999922</v>
      </c>
      <c r="P93" s="1752">
        <f t="shared" si="27"/>
        <v>4.499999999999992</v>
      </c>
      <c r="Q93" s="1773">
        <v>0.61899999999999999</v>
      </c>
      <c r="R93" s="1773">
        <v>0.3095</v>
      </c>
      <c r="T93" s="1752">
        <f t="shared" si="41"/>
        <v>5.4999999999999885</v>
      </c>
      <c r="U93" s="1752">
        <f t="shared" si="41"/>
        <v>5.5489999999999888</v>
      </c>
      <c r="V93" s="1759">
        <f t="shared" si="39"/>
        <v>0.89000000000000057</v>
      </c>
    </row>
    <row r="94" spans="1:22" outlineLevel="1">
      <c r="A94" s="1749">
        <f t="shared" si="30"/>
        <v>37135</v>
      </c>
      <c r="B94" s="1749" t="str">
        <f t="shared" si="31"/>
        <v>3Q01</v>
      </c>
      <c r="C94" s="1749" t="str">
        <f t="shared" si="32"/>
        <v>3Q01</v>
      </c>
      <c r="D94" s="1750">
        <f t="shared" si="40"/>
        <v>37158</v>
      </c>
      <c r="E94" s="1750">
        <f t="shared" si="40"/>
        <v>37151</v>
      </c>
      <c r="F94" s="1735">
        <v>1.5269999999999999</v>
      </c>
      <c r="G94" s="1752"/>
      <c r="H94" s="1784">
        <v>0.08</v>
      </c>
      <c r="I94" s="1763">
        <f t="shared" si="33"/>
        <v>7.0000000000000007E-2</v>
      </c>
      <c r="J94" s="1784">
        <v>0.04</v>
      </c>
      <c r="K94" s="1763">
        <f t="shared" si="34"/>
        <v>3.5000000000000003E-2</v>
      </c>
      <c r="L94" s="1764">
        <f t="shared" si="37"/>
        <v>0.09</v>
      </c>
      <c r="M94" s="1765">
        <f t="shared" si="35"/>
        <v>0.08</v>
      </c>
      <c r="O94" s="1752">
        <f t="shared" si="26"/>
        <v>4.499999999999992</v>
      </c>
      <c r="P94" s="1752">
        <f t="shared" si="27"/>
        <v>4.5499999999999918</v>
      </c>
      <c r="Q94" s="1773">
        <v>0.624</v>
      </c>
      <c r="R94" s="1773">
        <v>0.312</v>
      </c>
      <c r="T94" s="1752"/>
      <c r="U94" s="1752"/>
      <c r="V94" s="1758"/>
    </row>
    <row r="95" spans="1:22" outlineLevel="1">
      <c r="A95" s="1749">
        <f t="shared" si="30"/>
        <v>37165</v>
      </c>
      <c r="B95" s="1749" t="str">
        <f t="shared" si="31"/>
        <v>4Q01</v>
      </c>
      <c r="C95" s="1749" t="str">
        <f t="shared" si="32"/>
        <v>3Q01</v>
      </c>
      <c r="D95" s="1750">
        <f t="shared" si="40"/>
        <v>37165</v>
      </c>
      <c r="E95" s="1750">
        <f t="shared" si="40"/>
        <v>37158</v>
      </c>
      <c r="F95" s="1735">
        <v>1.4730000000000001</v>
      </c>
      <c r="G95" s="1752"/>
      <c r="H95" s="1784">
        <v>7.0000000000000007E-2</v>
      </c>
      <c r="I95" s="1763">
        <f t="shared" si="33"/>
        <v>5.3999999999999999E-2</v>
      </c>
      <c r="J95" s="1784">
        <v>3.5000000000000003E-2</v>
      </c>
      <c r="K95" s="1763">
        <f t="shared" si="34"/>
        <v>2.7E-2</v>
      </c>
      <c r="L95" s="1764">
        <f t="shared" si="37"/>
        <v>0.08</v>
      </c>
      <c r="M95" s="1765">
        <f t="shared" si="35"/>
        <v>6.0000000000000005E-2</v>
      </c>
      <c r="O95" s="1752">
        <f t="shared" si="26"/>
        <v>4.5499999999999918</v>
      </c>
      <c r="P95" s="1752">
        <f t="shared" si="27"/>
        <v>4.5999999999999917</v>
      </c>
      <c r="Q95" s="1758">
        <f t="shared" ref="Q95:Q144" si="42">+Q94+0.5%</f>
        <v>0.629</v>
      </c>
      <c r="R95" s="1758">
        <f t="shared" ref="R95:R144" si="43">+R94+0.25%</f>
        <v>0.3145</v>
      </c>
      <c r="T95" s="1752"/>
      <c r="U95" s="1752"/>
      <c r="V95" s="1758"/>
    </row>
    <row r="96" spans="1:22" outlineLevel="1">
      <c r="A96" s="1749">
        <f t="shared" si="30"/>
        <v>37165</v>
      </c>
      <c r="B96" s="1749" t="str">
        <f t="shared" si="31"/>
        <v>4Q01</v>
      </c>
      <c r="C96" s="1749" t="str">
        <f t="shared" si="32"/>
        <v>4Q01</v>
      </c>
      <c r="D96" s="1750">
        <f t="shared" si="40"/>
        <v>37172</v>
      </c>
      <c r="E96" s="1750">
        <f t="shared" si="40"/>
        <v>37165</v>
      </c>
      <c r="F96" s="1735">
        <v>1.39</v>
      </c>
      <c r="G96" s="1752"/>
      <c r="H96" s="1784">
        <v>5.3999999999999999E-2</v>
      </c>
      <c r="I96" s="1763">
        <f t="shared" si="33"/>
        <v>0.05</v>
      </c>
      <c r="J96" s="1784">
        <v>2.7E-2</v>
      </c>
      <c r="K96" s="1763">
        <f t="shared" si="34"/>
        <v>2.5000000000000001E-2</v>
      </c>
      <c r="L96" s="1764">
        <f t="shared" si="37"/>
        <v>6.0000000000000005E-2</v>
      </c>
      <c r="M96" s="1765">
        <f t="shared" si="35"/>
        <v>6.0000000000000005E-2</v>
      </c>
      <c r="O96" s="1752">
        <f t="shared" si="26"/>
        <v>4.5999999999999917</v>
      </c>
      <c r="P96" s="1752">
        <f t="shared" si="27"/>
        <v>4.6499999999999915</v>
      </c>
      <c r="Q96" s="1758">
        <f t="shared" si="42"/>
        <v>0.63400000000000001</v>
      </c>
      <c r="R96" s="1758">
        <f t="shared" si="43"/>
        <v>0.317</v>
      </c>
      <c r="T96" s="1752"/>
      <c r="U96" s="1752"/>
      <c r="V96" s="1758"/>
    </row>
    <row r="97" spans="1:22" outlineLevel="1">
      <c r="A97" s="1749">
        <f t="shared" si="30"/>
        <v>37165</v>
      </c>
      <c r="B97" s="1749" t="str">
        <f t="shared" si="31"/>
        <v>4Q01</v>
      </c>
      <c r="C97" s="1749" t="str">
        <f t="shared" si="32"/>
        <v>4Q01</v>
      </c>
      <c r="D97" s="1750">
        <f t="shared" si="40"/>
        <v>37179</v>
      </c>
      <c r="E97" s="1750">
        <f t="shared" si="40"/>
        <v>37172</v>
      </c>
      <c r="F97" s="1735">
        <v>1.371</v>
      </c>
      <c r="G97" s="1752"/>
      <c r="H97" s="1784">
        <v>0.05</v>
      </c>
      <c r="I97" s="1763">
        <f t="shared" si="33"/>
        <v>4.5999999999999999E-2</v>
      </c>
      <c r="J97" s="1784">
        <v>2.5000000000000001E-2</v>
      </c>
      <c r="K97" s="1763">
        <f t="shared" si="34"/>
        <v>2.3E-2</v>
      </c>
      <c r="L97" s="1764">
        <f t="shared" si="37"/>
        <v>6.0000000000000005E-2</v>
      </c>
      <c r="M97" s="1765">
        <f t="shared" si="35"/>
        <v>6.0000000000000005E-2</v>
      </c>
      <c r="O97" s="1752">
        <f t="shared" si="26"/>
        <v>4.6499999999999915</v>
      </c>
      <c r="P97" s="1752">
        <f t="shared" si="27"/>
        <v>4.6999999999999913</v>
      </c>
      <c r="Q97" s="1758">
        <f t="shared" si="42"/>
        <v>0.63900000000000001</v>
      </c>
      <c r="R97" s="1758">
        <f t="shared" si="43"/>
        <v>0.31950000000000001</v>
      </c>
      <c r="T97" s="1752"/>
      <c r="U97" s="1752"/>
      <c r="V97" s="1758"/>
    </row>
    <row r="98" spans="1:22" outlineLevel="1">
      <c r="A98" s="1749">
        <f t="shared" si="30"/>
        <v>37165</v>
      </c>
      <c r="B98" s="1749" t="str">
        <f t="shared" si="31"/>
        <v>4Q01</v>
      </c>
      <c r="C98" s="1749" t="str">
        <f t="shared" si="32"/>
        <v>4Q01</v>
      </c>
      <c r="D98" s="1750">
        <f t="shared" si="40"/>
        <v>37186</v>
      </c>
      <c r="E98" s="1750">
        <f t="shared" si="40"/>
        <v>37179</v>
      </c>
      <c r="F98" s="1735">
        <v>1.3530000000000002</v>
      </c>
      <c r="G98" s="1752"/>
      <c r="H98" s="1784">
        <v>4.5999999999999999E-2</v>
      </c>
      <c r="I98" s="1763">
        <f t="shared" si="33"/>
        <v>3.7999999999999999E-2</v>
      </c>
      <c r="J98" s="1784">
        <v>2.3E-2</v>
      </c>
      <c r="K98" s="1763">
        <f t="shared" si="34"/>
        <v>1.9E-2</v>
      </c>
      <c r="L98" s="1764">
        <f t="shared" si="37"/>
        <v>6.0000000000000005E-2</v>
      </c>
      <c r="M98" s="1765">
        <f t="shared" si="35"/>
        <v>0.05</v>
      </c>
      <c r="O98" s="1752">
        <f t="shared" si="26"/>
        <v>4.6999999999999913</v>
      </c>
      <c r="P98" s="1752">
        <f t="shared" si="27"/>
        <v>4.7499999999999911</v>
      </c>
      <c r="Q98" s="1758">
        <f t="shared" si="42"/>
        <v>0.64400000000000002</v>
      </c>
      <c r="R98" s="1758">
        <f t="shared" si="43"/>
        <v>0.32200000000000001</v>
      </c>
      <c r="T98" s="1752"/>
      <c r="U98" s="1752"/>
      <c r="V98" s="1758"/>
    </row>
    <row r="99" spans="1:22" outlineLevel="1">
      <c r="A99" s="1749">
        <f t="shared" si="30"/>
        <v>37165</v>
      </c>
      <c r="B99" s="1749" t="str">
        <f t="shared" si="31"/>
        <v>4Q01</v>
      </c>
      <c r="C99" s="1749" t="str">
        <f t="shared" si="32"/>
        <v>4Q01</v>
      </c>
      <c r="D99" s="1750">
        <f t="shared" si="40"/>
        <v>37193</v>
      </c>
      <c r="E99" s="1750">
        <f t="shared" si="40"/>
        <v>37186</v>
      </c>
      <c r="F99" s="1735">
        <v>1.3180000000000001</v>
      </c>
      <c r="G99" s="1752"/>
      <c r="H99" s="1784">
        <v>3.7999999999999999E-2</v>
      </c>
      <c r="I99" s="1763">
        <f t="shared" si="33"/>
        <v>3.7999999999999999E-2</v>
      </c>
      <c r="J99" s="1784">
        <v>1.9E-2</v>
      </c>
      <c r="K99" s="1763">
        <f t="shared" si="34"/>
        <v>1.9E-2</v>
      </c>
      <c r="L99" s="1764">
        <f t="shared" si="37"/>
        <v>0.05</v>
      </c>
      <c r="M99" s="1765">
        <f t="shared" si="35"/>
        <v>0.05</v>
      </c>
      <c r="O99" s="1752">
        <f t="shared" si="26"/>
        <v>4.7499999999999911</v>
      </c>
      <c r="P99" s="1752">
        <f t="shared" si="27"/>
        <v>4.7999999999999909</v>
      </c>
      <c r="Q99" s="1758">
        <f t="shared" si="42"/>
        <v>0.64900000000000002</v>
      </c>
      <c r="R99" s="1758">
        <f t="shared" si="43"/>
        <v>0.32450000000000001</v>
      </c>
      <c r="T99" s="1752"/>
      <c r="U99" s="1752"/>
      <c r="V99" s="1758"/>
    </row>
    <row r="100" spans="1:22" outlineLevel="1">
      <c r="A100" s="1749">
        <f t="shared" si="30"/>
        <v>37196</v>
      </c>
      <c r="B100" s="1749" t="str">
        <f t="shared" si="31"/>
        <v>4Q01</v>
      </c>
      <c r="C100" s="1749" t="str">
        <f t="shared" si="32"/>
        <v>4Q01</v>
      </c>
      <c r="D100" s="1750">
        <f t="shared" si="40"/>
        <v>37200</v>
      </c>
      <c r="E100" s="1750">
        <f t="shared" si="40"/>
        <v>37193</v>
      </c>
      <c r="F100" s="1735">
        <v>1.31</v>
      </c>
      <c r="G100" s="1752"/>
      <c r="H100" s="1784">
        <v>3.7999999999999999E-2</v>
      </c>
      <c r="I100" s="1763">
        <f t="shared" si="33"/>
        <v>3.4000000000000002E-2</v>
      </c>
      <c r="J100" s="1784">
        <v>1.9E-2</v>
      </c>
      <c r="K100" s="1763">
        <f t="shared" si="34"/>
        <v>1.7000000000000001E-2</v>
      </c>
      <c r="L100" s="1764">
        <f t="shared" si="37"/>
        <v>0.05</v>
      </c>
      <c r="M100" s="1765">
        <f t="shared" si="35"/>
        <v>0.04</v>
      </c>
      <c r="O100" s="1752">
        <f t="shared" si="26"/>
        <v>4.7999999999999909</v>
      </c>
      <c r="P100" s="1752">
        <f t="shared" si="27"/>
        <v>4.8499999999999908</v>
      </c>
      <c r="Q100" s="1758">
        <f t="shared" si="42"/>
        <v>0.65400000000000003</v>
      </c>
      <c r="R100" s="1758">
        <f t="shared" si="43"/>
        <v>0.32700000000000001</v>
      </c>
      <c r="T100" s="1752"/>
      <c r="U100" s="1752"/>
      <c r="V100" s="1758"/>
    </row>
    <row r="101" spans="1:22" outlineLevel="1">
      <c r="A101" s="1749">
        <f t="shared" si="30"/>
        <v>37196</v>
      </c>
      <c r="B101" s="1749" t="str">
        <f t="shared" si="31"/>
        <v>4Q01</v>
      </c>
      <c r="C101" s="1749" t="str">
        <f t="shared" si="32"/>
        <v>4Q01</v>
      </c>
      <c r="D101" s="1750">
        <f t="shared" ref="D101:E116" si="44">D100+7</f>
        <v>37207</v>
      </c>
      <c r="E101" s="1750">
        <f t="shared" si="44"/>
        <v>37200</v>
      </c>
      <c r="F101" s="1735">
        <v>1.2909999999999999</v>
      </c>
      <c r="G101" s="1752"/>
      <c r="H101" s="1784">
        <v>3.4000000000000002E-2</v>
      </c>
      <c r="I101" s="1763">
        <f t="shared" si="33"/>
        <v>2.8000000000000001E-2</v>
      </c>
      <c r="J101" s="1784">
        <v>1.7000000000000001E-2</v>
      </c>
      <c r="K101" s="1763">
        <f t="shared" si="34"/>
        <v>1.4E-2</v>
      </c>
      <c r="L101" s="1764">
        <f t="shared" si="37"/>
        <v>0.04</v>
      </c>
      <c r="M101" s="1765">
        <f t="shared" si="35"/>
        <v>0.04</v>
      </c>
      <c r="O101" s="1752">
        <f t="shared" si="26"/>
        <v>4.8499999999999908</v>
      </c>
      <c r="P101" s="1752">
        <f t="shared" si="27"/>
        <v>4.8999999999999906</v>
      </c>
      <c r="Q101" s="1758">
        <f t="shared" si="42"/>
        <v>0.65900000000000003</v>
      </c>
      <c r="R101" s="1758">
        <f t="shared" si="43"/>
        <v>0.32950000000000002</v>
      </c>
      <c r="T101" s="1752"/>
      <c r="U101" s="1752"/>
      <c r="V101" s="1758"/>
    </row>
    <row r="102" spans="1:22" outlineLevel="1">
      <c r="A102" s="1749">
        <f t="shared" si="30"/>
        <v>37196</v>
      </c>
      <c r="B102" s="1749" t="str">
        <f t="shared" si="31"/>
        <v>4Q01</v>
      </c>
      <c r="C102" s="1749" t="str">
        <f t="shared" si="32"/>
        <v>4Q01</v>
      </c>
      <c r="D102" s="1750">
        <f t="shared" si="44"/>
        <v>37214</v>
      </c>
      <c r="E102" s="1750">
        <f t="shared" si="44"/>
        <v>37207</v>
      </c>
      <c r="F102" s="1735">
        <v>1.2690000000000001</v>
      </c>
      <c r="G102" s="1752"/>
      <c r="H102" s="1784">
        <v>2.8000000000000001E-2</v>
      </c>
      <c r="I102" s="1763">
        <f t="shared" si="33"/>
        <v>2.5999999999999999E-2</v>
      </c>
      <c r="J102" s="1784">
        <v>1.4E-2</v>
      </c>
      <c r="K102" s="1763">
        <f t="shared" si="34"/>
        <v>1.2999999999999999E-2</v>
      </c>
      <c r="L102" s="1764">
        <f t="shared" si="37"/>
        <v>0.04</v>
      </c>
      <c r="M102" s="1765">
        <f t="shared" si="35"/>
        <v>0.04</v>
      </c>
      <c r="O102" s="1752">
        <f t="shared" si="26"/>
        <v>4.8999999999999906</v>
      </c>
      <c r="P102" s="1752">
        <f t="shared" si="27"/>
        <v>4.9499999999999904</v>
      </c>
      <c r="Q102" s="1758">
        <f t="shared" si="42"/>
        <v>0.66400000000000003</v>
      </c>
      <c r="R102" s="1758">
        <f t="shared" si="43"/>
        <v>0.33200000000000002</v>
      </c>
      <c r="T102" s="1752"/>
      <c r="U102" s="1752"/>
      <c r="V102" s="1758"/>
    </row>
    <row r="103" spans="1:22" outlineLevel="1">
      <c r="A103" s="1749">
        <f t="shared" si="30"/>
        <v>37196</v>
      </c>
      <c r="B103" s="1749" t="str">
        <f t="shared" si="31"/>
        <v>4Q01</v>
      </c>
      <c r="C103" s="1749" t="str">
        <f t="shared" si="32"/>
        <v>4Q01</v>
      </c>
      <c r="D103" s="1750">
        <f t="shared" si="44"/>
        <v>37221</v>
      </c>
      <c r="E103" s="1750">
        <f t="shared" si="44"/>
        <v>37214</v>
      </c>
      <c r="F103" s="1735">
        <v>1.252</v>
      </c>
      <c r="G103" s="1752"/>
      <c r="H103" s="1784">
        <v>2.5999999999999999E-2</v>
      </c>
      <c r="I103" s="1763">
        <f t="shared" si="33"/>
        <v>0.02</v>
      </c>
      <c r="J103" s="1784">
        <v>1.2999999999999999E-2</v>
      </c>
      <c r="K103" s="1763">
        <f t="shared" si="34"/>
        <v>0.01</v>
      </c>
      <c r="L103" s="1764">
        <f t="shared" si="37"/>
        <v>0.04</v>
      </c>
      <c r="M103" s="1765">
        <f t="shared" si="35"/>
        <v>0.03</v>
      </c>
      <c r="O103" s="1752">
        <f t="shared" si="26"/>
        <v>4.9499999999999904</v>
      </c>
      <c r="P103" s="1752">
        <f t="shared" si="27"/>
        <v>4.9999999999999902</v>
      </c>
      <c r="Q103" s="1758">
        <f t="shared" si="42"/>
        <v>0.66900000000000004</v>
      </c>
      <c r="R103" s="1758">
        <f t="shared" si="43"/>
        <v>0.33450000000000002</v>
      </c>
      <c r="T103" s="1752"/>
      <c r="U103" s="1752"/>
      <c r="V103" s="1758"/>
    </row>
    <row r="104" spans="1:22" outlineLevel="1">
      <c r="A104" s="1749">
        <f t="shared" si="30"/>
        <v>37226</v>
      </c>
      <c r="B104" s="1749" t="str">
        <f t="shared" si="31"/>
        <v>4Q01</v>
      </c>
      <c r="C104" s="1749" t="str">
        <f t="shared" si="32"/>
        <v>4Q01</v>
      </c>
      <c r="D104" s="1750">
        <f t="shared" si="44"/>
        <v>37228</v>
      </c>
      <c r="E104" s="1750">
        <f t="shared" si="44"/>
        <v>37221</v>
      </c>
      <c r="F104" s="1735">
        <v>1.2229999999999999</v>
      </c>
      <c r="G104" s="1752"/>
      <c r="H104" s="1784">
        <v>0.02</v>
      </c>
      <c r="I104" s="1763">
        <f t="shared" si="33"/>
        <v>1.4E-2</v>
      </c>
      <c r="J104" s="1784">
        <v>0.01</v>
      </c>
      <c r="K104" s="1763">
        <f t="shared" si="34"/>
        <v>7.0000000000000001E-3</v>
      </c>
      <c r="L104" s="1764">
        <f t="shared" si="37"/>
        <v>0.03</v>
      </c>
      <c r="M104" s="1765">
        <f t="shared" si="35"/>
        <v>0.02</v>
      </c>
      <c r="O104" s="1752">
        <f t="shared" si="26"/>
        <v>4.9999999999999902</v>
      </c>
      <c r="P104" s="1752">
        <f t="shared" si="27"/>
        <v>5.0499999999999901</v>
      </c>
      <c r="Q104" s="1758">
        <f t="shared" si="42"/>
        <v>0.67400000000000004</v>
      </c>
      <c r="R104" s="1758">
        <f t="shared" si="43"/>
        <v>0.33700000000000002</v>
      </c>
      <c r="T104" s="1752"/>
      <c r="U104" s="1752"/>
      <c r="V104" s="1758"/>
    </row>
    <row r="105" spans="1:22" outlineLevel="1">
      <c r="A105" s="1749">
        <f t="shared" si="30"/>
        <v>37226</v>
      </c>
      <c r="B105" s="1749" t="str">
        <f t="shared" si="31"/>
        <v>4Q01</v>
      </c>
      <c r="C105" s="1749" t="str">
        <f t="shared" si="32"/>
        <v>4Q01</v>
      </c>
      <c r="D105" s="1750">
        <f t="shared" si="44"/>
        <v>37235</v>
      </c>
      <c r="E105" s="1750">
        <f t="shared" si="44"/>
        <v>37228</v>
      </c>
      <c r="F105" s="1735">
        <v>1.194</v>
      </c>
      <c r="G105" s="1752"/>
      <c r="H105" s="1784">
        <v>1.4E-2</v>
      </c>
      <c r="I105" s="1763">
        <f t="shared" si="33"/>
        <v>0.01</v>
      </c>
      <c r="J105" s="1784">
        <v>7.0000000000000001E-3</v>
      </c>
      <c r="K105" s="1763">
        <f t="shared" si="34"/>
        <v>5.0000000000000001E-3</v>
      </c>
      <c r="L105" s="1764">
        <f t="shared" si="37"/>
        <v>0.02</v>
      </c>
      <c r="M105" s="1765">
        <f t="shared" si="35"/>
        <v>0.02</v>
      </c>
      <c r="O105" s="1752">
        <f t="shared" si="26"/>
        <v>5.0499999999999901</v>
      </c>
      <c r="P105" s="1752">
        <f t="shared" si="27"/>
        <v>5.0999999999999899</v>
      </c>
      <c r="Q105" s="1758">
        <f t="shared" si="42"/>
        <v>0.67900000000000005</v>
      </c>
      <c r="R105" s="1758">
        <f t="shared" si="43"/>
        <v>0.33950000000000002</v>
      </c>
      <c r="T105" s="1752"/>
      <c r="U105" s="1752"/>
      <c r="V105" s="1758"/>
    </row>
    <row r="106" spans="1:22" outlineLevel="1">
      <c r="A106" s="1749">
        <f t="shared" si="30"/>
        <v>37226</v>
      </c>
      <c r="B106" s="1749" t="str">
        <f t="shared" si="31"/>
        <v>4Q01</v>
      </c>
      <c r="C106" s="1749" t="str">
        <f t="shared" si="32"/>
        <v>4Q01</v>
      </c>
      <c r="D106" s="1750">
        <f t="shared" si="44"/>
        <v>37242</v>
      </c>
      <c r="E106" s="1750">
        <f t="shared" si="44"/>
        <v>37235</v>
      </c>
      <c r="F106" s="1735">
        <v>1.173</v>
      </c>
      <c r="G106" s="1752"/>
      <c r="H106" s="1784">
        <v>0.01</v>
      </c>
      <c r="I106" s="1763">
        <f t="shared" si="33"/>
        <v>0</v>
      </c>
      <c r="J106" s="1784">
        <v>5.0000000000000001E-3</v>
      </c>
      <c r="K106" s="1763">
        <f t="shared" si="34"/>
        <v>0</v>
      </c>
      <c r="L106" s="1764">
        <f t="shared" si="37"/>
        <v>0.02</v>
      </c>
      <c r="M106" s="1765">
        <f t="shared" si="35"/>
        <v>0.01</v>
      </c>
      <c r="O106" s="1752">
        <f t="shared" si="26"/>
        <v>5.0999999999999899</v>
      </c>
      <c r="P106" s="1752">
        <f t="shared" si="27"/>
        <v>5.1499999999999897</v>
      </c>
      <c r="Q106" s="1758">
        <f t="shared" si="42"/>
        <v>0.68400000000000005</v>
      </c>
      <c r="R106" s="1758">
        <f t="shared" si="43"/>
        <v>0.34200000000000003</v>
      </c>
      <c r="T106" s="1752"/>
      <c r="U106" s="1752"/>
      <c r="V106" s="1758"/>
    </row>
    <row r="107" spans="1:22" outlineLevel="1">
      <c r="A107" s="1749">
        <f t="shared" si="30"/>
        <v>37226</v>
      </c>
      <c r="B107" s="1749" t="str">
        <f t="shared" si="31"/>
        <v>4Q01</v>
      </c>
      <c r="C107" s="1749" t="str">
        <f t="shared" si="32"/>
        <v>4Q01</v>
      </c>
      <c r="D107" s="1750">
        <f t="shared" si="44"/>
        <v>37249</v>
      </c>
      <c r="E107" s="1750">
        <f t="shared" si="44"/>
        <v>37242</v>
      </c>
      <c r="F107" s="1735">
        <v>1.143</v>
      </c>
      <c r="G107" s="1752"/>
      <c r="H107" s="1784">
        <v>0</v>
      </c>
      <c r="I107" s="1763">
        <f t="shared" si="33"/>
        <v>1.2E-2</v>
      </c>
      <c r="J107" s="1784">
        <v>0</v>
      </c>
      <c r="K107" s="1763">
        <f t="shared" si="34"/>
        <v>6.0000000000000001E-3</v>
      </c>
      <c r="L107" s="1764">
        <f t="shared" si="37"/>
        <v>0.01</v>
      </c>
      <c r="M107" s="1765">
        <f t="shared" si="35"/>
        <v>0.02</v>
      </c>
      <c r="O107" s="1752">
        <f t="shared" si="26"/>
        <v>5.1499999999999897</v>
      </c>
      <c r="P107" s="1752">
        <f t="shared" si="27"/>
        <v>5.1999999999999895</v>
      </c>
      <c r="Q107" s="1758">
        <f t="shared" si="42"/>
        <v>0.68900000000000006</v>
      </c>
      <c r="R107" s="1758">
        <f t="shared" si="43"/>
        <v>0.34450000000000003</v>
      </c>
      <c r="T107" s="1752"/>
      <c r="U107" s="1752"/>
      <c r="V107" s="1758"/>
    </row>
    <row r="108" spans="1:22" outlineLevel="1">
      <c r="A108" s="1749">
        <f t="shared" si="30"/>
        <v>37226</v>
      </c>
      <c r="B108" s="1749" t="str">
        <f t="shared" si="31"/>
        <v>4Q01</v>
      </c>
      <c r="C108" s="1749" t="str">
        <f t="shared" si="32"/>
        <v>4Q01</v>
      </c>
      <c r="D108" s="1750">
        <f t="shared" si="44"/>
        <v>37256</v>
      </c>
      <c r="E108" s="1750">
        <f t="shared" si="44"/>
        <v>37249</v>
      </c>
      <c r="F108" s="1735">
        <v>1.1540000000000001</v>
      </c>
      <c r="G108" s="1752"/>
      <c r="H108" s="1784">
        <v>1.2E-2</v>
      </c>
      <c r="I108" s="1763">
        <f t="shared" si="33"/>
        <v>1.2E-2</v>
      </c>
      <c r="J108" s="1784">
        <v>6.0000000000000001E-3</v>
      </c>
      <c r="K108" s="1763">
        <f t="shared" si="34"/>
        <v>6.0000000000000001E-3</v>
      </c>
      <c r="L108" s="1764">
        <f t="shared" si="37"/>
        <v>0.02</v>
      </c>
      <c r="M108" s="1765">
        <f t="shared" si="35"/>
        <v>0.02</v>
      </c>
      <c r="O108" s="1752">
        <f t="shared" si="26"/>
        <v>5.1999999999999895</v>
      </c>
      <c r="P108" s="1752">
        <f t="shared" si="27"/>
        <v>5.2499999999999893</v>
      </c>
      <c r="Q108" s="1758">
        <f t="shared" si="42"/>
        <v>0.69400000000000006</v>
      </c>
      <c r="R108" s="1758">
        <f t="shared" si="43"/>
        <v>0.34700000000000003</v>
      </c>
      <c r="T108" s="1752"/>
      <c r="U108" s="1752"/>
      <c r="V108" s="1758"/>
    </row>
    <row r="109" spans="1:22" outlineLevel="1">
      <c r="A109" s="1749">
        <f t="shared" si="30"/>
        <v>37257</v>
      </c>
      <c r="B109" s="1749" t="str">
        <f t="shared" si="31"/>
        <v>1Q02</v>
      </c>
      <c r="C109" s="1749" t="str">
        <f t="shared" si="32"/>
        <v>4Q01</v>
      </c>
      <c r="D109" s="1750">
        <f t="shared" si="44"/>
        <v>37263</v>
      </c>
      <c r="E109" s="1750">
        <f t="shared" si="44"/>
        <v>37256</v>
      </c>
      <c r="F109" s="1735">
        <v>1.169</v>
      </c>
      <c r="G109" s="1752"/>
      <c r="H109" s="1755">
        <f>+H108</f>
        <v>1.2E-2</v>
      </c>
      <c r="I109" s="1763">
        <f t="shared" si="33"/>
        <v>1.2E-2</v>
      </c>
      <c r="J109" s="1755">
        <f>+J108</f>
        <v>6.0000000000000001E-3</v>
      </c>
      <c r="K109" s="1763">
        <f t="shared" si="34"/>
        <v>6.0000000000000001E-3</v>
      </c>
      <c r="L109" s="1764">
        <f t="shared" si="37"/>
        <v>0.02</v>
      </c>
      <c r="M109" s="1765">
        <f t="shared" si="35"/>
        <v>0.02</v>
      </c>
      <c r="O109" s="1752">
        <f t="shared" si="26"/>
        <v>5.2499999999999893</v>
      </c>
      <c r="P109" s="1752">
        <f t="shared" si="27"/>
        <v>5.2999999999999892</v>
      </c>
      <c r="Q109" s="1758">
        <f t="shared" si="42"/>
        <v>0.69900000000000007</v>
      </c>
      <c r="R109" s="1758">
        <f t="shared" si="43"/>
        <v>0.34950000000000003</v>
      </c>
      <c r="T109" s="1752"/>
      <c r="U109" s="1752"/>
      <c r="V109" s="1758"/>
    </row>
    <row r="110" spans="1:22" outlineLevel="1">
      <c r="A110" s="1749">
        <f t="shared" si="30"/>
        <v>37257</v>
      </c>
      <c r="B110" s="1749" t="str">
        <f t="shared" si="31"/>
        <v>1Q02</v>
      </c>
      <c r="C110" s="1749" t="str">
        <f t="shared" si="32"/>
        <v>1Q02</v>
      </c>
      <c r="D110" s="1750">
        <f t="shared" si="44"/>
        <v>37270</v>
      </c>
      <c r="E110" s="1750">
        <f t="shared" si="44"/>
        <v>37263</v>
      </c>
      <c r="F110" s="1735">
        <v>1.1679999999999999</v>
      </c>
      <c r="G110" s="1752"/>
      <c r="H110" s="1784">
        <v>1.2E-2</v>
      </c>
      <c r="I110" s="1763">
        <f t="shared" si="33"/>
        <v>0.01</v>
      </c>
      <c r="J110" s="1784">
        <v>6.0000000000000001E-3</v>
      </c>
      <c r="K110" s="1763">
        <f t="shared" si="34"/>
        <v>5.0000000000000001E-3</v>
      </c>
      <c r="L110" s="1764">
        <f t="shared" si="37"/>
        <v>0.02</v>
      </c>
      <c r="M110" s="1765">
        <f t="shared" si="35"/>
        <v>0.02</v>
      </c>
      <c r="O110" s="1752">
        <f t="shared" ref="O110:O144" si="45">+P109</f>
        <v>5.2999999999999892</v>
      </c>
      <c r="P110" s="1752">
        <f t="shared" ref="P110:P144" si="46">+O110+0.05</f>
        <v>5.349999999999989</v>
      </c>
      <c r="Q110" s="1758">
        <f t="shared" si="42"/>
        <v>0.70400000000000007</v>
      </c>
      <c r="R110" s="1758">
        <f t="shared" si="43"/>
        <v>0.35200000000000004</v>
      </c>
      <c r="T110" s="1752"/>
      <c r="U110" s="1752"/>
      <c r="V110" s="1758"/>
    </row>
    <row r="111" spans="1:22" outlineLevel="1">
      <c r="A111" s="1749">
        <f t="shared" si="30"/>
        <v>37257</v>
      </c>
      <c r="B111" s="1749" t="str">
        <f t="shared" si="31"/>
        <v>1Q02</v>
      </c>
      <c r="C111" s="1749" t="str">
        <f t="shared" si="32"/>
        <v>1Q02</v>
      </c>
      <c r="D111" s="1750">
        <f t="shared" si="44"/>
        <v>37277</v>
      </c>
      <c r="E111" s="1750">
        <f t="shared" si="44"/>
        <v>37270</v>
      </c>
      <c r="F111" s="1735">
        <v>1.159</v>
      </c>
      <c r="G111" s="1752"/>
      <c r="H111" s="1784">
        <v>0.01</v>
      </c>
      <c r="I111" s="1763">
        <f t="shared" si="33"/>
        <v>0</v>
      </c>
      <c r="J111" s="1784">
        <v>5.0000000000000001E-3</v>
      </c>
      <c r="K111" s="1763">
        <f t="shared" si="34"/>
        <v>0</v>
      </c>
      <c r="L111" s="1764">
        <f t="shared" si="37"/>
        <v>0.02</v>
      </c>
      <c r="M111" s="1765">
        <f t="shared" si="35"/>
        <v>0.01</v>
      </c>
      <c r="O111" s="1752">
        <f t="shared" si="45"/>
        <v>5.349999999999989</v>
      </c>
      <c r="P111" s="1752">
        <f t="shared" si="46"/>
        <v>5.3999999999999888</v>
      </c>
      <c r="Q111" s="1758">
        <f t="shared" si="42"/>
        <v>0.70900000000000007</v>
      </c>
      <c r="R111" s="1758">
        <f t="shared" si="43"/>
        <v>0.35450000000000004</v>
      </c>
      <c r="T111" s="1752"/>
      <c r="U111" s="1752"/>
      <c r="V111" s="1758"/>
    </row>
    <row r="112" spans="1:22" outlineLevel="1">
      <c r="A112" s="1749">
        <f t="shared" si="30"/>
        <v>37257</v>
      </c>
      <c r="B112" s="1749" t="str">
        <f t="shared" si="31"/>
        <v>1Q02</v>
      </c>
      <c r="C112" s="1749" t="str">
        <f t="shared" si="32"/>
        <v>1Q02</v>
      </c>
      <c r="D112" s="1750">
        <f t="shared" si="44"/>
        <v>37284</v>
      </c>
      <c r="E112" s="1750">
        <f t="shared" si="44"/>
        <v>37277</v>
      </c>
      <c r="F112" s="1735">
        <v>1.1399999999999999</v>
      </c>
      <c r="G112" s="1752"/>
      <c r="H112" s="1784">
        <v>0</v>
      </c>
      <c r="I112" s="1763">
        <f t="shared" si="33"/>
        <v>0</v>
      </c>
      <c r="J112" s="1784">
        <v>0</v>
      </c>
      <c r="K112" s="1763">
        <f t="shared" si="34"/>
        <v>0</v>
      </c>
      <c r="L112" s="1764">
        <f t="shared" si="37"/>
        <v>0.01</v>
      </c>
      <c r="M112" s="1765">
        <f t="shared" si="35"/>
        <v>0.01</v>
      </c>
      <c r="O112" s="1752">
        <f t="shared" si="45"/>
        <v>5.3999999999999888</v>
      </c>
      <c r="P112" s="1752">
        <f t="shared" si="46"/>
        <v>5.4499999999999886</v>
      </c>
      <c r="Q112" s="1758">
        <f t="shared" si="42"/>
        <v>0.71400000000000008</v>
      </c>
      <c r="R112" s="1758">
        <f t="shared" si="43"/>
        <v>0.35700000000000004</v>
      </c>
      <c r="T112" s="1752"/>
      <c r="U112" s="1752"/>
      <c r="V112" s="1758"/>
    </row>
    <row r="113" spans="1:22" outlineLevel="1">
      <c r="A113" s="1749">
        <f t="shared" si="30"/>
        <v>37288</v>
      </c>
      <c r="B113" s="1749" t="str">
        <f t="shared" si="31"/>
        <v>1Q02</v>
      </c>
      <c r="C113" s="1749" t="str">
        <f t="shared" si="32"/>
        <v>1Q02</v>
      </c>
      <c r="D113" s="1750">
        <f t="shared" si="44"/>
        <v>37291</v>
      </c>
      <c r="E113" s="1750">
        <f t="shared" si="44"/>
        <v>37284</v>
      </c>
      <c r="F113" s="1735">
        <v>1.1440000000000001</v>
      </c>
      <c r="G113" s="1752"/>
      <c r="H113" s="1784">
        <v>0</v>
      </c>
      <c r="I113" s="1763">
        <f t="shared" si="33"/>
        <v>0</v>
      </c>
      <c r="J113" s="1784">
        <v>0</v>
      </c>
      <c r="K113" s="1763">
        <f t="shared" si="34"/>
        <v>0</v>
      </c>
      <c r="L113" s="1764">
        <f t="shared" si="37"/>
        <v>0.01</v>
      </c>
      <c r="M113" s="1765">
        <f t="shared" si="35"/>
        <v>0.01</v>
      </c>
      <c r="O113" s="1752">
        <f t="shared" si="45"/>
        <v>5.4499999999999886</v>
      </c>
      <c r="P113" s="1752">
        <f t="shared" si="46"/>
        <v>5.4999999999999885</v>
      </c>
      <c r="Q113" s="1758">
        <f t="shared" si="42"/>
        <v>0.71900000000000008</v>
      </c>
      <c r="R113" s="1758">
        <f t="shared" si="43"/>
        <v>0.35950000000000004</v>
      </c>
      <c r="T113" s="1752"/>
      <c r="U113" s="1752"/>
      <c r="V113" s="1758"/>
    </row>
    <row r="114" spans="1:22" outlineLevel="1">
      <c r="A114" s="1749">
        <f t="shared" si="30"/>
        <v>37288</v>
      </c>
      <c r="B114" s="1749" t="str">
        <f t="shared" si="31"/>
        <v>1Q02</v>
      </c>
      <c r="C114" s="1749" t="str">
        <f t="shared" si="32"/>
        <v>1Q02</v>
      </c>
      <c r="D114" s="1750">
        <f t="shared" si="44"/>
        <v>37298</v>
      </c>
      <c r="E114" s="1750">
        <f t="shared" si="44"/>
        <v>37291</v>
      </c>
      <c r="F114" s="1735">
        <v>1.1440000000000001</v>
      </c>
      <c r="G114" s="1752"/>
      <c r="H114" s="1784">
        <v>0</v>
      </c>
      <c r="I114" s="1763">
        <f t="shared" si="33"/>
        <v>0.01</v>
      </c>
      <c r="J114" s="1784">
        <v>0</v>
      </c>
      <c r="K114" s="1763">
        <f t="shared" si="34"/>
        <v>5.0000000000000001E-3</v>
      </c>
      <c r="L114" s="1764">
        <f t="shared" si="37"/>
        <v>0.01</v>
      </c>
      <c r="M114" s="1765">
        <f t="shared" si="35"/>
        <v>0.02</v>
      </c>
      <c r="O114" s="1752">
        <f t="shared" si="45"/>
        <v>5.4999999999999885</v>
      </c>
      <c r="P114" s="1752">
        <f t="shared" si="46"/>
        <v>5.5499999999999883</v>
      </c>
      <c r="Q114" s="1758">
        <f t="shared" si="42"/>
        <v>0.72400000000000009</v>
      </c>
      <c r="R114" s="1758">
        <f t="shared" si="43"/>
        <v>0.36200000000000004</v>
      </c>
      <c r="T114" s="1752"/>
      <c r="U114" s="1752"/>
      <c r="V114" s="1758"/>
    </row>
    <row r="115" spans="1:22" outlineLevel="1">
      <c r="A115" s="1749">
        <f t="shared" si="30"/>
        <v>37288</v>
      </c>
      <c r="B115" s="1749" t="str">
        <f t="shared" si="31"/>
        <v>1Q02</v>
      </c>
      <c r="C115" s="1749" t="str">
        <f t="shared" si="32"/>
        <v>1Q02</v>
      </c>
      <c r="D115" s="1750">
        <f t="shared" si="44"/>
        <v>37305</v>
      </c>
      <c r="E115" s="1750">
        <f t="shared" si="44"/>
        <v>37298</v>
      </c>
      <c r="F115" s="1735">
        <v>1.153</v>
      </c>
      <c r="G115" s="1752"/>
      <c r="H115" s="1784">
        <v>0.01</v>
      </c>
      <c r="I115" s="1763">
        <f t="shared" si="33"/>
        <v>0.01</v>
      </c>
      <c r="J115" s="1784">
        <v>5.0000000000000001E-3</v>
      </c>
      <c r="K115" s="1763">
        <f t="shared" si="34"/>
        <v>5.0000000000000001E-3</v>
      </c>
      <c r="L115" s="1764">
        <f t="shared" si="37"/>
        <v>0.02</v>
      </c>
      <c r="M115" s="1765">
        <f t="shared" si="35"/>
        <v>0.02</v>
      </c>
      <c r="O115" s="1752">
        <f t="shared" si="45"/>
        <v>5.5499999999999883</v>
      </c>
      <c r="P115" s="1752">
        <f t="shared" si="46"/>
        <v>5.5999999999999881</v>
      </c>
      <c r="Q115" s="1758">
        <f t="shared" si="42"/>
        <v>0.72900000000000009</v>
      </c>
      <c r="R115" s="1758">
        <f t="shared" si="43"/>
        <v>0.36450000000000005</v>
      </c>
      <c r="T115" s="1752"/>
      <c r="U115" s="1752"/>
      <c r="V115" s="1758"/>
    </row>
    <row r="116" spans="1:22" outlineLevel="1">
      <c r="A116" s="1749">
        <f t="shared" si="30"/>
        <v>37288</v>
      </c>
      <c r="B116" s="1749" t="str">
        <f t="shared" si="31"/>
        <v>1Q02</v>
      </c>
      <c r="C116" s="1749" t="str">
        <f t="shared" si="32"/>
        <v>1Q02</v>
      </c>
      <c r="D116" s="1750">
        <f t="shared" si="44"/>
        <v>37312</v>
      </c>
      <c r="E116" s="1750">
        <f t="shared" si="44"/>
        <v>37305</v>
      </c>
      <c r="F116" s="1735">
        <v>1.1559999999999999</v>
      </c>
      <c r="G116" s="1752"/>
      <c r="H116" s="1784">
        <v>0.01</v>
      </c>
      <c r="I116" s="1763">
        <f t="shared" si="33"/>
        <v>0.01</v>
      </c>
      <c r="J116" s="1784">
        <v>5.0000000000000001E-3</v>
      </c>
      <c r="K116" s="1763">
        <f t="shared" si="34"/>
        <v>5.0000000000000001E-3</v>
      </c>
      <c r="L116" s="1764">
        <f t="shared" si="37"/>
        <v>0.02</v>
      </c>
      <c r="M116" s="1765">
        <f t="shared" si="35"/>
        <v>0.02</v>
      </c>
      <c r="O116" s="1752">
        <f t="shared" si="45"/>
        <v>5.5999999999999881</v>
      </c>
      <c r="P116" s="1752">
        <f t="shared" si="46"/>
        <v>5.6499999999999879</v>
      </c>
      <c r="Q116" s="1758">
        <f t="shared" si="42"/>
        <v>0.7340000000000001</v>
      </c>
      <c r="R116" s="1758">
        <f t="shared" si="43"/>
        <v>0.36700000000000005</v>
      </c>
      <c r="T116" s="1752"/>
      <c r="U116" s="1752"/>
      <c r="V116" s="1758"/>
    </row>
    <row r="117" spans="1:22" outlineLevel="1">
      <c r="A117" s="1749">
        <f t="shared" si="30"/>
        <v>37316</v>
      </c>
      <c r="B117" s="1749" t="str">
        <f t="shared" si="31"/>
        <v>1Q02</v>
      </c>
      <c r="C117" s="1749" t="str">
        <f t="shared" si="32"/>
        <v>1Q02</v>
      </c>
      <c r="D117" s="1750">
        <f t="shared" ref="D117:E132" si="47">D116+7</f>
        <v>37319</v>
      </c>
      <c r="E117" s="1750">
        <f t="shared" si="47"/>
        <v>37312</v>
      </c>
      <c r="F117" s="1735">
        <v>1.1540000000000001</v>
      </c>
      <c r="G117" s="1752"/>
      <c r="H117" s="1784">
        <v>0.01</v>
      </c>
      <c r="I117" s="1763">
        <f t="shared" si="33"/>
        <v>1.6E-2</v>
      </c>
      <c r="J117" s="1784">
        <v>5.0000000000000001E-3</v>
      </c>
      <c r="K117" s="1763">
        <f t="shared" si="34"/>
        <v>8.0000000000000002E-3</v>
      </c>
      <c r="L117" s="1764">
        <f t="shared" si="37"/>
        <v>0.02</v>
      </c>
      <c r="M117" s="1765">
        <f t="shared" si="35"/>
        <v>0.02</v>
      </c>
      <c r="O117" s="1752">
        <f t="shared" si="45"/>
        <v>5.6499999999999879</v>
      </c>
      <c r="P117" s="1752">
        <f t="shared" si="46"/>
        <v>5.6999999999999877</v>
      </c>
      <c r="Q117" s="1758">
        <f t="shared" si="42"/>
        <v>0.7390000000000001</v>
      </c>
      <c r="R117" s="1758">
        <f t="shared" si="43"/>
        <v>0.36950000000000005</v>
      </c>
      <c r="T117" s="1752"/>
      <c r="U117" s="1752"/>
      <c r="V117" s="1758"/>
    </row>
    <row r="118" spans="1:22" outlineLevel="1">
      <c r="A118" s="1749">
        <f t="shared" si="30"/>
        <v>37316</v>
      </c>
      <c r="B118" s="1749" t="str">
        <f t="shared" si="31"/>
        <v>1Q02</v>
      </c>
      <c r="C118" s="1749" t="str">
        <f t="shared" si="32"/>
        <v>1Q02</v>
      </c>
      <c r="D118" s="1750">
        <f t="shared" si="47"/>
        <v>37326</v>
      </c>
      <c r="E118" s="1750">
        <f t="shared" si="47"/>
        <v>37319</v>
      </c>
      <c r="F118" s="1735">
        <v>1.173</v>
      </c>
      <c r="G118" s="1752"/>
      <c r="H118" s="1784">
        <v>1.6E-2</v>
      </c>
      <c r="I118" s="1763">
        <f t="shared" si="33"/>
        <v>2.8000000000000001E-2</v>
      </c>
      <c r="J118" s="1784">
        <v>8.0000000000000002E-3</v>
      </c>
      <c r="K118" s="1763">
        <f t="shared" si="34"/>
        <v>1.4E-2</v>
      </c>
      <c r="L118" s="1764">
        <f t="shared" si="37"/>
        <v>0.02</v>
      </c>
      <c r="M118" s="1765">
        <f t="shared" si="35"/>
        <v>0.03</v>
      </c>
      <c r="O118" s="1752">
        <f t="shared" si="45"/>
        <v>5.6999999999999877</v>
      </c>
      <c r="P118" s="1752">
        <f t="shared" si="46"/>
        <v>5.7499999999999876</v>
      </c>
      <c r="Q118" s="1758">
        <f t="shared" si="42"/>
        <v>0.74400000000000011</v>
      </c>
      <c r="R118" s="1758">
        <f t="shared" si="43"/>
        <v>0.37200000000000005</v>
      </c>
      <c r="T118" s="1752"/>
      <c r="U118" s="1752"/>
      <c r="V118" s="1758"/>
    </row>
    <row r="119" spans="1:22" outlineLevel="1">
      <c r="A119" s="1749">
        <f t="shared" si="30"/>
        <v>37316</v>
      </c>
      <c r="B119" s="1749" t="str">
        <f t="shared" si="31"/>
        <v>1Q02</v>
      </c>
      <c r="C119" s="1749" t="str">
        <f t="shared" si="32"/>
        <v>1Q02</v>
      </c>
      <c r="D119" s="1750">
        <f t="shared" si="47"/>
        <v>37333</v>
      </c>
      <c r="E119" s="1750">
        <f t="shared" si="47"/>
        <v>37326</v>
      </c>
      <c r="F119" s="1735">
        <v>1.216</v>
      </c>
      <c r="G119" s="1752"/>
      <c r="H119" s="1784">
        <v>2.8000000000000001E-2</v>
      </c>
      <c r="I119" s="1763">
        <f t="shared" si="33"/>
        <v>0.04</v>
      </c>
      <c r="J119" s="1784">
        <v>1.4E-2</v>
      </c>
      <c r="K119" s="1763">
        <f t="shared" si="34"/>
        <v>0.02</v>
      </c>
      <c r="L119" s="1764">
        <f t="shared" si="37"/>
        <v>0.03</v>
      </c>
      <c r="M119" s="1765">
        <f t="shared" si="35"/>
        <v>0.04</v>
      </c>
      <c r="O119" s="1752">
        <f t="shared" si="45"/>
        <v>5.7499999999999876</v>
      </c>
      <c r="P119" s="1752">
        <f t="shared" si="46"/>
        <v>5.7999999999999874</v>
      </c>
      <c r="Q119" s="1758">
        <f t="shared" si="42"/>
        <v>0.74900000000000011</v>
      </c>
      <c r="R119" s="1758">
        <f t="shared" si="43"/>
        <v>0.37450000000000006</v>
      </c>
      <c r="T119" s="1752"/>
      <c r="U119" s="1752"/>
      <c r="V119" s="1758"/>
    </row>
    <row r="120" spans="1:22" outlineLevel="1">
      <c r="A120" s="1749">
        <f t="shared" si="30"/>
        <v>37316</v>
      </c>
      <c r="B120" s="1749" t="str">
        <f t="shared" si="31"/>
        <v>1Q02</v>
      </c>
      <c r="C120" s="1749" t="str">
        <f t="shared" si="32"/>
        <v>1Q02</v>
      </c>
      <c r="D120" s="1750">
        <f t="shared" si="47"/>
        <v>37340</v>
      </c>
      <c r="E120" s="1750">
        <f t="shared" si="47"/>
        <v>37333</v>
      </c>
      <c r="F120" s="1735">
        <v>1.2509999999999999</v>
      </c>
      <c r="G120" s="1752"/>
      <c r="H120" s="1784">
        <v>0.04</v>
      </c>
      <c r="I120" s="1763">
        <f t="shared" si="33"/>
        <v>4.8000000000000001E-2</v>
      </c>
      <c r="J120" s="1784">
        <v>0.02</v>
      </c>
      <c r="K120" s="1763">
        <f t="shared" si="34"/>
        <v>2.4E-2</v>
      </c>
      <c r="L120" s="1764">
        <f t="shared" si="37"/>
        <v>0.04</v>
      </c>
      <c r="M120" s="1765">
        <f t="shared" si="35"/>
        <v>0.04</v>
      </c>
      <c r="O120" s="1752">
        <f t="shared" si="45"/>
        <v>5.7999999999999874</v>
      </c>
      <c r="P120" s="1752">
        <f t="shared" si="46"/>
        <v>5.8499999999999872</v>
      </c>
      <c r="Q120" s="1758">
        <f t="shared" si="42"/>
        <v>0.75400000000000011</v>
      </c>
      <c r="R120" s="1758">
        <f t="shared" si="43"/>
        <v>0.37700000000000006</v>
      </c>
      <c r="T120" s="1752"/>
      <c r="U120" s="1752"/>
      <c r="V120" s="1758"/>
    </row>
    <row r="121" spans="1:22" outlineLevel="1">
      <c r="A121" s="1749">
        <f t="shared" si="30"/>
        <v>37347</v>
      </c>
      <c r="B121" s="1749" t="str">
        <f t="shared" si="31"/>
        <v>2Q02</v>
      </c>
      <c r="C121" s="1749" t="str">
        <f t="shared" si="32"/>
        <v>1Q02</v>
      </c>
      <c r="D121" s="1750">
        <f t="shared" si="47"/>
        <v>37347</v>
      </c>
      <c r="E121" s="1750">
        <f t="shared" si="47"/>
        <v>37340</v>
      </c>
      <c r="F121" s="1735">
        <v>1.2809999999999999</v>
      </c>
      <c r="G121" s="1752"/>
      <c r="H121" s="1784">
        <v>4.8000000000000001E-2</v>
      </c>
      <c r="I121" s="1763">
        <f t="shared" si="33"/>
        <v>0.05</v>
      </c>
      <c r="J121" s="1784">
        <v>2.4E-2</v>
      </c>
      <c r="K121" s="1763">
        <f t="shared" si="34"/>
        <v>2.5000000000000001E-2</v>
      </c>
      <c r="L121" s="1764">
        <f t="shared" si="37"/>
        <v>0.04</v>
      </c>
      <c r="M121" s="1765">
        <f t="shared" si="35"/>
        <v>0.04</v>
      </c>
      <c r="O121" s="1752">
        <f t="shared" si="45"/>
        <v>5.8499999999999872</v>
      </c>
      <c r="P121" s="1752">
        <f t="shared" si="46"/>
        <v>5.899999999999987</v>
      </c>
      <c r="Q121" s="1758">
        <f t="shared" si="42"/>
        <v>0.75900000000000012</v>
      </c>
      <c r="R121" s="1758">
        <f t="shared" si="43"/>
        <v>0.37950000000000006</v>
      </c>
      <c r="T121" s="1752"/>
      <c r="U121" s="1752"/>
      <c r="V121" s="1758"/>
    </row>
    <row r="122" spans="1:22" outlineLevel="1">
      <c r="A122" s="1749">
        <f t="shared" si="30"/>
        <v>37347</v>
      </c>
      <c r="B122" s="1749" t="str">
        <f t="shared" si="31"/>
        <v>2Q02</v>
      </c>
      <c r="C122" s="1749" t="str">
        <f t="shared" si="32"/>
        <v>2Q02</v>
      </c>
      <c r="D122" s="1750">
        <f t="shared" si="47"/>
        <v>37354</v>
      </c>
      <c r="E122" s="1750">
        <f t="shared" si="47"/>
        <v>37347</v>
      </c>
      <c r="F122" s="1735">
        <v>1.2949999999999999</v>
      </c>
      <c r="G122" s="1752"/>
      <c r="H122" s="1784">
        <v>0.05</v>
      </c>
      <c r="I122" s="1763">
        <f t="shared" si="33"/>
        <v>5.8000000000000003E-2</v>
      </c>
      <c r="J122" s="1784">
        <v>2.5000000000000001E-2</v>
      </c>
      <c r="K122" s="1763">
        <f t="shared" si="34"/>
        <v>2.9000000000000001E-2</v>
      </c>
      <c r="L122" s="1764">
        <f t="shared" si="37"/>
        <v>0.04</v>
      </c>
      <c r="M122" s="1765">
        <f t="shared" si="35"/>
        <v>0.05</v>
      </c>
      <c r="O122" s="1752">
        <f t="shared" si="45"/>
        <v>5.899999999999987</v>
      </c>
      <c r="P122" s="1752">
        <f t="shared" si="46"/>
        <v>5.9499999999999869</v>
      </c>
      <c r="Q122" s="1758">
        <f t="shared" si="42"/>
        <v>0.76400000000000012</v>
      </c>
      <c r="R122" s="1758">
        <f t="shared" si="43"/>
        <v>0.38200000000000006</v>
      </c>
      <c r="T122" s="1752"/>
      <c r="U122" s="1752"/>
      <c r="V122" s="1758"/>
    </row>
    <row r="123" spans="1:22" outlineLevel="1">
      <c r="A123" s="1749">
        <f t="shared" si="30"/>
        <v>37347</v>
      </c>
      <c r="B123" s="1749" t="str">
        <f t="shared" si="31"/>
        <v>2Q02</v>
      </c>
      <c r="C123" s="1749" t="str">
        <f t="shared" si="32"/>
        <v>2Q02</v>
      </c>
      <c r="D123" s="1750">
        <f t="shared" si="47"/>
        <v>37361</v>
      </c>
      <c r="E123" s="1750">
        <f t="shared" si="47"/>
        <v>37354</v>
      </c>
      <c r="F123" s="1735">
        <v>1.3230000000000002</v>
      </c>
      <c r="G123" s="1752"/>
      <c r="H123" s="1784">
        <v>5.8000000000000003E-2</v>
      </c>
      <c r="I123" s="1763">
        <f t="shared" si="33"/>
        <v>5.8000000000000003E-2</v>
      </c>
      <c r="J123" s="1784">
        <v>2.9000000000000001E-2</v>
      </c>
      <c r="K123" s="1763">
        <f t="shared" si="34"/>
        <v>2.9000000000000001E-2</v>
      </c>
      <c r="L123" s="1764">
        <f t="shared" si="37"/>
        <v>0.05</v>
      </c>
      <c r="M123" s="1765">
        <f t="shared" si="35"/>
        <v>0.05</v>
      </c>
      <c r="O123" s="1752">
        <f t="shared" si="45"/>
        <v>5.9499999999999869</v>
      </c>
      <c r="P123" s="1752">
        <f t="shared" si="46"/>
        <v>5.9999999999999867</v>
      </c>
      <c r="Q123" s="1758">
        <f t="shared" si="42"/>
        <v>0.76900000000000013</v>
      </c>
      <c r="R123" s="1758">
        <f t="shared" si="43"/>
        <v>0.38450000000000006</v>
      </c>
      <c r="T123" s="1752"/>
      <c r="U123" s="1752"/>
      <c r="V123" s="1758"/>
    </row>
    <row r="124" spans="1:22" outlineLevel="1">
      <c r="A124" s="1749">
        <f t="shared" si="30"/>
        <v>37347</v>
      </c>
      <c r="B124" s="1749" t="str">
        <f t="shared" si="31"/>
        <v>2Q02</v>
      </c>
      <c r="C124" s="1749" t="str">
        <f t="shared" si="32"/>
        <v>2Q02</v>
      </c>
      <c r="D124" s="1750">
        <f t="shared" si="47"/>
        <v>37368</v>
      </c>
      <c r="E124" s="1750">
        <f t="shared" si="47"/>
        <v>37361</v>
      </c>
      <c r="F124" s="1735">
        <v>1.32</v>
      </c>
      <c r="G124" s="1752"/>
      <c r="H124" s="1784">
        <v>5.8000000000000003E-2</v>
      </c>
      <c r="I124" s="1763">
        <f t="shared" si="33"/>
        <v>5.1999999999999998E-2</v>
      </c>
      <c r="J124" s="1784">
        <v>2.9000000000000001E-2</v>
      </c>
      <c r="K124" s="1763">
        <f t="shared" si="34"/>
        <v>2.5999999999999999E-2</v>
      </c>
      <c r="L124" s="1764">
        <f t="shared" si="37"/>
        <v>0.05</v>
      </c>
      <c r="M124" s="1765">
        <f t="shared" si="35"/>
        <v>0.05</v>
      </c>
      <c r="O124" s="1752">
        <f t="shared" si="45"/>
        <v>5.9999999999999867</v>
      </c>
      <c r="P124" s="1752">
        <f t="shared" si="46"/>
        <v>6.0499999999999865</v>
      </c>
      <c r="Q124" s="1758">
        <f t="shared" si="42"/>
        <v>0.77400000000000013</v>
      </c>
      <c r="R124" s="1758">
        <f t="shared" si="43"/>
        <v>0.38700000000000007</v>
      </c>
      <c r="T124" s="1752"/>
      <c r="U124" s="1752"/>
      <c r="V124" s="1758"/>
    </row>
    <row r="125" spans="1:22" outlineLevel="1">
      <c r="A125" s="1749">
        <f t="shared" si="30"/>
        <v>37347</v>
      </c>
      <c r="B125" s="1749" t="str">
        <f t="shared" si="31"/>
        <v>2Q02</v>
      </c>
      <c r="C125" s="1749" t="str">
        <f t="shared" si="32"/>
        <v>2Q02</v>
      </c>
      <c r="D125" s="1750">
        <f t="shared" si="47"/>
        <v>37375</v>
      </c>
      <c r="E125" s="1750">
        <f t="shared" si="47"/>
        <v>37368</v>
      </c>
      <c r="F125" s="1735">
        <v>1.304</v>
      </c>
      <c r="G125" s="1752"/>
      <c r="H125" s="1784">
        <v>5.1999999999999998E-2</v>
      </c>
      <c r="I125" s="1763">
        <f t="shared" si="33"/>
        <v>5.1999999999999998E-2</v>
      </c>
      <c r="J125" s="1784">
        <v>2.5999999999999999E-2</v>
      </c>
      <c r="K125" s="1763">
        <f t="shared" si="34"/>
        <v>2.5999999999999999E-2</v>
      </c>
      <c r="L125" s="1764">
        <f t="shared" si="37"/>
        <v>0.05</v>
      </c>
      <c r="M125" s="1765">
        <f t="shared" si="35"/>
        <v>0.05</v>
      </c>
      <c r="O125" s="1752">
        <f t="shared" si="45"/>
        <v>6.0499999999999865</v>
      </c>
      <c r="P125" s="1752">
        <f t="shared" si="46"/>
        <v>6.0999999999999863</v>
      </c>
      <c r="Q125" s="1758">
        <f t="shared" si="42"/>
        <v>0.77900000000000014</v>
      </c>
      <c r="R125" s="1758">
        <f t="shared" si="43"/>
        <v>0.38950000000000007</v>
      </c>
      <c r="T125" s="1752"/>
      <c r="U125" s="1752"/>
      <c r="V125" s="1758"/>
    </row>
    <row r="126" spans="1:22" outlineLevel="1">
      <c r="A126" s="1749">
        <f t="shared" si="30"/>
        <v>37377</v>
      </c>
      <c r="B126" s="1749" t="str">
        <f t="shared" si="31"/>
        <v>2Q02</v>
      </c>
      <c r="C126" s="1749" t="str">
        <f t="shared" si="32"/>
        <v>2Q02</v>
      </c>
      <c r="D126" s="1750">
        <f t="shared" si="47"/>
        <v>37382</v>
      </c>
      <c r="E126" s="1750">
        <f t="shared" si="47"/>
        <v>37375</v>
      </c>
      <c r="F126" s="1735">
        <v>1.3019999999999998</v>
      </c>
      <c r="G126" s="1752"/>
      <c r="H126" s="1784">
        <v>5.1999999999999998E-2</v>
      </c>
      <c r="I126" s="1763">
        <f t="shared" si="33"/>
        <v>5.1999999999999998E-2</v>
      </c>
      <c r="J126" s="1784">
        <v>2.5999999999999999E-2</v>
      </c>
      <c r="K126" s="1763">
        <f t="shared" si="34"/>
        <v>2.5999999999999999E-2</v>
      </c>
      <c r="L126" s="1764">
        <f t="shared" si="37"/>
        <v>0.05</v>
      </c>
      <c r="M126" s="1765">
        <f t="shared" si="35"/>
        <v>0.05</v>
      </c>
      <c r="O126" s="1752">
        <f t="shared" si="45"/>
        <v>6.0999999999999863</v>
      </c>
      <c r="P126" s="1752">
        <f t="shared" si="46"/>
        <v>6.1499999999999861</v>
      </c>
      <c r="Q126" s="1758">
        <f t="shared" si="42"/>
        <v>0.78400000000000014</v>
      </c>
      <c r="R126" s="1758">
        <f t="shared" si="43"/>
        <v>0.39200000000000007</v>
      </c>
      <c r="T126" s="1752"/>
      <c r="U126" s="1752"/>
      <c r="V126" s="1758"/>
    </row>
    <row r="127" spans="1:22" outlineLevel="1">
      <c r="A127" s="1749">
        <f t="shared" si="30"/>
        <v>37377</v>
      </c>
      <c r="B127" s="1749" t="str">
        <f t="shared" si="31"/>
        <v>2Q02</v>
      </c>
      <c r="C127" s="1749" t="str">
        <f t="shared" si="32"/>
        <v>2Q02</v>
      </c>
      <c r="D127" s="1750">
        <f t="shared" si="47"/>
        <v>37389</v>
      </c>
      <c r="E127" s="1750">
        <f t="shared" si="47"/>
        <v>37382</v>
      </c>
      <c r="F127" s="1735">
        <v>1.3049999999999999</v>
      </c>
      <c r="G127" s="1752"/>
      <c r="H127" s="1784">
        <v>5.1999999999999998E-2</v>
      </c>
      <c r="I127" s="1763">
        <f t="shared" si="33"/>
        <v>0.05</v>
      </c>
      <c r="J127" s="1784">
        <v>2.5999999999999999E-2</v>
      </c>
      <c r="K127" s="1763">
        <f t="shared" si="34"/>
        <v>2.5000000000000001E-2</v>
      </c>
      <c r="L127" s="1764">
        <f t="shared" si="37"/>
        <v>0.05</v>
      </c>
      <c r="M127" s="1765">
        <f t="shared" si="35"/>
        <v>0.04</v>
      </c>
      <c r="O127" s="1752">
        <f t="shared" si="45"/>
        <v>6.1499999999999861</v>
      </c>
      <c r="P127" s="1752">
        <f t="shared" si="46"/>
        <v>6.199999999999986</v>
      </c>
      <c r="Q127" s="1758">
        <f t="shared" si="42"/>
        <v>0.78900000000000015</v>
      </c>
      <c r="R127" s="1758">
        <f t="shared" si="43"/>
        <v>0.39450000000000007</v>
      </c>
      <c r="T127" s="1752"/>
      <c r="U127" s="1752"/>
      <c r="V127" s="1758"/>
    </row>
    <row r="128" spans="1:22" outlineLevel="1">
      <c r="A128" s="1749">
        <f t="shared" si="30"/>
        <v>37377</v>
      </c>
      <c r="B128" s="1749" t="str">
        <f t="shared" si="31"/>
        <v>2Q02</v>
      </c>
      <c r="C128" s="1749" t="str">
        <f t="shared" si="32"/>
        <v>2Q02</v>
      </c>
      <c r="D128" s="1750">
        <f t="shared" si="47"/>
        <v>37396</v>
      </c>
      <c r="E128" s="1750">
        <f t="shared" si="47"/>
        <v>37389</v>
      </c>
      <c r="F128" s="1735">
        <v>1.2990000000000002</v>
      </c>
      <c r="G128" s="1752"/>
      <c r="H128" s="1784">
        <v>0.05</v>
      </c>
      <c r="I128" s="1763">
        <f t="shared" si="33"/>
        <v>5.1999999999999998E-2</v>
      </c>
      <c r="J128" s="1784">
        <v>2.5000000000000001E-2</v>
      </c>
      <c r="K128" s="1763">
        <f t="shared" si="34"/>
        <v>2.5999999999999999E-2</v>
      </c>
      <c r="L128" s="1764">
        <f t="shared" si="37"/>
        <v>0.04</v>
      </c>
      <c r="M128" s="1765">
        <f t="shared" si="35"/>
        <v>0.05</v>
      </c>
      <c r="O128" s="1752">
        <f t="shared" si="45"/>
        <v>6.199999999999986</v>
      </c>
      <c r="P128" s="1752">
        <f t="shared" si="46"/>
        <v>6.2499999999999858</v>
      </c>
      <c r="Q128" s="1758">
        <f t="shared" si="42"/>
        <v>0.79400000000000015</v>
      </c>
      <c r="R128" s="1758">
        <f t="shared" si="43"/>
        <v>0.39700000000000008</v>
      </c>
      <c r="T128" s="1752"/>
      <c r="U128" s="1752"/>
      <c r="V128" s="1758"/>
    </row>
    <row r="129" spans="1:22" outlineLevel="1">
      <c r="A129" s="1749">
        <f t="shared" si="30"/>
        <v>37377</v>
      </c>
      <c r="B129" s="1749" t="str">
        <f t="shared" si="31"/>
        <v>2Q02</v>
      </c>
      <c r="C129" s="1749" t="str">
        <f t="shared" si="32"/>
        <v>2Q02</v>
      </c>
      <c r="D129" s="1750">
        <f t="shared" si="47"/>
        <v>37403</v>
      </c>
      <c r="E129" s="1750">
        <f t="shared" si="47"/>
        <v>37396</v>
      </c>
      <c r="F129" s="1735">
        <v>1.3090000000000002</v>
      </c>
      <c r="G129" s="1752"/>
      <c r="H129" s="1784">
        <v>5.1999999999999998E-2</v>
      </c>
      <c r="I129" s="1763">
        <f t="shared" si="33"/>
        <v>5.1999999999999998E-2</v>
      </c>
      <c r="J129" s="1784">
        <v>2.5999999999999999E-2</v>
      </c>
      <c r="K129" s="1763">
        <f t="shared" si="34"/>
        <v>2.5999999999999999E-2</v>
      </c>
      <c r="L129" s="1764">
        <f t="shared" si="37"/>
        <v>0.05</v>
      </c>
      <c r="M129" s="1765">
        <f t="shared" si="35"/>
        <v>0.05</v>
      </c>
      <c r="O129" s="1752">
        <f t="shared" si="45"/>
        <v>6.2499999999999858</v>
      </c>
      <c r="P129" s="1752">
        <f t="shared" si="46"/>
        <v>6.2999999999999856</v>
      </c>
      <c r="Q129" s="1758">
        <f t="shared" si="42"/>
        <v>0.79900000000000015</v>
      </c>
      <c r="R129" s="1758">
        <f t="shared" si="43"/>
        <v>0.39950000000000008</v>
      </c>
      <c r="T129" s="1752"/>
      <c r="U129" s="1752"/>
      <c r="V129" s="1758"/>
    </row>
    <row r="130" spans="1:22" outlineLevel="1">
      <c r="A130" s="1749">
        <f t="shared" si="30"/>
        <v>37408</v>
      </c>
      <c r="B130" s="1749" t="str">
        <f t="shared" si="31"/>
        <v>2Q02</v>
      </c>
      <c r="C130" s="1749" t="str">
        <f t="shared" si="32"/>
        <v>2Q02</v>
      </c>
      <c r="D130" s="1750">
        <f t="shared" si="47"/>
        <v>37410</v>
      </c>
      <c r="E130" s="1750">
        <f t="shared" si="47"/>
        <v>37403</v>
      </c>
      <c r="F130" s="1735">
        <v>1.3080000000000001</v>
      </c>
      <c r="G130" s="1752"/>
      <c r="H130" s="1784">
        <v>5.1999999999999998E-2</v>
      </c>
      <c r="I130" s="1763">
        <f t="shared" si="33"/>
        <v>5.1999999999999998E-2</v>
      </c>
      <c r="J130" s="1784">
        <v>2.5999999999999999E-2</v>
      </c>
      <c r="K130" s="1763">
        <f t="shared" si="34"/>
        <v>2.5999999999999999E-2</v>
      </c>
      <c r="L130" s="1764">
        <f t="shared" si="37"/>
        <v>0.05</v>
      </c>
      <c r="M130" s="1765">
        <f t="shared" si="35"/>
        <v>0.04</v>
      </c>
      <c r="O130" s="1752">
        <f t="shared" si="45"/>
        <v>6.2999999999999856</v>
      </c>
      <c r="P130" s="1752">
        <f t="shared" si="46"/>
        <v>6.3499999999999854</v>
      </c>
      <c r="Q130" s="1758">
        <f t="shared" si="42"/>
        <v>0.80400000000000016</v>
      </c>
      <c r="R130" s="1758">
        <f t="shared" si="43"/>
        <v>0.40200000000000008</v>
      </c>
      <c r="T130" s="1752"/>
      <c r="U130" s="1752"/>
      <c r="V130" s="1758"/>
    </row>
    <row r="131" spans="1:22" outlineLevel="1">
      <c r="A131" s="1749">
        <f t="shared" si="30"/>
        <v>37408</v>
      </c>
      <c r="B131" s="1749" t="str">
        <f t="shared" si="31"/>
        <v>2Q02</v>
      </c>
      <c r="C131" s="1749" t="str">
        <f t="shared" si="32"/>
        <v>2Q02</v>
      </c>
      <c r="D131" s="1750">
        <f t="shared" si="47"/>
        <v>37417</v>
      </c>
      <c r="E131" s="1750">
        <f t="shared" si="47"/>
        <v>37410</v>
      </c>
      <c r="F131" s="1735">
        <v>1.3</v>
      </c>
      <c r="G131" s="1752"/>
      <c r="H131" s="1784">
        <v>5.1999999999999998E-2</v>
      </c>
      <c r="I131" s="1763">
        <f t="shared" si="33"/>
        <v>4.8000000000000001E-2</v>
      </c>
      <c r="J131" s="1784">
        <v>2.5999999999999999E-2</v>
      </c>
      <c r="K131" s="1763">
        <f t="shared" si="34"/>
        <v>2.4E-2</v>
      </c>
      <c r="L131" s="1764">
        <f t="shared" si="37"/>
        <v>0.04</v>
      </c>
      <c r="M131" s="1765">
        <f t="shared" si="35"/>
        <v>0.04</v>
      </c>
      <c r="O131" s="1752">
        <f t="shared" si="45"/>
        <v>6.3499999999999854</v>
      </c>
      <c r="P131" s="1752">
        <f t="shared" si="46"/>
        <v>6.3999999999999853</v>
      </c>
      <c r="Q131" s="1758">
        <f t="shared" si="42"/>
        <v>0.80900000000000016</v>
      </c>
      <c r="R131" s="1758">
        <f t="shared" si="43"/>
        <v>0.40450000000000008</v>
      </c>
      <c r="T131" s="1752"/>
      <c r="U131" s="1752"/>
      <c r="V131" s="1758"/>
    </row>
    <row r="132" spans="1:22" outlineLevel="1">
      <c r="A132" s="1749">
        <f t="shared" ref="A132:A195" si="48">DATE(YEAR(D132),MONTH(D132),1)</f>
        <v>37408</v>
      </c>
      <c r="B132" s="1749" t="str">
        <f t="shared" ref="B132:B195" si="49">VLOOKUP(MONTH(A132),$AB$4:$AC$17,2,FALSE) &amp; "Q" &amp; RIGHT(YEAR(A132),2)</f>
        <v>2Q02</v>
      </c>
      <c r="C132" s="1749" t="str">
        <f t="shared" ref="C132:C195" si="50">VLOOKUP(MONTH(E132),$AB$4:$AC$17,2,FALSE) &amp; "Q" &amp; RIGHT(YEAR(E132),2)</f>
        <v>2Q02</v>
      </c>
      <c r="D132" s="1750">
        <f t="shared" si="47"/>
        <v>37424</v>
      </c>
      <c r="E132" s="1750">
        <f t="shared" si="47"/>
        <v>37417</v>
      </c>
      <c r="F132" s="1735">
        <v>1.286</v>
      </c>
      <c r="G132" s="1752"/>
      <c r="H132" s="1784">
        <v>4.8000000000000001E-2</v>
      </c>
      <c r="I132" s="1763">
        <f t="shared" ref="I132:I151" si="51">H133</f>
        <v>4.5999999999999999E-2</v>
      </c>
      <c r="J132" s="1784">
        <v>2.4E-2</v>
      </c>
      <c r="K132" s="1763">
        <f t="shared" ref="K132:K151" si="52">J133</f>
        <v>2.3E-2</v>
      </c>
      <c r="L132" s="1764">
        <f t="shared" si="37"/>
        <v>0.04</v>
      </c>
      <c r="M132" s="1765">
        <f t="shared" ref="M132:M195" si="53">L133</f>
        <v>0.04</v>
      </c>
      <c r="O132" s="1752">
        <f t="shared" si="45"/>
        <v>6.3999999999999853</v>
      </c>
      <c r="P132" s="1752">
        <f t="shared" si="46"/>
        <v>6.4499999999999851</v>
      </c>
      <c r="Q132" s="1758">
        <f t="shared" si="42"/>
        <v>0.81400000000000017</v>
      </c>
      <c r="R132" s="1758">
        <f t="shared" si="43"/>
        <v>0.40700000000000008</v>
      </c>
      <c r="T132" s="1752"/>
      <c r="U132" s="1752"/>
      <c r="V132" s="1758"/>
    </row>
    <row r="133" spans="1:22" outlineLevel="1">
      <c r="A133" s="1749">
        <f t="shared" si="48"/>
        <v>37408</v>
      </c>
      <c r="B133" s="1749" t="str">
        <f t="shared" si="49"/>
        <v>2Q02</v>
      </c>
      <c r="C133" s="1749" t="str">
        <f t="shared" si="50"/>
        <v>2Q02</v>
      </c>
      <c r="D133" s="1750">
        <f t="shared" ref="D133:E148" si="54">D132+7</f>
        <v>37431</v>
      </c>
      <c r="E133" s="1750">
        <f t="shared" si="54"/>
        <v>37424</v>
      </c>
      <c r="F133" s="1735">
        <v>1.2749999999999999</v>
      </c>
      <c r="G133" s="1752"/>
      <c r="H133" s="1784">
        <v>4.5999999999999999E-2</v>
      </c>
      <c r="I133" s="1763">
        <f t="shared" si="51"/>
        <v>4.8000000000000001E-2</v>
      </c>
      <c r="J133" s="1784">
        <v>2.3E-2</v>
      </c>
      <c r="K133" s="1763">
        <f t="shared" si="52"/>
        <v>2.4E-2</v>
      </c>
      <c r="L133" s="1764">
        <f t="shared" ref="L133:L196" si="55">INDEX($T$4:$V$100,MATCH(F133,$T$4:$T$100,1),3)</f>
        <v>0.04</v>
      </c>
      <c r="M133" s="1765">
        <f t="shared" si="53"/>
        <v>0.04</v>
      </c>
      <c r="O133" s="1752">
        <f t="shared" si="45"/>
        <v>6.4499999999999851</v>
      </c>
      <c r="P133" s="1752">
        <f t="shared" si="46"/>
        <v>6.4999999999999849</v>
      </c>
      <c r="Q133" s="1758">
        <f t="shared" si="42"/>
        <v>0.81900000000000017</v>
      </c>
      <c r="R133" s="1758">
        <f t="shared" si="43"/>
        <v>0.40950000000000009</v>
      </c>
      <c r="T133" s="1752"/>
      <c r="U133" s="1752"/>
      <c r="V133" s="1758"/>
    </row>
    <row r="134" spans="1:22" outlineLevel="1">
      <c r="A134" s="1749">
        <f t="shared" si="48"/>
        <v>37438</v>
      </c>
      <c r="B134" s="1749" t="str">
        <f t="shared" si="49"/>
        <v>3Q02</v>
      </c>
      <c r="C134" s="1749" t="str">
        <f t="shared" si="50"/>
        <v>2Q02</v>
      </c>
      <c r="D134" s="1750">
        <f t="shared" si="54"/>
        <v>37438</v>
      </c>
      <c r="E134" s="1750">
        <f t="shared" si="54"/>
        <v>37431</v>
      </c>
      <c r="F134" s="1735">
        <v>1.2809999999999999</v>
      </c>
      <c r="G134" s="1752"/>
      <c r="H134" s="1784">
        <v>4.8000000000000001E-2</v>
      </c>
      <c r="I134" s="1763">
        <f t="shared" si="51"/>
        <v>4.8000000000000001E-2</v>
      </c>
      <c r="J134" s="1784">
        <v>2.4E-2</v>
      </c>
      <c r="K134" s="1763">
        <f t="shared" si="52"/>
        <v>2.4E-2</v>
      </c>
      <c r="L134" s="1764">
        <f t="shared" si="55"/>
        <v>0.04</v>
      </c>
      <c r="M134" s="1765">
        <f t="shared" si="53"/>
        <v>0.04</v>
      </c>
      <c r="O134" s="1752">
        <f t="shared" si="45"/>
        <v>6.4999999999999849</v>
      </c>
      <c r="P134" s="1752">
        <f t="shared" si="46"/>
        <v>6.5499999999999847</v>
      </c>
      <c r="Q134" s="1758">
        <f t="shared" si="42"/>
        <v>0.82400000000000018</v>
      </c>
      <c r="R134" s="1758">
        <f t="shared" si="43"/>
        <v>0.41200000000000009</v>
      </c>
      <c r="T134" s="1752"/>
      <c r="U134" s="1752"/>
      <c r="V134" s="1758"/>
    </row>
    <row r="135" spans="1:22" outlineLevel="1">
      <c r="A135" s="1749">
        <f t="shared" si="48"/>
        <v>37438</v>
      </c>
      <c r="B135" s="1749" t="str">
        <f t="shared" si="49"/>
        <v>3Q02</v>
      </c>
      <c r="C135" s="1749" t="str">
        <f t="shared" si="50"/>
        <v>3Q02</v>
      </c>
      <c r="D135" s="1750">
        <f t="shared" si="54"/>
        <v>37445</v>
      </c>
      <c r="E135" s="1750">
        <f t="shared" si="54"/>
        <v>37438</v>
      </c>
      <c r="F135" s="1735">
        <v>1.2890000000000001</v>
      </c>
      <c r="G135" s="1752"/>
      <c r="H135" s="1784">
        <v>4.8000000000000001E-2</v>
      </c>
      <c r="I135" s="1763">
        <f t="shared" si="51"/>
        <v>0.05</v>
      </c>
      <c r="J135" s="1784">
        <v>2.4E-2</v>
      </c>
      <c r="K135" s="1763">
        <f t="shared" si="52"/>
        <v>2.5000000000000001E-2</v>
      </c>
      <c r="L135" s="1764">
        <f t="shared" si="55"/>
        <v>0.04</v>
      </c>
      <c r="M135" s="1765">
        <f t="shared" si="53"/>
        <v>0.04</v>
      </c>
      <c r="O135" s="1752">
        <f t="shared" si="45"/>
        <v>6.5499999999999847</v>
      </c>
      <c r="P135" s="1752">
        <f t="shared" si="46"/>
        <v>6.5999999999999845</v>
      </c>
      <c r="Q135" s="1758">
        <f t="shared" si="42"/>
        <v>0.82900000000000018</v>
      </c>
      <c r="R135" s="1758">
        <f t="shared" si="43"/>
        <v>0.41450000000000009</v>
      </c>
      <c r="T135" s="1752"/>
      <c r="U135" s="1752"/>
      <c r="V135" s="1758"/>
    </row>
    <row r="136" spans="1:22" outlineLevel="1">
      <c r="A136" s="1749">
        <f t="shared" si="48"/>
        <v>37438</v>
      </c>
      <c r="B136" s="1749" t="str">
        <f t="shared" si="49"/>
        <v>3Q02</v>
      </c>
      <c r="C136" s="1749" t="str">
        <f t="shared" si="50"/>
        <v>3Q02</v>
      </c>
      <c r="D136" s="1750">
        <f t="shared" si="54"/>
        <v>37452</v>
      </c>
      <c r="E136" s="1750">
        <f t="shared" si="54"/>
        <v>37445</v>
      </c>
      <c r="F136" s="1735">
        <v>1.294</v>
      </c>
      <c r="G136" s="1752"/>
      <c r="H136" s="1784">
        <v>0.05</v>
      </c>
      <c r="I136" s="1763">
        <f t="shared" si="51"/>
        <v>5.1999999999999998E-2</v>
      </c>
      <c r="J136" s="1784">
        <v>2.5000000000000001E-2</v>
      </c>
      <c r="K136" s="1763">
        <f t="shared" si="52"/>
        <v>2.5999999999999999E-2</v>
      </c>
      <c r="L136" s="1764">
        <f t="shared" si="55"/>
        <v>0.04</v>
      </c>
      <c r="M136" s="1765">
        <f t="shared" si="53"/>
        <v>0.04</v>
      </c>
      <c r="O136" s="1752">
        <f t="shared" si="45"/>
        <v>6.5999999999999845</v>
      </c>
      <c r="P136" s="1752">
        <f t="shared" si="46"/>
        <v>6.6499999999999844</v>
      </c>
      <c r="Q136" s="1758">
        <f t="shared" si="42"/>
        <v>0.83400000000000019</v>
      </c>
      <c r="R136" s="1758">
        <f t="shared" si="43"/>
        <v>0.41700000000000009</v>
      </c>
      <c r="T136" s="1752"/>
      <c r="U136" s="1752"/>
      <c r="V136" s="1758"/>
    </row>
    <row r="137" spans="1:22" outlineLevel="1">
      <c r="A137" s="1749">
        <f t="shared" si="48"/>
        <v>37438</v>
      </c>
      <c r="B137" s="1749" t="str">
        <f t="shared" si="49"/>
        <v>3Q02</v>
      </c>
      <c r="C137" s="1749" t="str">
        <f t="shared" si="50"/>
        <v>3Q02</v>
      </c>
      <c r="D137" s="1750">
        <f t="shared" si="54"/>
        <v>37459</v>
      </c>
      <c r="E137" s="1750">
        <f t="shared" si="54"/>
        <v>37452</v>
      </c>
      <c r="F137" s="1735">
        <v>1.3</v>
      </c>
      <c r="G137" s="1752"/>
      <c r="H137" s="1784">
        <v>5.1999999999999998E-2</v>
      </c>
      <c r="I137" s="1763">
        <f t="shared" si="51"/>
        <v>5.6000000000000001E-2</v>
      </c>
      <c r="J137" s="1784">
        <v>2.5999999999999999E-2</v>
      </c>
      <c r="K137" s="1763">
        <f t="shared" si="52"/>
        <v>2.8000000000000001E-2</v>
      </c>
      <c r="L137" s="1764">
        <f t="shared" si="55"/>
        <v>0.04</v>
      </c>
      <c r="M137" s="1765">
        <f t="shared" si="53"/>
        <v>0.05</v>
      </c>
      <c r="O137" s="1752">
        <f t="shared" si="45"/>
        <v>6.6499999999999844</v>
      </c>
      <c r="P137" s="1752">
        <f t="shared" si="46"/>
        <v>6.6999999999999842</v>
      </c>
      <c r="Q137" s="1758">
        <f t="shared" si="42"/>
        <v>0.83900000000000019</v>
      </c>
      <c r="R137" s="1758">
        <f t="shared" si="43"/>
        <v>0.4195000000000001</v>
      </c>
      <c r="T137" s="1752"/>
      <c r="U137" s="1752"/>
      <c r="V137" s="1758"/>
    </row>
    <row r="138" spans="1:22" outlineLevel="1">
      <c r="A138" s="1749">
        <f t="shared" si="48"/>
        <v>37438</v>
      </c>
      <c r="B138" s="1749" t="str">
        <f t="shared" si="49"/>
        <v>3Q02</v>
      </c>
      <c r="C138" s="1749" t="str">
        <f t="shared" si="50"/>
        <v>3Q02</v>
      </c>
      <c r="D138" s="1750">
        <f t="shared" si="54"/>
        <v>37466</v>
      </c>
      <c r="E138" s="1750">
        <f t="shared" si="54"/>
        <v>37459</v>
      </c>
      <c r="F138" s="1735">
        <v>1.3109999999999999</v>
      </c>
      <c r="G138" s="1752"/>
      <c r="H138" s="1784">
        <v>5.6000000000000001E-2</v>
      </c>
      <c r="I138" s="1763">
        <f t="shared" si="51"/>
        <v>5.1999999999999998E-2</v>
      </c>
      <c r="J138" s="1784">
        <v>2.8000000000000001E-2</v>
      </c>
      <c r="K138" s="1763">
        <f t="shared" si="52"/>
        <v>2.5999999999999999E-2</v>
      </c>
      <c r="L138" s="1764">
        <f t="shared" si="55"/>
        <v>0.05</v>
      </c>
      <c r="M138" s="1765">
        <f t="shared" si="53"/>
        <v>0.05</v>
      </c>
      <c r="O138" s="1752">
        <f t="shared" si="45"/>
        <v>6.6999999999999842</v>
      </c>
      <c r="P138" s="1752">
        <f t="shared" si="46"/>
        <v>6.749999999999984</v>
      </c>
      <c r="Q138" s="1758">
        <f t="shared" si="42"/>
        <v>0.84400000000000019</v>
      </c>
      <c r="R138" s="1758">
        <f t="shared" si="43"/>
        <v>0.4220000000000001</v>
      </c>
      <c r="T138" s="1752"/>
      <c r="U138" s="1752"/>
      <c r="V138" s="1758"/>
    </row>
    <row r="139" spans="1:22" outlineLevel="1">
      <c r="A139" s="1749">
        <f t="shared" si="48"/>
        <v>37469</v>
      </c>
      <c r="B139" s="1749" t="str">
        <f t="shared" si="49"/>
        <v>3Q02</v>
      </c>
      <c r="C139" s="1749" t="str">
        <f t="shared" si="50"/>
        <v>3Q02</v>
      </c>
      <c r="D139" s="1750">
        <f t="shared" si="54"/>
        <v>37473</v>
      </c>
      <c r="E139" s="1750">
        <f t="shared" si="54"/>
        <v>37466</v>
      </c>
      <c r="F139" s="1735">
        <v>1.3030000000000002</v>
      </c>
      <c r="G139" s="1752"/>
      <c r="H139" s="1784">
        <v>5.1999999999999998E-2</v>
      </c>
      <c r="I139" s="1763">
        <f t="shared" si="51"/>
        <v>5.1999999999999998E-2</v>
      </c>
      <c r="J139" s="1784">
        <v>2.5999999999999999E-2</v>
      </c>
      <c r="K139" s="1763">
        <f t="shared" si="52"/>
        <v>2.5999999999999999E-2</v>
      </c>
      <c r="L139" s="1764">
        <f t="shared" si="55"/>
        <v>0.05</v>
      </c>
      <c r="M139" s="1765">
        <f t="shared" si="53"/>
        <v>0.05</v>
      </c>
      <c r="O139" s="1752">
        <f t="shared" si="45"/>
        <v>6.749999999999984</v>
      </c>
      <c r="P139" s="1752">
        <f t="shared" si="46"/>
        <v>6.7999999999999838</v>
      </c>
      <c r="Q139" s="1758">
        <f t="shared" si="42"/>
        <v>0.8490000000000002</v>
      </c>
      <c r="R139" s="1758">
        <f t="shared" si="43"/>
        <v>0.4245000000000001</v>
      </c>
      <c r="T139" s="1752"/>
      <c r="U139" s="1752"/>
      <c r="V139" s="1758"/>
    </row>
    <row r="140" spans="1:22" outlineLevel="1">
      <c r="A140" s="1749">
        <f t="shared" si="48"/>
        <v>37469</v>
      </c>
      <c r="B140" s="1749" t="str">
        <f t="shared" si="49"/>
        <v>3Q02</v>
      </c>
      <c r="C140" s="1749" t="str">
        <f t="shared" si="50"/>
        <v>3Q02</v>
      </c>
      <c r="D140" s="1750">
        <f t="shared" si="54"/>
        <v>37480</v>
      </c>
      <c r="E140" s="1750">
        <f t="shared" si="54"/>
        <v>37473</v>
      </c>
      <c r="F140" s="1735">
        <v>1.304</v>
      </c>
      <c r="G140" s="1752"/>
      <c r="H140" s="1784">
        <v>5.1999999999999998E-2</v>
      </c>
      <c r="I140" s="1763">
        <f t="shared" si="51"/>
        <v>5.1999999999999998E-2</v>
      </c>
      <c r="J140" s="1784">
        <v>2.5999999999999999E-2</v>
      </c>
      <c r="K140" s="1763">
        <f t="shared" si="52"/>
        <v>2.5999999999999999E-2</v>
      </c>
      <c r="L140" s="1764">
        <f t="shared" si="55"/>
        <v>0.05</v>
      </c>
      <c r="M140" s="1765">
        <f t="shared" si="53"/>
        <v>0.05</v>
      </c>
      <c r="O140" s="1752">
        <f t="shared" si="45"/>
        <v>6.7999999999999838</v>
      </c>
      <c r="P140" s="1752">
        <f t="shared" si="46"/>
        <v>6.8499999999999837</v>
      </c>
      <c r="Q140" s="1758">
        <f t="shared" si="42"/>
        <v>0.8540000000000002</v>
      </c>
      <c r="R140" s="1758">
        <f t="shared" si="43"/>
        <v>0.4270000000000001</v>
      </c>
      <c r="T140" s="1752"/>
      <c r="U140" s="1752"/>
      <c r="V140" s="1758"/>
    </row>
    <row r="141" spans="1:22" outlineLevel="1">
      <c r="A141" s="1749">
        <f t="shared" si="48"/>
        <v>37469</v>
      </c>
      <c r="B141" s="1749" t="str">
        <f t="shared" si="49"/>
        <v>3Q02</v>
      </c>
      <c r="C141" s="1749" t="str">
        <f t="shared" si="50"/>
        <v>3Q02</v>
      </c>
      <c r="D141" s="1750">
        <f t="shared" si="54"/>
        <v>37487</v>
      </c>
      <c r="E141" s="1750">
        <f t="shared" si="54"/>
        <v>37480</v>
      </c>
      <c r="F141" s="1735">
        <v>1.3030000000000002</v>
      </c>
      <c r="G141" s="1752"/>
      <c r="H141" s="1784">
        <v>5.1999999999999998E-2</v>
      </c>
      <c r="I141" s="1763">
        <f t="shared" si="51"/>
        <v>0.06</v>
      </c>
      <c r="J141" s="1784">
        <v>2.5999999999999999E-2</v>
      </c>
      <c r="K141" s="1763">
        <f t="shared" si="52"/>
        <v>0.03</v>
      </c>
      <c r="L141" s="1764">
        <f t="shared" si="55"/>
        <v>0.05</v>
      </c>
      <c r="M141" s="1765">
        <f t="shared" si="53"/>
        <v>0.05</v>
      </c>
      <c r="O141" s="1752">
        <f t="shared" si="45"/>
        <v>6.8499999999999837</v>
      </c>
      <c r="P141" s="1752">
        <f t="shared" si="46"/>
        <v>6.8999999999999835</v>
      </c>
      <c r="Q141" s="1758">
        <f t="shared" si="42"/>
        <v>0.85900000000000021</v>
      </c>
      <c r="R141" s="1758">
        <f t="shared" si="43"/>
        <v>0.4295000000000001</v>
      </c>
      <c r="T141" s="1752"/>
      <c r="U141" s="1752"/>
      <c r="V141" s="1758"/>
    </row>
    <row r="142" spans="1:22" outlineLevel="1">
      <c r="A142" s="1749">
        <f t="shared" si="48"/>
        <v>37469</v>
      </c>
      <c r="B142" s="1749" t="str">
        <f t="shared" si="49"/>
        <v>3Q02</v>
      </c>
      <c r="C142" s="1749" t="str">
        <f t="shared" si="50"/>
        <v>3Q02</v>
      </c>
      <c r="D142" s="1750">
        <f t="shared" si="54"/>
        <v>37494</v>
      </c>
      <c r="E142" s="1750">
        <f t="shared" si="54"/>
        <v>37487</v>
      </c>
      <c r="F142" s="1735">
        <v>1.3330000000000002</v>
      </c>
      <c r="G142" s="1752"/>
      <c r="H142" s="1784">
        <v>0.06</v>
      </c>
      <c r="I142" s="1763">
        <f t="shared" si="51"/>
        <v>7.0000000000000007E-2</v>
      </c>
      <c r="J142" s="1784">
        <v>0.03</v>
      </c>
      <c r="K142" s="1763">
        <f t="shared" si="52"/>
        <v>3.5000000000000003E-2</v>
      </c>
      <c r="L142" s="1764">
        <f t="shared" si="55"/>
        <v>0.05</v>
      </c>
      <c r="M142" s="1765">
        <f t="shared" si="53"/>
        <v>6.0000000000000005E-2</v>
      </c>
      <c r="O142" s="1752">
        <f t="shared" si="45"/>
        <v>6.8999999999999835</v>
      </c>
      <c r="P142" s="1752">
        <f t="shared" si="46"/>
        <v>6.9499999999999833</v>
      </c>
      <c r="Q142" s="1758">
        <f t="shared" si="42"/>
        <v>0.86400000000000021</v>
      </c>
      <c r="R142" s="1758">
        <f t="shared" si="43"/>
        <v>0.43200000000000011</v>
      </c>
      <c r="T142" s="1752"/>
      <c r="U142" s="1752"/>
      <c r="V142" s="1758"/>
    </row>
    <row r="143" spans="1:22" outlineLevel="1">
      <c r="A143" s="1749">
        <f t="shared" si="48"/>
        <v>37500</v>
      </c>
      <c r="B143" s="1749" t="str">
        <f t="shared" si="49"/>
        <v>3Q02</v>
      </c>
      <c r="C143" s="1749" t="str">
        <f t="shared" si="50"/>
        <v>3Q02</v>
      </c>
      <c r="D143" s="1750">
        <f t="shared" si="54"/>
        <v>37501</v>
      </c>
      <c r="E143" s="1750">
        <f t="shared" si="54"/>
        <v>37494</v>
      </c>
      <c r="F143" s="1735">
        <v>1.37</v>
      </c>
      <c r="G143" s="1752"/>
      <c r="H143" s="1784">
        <v>7.0000000000000007E-2</v>
      </c>
      <c r="I143" s="1763">
        <f t="shared" si="51"/>
        <v>7.1999999999999995E-2</v>
      </c>
      <c r="J143" s="1784">
        <v>3.5000000000000003E-2</v>
      </c>
      <c r="K143" s="1763">
        <f t="shared" si="52"/>
        <v>3.5999999999999997E-2</v>
      </c>
      <c r="L143" s="1764">
        <f t="shared" si="55"/>
        <v>6.0000000000000005E-2</v>
      </c>
      <c r="M143" s="1765">
        <f t="shared" si="53"/>
        <v>6.0000000000000005E-2</v>
      </c>
      <c r="O143" s="1752">
        <f t="shared" si="45"/>
        <v>6.9499999999999833</v>
      </c>
      <c r="P143" s="1752">
        <f t="shared" si="46"/>
        <v>6.9999999999999831</v>
      </c>
      <c r="Q143" s="1758">
        <f t="shared" si="42"/>
        <v>0.86900000000000022</v>
      </c>
      <c r="R143" s="1758">
        <f t="shared" si="43"/>
        <v>0.43450000000000011</v>
      </c>
      <c r="T143" s="1752"/>
      <c r="U143" s="1752"/>
      <c r="V143" s="1758"/>
    </row>
    <row r="144" spans="1:22" outlineLevel="1">
      <c r="A144" s="1749">
        <f t="shared" si="48"/>
        <v>37500</v>
      </c>
      <c r="B144" s="1749" t="str">
        <f t="shared" si="49"/>
        <v>3Q02</v>
      </c>
      <c r="C144" s="1749" t="str">
        <f t="shared" si="50"/>
        <v>3Q02</v>
      </c>
      <c r="D144" s="1750">
        <f t="shared" si="54"/>
        <v>37508</v>
      </c>
      <c r="E144" s="1750">
        <f t="shared" si="54"/>
        <v>37501</v>
      </c>
      <c r="F144" s="1735">
        <v>1.3880000000000001</v>
      </c>
      <c r="G144" s="1752"/>
      <c r="H144" s="1784">
        <v>7.1999999999999995E-2</v>
      </c>
      <c r="I144" s="1763">
        <f t="shared" si="51"/>
        <v>7.5999999999999998E-2</v>
      </c>
      <c r="J144" s="1784">
        <v>3.5999999999999997E-2</v>
      </c>
      <c r="K144" s="1763">
        <f t="shared" si="52"/>
        <v>3.7999999999999999E-2</v>
      </c>
      <c r="L144" s="1764">
        <f t="shared" si="55"/>
        <v>6.0000000000000005E-2</v>
      </c>
      <c r="M144" s="1765">
        <f t="shared" si="53"/>
        <v>6.0000000000000005E-2</v>
      </c>
      <c r="O144" s="1752">
        <f t="shared" si="45"/>
        <v>6.9999999999999831</v>
      </c>
      <c r="P144" s="1752">
        <f t="shared" si="46"/>
        <v>7.0499999999999829</v>
      </c>
      <c r="Q144" s="1758">
        <f t="shared" si="42"/>
        <v>0.87400000000000022</v>
      </c>
      <c r="R144" s="1758">
        <f t="shared" si="43"/>
        <v>0.43700000000000011</v>
      </c>
      <c r="T144" s="1752"/>
      <c r="U144" s="1752"/>
      <c r="V144" s="1758"/>
    </row>
    <row r="145" spans="1:22" outlineLevel="1">
      <c r="A145" s="1749">
        <f t="shared" si="48"/>
        <v>37500</v>
      </c>
      <c r="B145" s="1749" t="str">
        <f t="shared" si="49"/>
        <v>3Q02</v>
      </c>
      <c r="C145" s="1749" t="str">
        <f t="shared" si="50"/>
        <v>3Q02</v>
      </c>
      <c r="D145" s="1750">
        <f t="shared" si="54"/>
        <v>37515</v>
      </c>
      <c r="E145" s="1750">
        <f t="shared" si="54"/>
        <v>37508</v>
      </c>
      <c r="F145" s="1735">
        <v>1.3959999999999999</v>
      </c>
      <c r="G145" s="1752"/>
      <c r="H145" s="1784">
        <v>7.5999999999999998E-2</v>
      </c>
      <c r="I145" s="1763">
        <f t="shared" si="51"/>
        <v>8.2000000000000003E-2</v>
      </c>
      <c r="J145" s="1784">
        <v>3.7999999999999999E-2</v>
      </c>
      <c r="K145" s="1763">
        <f t="shared" si="52"/>
        <v>4.1000000000000002E-2</v>
      </c>
      <c r="L145" s="1764">
        <f t="shared" si="55"/>
        <v>6.0000000000000005E-2</v>
      </c>
      <c r="M145" s="1765">
        <f t="shared" si="53"/>
        <v>7.0000000000000007E-2</v>
      </c>
      <c r="T145" s="1752"/>
      <c r="U145" s="1752"/>
      <c r="V145" s="1758"/>
    </row>
    <row r="146" spans="1:22" outlineLevel="1">
      <c r="A146" s="1749">
        <f t="shared" si="48"/>
        <v>37500</v>
      </c>
      <c r="B146" s="1749" t="str">
        <f t="shared" si="49"/>
        <v>3Q02</v>
      </c>
      <c r="C146" s="1749" t="str">
        <f t="shared" si="50"/>
        <v>3Q02</v>
      </c>
      <c r="D146" s="1750">
        <f t="shared" si="54"/>
        <v>37522</v>
      </c>
      <c r="E146" s="1750">
        <f t="shared" si="54"/>
        <v>37515</v>
      </c>
      <c r="F146" s="1735">
        <v>1.4140000000000001</v>
      </c>
      <c r="G146" s="1752"/>
      <c r="H146" s="1784">
        <v>8.2000000000000003E-2</v>
      </c>
      <c r="I146" s="1763">
        <f t="shared" si="51"/>
        <v>8.2000000000000003E-2</v>
      </c>
      <c r="J146" s="1784">
        <v>4.1000000000000002E-2</v>
      </c>
      <c r="K146" s="1763">
        <f t="shared" si="52"/>
        <v>4.1000000000000002E-2</v>
      </c>
      <c r="L146" s="1764">
        <f t="shared" si="55"/>
        <v>7.0000000000000007E-2</v>
      </c>
      <c r="M146" s="1765">
        <f t="shared" si="53"/>
        <v>7.0000000000000007E-2</v>
      </c>
      <c r="T146" s="1752"/>
      <c r="U146" s="1752"/>
      <c r="V146" s="1758"/>
    </row>
    <row r="147" spans="1:22" outlineLevel="1">
      <c r="A147" s="1749">
        <f t="shared" si="48"/>
        <v>37500</v>
      </c>
      <c r="B147" s="1749" t="str">
        <f t="shared" si="49"/>
        <v>3Q02</v>
      </c>
      <c r="C147" s="1749" t="str">
        <f t="shared" si="50"/>
        <v>3Q02</v>
      </c>
      <c r="D147" s="1750">
        <f t="shared" si="54"/>
        <v>37529</v>
      </c>
      <c r="E147" s="1750">
        <f t="shared" si="54"/>
        <v>37522</v>
      </c>
      <c r="F147" s="1735">
        <v>1.4169999999999998</v>
      </c>
      <c r="G147" s="1752"/>
      <c r="H147" s="1784">
        <v>8.2000000000000003E-2</v>
      </c>
      <c r="I147" s="1763">
        <f t="shared" si="51"/>
        <v>8.5999999999999993E-2</v>
      </c>
      <c r="J147" s="1784">
        <v>4.1000000000000002E-2</v>
      </c>
      <c r="K147" s="1763">
        <f t="shared" si="52"/>
        <v>4.2999999999999997E-2</v>
      </c>
      <c r="L147" s="1764">
        <f t="shared" si="55"/>
        <v>7.0000000000000007E-2</v>
      </c>
      <c r="M147" s="1765">
        <f t="shared" si="53"/>
        <v>7.0000000000000007E-2</v>
      </c>
      <c r="T147" s="1752"/>
      <c r="U147" s="1752"/>
      <c r="V147" s="1758"/>
    </row>
    <row r="148" spans="1:22" outlineLevel="1">
      <c r="A148" s="1749">
        <f t="shared" si="48"/>
        <v>37530</v>
      </c>
      <c r="B148" s="1749" t="str">
        <f t="shared" si="49"/>
        <v>4Q02</v>
      </c>
      <c r="C148" s="1749" t="str">
        <f t="shared" si="50"/>
        <v>3Q02</v>
      </c>
      <c r="D148" s="1750">
        <f t="shared" si="54"/>
        <v>37536</v>
      </c>
      <c r="E148" s="1750">
        <f t="shared" si="54"/>
        <v>37529</v>
      </c>
      <c r="F148" s="1735">
        <v>1.4380000000000002</v>
      </c>
      <c r="G148" s="1752"/>
      <c r="H148" s="1784">
        <v>8.5999999999999993E-2</v>
      </c>
      <c r="I148" s="1763">
        <f t="shared" si="51"/>
        <v>9.1999999999999998E-2</v>
      </c>
      <c r="J148" s="1784">
        <v>4.2999999999999997E-2</v>
      </c>
      <c r="K148" s="1763">
        <f t="shared" si="52"/>
        <v>4.5999999999999999E-2</v>
      </c>
      <c r="L148" s="1764">
        <f t="shared" si="55"/>
        <v>7.0000000000000007E-2</v>
      </c>
      <c r="M148" s="1765">
        <f t="shared" si="53"/>
        <v>0.08</v>
      </c>
      <c r="T148" s="1752"/>
      <c r="U148" s="1752"/>
      <c r="V148" s="1758"/>
    </row>
    <row r="149" spans="1:22" outlineLevel="1">
      <c r="A149" s="1749">
        <f t="shared" si="48"/>
        <v>37530</v>
      </c>
      <c r="B149" s="1749" t="str">
        <f t="shared" si="49"/>
        <v>4Q02</v>
      </c>
      <c r="C149" s="1749" t="str">
        <f t="shared" si="50"/>
        <v>4Q02</v>
      </c>
      <c r="D149" s="1750">
        <f t="shared" ref="D149:E164" si="56">D148+7</f>
        <v>37543</v>
      </c>
      <c r="E149" s="1750">
        <f t="shared" si="56"/>
        <v>37536</v>
      </c>
      <c r="F149" s="1735">
        <v>1.46</v>
      </c>
      <c r="G149" s="1752"/>
      <c r="H149" s="1784">
        <v>9.1999999999999998E-2</v>
      </c>
      <c r="I149" s="1763">
        <f t="shared" si="51"/>
        <v>9.1999999999999998E-2</v>
      </c>
      <c r="J149" s="1784">
        <v>4.5999999999999999E-2</v>
      </c>
      <c r="K149" s="1763">
        <f t="shared" si="52"/>
        <v>4.5999999999999999E-2</v>
      </c>
      <c r="L149" s="1764">
        <f t="shared" si="55"/>
        <v>0.08</v>
      </c>
      <c r="M149" s="1765">
        <f t="shared" si="53"/>
        <v>0.08</v>
      </c>
      <c r="T149" s="1752"/>
      <c r="U149" s="1752"/>
      <c r="V149" s="1758"/>
    </row>
    <row r="150" spans="1:22" outlineLevel="1">
      <c r="A150" s="1749">
        <f t="shared" si="48"/>
        <v>37530</v>
      </c>
      <c r="B150" s="1749" t="str">
        <f t="shared" si="49"/>
        <v>4Q02</v>
      </c>
      <c r="C150" s="1749" t="str">
        <f t="shared" si="50"/>
        <v>4Q02</v>
      </c>
      <c r="D150" s="1750">
        <f t="shared" si="56"/>
        <v>37550</v>
      </c>
      <c r="E150" s="1750">
        <f t="shared" si="56"/>
        <v>37543</v>
      </c>
      <c r="F150" s="1735">
        <v>1.4609999999999999</v>
      </c>
      <c r="G150" s="1752"/>
      <c r="H150" s="1784">
        <v>9.1999999999999998E-2</v>
      </c>
      <c r="I150" s="1763">
        <f t="shared" si="51"/>
        <v>9.1999999999999998E-2</v>
      </c>
      <c r="J150" s="1784">
        <v>4.5999999999999999E-2</v>
      </c>
      <c r="K150" s="1763">
        <f t="shared" si="52"/>
        <v>4.5999999999999999E-2</v>
      </c>
      <c r="L150" s="1764">
        <f t="shared" si="55"/>
        <v>0.08</v>
      </c>
      <c r="M150" s="1765">
        <f t="shared" si="53"/>
        <v>0.08</v>
      </c>
      <c r="T150" s="1752"/>
      <c r="U150" s="1752"/>
      <c r="V150" s="1758"/>
    </row>
    <row r="151" spans="1:22" outlineLevel="1">
      <c r="A151" s="1749">
        <f t="shared" si="48"/>
        <v>37530</v>
      </c>
      <c r="B151" s="1749" t="str">
        <f t="shared" si="49"/>
        <v>4Q02</v>
      </c>
      <c r="C151" s="1749" t="str">
        <f t="shared" si="50"/>
        <v>4Q02</v>
      </c>
      <c r="D151" s="1750">
        <f t="shared" si="56"/>
        <v>37557</v>
      </c>
      <c r="E151" s="1750">
        <f t="shared" si="56"/>
        <v>37550</v>
      </c>
      <c r="F151" s="1735">
        <v>1.4690000000000001</v>
      </c>
      <c r="G151" s="1752"/>
      <c r="H151" s="1784">
        <v>9.1999999999999998E-2</v>
      </c>
      <c r="I151" s="1763">
        <f t="shared" si="51"/>
        <v>0.09</v>
      </c>
      <c r="J151" s="1784">
        <v>4.5999999999999999E-2</v>
      </c>
      <c r="K151" s="1763">
        <f t="shared" si="52"/>
        <v>4.4999999999999998E-2</v>
      </c>
      <c r="L151" s="1764">
        <f t="shared" si="55"/>
        <v>0.08</v>
      </c>
      <c r="M151" s="1765">
        <f t="shared" si="53"/>
        <v>0.08</v>
      </c>
      <c r="T151" s="1752"/>
      <c r="U151" s="1752"/>
      <c r="V151" s="1758"/>
    </row>
    <row r="152" spans="1:22" outlineLevel="1">
      <c r="A152" s="1749">
        <f t="shared" si="48"/>
        <v>37561</v>
      </c>
      <c r="B152" s="1749" t="str">
        <f t="shared" si="49"/>
        <v>4Q02</v>
      </c>
      <c r="C152" s="1749" t="str">
        <f t="shared" si="50"/>
        <v>4Q02</v>
      </c>
      <c r="D152" s="1750">
        <f t="shared" si="56"/>
        <v>37564</v>
      </c>
      <c r="E152" s="1750">
        <f t="shared" si="56"/>
        <v>37557</v>
      </c>
      <c r="F152" s="1735">
        <v>1.456</v>
      </c>
      <c r="G152" s="1752"/>
      <c r="H152" s="1784">
        <v>0.09</v>
      </c>
      <c r="I152" s="1763">
        <f>H440</f>
        <v>0.64600000000000002</v>
      </c>
      <c r="J152" s="1784">
        <v>4.4999999999999998E-2</v>
      </c>
      <c r="K152" s="1763">
        <f>J440</f>
        <v>0.32300000000000001</v>
      </c>
      <c r="L152" s="1764">
        <f t="shared" si="55"/>
        <v>0.08</v>
      </c>
      <c r="M152" s="1765">
        <f t="shared" si="53"/>
        <v>7.0000000000000007E-2</v>
      </c>
      <c r="T152" s="1752"/>
      <c r="U152" s="1752"/>
      <c r="V152" s="1758"/>
    </row>
    <row r="153" spans="1:22" outlineLevel="1">
      <c r="A153" s="1749">
        <f t="shared" si="48"/>
        <v>37561</v>
      </c>
      <c r="B153" s="1749" t="str">
        <f t="shared" si="49"/>
        <v>4Q02</v>
      </c>
      <c r="C153" s="1749" t="str">
        <f t="shared" si="50"/>
        <v>4Q02</v>
      </c>
      <c r="D153" s="1750">
        <f t="shared" si="56"/>
        <v>37571</v>
      </c>
      <c r="E153" s="1750">
        <f t="shared" si="56"/>
        <v>37564</v>
      </c>
      <c r="F153" s="1735">
        <v>1.4419999999999999</v>
      </c>
      <c r="G153" s="1752"/>
      <c r="H153" s="1784">
        <v>8.7999999999999995E-2</v>
      </c>
      <c r="I153" s="1763">
        <f t="shared" ref="I153:I216" si="57">H154</f>
        <v>8.4000000000000005E-2</v>
      </c>
      <c r="J153" s="1784">
        <v>4.3999999999999997E-2</v>
      </c>
      <c r="K153" s="1763">
        <f t="shared" ref="K153:K216" si="58">J154</f>
        <v>4.2000000000000003E-2</v>
      </c>
      <c r="L153" s="1764">
        <f t="shared" si="55"/>
        <v>7.0000000000000007E-2</v>
      </c>
      <c r="M153" s="1765">
        <f t="shared" si="53"/>
        <v>7.0000000000000007E-2</v>
      </c>
      <c r="T153" s="1752"/>
      <c r="U153" s="1752"/>
      <c r="V153" s="1758"/>
    </row>
    <row r="154" spans="1:22" outlineLevel="1">
      <c r="A154" s="1749">
        <f t="shared" si="48"/>
        <v>37561</v>
      </c>
      <c r="B154" s="1749" t="str">
        <f t="shared" si="49"/>
        <v>4Q02</v>
      </c>
      <c r="C154" s="1749" t="str">
        <f t="shared" si="50"/>
        <v>4Q02</v>
      </c>
      <c r="D154" s="1750">
        <f t="shared" si="56"/>
        <v>37578</v>
      </c>
      <c r="E154" s="1750">
        <f t="shared" si="56"/>
        <v>37571</v>
      </c>
      <c r="F154" s="1735">
        <v>1.4269999999999998</v>
      </c>
      <c r="G154" s="1752"/>
      <c r="H154" s="1784">
        <v>8.4000000000000005E-2</v>
      </c>
      <c r="I154" s="1763">
        <f t="shared" si="57"/>
        <v>7.8E-2</v>
      </c>
      <c r="J154" s="1784">
        <v>4.2000000000000003E-2</v>
      </c>
      <c r="K154" s="1763">
        <f t="shared" si="58"/>
        <v>3.9E-2</v>
      </c>
      <c r="L154" s="1764">
        <f t="shared" si="55"/>
        <v>7.0000000000000007E-2</v>
      </c>
      <c r="M154" s="1765">
        <f t="shared" si="53"/>
        <v>7.0000000000000007E-2</v>
      </c>
      <c r="T154" s="1752"/>
      <c r="U154" s="1752"/>
      <c r="V154" s="1785"/>
    </row>
    <row r="155" spans="1:22" outlineLevel="1">
      <c r="A155" s="1749">
        <f t="shared" si="48"/>
        <v>37561</v>
      </c>
      <c r="B155" s="1749" t="str">
        <f t="shared" si="49"/>
        <v>4Q02</v>
      </c>
      <c r="C155" s="1749" t="str">
        <f t="shared" si="50"/>
        <v>4Q02</v>
      </c>
      <c r="D155" s="1750">
        <f t="shared" si="56"/>
        <v>37585</v>
      </c>
      <c r="E155" s="1750">
        <f t="shared" si="56"/>
        <v>37578</v>
      </c>
      <c r="F155" s="1735">
        <v>1.405</v>
      </c>
      <c r="G155" s="1752"/>
      <c r="H155" s="1784">
        <v>7.8E-2</v>
      </c>
      <c r="I155" s="1763">
        <f t="shared" si="57"/>
        <v>7.8E-2</v>
      </c>
      <c r="J155" s="1784">
        <v>3.9E-2</v>
      </c>
      <c r="K155" s="1763">
        <f t="shared" si="58"/>
        <v>3.9E-2</v>
      </c>
      <c r="L155" s="1764">
        <f t="shared" si="55"/>
        <v>7.0000000000000007E-2</v>
      </c>
      <c r="M155" s="1765">
        <f t="shared" si="53"/>
        <v>7.0000000000000007E-2</v>
      </c>
      <c r="T155" s="1752"/>
      <c r="U155" s="1752"/>
      <c r="V155" s="1785"/>
    </row>
    <row r="156" spans="1:22" outlineLevel="1">
      <c r="A156" s="1749">
        <f t="shared" si="48"/>
        <v>37591</v>
      </c>
      <c r="B156" s="1749" t="str">
        <f t="shared" si="49"/>
        <v>4Q02</v>
      </c>
      <c r="C156" s="1749" t="str">
        <f t="shared" si="50"/>
        <v>4Q02</v>
      </c>
      <c r="D156" s="1750">
        <f t="shared" si="56"/>
        <v>37592</v>
      </c>
      <c r="E156" s="1750">
        <f t="shared" si="56"/>
        <v>37585</v>
      </c>
      <c r="F156" s="1735">
        <v>1.405</v>
      </c>
      <c r="G156" s="1752"/>
      <c r="H156" s="1784">
        <v>7.8E-2</v>
      </c>
      <c r="I156" s="1763">
        <f t="shared" si="57"/>
        <v>7.8E-2</v>
      </c>
      <c r="J156" s="1784">
        <v>3.9E-2</v>
      </c>
      <c r="K156" s="1763">
        <f t="shared" si="58"/>
        <v>3.9E-2</v>
      </c>
      <c r="L156" s="1764">
        <f t="shared" si="55"/>
        <v>7.0000000000000007E-2</v>
      </c>
      <c r="M156" s="1765">
        <f t="shared" si="53"/>
        <v>7.0000000000000007E-2</v>
      </c>
      <c r="T156" s="1752"/>
      <c r="U156" s="1752"/>
      <c r="V156" s="1785"/>
    </row>
    <row r="157" spans="1:22" outlineLevel="1">
      <c r="A157" s="1749">
        <f t="shared" si="48"/>
        <v>37591</v>
      </c>
      <c r="B157" s="1749" t="str">
        <f t="shared" si="49"/>
        <v>4Q02</v>
      </c>
      <c r="C157" s="1749" t="str">
        <f t="shared" si="50"/>
        <v>4Q02</v>
      </c>
      <c r="D157" s="1750">
        <f t="shared" si="56"/>
        <v>37599</v>
      </c>
      <c r="E157" s="1750">
        <f t="shared" si="56"/>
        <v>37592</v>
      </c>
      <c r="F157" s="1735">
        <v>1.4069999999999998</v>
      </c>
      <c r="G157" s="1752"/>
      <c r="H157" s="1784">
        <v>7.8E-2</v>
      </c>
      <c r="I157" s="1763">
        <f t="shared" si="57"/>
        <v>7.8E-2</v>
      </c>
      <c r="J157" s="1784">
        <v>3.9E-2</v>
      </c>
      <c r="K157" s="1763">
        <f t="shared" si="58"/>
        <v>3.9E-2</v>
      </c>
      <c r="L157" s="1764">
        <f t="shared" si="55"/>
        <v>7.0000000000000007E-2</v>
      </c>
      <c r="M157" s="1765">
        <f t="shared" si="53"/>
        <v>7.0000000000000007E-2</v>
      </c>
      <c r="T157" s="1752"/>
      <c r="U157" s="1752"/>
      <c r="V157" s="1785"/>
    </row>
    <row r="158" spans="1:22" outlineLevel="1">
      <c r="A158" s="1749">
        <f t="shared" si="48"/>
        <v>37591</v>
      </c>
      <c r="B158" s="1749" t="str">
        <f t="shared" si="49"/>
        <v>4Q02</v>
      </c>
      <c r="C158" s="1749" t="str">
        <f t="shared" si="50"/>
        <v>4Q02</v>
      </c>
      <c r="D158" s="1750">
        <f t="shared" si="56"/>
        <v>37606</v>
      </c>
      <c r="E158" s="1750">
        <f t="shared" si="56"/>
        <v>37599</v>
      </c>
      <c r="F158" s="1735">
        <v>1.405</v>
      </c>
      <c r="G158" s="1752"/>
      <c r="H158" s="1784">
        <v>7.8E-2</v>
      </c>
      <c r="I158" s="1763">
        <f t="shared" si="57"/>
        <v>7.8E-2</v>
      </c>
      <c r="J158" s="1784">
        <v>3.9E-2</v>
      </c>
      <c r="K158" s="1763">
        <f t="shared" si="58"/>
        <v>3.9E-2</v>
      </c>
      <c r="L158" s="1764">
        <f t="shared" si="55"/>
        <v>7.0000000000000007E-2</v>
      </c>
      <c r="M158" s="1765">
        <f t="shared" si="53"/>
        <v>7.0000000000000007E-2</v>
      </c>
      <c r="T158" s="1752"/>
      <c r="U158" s="1752"/>
      <c r="V158" s="1785"/>
    </row>
    <row r="159" spans="1:22" outlineLevel="1">
      <c r="A159" s="1749">
        <f t="shared" si="48"/>
        <v>37591</v>
      </c>
      <c r="B159" s="1749" t="str">
        <f t="shared" si="49"/>
        <v>4Q02</v>
      </c>
      <c r="C159" s="1749" t="str">
        <f t="shared" si="50"/>
        <v>4Q02</v>
      </c>
      <c r="D159" s="1750">
        <f t="shared" si="56"/>
        <v>37613</v>
      </c>
      <c r="E159" s="1750">
        <f t="shared" si="56"/>
        <v>37606</v>
      </c>
      <c r="F159" s="1735">
        <v>1.401</v>
      </c>
      <c r="G159" s="1752"/>
      <c r="H159" s="1784">
        <v>7.8E-2</v>
      </c>
      <c r="I159" s="1763">
        <f t="shared" si="57"/>
        <v>8.7999999999999995E-2</v>
      </c>
      <c r="J159" s="1784">
        <v>3.9E-2</v>
      </c>
      <c r="K159" s="1763">
        <f t="shared" si="58"/>
        <v>4.3999999999999997E-2</v>
      </c>
      <c r="L159" s="1764">
        <f t="shared" si="55"/>
        <v>7.0000000000000007E-2</v>
      </c>
      <c r="M159" s="1765">
        <f t="shared" si="53"/>
        <v>7.0000000000000007E-2</v>
      </c>
      <c r="T159" s="1752"/>
      <c r="U159" s="1752"/>
      <c r="V159" s="1785"/>
    </row>
    <row r="160" spans="1:22" outlineLevel="1">
      <c r="A160" s="1749">
        <f t="shared" si="48"/>
        <v>37591</v>
      </c>
      <c r="B160" s="1749" t="str">
        <f t="shared" si="49"/>
        <v>4Q02</v>
      </c>
      <c r="C160" s="1749" t="str">
        <f t="shared" si="50"/>
        <v>4Q02</v>
      </c>
      <c r="D160" s="1750">
        <f t="shared" si="56"/>
        <v>37620</v>
      </c>
      <c r="E160" s="1750">
        <f t="shared" si="56"/>
        <v>37613</v>
      </c>
      <c r="F160" s="1735">
        <v>1.44</v>
      </c>
      <c r="G160" s="1752"/>
      <c r="H160" s="1784">
        <v>8.7999999999999995E-2</v>
      </c>
      <c r="I160" s="1763">
        <f t="shared" si="57"/>
        <v>0.1</v>
      </c>
      <c r="J160" s="1784">
        <v>4.3999999999999997E-2</v>
      </c>
      <c r="K160" s="1763">
        <f t="shared" si="58"/>
        <v>0.05</v>
      </c>
      <c r="L160" s="1764">
        <f t="shared" si="55"/>
        <v>7.0000000000000007E-2</v>
      </c>
      <c r="M160" s="1765">
        <f t="shared" si="53"/>
        <v>0.08</v>
      </c>
      <c r="T160" s="1752"/>
      <c r="U160" s="1752"/>
      <c r="V160" s="1785"/>
    </row>
    <row r="161" spans="1:22" s="537" customFormat="1" outlineLevel="1">
      <c r="A161" s="1774">
        <f t="shared" si="48"/>
        <v>37622</v>
      </c>
      <c r="B161" s="1774" t="str">
        <f t="shared" si="49"/>
        <v>1Q03</v>
      </c>
      <c r="C161" s="1774" t="str">
        <f t="shared" si="50"/>
        <v>4Q02</v>
      </c>
      <c r="D161" s="1775">
        <f t="shared" si="56"/>
        <v>37627</v>
      </c>
      <c r="E161" s="1775">
        <f t="shared" si="56"/>
        <v>37620</v>
      </c>
      <c r="F161" s="1776">
        <v>1.4909999999999999</v>
      </c>
      <c r="G161" s="1777"/>
      <c r="H161" s="1778">
        <v>0.1</v>
      </c>
      <c r="I161" s="1779">
        <f t="shared" si="57"/>
        <v>0.10199999999999999</v>
      </c>
      <c r="J161" s="1778">
        <v>0.05</v>
      </c>
      <c r="K161" s="1779">
        <f t="shared" si="58"/>
        <v>5.0999999999999997E-2</v>
      </c>
      <c r="L161" s="1780">
        <f t="shared" si="55"/>
        <v>0.08</v>
      </c>
      <c r="M161" s="1781">
        <f t="shared" si="53"/>
        <v>0.09</v>
      </c>
      <c r="T161" s="1777"/>
      <c r="U161" s="1777"/>
      <c r="V161" s="1786"/>
    </row>
    <row r="162" spans="1:22" outlineLevel="1">
      <c r="A162" s="1749">
        <f t="shared" si="48"/>
        <v>37622</v>
      </c>
      <c r="B162" s="1749" t="str">
        <f t="shared" si="49"/>
        <v>1Q03</v>
      </c>
      <c r="C162" s="1749" t="str">
        <f t="shared" si="50"/>
        <v>1Q03</v>
      </c>
      <c r="D162" s="1750">
        <f t="shared" si="56"/>
        <v>37634</v>
      </c>
      <c r="E162" s="1750">
        <f t="shared" si="56"/>
        <v>37627</v>
      </c>
      <c r="F162" s="1735">
        <v>1.5009999999999999</v>
      </c>
      <c r="G162" s="1752"/>
      <c r="H162" s="1784">
        <v>0.10199999999999999</v>
      </c>
      <c r="I162" s="1763">
        <f t="shared" si="57"/>
        <v>9.4E-2</v>
      </c>
      <c r="J162" s="1784">
        <v>5.0999999999999997E-2</v>
      </c>
      <c r="K162" s="1763">
        <f t="shared" si="58"/>
        <v>4.7E-2</v>
      </c>
      <c r="L162" s="1764">
        <f t="shared" si="55"/>
        <v>0.09</v>
      </c>
      <c r="M162" s="1765">
        <f t="shared" si="53"/>
        <v>0.08</v>
      </c>
      <c r="T162" s="1752"/>
      <c r="U162" s="1752"/>
      <c r="V162" s="1785"/>
    </row>
    <row r="163" spans="1:22" outlineLevel="1">
      <c r="A163" s="1749">
        <f t="shared" si="48"/>
        <v>37622</v>
      </c>
      <c r="B163" s="1749" t="str">
        <f t="shared" si="49"/>
        <v>1Q03</v>
      </c>
      <c r="C163" s="1749" t="str">
        <f t="shared" si="50"/>
        <v>1Q03</v>
      </c>
      <c r="D163" s="1750">
        <f t="shared" si="56"/>
        <v>37641</v>
      </c>
      <c r="E163" s="1750">
        <f t="shared" si="56"/>
        <v>37634</v>
      </c>
      <c r="F163" s="1735">
        <v>1.4780000000000002</v>
      </c>
      <c r="G163" s="1752"/>
      <c r="H163" s="1784">
        <v>9.4E-2</v>
      </c>
      <c r="I163" s="1763">
        <f t="shared" si="57"/>
        <v>9.8000000000000004E-2</v>
      </c>
      <c r="J163" s="1784">
        <v>4.7E-2</v>
      </c>
      <c r="K163" s="1763">
        <f t="shared" si="58"/>
        <v>4.9000000000000002E-2</v>
      </c>
      <c r="L163" s="1764">
        <f t="shared" si="55"/>
        <v>0.08</v>
      </c>
      <c r="M163" s="1765">
        <f t="shared" si="53"/>
        <v>0.08</v>
      </c>
      <c r="T163" s="1752"/>
      <c r="U163" s="1752"/>
      <c r="V163" s="1785"/>
    </row>
    <row r="164" spans="1:22" outlineLevel="1">
      <c r="A164" s="1749">
        <f t="shared" si="48"/>
        <v>37622</v>
      </c>
      <c r="B164" s="1749" t="str">
        <f t="shared" si="49"/>
        <v>1Q03</v>
      </c>
      <c r="C164" s="1749" t="str">
        <f t="shared" si="50"/>
        <v>1Q03</v>
      </c>
      <c r="D164" s="1750">
        <f t="shared" si="56"/>
        <v>37648</v>
      </c>
      <c r="E164" s="1750">
        <f t="shared" si="56"/>
        <v>37641</v>
      </c>
      <c r="F164" s="1735">
        <v>1.48</v>
      </c>
      <c r="G164" s="1752"/>
      <c r="H164" s="1784">
        <v>9.8000000000000004E-2</v>
      </c>
      <c r="I164" s="1763">
        <f t="shared" si="57"/>
        <v>0.1</v>
      </c>
      <c r="J164" s="1784">
        <v>4.9000000000000002E-2</v>
      </c>
      <c r="K164" s="1763">
        <f t="shared" si="58"/>
        <v>0.05</v>
      </c>
      <c r="L164" s="1764">
        <f t="shared" si="55"/>
        <v>0.08</v>
      </c>
      <c r="M164" s="1765">
        <f t="shared" si="53"/>
        <v>0.08</v>
      </c>
      <c r="T164" s="1752"/>
      <c r="U164" s="1752"/>
      <c r="V164" s="1785"/>
    </row>
    <row r="165" spans="1:22" outlineLevel="1">
      <c r="A165" s="1749">
        <f t="shared" si="48"/>
        <v>37653</v>
      </c>
      <c r="B165" s="1749" t="str">
        <f t="shared" si="49"/>
        <v>1Q03</v>
      </c>
      <c r="C165" s="1749" t="str">
        <f t="shared" si="50"/>
        <v>1Q03</v>
      </c>
      <c r="D165" s="1750">
        <f t="shared" ref="D165:E180" si="59">D164+7</f>
        <v>37655</v>
      </c>
      <c r="E165" s="1750">
        <f t="shared" si="59"/>
        <v>37648</v>
      </c>
      <c r="F165" s="1735">
        <v>1.492</v>
      </c>
      <c r="G165" s="1752"/>
      <c r="H165" s="1784">
        <v>0.1</v>
      </c>
      <c r="I165" s="1763">
        <f t="shared" si="57"/>
        <v>0.114</v>
      </c>
      <c r="J165" s="1784">
        <v>0.05</v>
      </c>
      <c r="K165" s="1763">
        <f t="shared" si="58"/>
        <v>5.7000000000000002E-2</v>
      </c>
      <c r="L165" s="1764">
        <f t="shared" si="55"/>
        <v>0.08</v>
      </c>
      <c r="M165" s="1765">
        <f t="shared" si="53"/>
        <v>0.09</v>
      </c>
      <c r="T165" s="1752"/>
      <c r="U165" s="1752"/>
      <c r="V165" s="1785"/>
    </row>
    <row r="166" spans="1:22" outlineLevel="1">
      <c r="A166" s="1749">
        <f t="shared" si="48"/>
        <v>37653</v>
      </c>
      <c r="B166" s="1749" t="str">
        <f t="shared" si="49"/>
        <v>1Q03</v>
      </c>
      <c r="C166" s="1749" t="str">
        <f t="shared" si="50"/>
        <v>1Q03</v>
      </c>
      <c r="D166" s="1750">
        <f t="shared" si="59"/>
        <v>37662</v>
      </c>
      <c r="E166" s="1750">
        <f t="shared" si="59"/>
        <v>37655</v>
      </c>
      <c r="F166" s="1735">
        <v>1.5419999999999998</v>
      </c>
      <c r="G166" s="1752"/>
      <c r="H166" s="1784">
        <v>0.114</v>
      </c>
      <c r="I166" s="1763">
        <f t="shared" si="57"/>
        <v>0.14599999999999999</v>
      </c>
      <c r="J166" s="1784">
        <v>5.7000000000000002E-2</v>
      </c>
      <c r="K166" s="1763">
        <f t="shared" si="58"/>
        <v>7.2999999999999995E-2</v>
      </c>
      <c r="L166" s="1764">
        <f t="shared" si="55"/>
        <v>0.09</v>
      </c>
      <c r="M166" s="1765">
        <f t="shared" si="53"/>
        <v>0.11999999999999998</v>
      </c>
      <c r="T166" s="1752"/>
      <c r="U166" s="1752"/>
      <c r="V166" s="1785"/>
    </row>
    <row r="167" spans="1:22" outlineLevel="1">
      <c r="A167" s="1749">
        <f t="shared" si="48"/>
        <v>37653</v>
      </c>
      <c r="B167" s="1749" t="str">
        <f t="shared" si="49"/>
        <v>1Q03</v>
      </c>
      <c r="C167" s="1749" t="str">
        <f t="shared" si="50"/>
        <v>1Q03</v>
      </c>
      <c r="D167" s="1750">
        <f t="shared" si="59"/>
        <v>37669</v>
      </c>
      <c r="E167" s="1750">
        <f t="shared" si="59"/>
        <v>37662</v>
      </c>
      <c r="F167" s="1735">
        <v>1.6619999999999999</v>
      </c>
      <c r="G167" s="1752"/>
      <c r="H167" s="1784">
        <v>0.14599999999999999</v>
      </c>
      <c r="I167" s="1763">
        <f t="shared" si="57"/>
        <v>0.14599999999999999</v>
      </c>
      <c r="J167" s="1784">
        <v>7.2999999999999995E-2</v>
      </c>
      <c r="K167" s="1763">
        <f t="shared" si="58"/>
        <v>7.2999999999999995E-2</v>
      </c>
      <c r="L167" s="1764">
        <f t="shared" si="55"/>
        <v>0.11999999999999998</v>
      </c>
      <c r="M167" s="1765">
        <f t="shared" si="53"/>
        <v>0.12999999999999998</v>
      </c>
      <c r="T167" s="1752"/>
      <c r="U167" s="1752"/>
      <c r="V167" s="1785"/>
    </row>
    <row r="168" spans="1:22" outlineLevel="1">
      <c r="A168" s="1749">
        <f t="shared" si="48"/>
        <v>37653</v>
      </c>
      <c r="B168" s="1749" t="str">
        <f t="shared" si="49"/>
        <v>1Q03</v>
      </c>
      <c r="C168" s="1749" t="str">
        <f t="shared" si="50"/>
        <v>1Q03</v>
      </c>
      <c r="D168" s="1750">
        <f t="shared" si="59"/>
        <v>37676</v>
      </c>
      <c r="E168" s="1750">
        <f t="shared" si="59"/>
        <v>37669</v>
      </c>
      <c r="F168" s="1735">
        <v>1.704</v>
      </c>
      <c r="G168" s="1752"/>
      <c r="H168" s="1784">
        <v>0.14599999999999999</v>
      </c>
      <c r="I168" s="1763">
        <f t="shared" si="57"/>
        <v>0.14599999999999999</v>
      </c>
      <c r="J168" s="1784">
        <v>7.2999999999999995E-2</v>
      </c>
      <c r="K168" s="1763">
        <f t="shared" si="58"/>
        <v>7.2999999999999995E-2</v>
      </c>
      <c r="L168" s="1764">
        <f t="shared" si="55"/>
        <v>0.12999999999999998</v>
      </c>
      <c r="M168" s="1765">
        <f t="shared" si="53"/>
        <v>0.12999999999999998</v>
      </c>
      <c r="T168" s="1752"/>
      <c r="U168" s="1752"/>
      <c r="V168" s="1785"/>
    </row>
    <row r="169" spans="1:22" outlineLevel="1">
      <c r="A169" s="1749">
        <f t="shared" si="48"/>
        <v>37681</v>
      </c>
      <c r="B169" s="1749" t="str">
        <f t="shared" si="49"/>
        <v>1Q03</v>
      </c>
      <c r="C169" s="1749" t="str">
        <f t="shared" si="50"/>
        <v>1Q03</v>
      </c>
      <c r="D169" s="1750">
        <f t="shared" si="59"/>
        <v>37683</v>
      </c>
      <c r="E169" s="1750">
        <f t="shared" si="59"/>
        <v>37676</v>
      </c>
      <c r="F169" s="1735">
        <v>1.7090000000000001</v>
      </c>
      <c r="G169" s="1752"/>
      <c r="H169" s="1784">
        <v>0.14599999999999999</v>
      </c>
      <c r="I169" s="1763">
        <f t="shared" si="57"/>
        <v>0.14599999999999999</v>
      </c>
      <c r="J169" s="1784">
        <v>7.2999999999999995E-2</v>
      </c>
      <c r="K169" s="1763">
        <f t="shared" si="58"/>
        <v>7.2999999999999995E-2</v>
      </c>
      <c r="L169" s="1764">
        <f t="shared" si="55"/>
        <v>0.12999999999999998</v>
      </c>
      <c r="M169" s="1765">
        <f t="shared" si="53"/>
        <v>0.13999999999999999</v>
      </c>
      <c r="T169" s="1752"/>
      <c r="U169" s="1752"/>
      <c r="V169" s="1785"/>
    </row>
    <row r="170" spans="1:22" outlineLevel="1">
      <c r="A170" s="1749">
        <f t="shared" si="48"/>
        <v>37681</v>
      </c>
      <c r="B170" s="1749" t="str">
        <f t="shared" si="49"/>
        <v>1Q03</v>
      </c>
      <c r="C170" s="1749" t="str">
        <f t="shared" si="50"/>
        <v>1Q03</v>
      </c>
      <c r="D170" s="1750">
        <f t="shared" si="59"/>
        <v>37690</v>
      </c>
      <c r="E170" s="1750">
        <f t="shared" si="59"/>
        <v>37683</v>
      </c>
      <c r="F170" s="1735">
        <v>1.7530000000000001</v>
      </c>
      <c r="G170" s="1752"/>
      <c r="H170" s="1784">
        <v>0.14599999999999999</v>
      </c>
      <c r="I170" s="1763">
        <f t="shared" si="57"/>
        <v>0.14599999999999999</v>
      </c>
      <c r="J170" s="1784">
        <v>7.2999999999999995E-2</v>
      </c>
      <c r="K170" s="1763">
        <f t="shared" si="58"/>
        <v>7.2999999999999995E-2</v>
      </c>
      <c r="L170" s="1764">
        <f t="shared" si="55"/>
        <v>0.13999999999999999</v>
      </c>
      <c r="M170" s="1765">
        <f t="shared" si="53"/>
        <v>0.13999999999999999</v>
      </c>
      <c r="T170" s="1752"/>
      <c r="U170" s="1752"/>
      <c r="V170" s="1785"/>
    </row>
    <row r="171" spans="1:22" outlineLevel="1">
      <c r="A171" s="1749">
        <f t="shared" si="48"/>
        <v>37681</v>
      </c>
      <c r="B171" s="1749" t="str">
        <f t="shared" si="49"/>
        <v>1Q03</v>
      </c>
      <c r="C171" s="1749" t="str">
        <f t="shared" si="50"/>
        <v>1Q03</v>
      </c>
      <c r="D171" s="1750">
        <f t="shared" si="59"/>
        <v>37697</v>
      </c>
      <c r="E171" s="1750">
        <f t="shared" si="59"/>
        <v>37690</v>
      </c>
      <c r="F171" s="1735">
        <v>1.7709999999999999</v>
      </c>
      <c r="G171" s="1752"/>
      <c r="H171" s="1784">
        <v>0.14599999999999999</v>
      </c>
      <c r="I171" s="1763">
        <f t="shared" si="57"/>
        <v>0.14599999999999999</v>
      </c>
      <c r="J171" s="1784">
        <v>7.2999999999999995E-2</v>
      </c>
      <c r="K171" s="1763">
        <f t="shared" si="58"/>
        <v>7.2999999999999995E-2</v>
      </c>
      <c r="L171" s="1764">
        <f t="shared" si="55"/>
        <v>0.13999999999999999</v>
      </c>
      <c r="M171" s="1765">
        <f t="shared" si="53"/>
        <v>0.13999999999999999</v>
      </c>
      <c r="T171" s="1752"/>
      <c r="U171" s="1752"/>
      <c r="V171" s="1785"/>
    </row>
    <row r="172" spans="1:22" outlineLevel="1">
      <c r="A172" s="1749">
        <f t="shared" si="48"/>
        <v>37681</v>
      </c>
      <c r="B172" s="1749" t="str">
        <f t="shared" si="49"/>
        <v>1Q03</v>
      </c>
      <c r="C172" s="1749" t="str">
        <f t="shared" si="50"/>
        <v>1Q03</v>
      </c>
      <c r="D172" s="1750">
        <f t="shared" si="59"/>
        <v>37704</v>
      </c>
      <c r="E172" s="1750">
        <f t="shared" si="59"/>
        <v>37697</v>
      </c>
      <c r="F172" s="1735">
        <v>1.7519999999999998</v>
      </c>
      <c r="G172" s="1752"/>
      <c r="H172" s="1784">
        <v>0.14599999999999999</v>
      </c>
      <c r="I172" s="1763">
        <f t="shared" si="57"/>
        <v>0.14599999999999999</v>
      </c>
      <c r="J172" s="1784">
        <v>7.2999999999999995E-2</v>
      </c>
      <c r="K172" s="1763">
        <f t="shared" si="58"/>
        <v>7.2999999999999995E-2</v>
      </c>
      <c r="L172" s="1764">
        <f t="shared" si="55"/>
        <v>0.13999999999999999</v>
      </c>
      <c r="M172" s="1765">
        <f t="shared" si="53"/>
        <v>0.11999999999999998</v>
      </c>
      <c r="T172" s="1752"/>
      <c r="U172" s="1752"/>
      <c r="V172" s="1785"/>
    </row>
    <row r="173" spans="1:22" outlineLevel="1">
      <c r="A173" s="1749">
        <f t="shared" si="48"/>
        <v>37681</v>
      </c>
      <c r="B173" s="1749" t="str">
        <f t="shared" si="49"/>
        <v>1Q03</v>
      </c>
      <c r="C173" s="1749" t="str">
        <f t="shared" si="50"/>
        <v>1Q03</v>
      </c>
      <c r="D173" s="1750">
        <f t="shared" si="59"/>
        <v>37711</v>
      </c>
      <c r="E173" s="1750">
        <f t="shared" si="59"/>
        <v>37704</v>
      </c>
      <c r="F173" s="1735">
        <v>1.6619999999999999</v>
      </c>
      <c r="G173" s="1752"/>
      <c r="H173" s="1784">
        <v>0.14599999999999999</v>
      </c>
      <c r="I173" s="1763">
        <f t="shared" si="57"/>
        <v>0.13</v>
      </c>
      <c r="J173" s="1784">
        <v>7.2999999999999995E-2</v>
      </c>
      <c r="K173" s="1763">
        <f t="shared" si="58"/>
        <v>6.5000000000000002E-2</v>
      </c>
      <c r="L173" s="1764">
        <f t="shared" si="55"/>
        <v>0.11999999999999998</v>
      </c>
      <c r="M173" s="1765">
        <f t="shared" si="53"/>
        <v>0.10999999999999999</v>
      </c>
      <c r="T173" s="1752"/>
      <c r="U173" s="1752"/>
      <c r="V173" s="1785"/>
    </row>
    <row r="174" spans="1:22" outlineLevel="1">
      <c r="A174" s="1749">
        <f t="shared" si="48"/>
        <v>37712</v>
      </c>
      <c r="B174" s="1749" t="str">
        <f t="shared" si="49"/>
        <v>2Q03</v>
      </c>
      <c r="C174" s="1749" t="str">
        <f t="shared" si="50"/>
        <v>1Q03</v>
      </c>
      <c r="D174" s="1750">
        <f t="shared" si="59"/>
        <v>37718</v>
      </c>
      <c r="E174" s="1750">
        <f t="shared" si="59"/>
        <v>37711</v>
      </c>
      <c r="F174" s="1735">
        <v>1.6019999999999999</v>
      </c>
      <c r="G174" s="1752"/>
      <c r="H174" s="1784">
        <v>0.13</v>
      </c>
      <c r="I174" s="1763">
        <f t="shared" si="57"/>
        <v>0.11600000000000001</v>
      </c>
      <c r="J174" s="1784">
        <v>6.5000000000000002E-2</v>
      </c>
      <c r="K174" s="1763">
        <f t="shared" si="58"/>
        <v>5.8000000000000003E-2</v>
      </c>
      <c r="L174" s="1764">
        <f t="shared" si="55"/>
        <v>0.10999999999999999</v>
      </c>
      <c r="M174" s="1765">
        <f t="shared" si="53"/>
        <v>9.9999999999999992E-2</v>
      </c>
      <c r="T174" s="1752"/>
      <c r="U174" s="1752"/>
      <c r="V174" s="1785"/>
    </row>
    <row r="175" spans="1:22" outlineLevel="1">
      <c r="A175" s="1749">
        <f t="shared" si="48"/>
        <v>37712</v>
      </c>
      <c r="B175" s="1749" t="str">
        <f t="shared" si="49"/>
        <v>2Q03</v>
      </c>
      <c r="C175" s="1749" t="str">
        <f t="shared" si="50"/>
        <v>2Q03</v>
      </c>
      <c r="D175" s="1750">
        <f t="shared" si="59"/>
        <v>37725</v>
      </c>
      <c r="E175" s="1750">
        <f t="shared" si="59"/>
        <v>37718</v>
      </c>
      <c r="F175" s="1735">
        <v>1.554</v>
      </c>
      <c r="G175" s="1752"/>
      <c r="H175" s="1784">
        <v>0.11600000000000001</v>
      </c>
      <c r="I175" s="1763">
        <f t="shared" si="57"/>
        <v>0.11</v>
      </c>
      <c r="J175" s="1784">
        <v>5.8000000000000003E-2</v>
      </c>
      <c r="K175" s="1763">
        <f t="shared" si="58"/>
        <v>5.5E-2</v>
      </c>
      <c r="L175" s="1764">
        <f t="shared" si="55"/>
        <v>9.9999999999999992E-2</v>
      </c>
      <c r="M175" s="1765">
        <f t="shared" si="53"/>
        <v>0.09</v>
      </c>
      <c r="T175" s="1752"/>
      <c r="U175" s="1752"/>
      <c r="V175" s="1785"/>
    </row>
    <row r="176" spans="1:22" outlineLevel="1">
      <c r="A176" s="1749">
        <f t="shared" si="48"/>
        <v>37712</v>
      </c>
      <c r="B176" s="1749" t="str">
        <f t="shared" si="49"/>
        <v>2Q03</v>
      </c>
      <c r="C176" s="1749" t="str">
        <f t="shared" si="50"/>
        <v>2Q03</v>
      </c>
      <c r="D176" s="1750">
        <f t="shared" si="59"/>
        <v>37732</v>
      </c>
      <c r="E176" s="1750">
        <f t="shared" si="59"/>
        <v>37725</v>
      </c>
      <c r="F176" s="1735">
        <v>1.5390000000000001</v>
      </c>
      <c r="G176" s="1752"/>
      <c r="H176" s="1784">
        <v>0.11</v>
      </c>
      <c r="I176" s="1763">
        <f t="shared" si="57"/>
        <v>0.108</v>
      </c>
      <c r="J176" s="1784">
        <v>5.5E-2</v>
      </c>
      <c r="K176" s="1763">
        <f t="shared" si="58"/>
        <v>5.3999999999999999E-2</v>
      </c>
      <c r="L176" s="1764">
        <f t="shared" si="55"/>
        <v>0.09</v>
      </c>
      <c r="M176" s="1765">
        <f t="shared" si="53"/>
        <v>0.09</v>
      </c>
      <c r="T176" s="1752"/>
      <c r="U176" s="1752"/>
      <c r="V176" s="1785"/>
    </row>
    <row r="177" spans="1:22" outlineLevel="1">
      <c r="A177" s="1749">
        <f t="shared" si="48"/>
        <v>37712</v>
      </c>
      <c r="B177" s="1749" t="str">
        <f t="shared" si="49"/>
        <v>2Q03</v>
      </c>
      <c r="C177" s="1749" t="str">
        <f t="shared" si="50"/>
        <v>2Q03</v>
      </c>
      <c r="D177" s="1750">
        <f t="shared" si="59"/>
        <v>37739</v>
      </c>
      <c r="E177" s="1750">
        <f t="shared" si="59"/>
        <v>37732</v>
      </c>
      <c r="F177" s="1735">
        <v>1.5290000000000001</v>
      </c>
      <c r="G177" s="1752"/>
      <c r="H177" s="1784">
        <v>0.108</v>
      </c>
      <c r="I177" s="1763">
        <f t="shared" si="57"/>
        <v>0.10199999999999999</v>
      </c>
      <c r="J177" s="1784">
        <v>5.3999999999999999E-2</v>
      </c>
      <c r="K177" s="1763">
        <f t="shared" si="58"/>
        <v>5.0999999999999997E-2</v>
      </c>
      <c r="L177" s="1764">
        <f t="shared" si="55"/>
        <v>0.09</v>
      </c>
      <c r="M177" s="1765">
        <f t="shared" si="53"/>
        <v>0.09</v>
      </c>
      <c r="T177" s="1752"/>
      <c r="U177" s="1752"/>
      <c r="V177" s="1785"/>
    </row>
    <row r="178" spans="1:22" outlineLevel="1">
      <c r="A178" s="1749">
        <f t="shared" si="48"/>
        <v>37742</v>
      </c>
      <c r="B178" s="1749" t="str">
        <f t="shared" si="49"/>
        <v>2Q03</v>
      </c>
      <c r="C178" s="1749" t="str">
        <f t="shared" si="50"/>
        <v>2Q03</v>
      </c>
      <c r="D178" s="1750">
        <f t="shared" si="59"/>
        <v>37746</v>
      </c>
      <c r="E178" s="1750">
        <f t="shared" si="59"/>
        <v>37739</v>
      </c>
      <c r="F178" s="1735">
        <v>1.508</v>
      </c>
      <c r="G178" s="1752"/>
      <c r="H178" s="1784">
        <v>0.10199999999999999</v>
      </c>
      <c r="I178" s="1763">
        <f t="shared" si="57"/>
        <v>9.8000000000000004E-2</v>
      </c>
      <c r="J178" s="1784">
        <v>5.0999999999999997E-2</v>
      </c>
      <c r="K178" s="1763">
        <f t="shared" si="58"/>
        <v>4.9000000000000002E-2</v>
      </c>
      <c r="L178" s="1764">
        <f t="shared" si="55"/>
        <v>0.09</v>
      </c>
      <c r="M178" s="1765">
        <f t="shared" si="53"/>
        <v>0.08</v>
      </c>
      <c r="T178" s="1752"/>
      <c r="U178" s="1752"/>
      <c r="V178" s="1785"/>
    </row>
    <row r="179" spans="1:22" outlineLevel="1">
      <c r="A179" s="1749">
        <f t="shared" si="48"/>
        <v>37742</v>
      </c>
      <c r="B179" s="1749" t="str">
        <f t="shared" si="49"/>
        <v>2Q03</v>
      </c>
      <c r="C179" s="1749" t="str">
        <f t="shared" si="50"/>
        <v>2Q03</v>
      </c>
      <c r="D179" s="1750">
        <f t="shared" si="59"/>
        <v>37753</v>
      </c>
      <c r="E179" s="1750">
        <f t="shared" si="59"/>
        <v>37746</v>
      </c>
      <c r="F179" s="1735">
        <v>1.484</v>
      </c>
      <c r="G179" s="1752"/>
      <c r="H179" s="1784">
        <v>9.8000000000000004E-2</v>
      </c>
      <c r="I179" s="1763">
        <f t="shared" si="57"/>
        <v>8.7999999999999995E-2</v>
      </c>
      <c r="J179" s="1784">
        <v>4.9000000000000002E-2</v>
      </c>
      <c r="K179" s="1763">
        <f t="shared" si="58"/>
        <v>4.3999999999999997E-2</v>
      </c>
      <c r="L179" s="1764">
        <f t="shared" si="55"/>
        <v>0.08</v>
      </c>
      <c r="M179" s="1765">
        <f t="shared" si="53"/>
        <v>7.0000000000000007E-2</v>
      </c>
      <c r="T179" s="1752"/>
      <c r="U179" s="1752"/>
      <c r="V179" s="1785"/>
    </row>
    <row r="180" spans="1:22" outlineLevel="1">
      <c r="A180" s="1749">
        <f t="shared" si="48"/>
        <v>37742</v>
      </c>
      <c r="B180" s="1749" t="str">
        <f t="shared" si="49"/>
        <v>2Q03</v>
      </c>
      <c r="C180" s="1749" t="str">
        <f t="shared" si="50"/>
        <v>2Q03</v>
      </c>
      <c r="D180" s="1750">
        <f t="shared" si="59"/>
        <v>37760</v>
      </c>
      <c r="E180" s="1750">
        <f t="shared" si="59"/>
        <v>37753</v>
      </c>
      <c r="F180" s="1735">
        <v>1.444</v>
      </c>
      <c r="G180" s="1752"/>
      <c r="H180" s="1784">
        <v>8.7999999999999995E-2</v>
      </c>
      <c r="I180" s="1763">
        <f t="shared" si="57"/>
        <v>8.7999999999999995E-2</v>
      </c>
      <c r="J180" s="1784">
        <v>4.3999999999999997E-2</v>
      </c>
      <c r="K180" s="1763">
        <f t="shared" si="58"/>
        <v>4.3999999999999997E-2</v>
      </c>
      <c r="L180" s="1764">
        <f t="shared" si="55"/>
        <v>7.0000000000000007E-2</v>
      </c>
      <c r="M180" s="1765">
        <f t="shared" si="53"/>
        <v>7.0000000000000007E-2</v>
      </c>
      <c r="T180" s="1752"/>
      <c r="U180" s="1752"/>
      <c r="V180" s="1785"/>
    </row>
    <row r="181" spans="1:22" outlineLevel="1">
      <c r="A181" s="1749">
        <f t="shared" si="48"/>
        <v>37742</v>
      </c>
      <c r="B181" s="1749" t="str">
        <f t="shared" si="49"/>
        <v>2Q03</v>
      </c>
      <c r="C181" s="1749" t="str">
        <f t="shared" si="50"/>
        <v>2Q03</v>
      </c>
      <c r="D181" s="1750">
        <f t="shared" ref="D181:E196" si="60">D180+7</f>
        <v>37767</v>
      </c>
      <c r="E181" s="1750">
        <f t="shared" si="60"/>
        <v>37760</v>
      </c>
      <c r="F181" s="1735">
        <v>1.4430000000000001</v>
      </c>
      <c r="G181" s="1752"/>
      <c r="H181" s="1784">
        <v>8.7999999999999995E-2</v>
      </c>
      <c r="I181" s="1763">
        <f t="shared" si="57"/>
        <v>8.5999999999999993E-2</v>
      </c>
      <c r="J181" s="1784">
        <v>4.3999999999999997E-2</v>
      </c>
      <c r="K181" s="1763">
        <f t="shared" si="58"/>
        <v>4.2999999999999997E-2</v>
      </c>
      <c r="L181" s="1764">
        <f t="shared" si="55"/>
        <v>7.0000000000000007E-2</v>
      </c>
      <c r="M181" s="1765">
        <f t="shared" si="53"/>
        <v>7.0000000000000007E-2</v>
      </c>
      <c r="T181" s="1752"/>
      <c r="U181" s="1752"/>
      <c r="V181" s="1785"/>
    </row>
    <row r="182" spans="1:22" outlineLevel="1">
      <c r="A182" s="1749">
        <f t="shared" si="48"/>
        <v>37773</v>
      </c>
      <c r="B182" s="1749" t="str">
        <f t="shared" si="49"/>
        <v>2Q03</v>
      </c>
      <c r="C182" s="1749" t="str">
        <f t="shared" si="50"/>
        <v>2Q03</v>
      </c>
      <c r="D182" s="1750">
        <f t="shared" si="60"/>
        <v>37774</v>
      </c>
      <c r="E182" s="1750">
        <f t="shared" si="60"/>
        <v>37767</v>
      </c>
      <c r="F182" s="1735">
        <v>1.4340000000000002</v>
      </c>
      <c r="G182" s="1752"/>
      <c r="H182" s="1784">
        <v>8.5999999999999993E-2</v>
      </c>
      <c r="I182" s="1763">
        <f t="shared" si="57"/>
        <v>8.4000000000000005E-2</v>
      </c>
      <c r="J182" s="1784">
        <v>4.2999999999999997E-2</v>
      </c>
      <c r="K182" s="1763">
        <f t="shared" si="58"/>
        <v>4.2000000000000003E-2</v>
      </c>
      <c r="L182" s="1764">
        <f t="shared" si="55"/>
        <v>7.0000000000000007E-2</v>
      </c>
      <c r="M182" s="1765">
        <f t="shared" si="53"/>
        <v>7.0000000000000007E-2</v>
      </c>
      <c r="T182" s="1752"/>
      <c r="U182" s="1752"/>
      <c r="V182" s="1785"/>
    </row>
    <row r="183" spans="1:22" outlineLevel="1">
      <c r="A183" s="1749">
        <f t="shared" si="48"/>
        <v>37773</v>
      </c>
      <c r="B183" s="1749" t="str">
        <f t="shared" si="49"/>
        <v>2Q03</v>
      </c>
      <c r="C183" s="1749" t="str">
        <f t="shared" si="50"/>
        <v>2Q03</v>
      </c>
      <c r="D183" s="1750">
        <f t="shared" si="60"/>
        <v>37781</v>
      </c>
      <c r="E183" s="1750">
        <f t="shared" si="60"/>
        <v>37774</v>
      </c>
      <c r="F183" s="1735">
        <v>1.423</v>
      </c>
      <c r="G183" s="1752"/>
      <c r="H183" s="1784">
        <v>8.4000000000000005E-2</v>
      </c>
      <c r="I183" s="1763">
        <f t="shared" si="57"/>
        <v>8.4000000000000005E-2</v>
      </c>
      <c r="J183" s="1784">
        <v>4.2000000000000003E-2</v>
      </c>
      <c r="K183" s="1763">
        <f t="shared" si="58"/>
        <v>4.2000000000000003E-2</v>
      </c>
      <c r="L183" s="1764">
        <f t="shared" si="55"/>
        <v>7.0000000000000007E-2</v>
      </c>
      <c r="M183" s="1765">
        <f t="shared" si="53"/>
        <v>7.0000000000000007E-2</v>
      </c>
      <c r="T183" s="1752"/>
      <c r="U183" s="1752"/>
      <c r="V183" s="1785"/>
    </row>
    <row r="184" spans="1:22" outlineLevel="1">
      <c r="A184" s="1749">
        <f t="shared" si="48"/>
        <v>37773</v>
      </c>
      <c r="B184" s="1749" t="str">
        <f t="shared" si="49"/>
        <v>2Q03</v>
      </c>
      <c r="C184" s="1749" t="str">
        <f t="shared" si="50"/>
        <v>2Q03</v>
      </c>
      <c r="D184" s="1750">
        <f t="shared" si="60"/>
        <v>37788</v>
      </c>
      <c r="E184" s="1750">
        <f t="shared" si="60"/>
        <v>37781</v>
      </c>
      <c r="F184" s="1735">
        <v>1.4219999999999999</v>
      </c>
      <c r="G184" s="1752"/>
      <c r="H184" s="1784">
        <v>8.4000000000000005E-2</v>
      </c>
      <c r="I184" s="1763">
        <f t="shared" si="57"/>
        <v>8.5999999999999993E-2</v>
      </c>
      <c r="J184" s="1784">
        <v>4.2000000000000003E-2</v>
      </c>
      <c r="K184" s="1763">
        <f t="shared" si="58"/>
        <v>4.2999999999999997E-2</v>
      </c>
      <c r="L184" s="1764">
        <f t="shared" si="55"/>
        <v>7.0000000000000007E-2</v>
      </c>
      <c r="M184" s="1765">
        <f t="shared" si="53"/>
        <v>7.0000000000000007E-2</v>
      </c>
      <c r="T184" s="1752"/>
      <c r="U184" s="1752"/>
      <c r="V184" s="1785"/>
    </row>
    <row r="185" spans="1:22" outlineLevel="1">
      <c r="A185" s="1749">
        <f t="shared" si="48"/>
        <v>37773</v>
      </c>
      <c r="B185" s="1749" t="str">
        <f t="shared" si="49"/>
        <v>2Q03</v>
      </c>
      <c r="C185" s="1749" t="str">
        <f t="shared" si="50"/>
        <v>2Q03</v>
      </c>
      <c r="D185" s="1750">
        <f t="shared" si="60"/>
        <v>37795</v>
      </c>
      <c r="E185" s="1750">
        <f t="shared" si="60"/>
        <v>37788</v>
      </c>
      <c r="F185" s="1735">
        <v>1.4319999999999999</v>
      </c>
      <c r="G185" s="1752"/>
      <c r="H185" s="1784">
        <v>8.5999999999999993E-2</v>
      </c>
      <c r="I185" s="1763">
        <f t="shared" si="57"/>
        <v>8.4000000000000005E-2</v>
      </c>
      <c r="J185" s="1784">
        <v>4.2999999999999997E-2</v>
      </c>
      <c r="K185" s="1763">
        <f t="shared" si="58"/>
        <v>4.2000000000000003E-2</v>
      </c>
      <c r="L185" s="1764">
        <f t="shared" si="55"/>
        <v>7.0000000000000007E-2</v>
      </c>
      <c r="M185" s="1765">
        <f t="shared" si="53"/>
        <v>7.0000000000000007E-2</v>
      </c>
      <c r="T185" s="1752"/>
      <c r="U185" s="1752"/>
      <c r="V185" s="1785"/>
    </row>
    <row r="186" spans="1:22" outlineLevel="1">
      <c r="A186" s="1749">
        <f t="shared" si="48"/>
        <v>37773</v>
      </c>
      <c r="B186" s="1749" t="str">
        <f t="shared" si="49"/>
        <v>2Q03</v>
      </c>
      <c r="C186" s="1749" t="str">
        <f t="shared" si="50"/>
        <v>2Q03</v>
      </c>
      <c r="D186" s="1750">
        <f t="shared" si="60"/>
        <v>37802</v>
      </c>
      <c r="E186" s="1750">
        <f t="shared" si="60"/>
        <v>37795</v>
      </c>
      <c r="F186" s="1735">
        <v>1.423</v>
      </c>
      <c r="G186" s="1752"/>
      <c r="H186" s="1784">
        <v>8.4000000000000005E-2</v>
      </c>
      <c r="I186" s="1763">
        <f t="shared" si="57"/>
        <v>8.4000000000000005E-2</v>
      </c>
      <c r="J186" s="1784">
        <v>4.2000000000000003E-2</v>
      </c>
      <c r="K186" s="1763">
        <f t="shared" si="58"/>
        <v>4.2000000000000003E-2</v>
      </c>
      <c r="L186" s="1764">
        <f t="shared" si="55"/>
        <v>7.0000000000000007E-2</v>
      </c>
      <c r="M186" s="1765">
        <f t="shared" si="53"/>
        <v>7.0000000000000007E-2</v>
      </c>
      <c r="T186" s="1752"/>
      <c r="U186" s="1752"/>
      <c r="V186" s="1785"/>
    </row>
    <row r="187" spans="1:22" outlineLevel="1">
      <c r="A187" s="1749">
        <f t="shared" si="48"/>
        <v>37803</v>
      </c>
      <c r="B187" s="1749" t="str">
        <f t="shared" si="49"/>
        <v>3Q03</v>
      </c>
      <c r="C187" s="1749" t="str">
        <f t="shared" si="50"/>
        <v>2Q03</v>
      </c>
      <c r="D187" s="1750">
        <f t="shared" si="60"/>
        <v>37809</v>
      </c>
      <c r="E187" s="1750">
        <f t="shared" si="60"/>
        <v>37802</v>
      </c>
      <c r="F187" s="1735">
        <v>1.42</v>
      </c>
      <c r="G187" s="1752"/>
      <c r="H187" s="1784">
        <v>8.4000000000000005E-2</v>
      </c>
      <c r="I187" s="1763">
        <f t="shared" si="57"/>
        <v>8.4000000000000005E-2</v>
      </c>
      <c r="J187" s="1784">
        <v>4.2000000000000003E-2</v>
      </c>
      <c r="K187" s="1763">
        <f t="shared" si="58"/>
        <v>4.2000000000000003E-2</v>
      </c>
      <c r="L187" s="1764">
        <f t="shared" si="55"/>
        <v>7.0000000000000007E-2</v>
      </c>
      <c r="M187" s="1765">
        <f t="shared" si="53"/>
        <v>7.0000000000000007E-2</v>
      </c>
      <c r="T187" s="1752"/>
      <c r="U187" s="1752"/>
      <c r="V187" s="1785"/>
    </row>
    <row r="188" spans="1:22" outlineLevel="1">
      <c r="A188" s="1749">
        <f t="shared" si="48"/>
        <v>37803</v>
      </c>
      <c r="B188" s="1749" t="str">
        <f t="shared" si="49"/>
        <v>3Q03</v>
      </c>
      <c r="C188" s="1749" t="str">
        <f t="shared" si="50"/>
        <v>3Q03</v>
      </c>
      <c r="D188" s="1750">
        <f t="shared" si="60"/>
        <v>37816</v>
      </c>
      <c r="E188" s="1750">
        <f t="shared" si="60"/>
        <v>37809</v>
      </c>
      <c r="F188" s="1735">
        <v>1.4280000000000002</v>
      </c>
      <c r="G188" s="1752"/>
      <c r="H188" s="1784">
        <v>8.4000000000000005E-2</v>
      </c>
      <c r="I188" s="1763">
        <f t="shared" si="57"/>
        <v>8.5999999999999993E-2</v>
      </c>
      <c r="J188" s="1784">
        <v>4.2000000000000003E-2</v>
      </c>
      <c r="K188" s="1763">
        <f t="shared" si="58"/>
        <v>4.2999999999999997E-2</v>
      </c>
      <c r="L188" s="1764">
        <f t="shared" si="55"/>
        <v>7.0000000000000007E-2</v>
      </c>
      <c r="M188" s="1765">
        <f t="shared" si="53"/>
        <v>7.0000000000000007E-2</v>
      </c>
      <c r="T188" s="1752"/>
      <c r="U188" s="1752"/>
      <c r="V188" s="1785"/>
    </row>
    <row r="189" spans="1:22" outlineLevel="1">
      <c r="A189" s="1749">
        <f t="shared" si="48"/>
        <v>37803</v>
      </c>
      <c r="B189" s="1749" t="str">
        <f t="shared" si="49"/>
        <v>3Q03</v>
      </c>
      <c r="C189" s="1749" t="str">
        <f t="shared" si="50"/>
        <v>3Q03</v>
      </c>
      <c r="D189" s="1750">
        <f t="shared" si="60"/>
        <v>37823</v>
      </c>
      <c r="E189" s="1750">
        <f t="shared" si="60"/>
        <v>37816</v>
      </c>
      <c r="F189" s="1735">
        <v>1.4350000000000001</v>
      </c>
      <c r="G189" s="1752"/>
      <c r="H189" s="1784">
        <v>8.5999999999999993E-2</v>
      </c>
      <c r="I189" s="1763">
        <f t="shared" si="57"/>
        <v>8.5999999999999993E-2</v>
      </c>
      <c r="J189" s="1784">
        <v>4.2999999999999997E-2</v>
      </c>
      <c r="K189" s="1763">
        <f t="shared" si="58"/>
        <v>4.2999999999999997E-2</v>
      </c>
      <c r="L189" s="1764">
        <f t="shared" si="55"/>
        <v>7.0000000000000007E-2</v>
      </c>
      <c r="M189" s="1765">
        <f t="shared" si="53"/>
        <v>7.0000000000000007E-2</v>
      </c>
      <c r="T189" s="1752"/>
      <c r="U189" s="1752"/>
      <c r="V189" s="1785"/>
    </row>
    <row r="190" spans="1:22" outlineLevel="1">
      <c r="A190" s="1749">
        <f t="shared" si="48"/>
        <v>37803</v>
      </c>
      <c r="B190" s="1749" t="str">
        <f t="shared" si="49"/>
        <v>3Q03</v>
      </c>
      <c r="C190" s="1749" t="str">
        <f t="shared" si="50"/>
        <v>3Q03</v>
      </c>
      <c r="D190" s="1750">
        <f t="shared" si="60"/>
        <v>37830</v>
      </c>
      <c r="E190" s="1750">
        <f t="shared" si="60"/>
        <v>37823</v>
      </c>
      <c r="F190" s="1735">
        <v>1.4390000000000001</v>
      </c>
      <c r="G190" s="1752"/>
      <c r="H190" s="1784">
        <v>8.5999999999999993E-2</v>
      </c>
      <c r="I190" s="1763">
        <f t="shared" si="57"/>
        <v>8.5999999999999993E-2</v>
      </c>
      <c r="J190" s="1784">
        <v>4.2999999999999997E-2</v>
      </c>
      <c r="K190" s="1763">
        <f t="shared" si="58"/>
        <v>4.2999999999999997E-2</v>
      </c>
      <c r="L190" s="1764">
        <f t="shared" si="55"/>
        <v>7.0000000000000007E-2</v>
      </c>
      <c r="M190" s="1765">
        <f t="shared" si="53"/>
        <v>7.0000000000000007E-2</v>
      </c>
      <c r="T190" s="1752"/>
      <c r="U190" s="1752"/>
      <c r="V190" s="1785"/>
    </row>
    <row r="191" spans="1:22" outlineLevel="1">
      <c r="A191" s="1749">
        <f t="shared" si="48"/>
        <v>37834</v>
      </c>
      <c r="B191" s="1749" t="str">
        <f t="shared" si="49"/>
        <v>3Q03</v>
      </c>
      <c r="C191" s="1749" t="str">
        <f t="shared" si="50"/>
        <v>3Q03</v>
      </c>
      <c r="D191" s="1750">
        <f t="shared" si="60"/>
        <v>37837</v>
      </c>
      <c r="E191" s="1750">
        <f t="shared" si="60"/>
        <v>37830</v>
      </c>
      <c r="F191" s="1735">
        <v>1.4380000000000002</v>
      </c>
      <c r="G191" s="1752"/>
      <c r="H191" s="1784">
        <v>8.5999999999999993E-2</v>
      </c>
      <c r="I191" s="1763">
        <f t="shared" si="57"/>
        <v>0.09</v>
      </c>
      <c r="J191" s="1784">
        <v>4.2999999999999997E-2</v>
      </c>
      <c r="K191" s="1763">
        <f t="shared" si="58"/>
        <v>4.4999999999999998E-2</v>
      </c>
      <c r="L191" s="1764">
        <f t="shared" si="55"/>
        <v>7.0000000000000007E-2</v>
      </c>
      <c r="M191" s="1765">
        <f t="shared" si="53"/>
        <v>0.08</v>
      </c>
      <c r="O191" s="1752"/>
      <c r="P191" s="1752"/>
      <c r="Q191" s="1758"/>
      <c r="R191" s="1758"/>
      <c r="T191" s="1752"/>
      <c r="U191" s="1752"/>
      <c r="V191" s="1785"/>
    </row>
    <row r="192" spans="1:22" outlineLevel="1">
      <c r="A192" s="1749">
        <f t="shared" si="48"/>
        <v>37834</v>
      </c>
      <c r="B192" s="1749" t="str">
        <f t="shared" si="49"/>
        <v>3Q03</v>
      </c>
      <c r="C192" s="1749" t="str">
        <f t="shared" si="50"/>
        <v>3Q03</v>
      </c>
      <c r="D192" s="1750">
        <f t="shared" si="60"/>
        <v>37844</v>
      </c>
      <c r="E192" s="1750">
        <f t="shared" si="60"/>
        <v>37837</v>
      </c>
      <c r="F192" s="1735">
        <v>1.4530000000000001</v>
      </c>
      <c r="G192" s="1752"/>
      <c r="H192" s="1784">
        <v>0.09</v>
      </c>
      <c r="I192" s="1763">
        <f t="shared" si="57"/>
        <v>0.1</v>
      </c>
      <c r="J192" s="1784">
        <v>4.4999999999999998E-2</v>
      </c>
      <c r="K192" s="1763">
        <f t="shared" si="58"/>
        <v>0.05</v>
      </c>
      <c r="L192" s="1764">
        <f t="shared" si="55"/>
        <v>0.08</v>
      </c>
      <c r="M192" s="1765">
        <f t="shared" si="53"/>
        <v>0.08</v>
      </c>
      <c r="O192" s="1752"/>
      <c r="P192" s="1752"/>
      <c r="Q192" s="1758"/>
      <c r="R192" s="1758"/>
      <c r="T192" s="1752"/>
      <c r="U192" s="1752"/>
      <c r="V192" s="1785"/>
    </row>
    <row r="193" spans="1:22" outlineLevel="1">
      <c r="A193" s="1749">
        <f t="shared" si="48"/>
        <v>37834</v>
      </c>
      <c r="B193" s="1749" t="str">
        <f t="shared" si="49"/>
        <v>3Q03</v>
      </c>
      <c r="C193" s="1749" t="str">
        <f t="shared" si="50"/>
        <v>3Q03</v>
      </c>
      <c r="D193" s="1750">
        <f t="shared" si="60"/>
        <v>37851</v>
      </c>
      <c r="E193" s="1750">
        <f t="shared" si="60"/>
        <v>37844</v>
      </c>
      <c r="F193" s="1735">
        <v>1.492</v>
      </c>
      <c r="G193" s="1752"/>
      <c r="H193" s="1784">
        <v>0.1</v>
      </c>
      <c r="I193" s="1763">
        <f t="shared" si="57"/>
        <v>0.1</v>
      </c>
      <c r="J193" s="1784">
        <v>0.05</v>
      </c>
      <c r="K193" s="1763">
        <f t="shared" si="58"/>
        <v>0.05</v>
      </c>
      <c r="L193" s="1764">
        <f t="shared" si="55"/>
        <v>0.08</v>
      </c>
      <c r="M193" s="1765">
        <f t="shared" si="53"/>
        <v>0.08</v>
      </c>
      <c r="O193" s="1752"/>
      <c r="P193" s="1752"/>
      <c r="Q193" s="1758"/>
      <c r="R193" s="1758"/>
      <c r="T193" s="1752"/>
      <c r="U193" s="1752"/>
      <c r="V193" s="1785"/>
    </row>
    <row r="194" spans="1:22" outlineLevel="1">
      <c r="A194" s="1749">
        <f t="shared" si="48"/>
        <v>37834</v>
      </c>
      <c r="B194" s="1749" t="str">
        <f t="shared" si="49"/>
        <v>3Q03</v>
      </c>
      <c r="C194" s="1749" t="str">
        <f t="shared" si="50"/>
        <v>3Q03</v>
      </c>
      <c r="D194" s="1750">
        <f t="shared" si="60"/>
        <v>37858</v>
      </c>
      <c r="E194" s="1750">
        <f t="shared" si="60"/>
        <v>37851</v>
      </c>
      <c r="F194" s="1735">
        <v>1.4980000000000002</v>
      </c>
      <c r="G194" s="1752"/>
      <c r="H194" s="1784">
        <v>0.1</v>
      </c>
      <c r="I194" s="1763">
        <f t="shared" si="57"/>
        <v>0.10199999999999999</v>
      </c>
      <c r="J194" s="1784">
        <v>0.05</v>
      </c>
      <c r="K194" s="1763">
        <f t="shared" si="58"/>
        <v>5.0999999999999997E-2</v>
      </c>
      <c r="L194" s="1764">
        <f t="shared" si="55"/>
        <v>0.08</v>
      </c>
      <c r="M194" s="1765">
        <f t="shared" si="53"/>
        <v>0.09</v>
      </c>
      <c r="O194" s="1752"/>
      <c r="P194" s="1752"/>
      <c r="Q194" s="1758"/>
      <c r="R194" s="1758"/>
      <c r="T194" s="1752"/>
      <c r="U194" s="1752"/>
      <c r="V194" s="1785"/>
    </row>
    <row r="195" spans="1:22" outlineLevel="1">
      <c r="A195" s="1749">
        <f t="shared" si="48"/>
        <v>37865</v>
      </c>
      <c r="B195" s="1749" t="str">
        <f t="shared" si="49"/>
        <v>3Q03</v>
      </c>
      <c r="C195" s="1749" t="str">
        <f t="shared" si="50"/>
        <v>3Q03</v>
      </c>
      <c r="D195" s="1750">
        <f t="shared" si="60"/>
        <v>37865</v>
      </c>
      <c r="E195" s="1750">
        <f t="shared" si="60"/>
        <v>37858</v>
      </c>
      <c r="F195" s="1735">
        <v>1.5030000000000001</v>
      </c>
      <c r="G195" s="1752"/>
      <c r="H195" s="1784">
        <v>0.10199999999999999</v>
      </c>
      <c r="I195" s="1763">
        <f t="shared" si="57"/>
        <v>0.10199999999999999</v>
      </c>
      <c r="J195" s="1784">
        <v>5.0999999999999997E-2</v>
      </c>
      <c r="K195" s="1763">
        <f t="shared" si="58"/>
        <v>5.0999999999999997E-2</v>
      </c>
      <c r="L195" s="1764">
        <f t="shared" si="55"/>
        <v>0.09</v>
      </c>
      <c r="M195" s="1765">
        <f t="shared" si="53"/>
        <v>0.09</v>
      </c>
      <c r="O195" s="1752"/>
      <c r="P195" s="1752"/>
      <c r="Q195" s="1758"/>
      <c r="R195" s="1758"/>
      <c r="T195" s="1752"/>
      <c r="U195" s="1752"/>
      <c r="V195" s="1785"/>
    </row>
    <row r="196" spans="1:22" outlineLevel="1">
      <c r="A196" s="1749">
        <f t="shared" ref="A196:A259" si="61">DATE(YEAR(D196),MONTH(D196),1)</f>
        <v>37865</v>
      </c>
      <c r="B196" s="1749" t="str">
        <f t="shared" ref="B196:B259" si="62">VLOOKUP(MONTH(A196),$AB$4:$AC$17,2,FALSE) &amp; "Q" &amp; RIGHT(YEAR(A196),2)</f>
        <v>3Q03</v>
      </c>
      <c r="C196" s="1749" t="str">
        <f t="shared" ref="C196:C259" si="63">VLOOKUP(MONTH(E196),$AB$4:$AC$17,2,FALSE) &amp; "Q" &amp; RIGHT(YEAR(E196),2)</f>
        <v>3Q03</v>
      </c>
      <c r="D196" s="1750">
        <f t="shared" si="60"/>
        <v>37872</v>
      </c>
      <c r="E196" s="1750">
        <f t="shared" si="60"/>
        <v>37865</v>
      </c>
      <c r="F196" s="1735">
        <v>1.5009999999999999</v>
      </c>
      <c r="G196" s="1752"/>
      <c r="H196" s="1784">
        <v>0.10199999999999999</v>
      </c>
      <c r="I196" s="1763">
        <f t="shared" si="57"/>
        <v>9.8000000000000004E-2</v>
      </c>
      <c r="J196" s="1784">
        <v>5.0999999999999997E-2</v>
      </c>
      <c r="K196" s="1763">
        <f t="shared" si="58"/>
        <v>4.9000000000000002E-2</v>
      </c>
      <c r="L196" s="1764">
        <f t="shared" si="55"/>
        <v>0.09</v>
      </c>
      <c r="M196" s="1765">
        <f t="shared" ref="M196:M259" si="64">L197</f>
        <v>0.08</v>
      </c>
      <c r="O196" s="1752"/>
      <c r="P196" s="1752"/>
      <c r="Q196" s="1758"/>
      <c r="R196" s="1758"/>
      <c r="T196" s="1752"/>
      <c r="U196" s="1752"/>
      <c r="V196" s="1785"/>
    </row>
    <row r="197" spans="1:22" outlineLevel="1">
      <c r="A197" s="1749">
        <f t="shared" si="61"/>
        <v>37865</v>
      </c>
      <c r="B197" s="1749" t="str">
        <f t="shared" si="62"/>
        <v>3Q03</v>
      </c>
      <c r="C197" s="1749" t="str">
        <f t="shared" si="63"/>
        <v>3Q03</v>
      </c>
      <c r="D197" s="1750">
        <f t="shared" ref="D197:E212" si="65">D196+7</f>
        <v>37879</v>
      </c>
      <c r="E197" s="1750">
        <f t="shared" si="65"/>
        <v>37872</v>
      </c>
      <c r="F197" s="1735">
        <v>1.4880000000000002</v>
      </c>
      <c r="G197" s="1752"/>
      <c r="H197" s="1784">
        <v>9.8000000000000004E-2</v>
      </c>
      <c r="I197" s="1763">
        <f t="shared" si="57"/>
        <v>9.4E-2</v>
      </c>
      <c r="J197" s="1784">
        <v>4.9000000000000002E-2</v>
      </c>
      <c r="K197" s="1763">
        <f t="shared" si="58"/>
        <v>4.7E-2</v>
      </c>
      <c r="L197" s="1764">
        <f t="shared" ref="L197:L260" si="66">INDEX($T$4:$V$100,MATCH(F197,$T$4:$T$100,1),3)</f>
        <v>0.08</v>
      </c>
      <c r="M197" s="1765">
        <f t="shared" si="64"/>
        <v>0.08</v>
      </c>
      <c r="O197" s="1752"/>
      <c r="P197" s="1752"/>
      <c r="Q197" s="1758"/>
      <c r="R197" s="1758"/>
      <c r="T197" s="1752"/>
      <c r="U197" s="1752"/>
      <c r="V197" s="1787"/>
    </row>
    <row r="198" spans="1:22" outlineLevel="1">
      <c r="A198" s="1749">
        <f t="shared" si="61"/>
        <v>37865</v>
      </c>
      <c r="B198" s="1749" t="str">
        <f t="shared" si="62"/>
        <v>3Q03</v>
      </c>
      <c r="C198" s="1749" t="str">
        <f t="shared" si="63"/>
        <v>3Q03</v>
      </c>
      <c r="D198" s="1750">
        <f t="shared" si="65"/>
        <v>37886</v>
      </c>
      <c r="E198" s="1750">
        <f t="shared" si="65"/>
        <v>37879</v>
      </c>
      <c r="F198" s="1735">
        <v>1.4709999999999999</v>
      </c>
      <c r="G198" s="1752"/>
      <c r="H198" s="1784">
        <v>9.4E-2</v>
      </c>
      <c r="I198" s="1763">
        <f t="shared" si="57"/>
        <v>8.7999999999999995E-2</v>
      </c>
      <c r="J198" s="1784">
        <v>4.7E-2</v>
      </c>
      <c r="K198" s="1763">
        <f t="shared" si="58"/>
        <v>4.3999999999999997E-2</v>
      </c>
      <c r="L198" s="1764">
        <f t="shared" si="66"/>
        <v>0.08</v>
      </c>
      <c r="M198" s="1765">
        <f t="shared" si="64"/>
        <v>7.0000000000000007E-2</v>
      </c>
      <c r="O198" s="1752"/>
      <c r="P198" s="1752"/>
      <c r="Q198" s="1758"/>
      <c r="R198" s="1758"/>
      <c r="T198" s="1752"/>
      <c r="U198" s="1752"/>
      <c r="V198" s="1787"/>
    </row>
    <row r="199" spans="1:22" outlineLevel="1">
      <c r="A199" s="1749">
        <f t="shared" si="61"/>
        <v>37865</v>
      </c>
      <c r="B199" s="1749" t="str">
        <f t="shared" si="62"/>
        <v>3Q03</v>
      </c>
      <c r="C199" s="1749" t="str">
        <f t="shared" si="63"/>
        <v>3Q03</v>
      </c>
      <c r="D199" s="1750">
        <f t="shared" si="65"/>
        <v>37893</v>
      </c>
      <c r="E199" s="1750">
        <f t="shared" si="65"/>
        <v>37886</v>
      </c>
      <c r="F199" s="1735">
        <v>1.444</v>
      </c>
      <c r="G199" s="1752"/>
      <c r="H199" s="1784">
        <v>8.7999999999999995E-2</v>
      </c>
      <c r="I199" s="1763">
        <f t="shared" si="57"/>
        <v>8.4000000000000005E-2</v>
      </c>
      <c r="J199" s="1784">
        <v>4.3999999999999997E-2</v>
      </c>
      <c r="K199" s="1763">
        <f t="shared" si="58"/>
        <v>4.2000000000000003E-2</v>
      </c>
      <c r="L199" s="1764">
        <f t="shared" si="66"/>
        <v>7.0000000000000007E-2</v>
      </c>
      <c r="M199" s="1765">
        <f t="shared" si="64"/>
        <v>7.0000000000000007E-2</v>
      </c>
      <c r="O199" s="1752"/>
      <c r="P199" s="1752"/>
      <c r="Q199" s="1758"/>
      <c r="R199" s="1758"/>
      <c r="T199" s="1752"/>
      <c r="U199" s="1752"/>
      <c r="V199" s="1787"/>
    </row>
    <row r="200" spans="1:22" outlineLevel="1">
      <c r="A200" s="1749">
        <f t="shared" si="61"/>
        <v>37895</v>
      </c>
      <c r="B200" s="1749" t="str">
        <f t="shared" si="62"/>
        <v>4Q03</v>
      </c>
      <c r="C200" s="1749" t="str">
        <f t="shared" si="63"/>
        <v>3Q03</v>
      </c>
      <c r="D200" s="1750">
        <f t="shared" si="65"/>
        <v>37900</v>
      </c>
      <c r="E200" s="1750">
        <f t="shared" si="65"/>
        <v>37893</v>
      </c>
      <c r="F200" s="1735">
        <v>1.429</v>
      </c>
      <c r="G200" s="1752"/>
      <c r="H200" s="1784">
        <v>8.4000000000000005E-2</v>
      </c>
      <c r="I200" s="1763">
        <f t="shared" si="57"/>
        <v>8.7999999999999995E-2</v>
      </c>
      <c r="J200" s="1784">
        <v>4.2000000000000003E-2</v>
      </c>
      <c r="K200" s="1763">
        <f t="shared" si="58"/>
        <v>4.3999999999999997E-2</v>
      </c>
      <c r="L200" s="1764">
        <f t="shared" si="66"/>
        <v>7.0000000000000007E-2</v>
      </c>
      <c r="M200" s="1765">
        <f t="shared" si="64"/>
        <v>7.0000000000000007E-2</v>
      </c>
      <c r="O200" s="1752"/>
      <c r="P200" s="1752"/>
      <c r="Q200" s="1758"/>
      <c r="R200" s="1758"/>
      <c r="T200" s="1752"/>
      <c r="U200" s="1752"/>
      <c r="V200" s="1787"/>
    </row>
    <row r="201" spans="1:22" outlineLevel="1">
      <c r="A201" s="1749">
        <f t="shared" si="61"/>
        <v>37895</v>
      </c>
      <c r="B201" s="1749" t="str">
        <f t="shared" si="62"/>
        <v>4Q03</v>
      </c>
      <c r="C201" s="1749" t="str">
        <f t="shared" si="63"/>
        <v>4Q03</v>
      </c>
      <c r="D201" s="1750">
        <f t="shared" si="65"/>
        <v>37907</v>
      </c>
      <c r="E201" s="1750">
        <f t="shared" si="65"/>
        <v>37900</v>
      </c>
      <c r="F201" s="1735">
        <v>1.4450000000000001</v>
      </c>
      <c r="G201" s="1752"/>
      <c r="H201" s="1784">
        <v>8.7999999999999995E-2</v>
      </c>
      <c r="I201" s="1763">
        <f t="shared" si="57"/>
        <v>9.8000000000000004E-2</v>
      </c>
      <c r="J201" s="1784">
        <v>4.3999999999999997E-2</v>
      </c>
      <c r="K201" s="1763">
        <f t="shared" si="58"/>
        <v>4.9000000000000002E-2</v>
      </c>
      <c r="L201" s="1764">
        <f t="shared" si="66"/>
        <v>7.0000000000000007E-2</v>
      </c>
      <c r="M201" s="1765">
        <f t="shared" si="64"/>
        <v>0.08</v>
      </c>
      <c r="O201" s="1752"/>
      <c r="P201" s="1752"/>
      <c r="Q201" s="1758"/>
      <c r="R201" s="1758"/>
      <c r="T201" s="1752"/>
      <c r="U201" s="1752"/>
      <c r="V201" s="1787"/>
    </row>
    <row r="202" spans="1:22" outlineLevel="1">
      <c r="A202" s="1749">
        <f t="shared" si="61"/>
        <v>37895</v>
      </c>
      <c r="B202" s="1749" t="str">
        <f t="shared" si="62"/>
        <v>4Q03</v>
      </c>
      <c r="C202" s="1749" t="str">
        <f t="shared" si="63"/>
        <v>4Q03</v>
      </c>
      <c r="D202" s="1750">
        <f t="shared" si="65"/>
        <v>37914</v>
      </c>
      <c r="E202" s="1750">
        <f t="shared" si="65"/>
        <v>37907</v>
      </c>
      <c r="F202" s="1735">
        <v>1.4830000000000001</v>
      </c>
      <c r="G202" s="1752"/>
      <c r="H202" s="1784">
        <v>9.8000000000000004E-2</v>
      </c>
      <c r="I202" s="1763">
        <f t="shared" si="57"/>
        <v>0.10199999999999999</v>
      </c>
      <c r="J202" s="1784">
        <v>4.9000000000000002E-2</v>
      </c>
      <c r="K202" s="1763">
        <f t="shared" si="58"/>
        <v>5.0999999999999997E-2</v>
      </c>
      <c r="L202" s="1764">
        <f t="shared" si="66"/>
        <v>0.08</v>
      </c>
      <c r="M202" s="1765">
        <f t="shared" si="64"/>
        <v>0.09</v>
      </c>
      <c r="O202" s="1752"/>
      <c r="P202" s="1752"/>
      <c r="Q202" s="1758"/>
      <c r="R202" s="1758"/>
      <c r="T202" s="1752"/>
      <c r="U202" s="1752"/>
      <c r="V202" s="1787"/>
    </row>
    <row r="203" spans="1:22" outlineLevel="1">
      <c r="A203" s="1749">
        <f t="shared" si="61"/>
        <v>37895</v>
      </c>
      <c r="B203" s="1749" t="str">
        <f t="shared" si="62"/>
        <v>4Q03</v>
      </c>
      <c r="C203" s="1749" t="str">
        <f t="shared" si="63"/>
        <v>4Q03</v>
      </c>
      <c r="D203" s="1750">
        <f t="shared" si="65"/>
        <v>37921</v>
      </c>
      <c r="E203" s="1750">
        <f t="shared" si="65"/>
        <v>37914</v>
      </c>
      <c r="F203" s="1735">
        <v>1.5019999999999998</v>
      </c>
      <c r="G203" s="1752"/>
      <c r="H203" s="1784">
        <v>0.10199999999999999</v>
      </c>
      <c r="I203" s="1763">
        <f t="shared" si="57"/>
        <v>0.1</v>
      </c>
      <c r="J203" s="1784">
        <v>5.0999999999999997E-2</v>
      </c>
      <c r="K203" s="1763">
        <f t="shared" si="58"/>
        <v>0.05</v>
      </c>
      <c r="L203" s="1764">
        <f t="shared" si="66"/>
        <v>0.09</v>
      </c>
      <c r="M203" s="1765">
        <f t="shared" si="64"/>
        <v>0.08</v>
      </c>
      <c r="O203" s="1752"/>
      <c r="P203" s="1752"/>
      <c r="Q203" s="1758"/>
      <c r="R203" s="1758"/>
      <c r="T203" s="1752"/>
      <c r="U203" s="1752"/>
      <c r="V203" s="1787"/>
    </row>
    <row r="204" spans="1:22" outlineLevel="1">
      <c r="A204" s="1749">
        <f t="shared" si="61"/>
        <v>37926</v>
      </c>
      <c r="B204" s="1749" t="str">
        <f t="shared" si="62"/>
        <v>4Q03</v>
      </c>
      <c r="C204" s="1749" t="str">
        <f t="shared" si="63"/>
        <v>4Q03</v>
      </c>
      <c r="D204" s="1750">
        <f t="shared" si="65"/>
        <v>37928</v>
      </c>
      <c r="E204" s="1750">
        <f t="shared" si="65"/>
        <v>37921</v>
      </c>
      <c r="F204" s="1735">
        <v>1.4950000000000001</v>
      </c>
      <c r="G204" s="1752"/>
      <c r="H204" s="1784">
        <v>0.1</v>
      </c>
      <c r="I204" s="1763">
        <f t="shared" si="57"/>
        <v>9.8000000000000004E-2</v>
      </c>
      <c r="J204" s="1784">
        <v>0.05</v>
      </c>
      <c r="K204" s="1763">
        <f t="shared" si="58"/>
        <v>4.9000000000000002E-2</v>
      </c>
      <c r="L204" s="1764">
        <f t="shared" si="66"/>
        <v>0.08</v>
      </c>
      <c r="M204" s="1765">
        <f t="shared" si="64"/>
        <v>0.08</v>
      </c>
      <c r="O204" s="1752"/>
      <c r="P204" s="1752"/>
      <c r="Q204" s="1758"/>
      <c r="R204" s="1758"/>
      <c r="T204" s="1752"/>
      <c r="U204" s="1752"/>
      <c r="V204" s="1787"/>
    </row>
    <row r="205" spans="1:22" outlineLevel="1">
      <c r="A205" s="1749">
        <f t="shared" si="61"/>
        <v>37926</v>
      </c>
      <c r="B205" s="1749" t="str">
        <f t="shared" si="62"/>
        <v>4Q03</v>
      </c>
      <c r="C205" s="1749" t="str">
        <f t="shared" si="63"/>
        <v>4Q03</v>
      </c>
      <c r="D205" s="1750">
        <f t="shared" si="65"/>
        <v>37935</v>
      </c>
      <c r="E205" s="1750">
        <f t="shared" si="65"/>
        <v>37928</v>
      </c>
      <c r="F205" s="1735">
        <v>1.4809999999999999</v>
      </c>
      <c r="G205" s="1752"/>
      <c r="H205" s="1784">
        <v>9.8000000000000004E-2</v>
      </c>
      <c r="I205" s="1763">
        <f t="shared" si="57"/>
        <v>9.4E-2</v>
      </c>
      <c r="J205" s="1784">
        <v>4.9000000000000002E-2</v>
      </c>
      <c r="K205" s="1763">
        <f t="shared" si="58"/>
        <v>4.7E-2</v>
      </c>
      <c r="L205" s="1764">
        <f t="shared" si="66"/>
        <v>0.08</v>
      </c>
      <c r="M205" s="1765">
        <f t="shared" si="64"/>
        <v>0.08</v>
      </c>
      <c r="O205" s="1752"/>
      <c r="P205" s="1752"/>
      <c r="Q205" s="1758"/>
      <c r="R205" s="1758"/>
      <c r="T205" s="1752"/>
      <c r="U205" s="1752"/>
      <c r="V205" s="1787"/>
    </row>
    <row r="206" spans="1:22" outlineLevel="1">
      <c r="A206" s="1749">
        <f t="shared" si="61"/>
        <v>37926</v>
      </c>
      <c r="B206" s="1749" t="str">
        <f t="shared" si="62"/>
        <v>4Q03</v>
      </c>
      <c r="C206" s="1749" t="str">
        <f t="shared" si="63"/>
        <v>4Q03</v>
      </c>
      <c r="D206" s="1750">
        <f t="shared" si="65"/>
        <v>37942</v>
      </c>
      <c r="E206" s="1750">
        <f t="shared" si="65"/>
        <v>37935</v>
      </c>
      <c r="F206" s="1735">
        <v>1.476</v>
      </c>
      <c r="G206" s="1752"/>
      <c r="H206" s="1784">
        <v>9.4E-2</v>
      </c>
      <c r="I206" s="1763">
        <f t="shared" si="57"/>
        <v>9.8000000000000004E-2</v>
      </c>
      <c r="J206" s="1784">
        <v>4.7E-2</v>
      </c>
      <c r="K206" s="1763">
        <f t="shared" si="58"/>
        <v>4.9000000000000002E-2</v>
      </c>
      <c r="L206" s="1764">
        <f t="shared" si="66"/>
        <v>0.08</v>
      </c>
      <c r="M206" s="1765">
        <f t="shared" si="64"/>
        <v>0.08</v>
      </c>
      <c r="O206" s="1752"/>
      <c r="P206" s="1752"/>
      <c r="Q206" s="1758"/>
      <c r="R206" s="1758"/>
      <c r="T206" s="1752"/>
      <c r="U206" s="1752"/>
      <c r="V206" s="1787"/>
    </row>
    <row r="207" spans="1:22" outlineLevel="1">
      <c r="A207" s="1749">
        <f t="shared" si="61"/>
        <v>37926</v>
      </c>
      <c r="B207" s="1749" t="str">
        <f t="shared" si="62"/>
        <v>4Q03</v>
      </c>
      <c r="C207" s="1749" t="str">
        <f t="shared" si="63"/>
        <v>4Q03</v>
      </c>
      <c r="D207" s="1750">
        <f t="shared" si="65"/>
        <v>37949</v>
      </c>
      <c r="E207" s="1750">
        <f t="shared" si="65"/>
        <v>37942</v>
      </c>
      <c r="F207" s="1735">
        <v>1.4809999999999999</v>
      </c>
      <c r="G207" s="1752"/>
      <c r="H207" s="1784">
        <v>9.8000000000000004E-2</v>
      </c>
      <c r="I207" s="1763">
        <f t="shared" si="57"/>
        <v>0.1</v>
      </c>
      <c r="J207" s="1784">
        <v>4.9000000000000002E-2</v>
      </c>
      <c r="K207" s="1763">
        <f t="shared" si="58"/>
        <v>0.05</v>
      </c>
      <c r="L207" s="1764">
        <f t="shared" si="66"/>
        <v>0.08</v>
      </c>
      <c r="M207" s="1765">
        <f t="shared" si="64"/>
        <v>0.08</v>
      </c>
      <c r="O207" s="1752"/>
      <c r="P207" s="1752"/>
      <c r="Q207" s="1758"/>
      <c r="R207" s="1758"/>
      <c r="T207" s="1752"/>
      <c r="U207" s="1752"/>
      <c r="V207" s="1787"/>
    </row>
    <row r="208" spans="1:22" outlineLevel="1">
      <c r="A208" s="1749">
        <f t="shared" si="61"/>
        <v>37956</v>
      </c>
      <c r="B208" s="1749" t="str">
        <f t="shared" si="62"/>
        <v>4Q03</v>
      </c>
      <c r="C208" s="1749" t="str">
        <f t="shared" si="63"/>
        <v>4Q03</v>
      </c>
      <c r="D208" s="1750">
        <f t="shared" si="65"/>
        <v>37956</v>
      </c>
      <c r="E208" s="1750">
        <f t="shared" si="65"/>
        <v>37949</v>
      </c>
      <c r="F208" s="1735">
        <v>1.4909999999999999</v>
      </c>
      <c r="G208" s="1752"/>
      <c r="H208" s="1784">
        <v>0.1</v>
      </c>
      <c r="I208" s="1763">
        <f t="shared" si="57"/>
        <v>9.4E-2</v>
      </c>
      <c r="J208" s="1784">
        <v>0.05</v>
      </c>
      <c r="K208" s="1763">
        <f t="shared" si="58"/>
        <v>4.7E-2</v>
      </c>
      <c r="L208" s="1764">
        <f t="shared" si="66"/>
        <v>0.08</v>
      </c>
      <c r="M208" s="1765">
        <f t="shared" si="64"/>
        <v>0.08</v>
      </c>
      <c r="O208" s="1752"/>
      <c r="P208" s="1752"/>
      <c r="Q208" s="1758"/>
      <c r="R208" s="1758"/>
      <c r="T208" s="1752"/>
      <c r="U208" s="1752"/>
      <c r="V208" s="1787"/>
    </row>
    <row r="209" spans="1:22" outlineLevel="1">
      <c r="A209" s="1749">
        <f t="shared" si="61"/>
        <v>37956</v>
      </c>
      <c r="B209" s="1749" t="str">
        <f t="shared" si="62"/>
        <v>4Q03</v>
      </c>
      <c r="C209" s="1749" t="str">
        <f t="shared" si="63"/>
        <v>4Q03</v>
      </c>
      <c r="D209" s="1750">
        <f t="shared" si="65"/>
        <v>37963</v>
      </c>
      <c r="E209" s="1750">
        <f t="shared" si="65"/>
        <v>37956</v>
      </c>
      <c r="F209" s="1735">
        <v>1.476</v>
      </c>
      <c r="G209" s="1752"/>
      <c r="H209" s="1784">
        <v>9.4E-2</v>
      </c>
      <c r="I209" s="1763">
        <f t="shared" si="57"/>
        <v>9.8000000000000004E-2</v>
      </c>
      <c r="J209" s="1784">
        <v>4.7E-2</v>
      </c>
      <c r="K209" s="1763">
        <f t="shared" si="58"/>
        <v>4.9000000000000002E-2</v>
      </c>
      <c r="L209" s="1764">
        <f t="shared" si="66"/>
        <v>0.08</v>
      </c>
      <c r="M209" s="1765">
        <f t="shared" si="64"/>
        <v>0.08</v>
      </c>
      <c r="O209" s="1752"/>
      <c r="P209" s="1752"/>
      <c r="Q209" s="1758"/>
      <c r="R209" s="1758"/>
      <c r="T209" s="1752"/>
      <c r="U209" s="1752"/>
      <c r="V209" s="1787"/>
    </row>
    <row r="210" spans="1:22" outlineLevel="1">
      <c r="A210" s="1749">
        <f t="shared" si="61"/>
        <v>37956</v>
      </c>
      <c r="B210" s="1749" t="str">
        <f t="shared" si="62"/>
        <v>4Q03</v>
      </c>
      <c r="C210" s="1749" t="str">
        <f t="shared" si="63"/>
        <v>4Q03</v>
      </c>
      <c r="D210" s="1750">
        <f t="shared" si="65"/>
        <v>37970</v>
      </c>
      <c r="E210" s="1750">
        <f t="shared" si="65"/>
        <v>37963</v>
      </c>
      <c r="F210" s="1735">
        <v>1.4809999999999999</v>
      </c>
      <c r="G210" s="1752"/>
      <c r="H210" s="1784">
        <v>9.8000000000000004E-2</v>
      </c>
      <c r="I210" s="1763">
        <f t="shared" si="57"/>
        <v>9.8000000000000004E-2</v>
      </c>
      <c r="J210" s="1784">
        <v>4.9000000000000002E-2</v>
      </c>
      <c r="K210" s="1763">
        <f t="shared" si="58"/>
        <v>4.9000000000000002E-2</v>
      </c>
      <c r="L210" s="1764">
        <f t="shared" si="66"/>
        <v>0.08</v>
      </c>
      <c r="M210" s="1765">
        <f t="shared" si="64"/>
        <v>0.08</v>
      </c>
      <c r="O210" s="1752"/>
      <c r="P210" s="1752"/>
      <c r="Q210" s="1758"/>
      <c r="R210" s="1758"/>
      <c r="T210" s="1752"/>
      <c r="U210" s="1752"/>
      <c r="V210" s="1787"/>
    </row>
    <row r="211" spans="1:22" outlineLevel="1">
      <c r="A211" s="1749">
        <f t="shared" si="61"/>
        <v>37956</v>
      </c>
      <c r="B211" s="1749" t="str">
        <f t="shared" si="62"/>
        <v>4Q03</v>
      </c>
      <c r="C211" s="1749" t="str">
        <f t="shared" si="63"/>
        <v>4Q03</v>
      </c>
      <c r="D211" s="1750">
        <f t="shared" si="65"/>
        <v>37977</v>
      </c>
      <c r="E211" s="1750">
        <f t="shared" si="65"/>
        <v>37970</v>
      </c>
      <c r="F211" s="1735">
        <v>1.486</v>
      </c>
      <c r="G211" s="1752"/>
      <c r="H211" s="1784">
        <v>9.8000000000000004E-2</v>
      </c>
      <c r="I211" s="1763">
        <f t="shared" si="57"/>
        <v>0.10199999999999999</v>
      </c>
      <c r="J211" s="1784">
        <v>4.9000000000000002E-2</v>
      </c>
      <c r="K211" s="1763">
        <f t="shared" si="58"/>
        <v>5.0999999999999997E-2</v>
      </c>
      <c r="L211" s="1764">
        <f t="shared" si="66"/>
        <v>0.08</v>
      </c>
      <c r="M211" s="1765">
        <f t="shared" si="64"/>
        <v>0.09</v>
      </c>
      <c r="O211" s="1752"/>
      <c r="P211" s="1752"/>
      <c r="Q211" s="1758"/>
      <c r="R211" s="1758"/>
      <c r="T211" s="1752"/>
      <c r="U211" s="1752"/>
      <c r="V211" s="1787"/>
    </row>
    <row r="212" spans="1:22" outlineLevel="1">
      <c r="A212" s="1749">
        <f t="shared" si="61"/>
        <v>37956</v>
      </c>
      <c r="B212" s="1749" t="str">
        <f t="shared" si="62"/>
        <v>4Q03</v>
      </c>
      <c r="C212" s="1749" t="str">
        <f t="shared" si="63"/>
        <v>4Q03</v>
      </c>
      <c r="D212" s="1750">
        <f t="shared" si="65"/>
        <v>37984</v>
      </c>
      <c r="E212" s="1750">
        <f t="shared" si="65"/>
        <v>37977</v>
      </c>
      <c r="F212" s="1735">
        <v>1.504</v>
      </c>
      <c r="G212" s="1752"/>
      <c r="H212" s="1784">
        <v>0.10199999999999999</v>
      </c>
      <c r="I212" s="1763">
        <f t="shared" si="57"/>
        <v>0.10199999999999999</v>
      </c>
      <c r="J212" s="1784">
        <v>5.0999999999999997E-2</v>
      </c>
      <c r="K212" s="1763">
        <f t="shared" si="58"/>
        <v>5.0999999999999997E-2</v>
      </c>
      <c r="L212" s="1764">
        <f t="shared" si="66"/>
        <v>0.09</v>
      </c>
      <c r="M212" s="1765">
        <f t="shared" si="64"/>
        <v>0.09</v>
      </c>
      <c r="O212" s="1752"/>
      <c r="P212" s="1752"/>
      <c r="Q212" s="1758"/>
      <c r="R212" s="1758"/>
      <c r="T212" s="1752"/>
      <c r="U212" s="1752"/>
      <c r="V212" s="1787"/>
    </row>
    <row r="213" spans="1:22" outlineLevel="1">
      <c r="A213" s="1749">
        <f t="shared" si="61"/>
        <v>37987</v>
      </c>
      <c r="B213" s="1749" t="str">
        <f t="shared" si="62"/>
        <v>1Q04</v>
      </c>
      <c r="C213" s="1749" t="str">
        <f t="shared" si="63"/>
        <v>4Q03</v>
      </c>
      <c r="D213" s="1750">
        <f t="shared" ref="D213:E228" si="67">D212+7</f>
        <v>37991</v>
      </c>
      <c r="E213" s="1750">
        <f t="shared" si="67"/>
        <v>37984</v>
      </c>
      <c r="F213" s="1735">
        <v>1.5019999999999998</v>
      </c>
      <c r="G213" s="1752"/>
      <c r="H213" s="1784">
        <v>0.10199999999999999</v>
      </c>
      <c r="I213" s="1763">
        <f t="shared" si="57"/>
        <v>0.10199999999999999</v>
      </c>
      <c r="J213" s="1784">
        <v>5.0999999999999997E-2</v>
      </c>
      <c r="K213" s="1763">
        <f t="shared" si="58"/>
        <v>5.0999999999999997E-2</v>
      </c>
      <c r="L213" s="1764">
        <f t="shared" si="66"/>
        <v>0.09</v>
      </c>
      <c r="M213" s="1765">
        <f t="shared" si="64"/>
        <v>0.09</v>
      </c>
      <c r="O213" s="1752"/>
      <c r="P213" s="1752"/>
      <c r="Q213" s="1758"/>
      <c r="R213" s="1758"/>
      <c r="T213" s="1752"/>
      <c r="U213" s="1752"/>
      <c r="V213" s="1787"/>
    </row>
    <row r="214" spans="1:22" outlineLevel="1">
      <c r="A214" s="1749">
        <f t="shared" si="61"/>
        <v>37987</v>
      </c>
      <c r="B214" s="1749" t="str">
        <f t="shared" si="62"/>
        <v>1Q04</v>
      </c>
      <c r="C214" s="1749" t="str">
        <f t="shared" si="63"/>
        <v>1Q04</v>
      </c>
      <c r="D214" s="1750">
        <f t="shared" si="67"/>
        <v>37998</v>
      </c>
      <c r="E214" s="1750">
        <f t="shared" si="67"/>
        <v>37991</v>
      </c>
      <c r="F214" s="1735">
        <v>1.5030000000000001</v>
      </c>
      <c r="G214" s="1752"/>
      <c r="H214" s="1784">
        <v>0.10199999999999999</v>
      </c>
      <c r="I214" s="1763">
        <f t="shared" si="57"/>
        <v>0.11600000000000001</v>
      </c>
      <c r="J214" s="1784">
        <v>5.0999999999999997E-2</v>
      </c>
      <c r="K214" s="1763">
        <f t="shared" si="58"/>
        <v>5.8000000000000003E-2</v>
      </c>
      <c r="L214" s="1764">
        <f t="shared" si="66"/>
        <v>0.09</v>
      </c>
      <c r="M214" s="1765">
        <f t="shared" si="64"/>
        <v>9.9999999999999992E-2</v>
      </c>
      <c r="O214" s="1752"/>
      <c r="P214" s="1752"/>
      <c r="Q214" s="1758"/>
      <c r="R214" s="1758"/>
      <c r="T214" s="1752"/>
      <c r="U214" s="1752"/>
      <c r="V214" s="1787"/>
    </row>
    <row r="215" spans="1:22" outlineLevel="1">
      <c r="A215" s="1749">
        <f t="shared" si="61"/>
        <v>37987</v>
      </c>
      <c r="B215" s="1749" t="str">
        <f t="shared" si="62"/>
        <v>1Q04</v>
      </c>
      <c r="C215" s="1749" t="str">
        <f t="shared" si="63"/>
        <v>1Q04</v>
      </c>
      <c r="D215" s="1750">
        <f t="shared" si="67"/>
        <v>38005</v>
      </c>
      <c r="E215" s="1750">
        <f t="shared" si="67"/>
        <v>37998</v>
      </c>
      <c r="F215" s="1735">
        <v>1.5509999999999999</v>
      </c>
      <c r="G215" s="1752"/>
      <c r="H215" s="1784">
        <v>0.11600000000000001</v>
      </c>
      <c r="I215" s="1763">
        <f t="shared" si="57"/>
        <v>0.11600000000000001</v>
      </c>
      <c r="J215" s="1784">
        <v>5.8000000000000003E-2</v>
      </c>
      <c r="K215" s="1763">
        <f t="shared" si="58"/>
        <v>5.8000000000000003E-2</v>
      </c>
      <c r="L215" s="1764">
        <f t="shared" si="66"/>
        <v>9.9999999999999992E-2</v>
      </c>
      <c r="M215" s="1765">
        <f t="shared" si="64"/>
        <v>9.9999999999999992E-2</v>
      </c>
      <c r="O215" s="1752"/>
      <c r="P215" s="1752"/>
      <c r="Q215" s="1758"/>
      <c r="R215" s="1758"/>
      <c r="T215" s="1752"/>
      <c r="U215" s="1752"/>
      <c r="V215" s="1787"/>
    </row>
    <row r="216" spans="1:22" outlineLevel="1">
      <c r="A216" s="1749">
        <f t="shared" si="61"/>
        <v>37987</v>
      </c>
      <c r="B216" s="1749" t="str">
        <f t="shared" si="62"/>
        <v>1Q04</v>
      </c>
      <c r="C216" s="1749" t="str">
        <f t="shared" si="63"/>
        <v>1Q04</v>
      </c>
      <c r="D216" s="1750">
        <f t="shared" si="67"/>
        <v>38012</v>
      </c>
      <c r="E216" s="1750">
        <f t="shared" si="67"/>
        <v>38005</v>
      </c>
      <c r="F216" s="1735">
        <v>1.5590000000000002</v>
      </c>
      <c r="G216" s="1752"/>
      <c r="H216" s="1784">
        <v>0.11600000000000001</v>
      </c>
      <c r="I216" s="1763">
        <f t="shared" si="57"/>
        <v>0.126</v>
      </c>
      <c r="J216" s="1784">
        <v>5.8000000000000003E-2</v>
      </c>
      <c r="K216" s="1763">
        <f t="shared" si="58"/>
        <v>6.3E-2</v>
      </c>
      <c r="L216" s="1764">
        <f t="shared" si="66"/>
        <v>9.9999999999999992E-2</v>
      </c>
      <c r="M216" s="1765">
        <f t="shared" si="64"/>
        <v>9.9999999999999992E-2</v>
      </c>
      <c r="O216" s="1752"/>
      <c r="P216" s="1752"/>
      <c r="Q216" s="1758"/>
      <c r="R216" s="1758"/>
      <c r="T216" s="1752"/>
      <c r="U216" s="1752"/>
      <c r="V216" s="1787"/>
    </row>
    <row r="217" spans="1:22" outlineLevel="1">
      <c r="A217" s="1749">
        <f t="shared" si="61"/>
        <v>38018</v>
      </c>
      <c r="B217" s="1749" t="str">
        <f t="shared" si="62"/>
        <v>1Q04</v>
      </c>
      <c r="C217" s="1749" t="str">
        <f t="shared" si="63"/>
        <v>1Q04</v>
      </c>
      <c r="D217" s="1750">
        <f t="shared" si="67"/>
        <v>38019</v>
      </c>
      <c r="E217" s="1750">
        <f t="shared" si="67"/>
        <v>38012</v>
      </c>
      <c r="F217" s="1735">
        <v>1.591</v>
      </c>
      <c r="G217" s="1752"/>
      <c r="H217" s="1784">
        <v>0.126</v>
      </c>
      <c r="I217" s="1763">
        <f t="shared" ref="I217:I280" si="68">H218</f>
        <v>0.124</v>
      </c>
      <c r="J217" s="1784">
        <v>6.3E-2</v>
      </c>
      <c r="K217" s="1763">
        <f t="shared" ref="K217:K280" si="69">J218</f>
        <v>6.2E-2</v>
      </c>
      <c r="L217" s="1764">
        <f t="shared" si="66"/>
        <v>9.9999999999999992E-2</v>
      </c>
      <c r="M217" s="1765">
        <f t="shared" si="64"/>
        <v>9.9999999999999992E-2</v>
      </c>
      <c r="O217" s="1752"/>
      <c r="P217" s="1752"/>
      <c r="Q217" s="1758"/>
      <c r="R217" s="1758"/>
      <c r="T217" s="1752"/>
      <c r="U217" s="1752"/>
      <c r="V217" s="1787"/>
    </row>
    <row r="218" spans="1:22" outlineLevel="1">
      <c r="A218" s="1749">
        <f t="shared" si="61"/>
        <v>38018</v>
      </c>
      <c r="B218" s="1749" t="str">
        <f t="shared" si="62"/>
        <v>1Q04</v>
      </c>
      <c r="C218" s="1749" t="str">
        <f t="shared" si="63"/>
        <v>1Q04</v>
      </c>
      <c r="D218" s="1750">
        <f t="shared" si="67"/>
        <v>38026</v>
      </c>
      <c r="E218" s="1750">
        <f t="shared" si="67"/>
        <v>38019</v>
      </c>
      <c r="F218" s="1735">
        <v>1.581</v>
      </c>
      <c r="G218" s="1752"/>
      <c r="H218" s="1784">
        <v>0.124</v>
      </c>
      <c r="I218" s="1763">
        <f t="shared" si="68"/>
        <v>0.11799999999999999</v>
      </c>
      <c r="J218" s="1784">
        <v>6.2E-2</v>
      </c>
      <c r="K218" s="1763">
        <f t="shared" si="69"/>
        <v>5.8999999999999997E-2</v>
      </c>
      <c r="L218" s="1764">
        <f t="shared" si="66"/>
        <v>9.9999999999999992E-2</v>
      </c>
      <c r="M218" s="1765">
        <f t="shared" si="64"/>
        <v>9.9999999999999992E-2</v>
      </c>
      <c r="O218" s="1752"/>
      <c r="P218" s="1752"/>
      <c r="Q218" s="1758"/>
      <c r="R218" s="1758"/>
      <c r="T218" s="1752"/>
      <c r="U218" s="1752"/>
      <c r="V218" s="1787"/>
    </row>
    <row r="219" spans="1:22" outlineLevel="1">
      <c r="A219" s="1749">
        <f t="shared" si="61"/>
        <v>38018</v>
      </c>
      <c r="B219" s="1749" t="str">
        <f t="shared" si="62"/>
        <v>1Q04</v>
      </c>
      <c r="C219" s="1749" t="str">
        <f t="shared" si="63"/>
        <v>1Q04</v>
      </c>
      <c r="D219" s="1750">
        <f t="shared" si="67"/>
        <v>38033</v>
      </c>
      <c r="E219" s="1750">
        <f t="shared" si="67"/>
        <v>38026</v>
      </c>
      <c r="F219" s="1735">
        <v>1.5680000000000001</v>
      </c>
      <c r="G219" s="1752"/>
      <c r="H219" s="1784">
        <v>0.11799999999999999</v>
      </c>
      <c r="I219" s="1763">
        <f t="shared" si="68"/>
        <v>0.124</v>
      </c>
      <c r="J219" s="1784">
        <v>5.8999999999999997E-2</v>
      </c>
      <c r="K219" s="1763">
        <f t="shared" si="69"/>
        <v>6.2E-2</v>
      </c>
      <c r="L219" s="1764">
        <f t="shared" si="66"/>
        <v>9.9999999999999992E-2</v>
      </c>
      <c r="M219" s="1765">
        <f t="shared" si="64"/>
        <v>9.9999999999999992E-2</v>
      </c>
      <c r="O219" s="1752"/>
      <c r="P219" s="1752"/>
      <c r="Q219" s="1758"/>
      <c r="R219" s="1758"/>
      <c r="T219" s="1752"/>
      <c r="U219" s="1752"/>
      <c r="V219" s="1787"/>
    </row>
    <row r="220" spans="1:22" outlineLevel="1">
      <c r="A220" s="1749">
        <f t="shared" si="61"/>
        <v>38018</v>
      </c>
      <c r="B220" s="1749" t="str">
        <f t="shared" si="62"/>
        <v>1Q04</v>
      </c>
      <c r="C220" s="1749" t="str">
        <f t="shared" si="63"/>
        <v>1Q04</v>
      </c>
      <c r="D220" s="1750">
        <f t="shared" si="67"/>
        <v>38040</v>
      </c>
      <c r="E220" s="1750">
        <f t="shared" si="67"/>
        <v>38033</v>
      </c>
      <c r="F220" s="1735">
        <v>1.5840000000000001</v>
      </c>
      <c r="G220" s="1752"/>
      <c r="H220" s="1784">
        <v>0.124</v>
      </c>
      <c r="I220" s="1763">
        <f t="shared" si="68"/>
        <v>0.126</v>
      </c>
      <c r="J220" s="1784">
        <v>6.2E-2</v>
      </c>
      <c r="K220" s="1763">
        <f t="shared" si="69"/>
        <v>6.3E-2</v>
      </c>
      <c r="L220" s="1764">
        <f t="shared" si="66"/>
        <v>9.9999999999999992E-2</v>
      </c>
      <c r="M220" s="1765">
        <f t="shared" si="64"/>
        <v>9.9999999999999992E-2</v>
      </c>
      <c r="O220" s="1752"/>
      <c r="P220" s="1752"/>
      <c r="Q220" s="1758"/>
      <c r="R220" s="1758"/>
      <c r="T220" s="1752"/>
      <c r="U220" s="1752"/>
      <c r="V220" s="1787"/>
    </row>
    <row r="221" spans="1:22" outlineLevel="1">
      <c r="A221" s="1749">
        <f t="shared" si="61"/>
        <v>38047</v>
      </c>
      <c r="B221" s="1749" t="str">
        <f t="shared" si="62"/>
        <v>1Q04</v>
      </c>
      <c r="C221" s="1749" t="str">
        <f t="shared" si="63"/>
        <v>1Q04</v>
      </c>
      <c r="D221" s="1750">
        <f t="shared" si="67"/>
        <v>38047</v>
      </c>
      <c r="E221" s="1750">
        <f t="shared" si="67"/>
        <v>38040</v>
      </c>
      <c r="F221" s="1735">
        <v>1.595</v>
      </c>
      <c r="G221" s="1752"/>
      <c r="H221" s="1784">
        <v>0.126</v>
      </c>
      <c r="I221" s="1763">
        <f t="shared" si="68"/>
        <v>0.13200000000000001</v>
      </c>
      <c r="J221" s="1784">
        <v>6.3E-2</v>
      </c>
      <c r="K221" s="1763">
        <f t="shared" si="69"/>
        <v>6.6000000000000003E-2</v>
      </c>
      <c r="L221" s="1764">
        <f t="shared" si="66"/>
        <v>9.9999999999999992E-2</v>
      </c>
      <c r="M221" s="1765">
        <f t="shared" si="64"/>
        <v>0.10999999999999999</v>
      </c>
      <c r="O221" s="1752"/>
      <c r="P221" s="1752"/>
      <c r="Q221" s="1758"/>
      <c r="R221" s="1758"/>
      <c r="T221" s="1752"/>
      <c r="U221" s="1752"/>
      <c r="V221" s="1787"/>
    </row>
    <row r="222" spans="1:22" outlineLevel="1">
      <c r="A222" s="1749">
        <f t="shared" si="61"/>
        <v>38047</v>
      </c>
      <c r="B222" s="1749" t="str">
        <f t="shared" si="62"/>
        <v>1Q04</v>
      </c>
      <c r="C222" s="1749" t="str">
        <f t="shared" si="63"/>
        <v>1Q04</v>
      </c>
      <c r="D222" s="1750">
        <f t="shared" si="67"/>
        <v>38054</v>
      </c>
      <c r="E222" s="1750">
        <f t="shared" si="67"/>
        <v>38047</v>
      </c>
      <c r="F222" s="1735">
        <v>1.619</v>
      </c>
      <c r="G222" s="1752"/>
      <c r="H222" s="1784">
        <v>0.13200000000000001</v>
      </c>
      <c r="I222" s="1763">
        <f t="shared" si="68"/>
        <v>0.13600000000000001</v>
      </c>
      <c r="J222" s="1784">
        <v>6.6000000000000003E-2</v>
      </c>
      <c r="K222" s="1763">
        <f t="shared" si="69"/>
        <v>6.8000000000000005E-2</v>
      </c>
      <c r="L222" s="1764">
        <f t="shared" si="66"/>
        <v>0.10999999999999999</v>
      </c>
      <c r="M222" s="1765">
        <f t="shared" si="64"/>
        <v>0.10999999999999999</v>
      </c>
      <c r="O222" s="1752"/>
      <c r="P222" s="1752"/>
      <c r="Q222" s="1758"/>
      <c r="R222" s="1758"/>
      <c r="T222" s="1752"/>
      <c r="U222" s="1752"/>
      <c r="V222" s="1787"/>
    </row>
    <row r="223" spans="1:22" outlineLevel="1">
      <c r="A223" s="1749">
        <f t="shared" si="61"/>
        <v>38047</v>
      </c>
      <c r="B223" s="1749" t="str">
        <f t="shared" si="62"/>
        <v>1Q04</v>
      </c>
      <c r="C223" s="1749" t="str">
        <f t="shared" si="63"/>
        <v>1Q04</v>
      </c>
      <c r="D223" s="1750">
        <f t="shared" si="67"/>
        <v>38061</v>
      </c>
      <c r="E223" s="1750">
        <f t="shared" si="67"/>
        <v>38054</v>
      </c>
      <c r="F223" s="1735">
        <v>1.6280000000000001</v>
      </c>
      <c r="G223" s="1752"/>
      <c r="H223" s="1784">
        <v>0.13600000000000001</v>
      </c>
      <c r="I223" s="1763">
        <f t="shared" si="68"/>
        <v>0.13200000000000001</v>
      </c>
      <c r="J223" s="1784">
        <v>6.8000000000000005E-2</v>
      </c>
      <c r="K223" s="1763">
        <f t="shared" si="69"/>
        <v>6.6000000000000003E-2</v>
      </c>
      <c r="L223" s="1764">
        <f t="shared" si="66"/>
        <v>0.10999999999999999</v>
      </c>
      <c r="M223" s="1765">
        <f t="shared" si="64"/>
        <v>0.10999999999999999</v>
      </c>
      <c r="O223" s="1752"/>
      <c r="P223" s="1752"/>
      <c r="Q223" s="1758"/>
      <c r="R223" s="1758"/>
      <c r="T223" s="1752"/>
      <c r="U223" s="1752"/>
      <c r="V223" s="1787"/>
    </row>
    <row r="224" spans="1:22" outlineLevel="1">
      <c r="A224" s="1749">
        <f t="shared" si="61"/>
        <v>38047</v>
      </c>
      <c r="B224" s="1749" t="str">
        <f t="shared" si="62"/>
        <v>1Q04</v>
      </c>
      <c r="C224" s="1749" t="str">
        <f t="shared" si="63"/>
        <v>1Q04</v>
      </c>
      <c r="D224" s="1750">
        <f t="shared" si="67"/>
        <v>38068</v>
      </c>
      <c r="E224" s="1750">
        <f t="shared" si="67"/>
        <v>38061</v>
      </c>
      <c r="F224" s="1735">
        <v>1.617</v>
      </c>
      <c r="G224" s="1752"/>
      <c r="H224" s="1784">
        <v>0.13200000000000001</v>
      </c>
      <c r="I224" s="1763">
        <f t="shared" si="68"/>
        <v>0.14000000000000001</v>
      </c>
      <c r="J224" s="1784">
        <v>6.6000000000000003E-2</v>
      </c>
      <c r="K224" s="1763">
        <f t="shared" si="69"/>
        <v>7.0000000000000007E-2</v>
      </c>
      <c r="L224" s="1764">
        <f t="shared" si="66"/>
        <v>0.10999999999999999</v>
      </c>
      <c r="M224" s="1765">
        <f t="shared" si="64"/>
        <v>0.10999999999999999</v>
      </c>
      <c r="O224" s="1752"/>
      <c r="P224" s="1752"/>
      <c r="Q224" s="1758"/>
      <c r="R224" s="1758"/>
      <c r="T224" s="1752"/>
      <c r="U224" s="1752"/>
      <c r="V224" s="1787"/>
    </row>
    <row r="225" spans="1:22" outlineLevel="1">
      <c r="A225" s="1749">
        <f t="shared" si="61"/>
        <v>38047</v>
      </c>
      <c r="B225" s="1749" t="str">
        <f t="shared" si="62"/>
        <v>1Q04</v>
      </c>
      <c r="C225" s="1749" t="str">
        <f t="shared" si="63"/>
        <v>1Q04</v>
      </c>
      <c r="D225" s="1750">
        <f t="shared" si="67"/>
        <v>38075</v>
      </c>
      <c r="E225" s="1750">
        <f t="shared" si="67"/>
        <v>38068</v>
      </c>
      <c r="F225" s="1735">
        <v>1.641</v>
      </c>
      <c r="G225" s="1752"/>
      <c r="H225" s="1784">
        <v>0.14000000000000001</v>
      </c>
      <c r="I225" s="1763">
        <f t="shared" si="68"/>
        <v>0.14000000000000001</v>
      </c>
      <c r="J225" s="1784">
        <v>7.0000000000000007E-2</v>
      </c>
      <c r="K225" s="1763">
        <f t="shared" si="69"/>
        <v>7.0000000000000007E-2</v>
      </c>
      <c r="L225" s="1764">
        <f t="shared" si="66"/>
        <v>0.10999999999999999</v>
      </c>
      <c r="M225" s="1765">
        <f t="shared" si="64"/>
        <v>0.10999999999999999</v>
      </c>
      <c r="O225" s="1752"/>
      <c r="P225" s="1752"/>
      <c r="Q225" s="1758"/>
      <c r="R225" s="1758"/>
      <c r="T225" s="1752"/>
      <c r="U225" s="1752"/>
      <c r="V225" s="1787"/>
    </row>
    <row r="226" spans="1:22" outlineLevel="1">
      <c r="A226" s="1749">
        <f t="shared" si="61"/>
        <v>38078</v>
      </c>
      <c r="B226" s="1749" t="str">
        <f t="shared" si="62"/>
        <v>2Q04</v>
      </c>
      <c r="C226" s="1749" t="str">
        <f t="shared" si="63"/>
        <v>1Q04</v>
      </c>
      <c r="D226" s="1750">
        <f t="shared" si="67"/>
        <v>38082</v>
      </c>
      <c r="E226" s="1750">
        <f t="shared" si="67"/>
        <v>38075</v>
      </c>
      <c r="F226" s="1735">
        <v>1.6419999999999999</v>
      </c>
      <c r="G226" s="1752"/>
      <c r="H226" s="1784">
        <v>0.14000000000000001</v>
      </c>
      <c r="I226" s="1763">
        <f t="shared" si="68"/>
        <v>0.14000000000000001</v>
      </c>
      <c r="J226" s="1784">
        <v>7.0000000000000007E-2</v>
      </c>
      <c r="K226" s="1763">
        <f t="shared" si="69"/>
        <v>7.0000000000000007E-2</v>
      </c>
      <c r="L226" s="1764">
        <f t="shared" si="66"/>
        <v>0.10999999999999999</v>
      </c>
      <c r="M226" s="1765">
        <f t="shared" si="64"/>
        <v>0.10999999999999999</v>
      </c>
      <c r="O226" s="1752"/>
      <c r="P226" s="1752"/>
      <c r="Q226" s="1758"/>
      <c r="R226" s="1758"/>
      <c r="T226" s="1752"/>
      <c r="U226" s="1752"/>
      <c r="V226" s="1787"/>
    </row>
    <row r="227" spans="1:22" outlineLevel="1">
      <c r="A227" s="1749">
        <f t="shared" si="61"/>
        <v>38078</v>
      </c>
      <c r="B227" s="1749" t="str">
        <f t="shared" si="62"/>
        <v>2Q04</v>
      </c>
      <c r="C227" s="1749" t="str">
        <f t="shared" si="63"/>
        <v>2Q04</v>
      </c>
      <c r="D227" s="1750">
        <f t="shared" si="67"/>
        <v>38089</v>
      </c>
      <c r="E227" s="1750">
        <f t="shared" si="67"/>
        <v>38082</v>
      </c>
      <c r="F227" s="1735">
        <v>1.6480000000000001</v>
      </c>
      <c r="G227" s="1752"/>
      <c r="H227" s="1784">
        <v>0.14000000000000001</v>
      </c>
      <c r="I227" s="1763">
        <f t="shared" si="68"/>
        <v>0.14599999999999999</v>
      </c>
      <c r="J227" s="1784">
        <v>7.0000000000000007E-2</v>
      </c>
      <c r="K227" s="1763">
        <f t="shared" si="69"/>
        <v>7.2999999999999995E-2</v>
      </c>
      <c r="L227" s="1764">
        <f t="shared" si="66"/>
        <v>0.10999999999999999</v>
      </c>
      <c r="M227" s="1765">
        <f t="shared" si="64"/>
        <v>0.11999999999999998</v>
      </c>
      <c r="O227" s="1752"/>
      <c r="P227" s="1752"/>
      <c r="Q227" s="1758"/>
      <c r="R227" s="1758"/>
      <c r="T227" s="1752"/>
      <c r="U227" s="1752"/>
      <c r="V227" s="1787"/>
    </row>
    <row r="228" spans="1:22" outlineLevel="1">
      <c r="A228" s="1749">
        <f t="shared" si="61"/>
        <v>38078</v>
      </c>
      <c r="B228" s="1749" t="str">
        <f t="shared" si="62"/>
        <v>2Q04</v>
      </c>
      <c r="C228" s="1749" t="str">
        <f t="shared" si="63"/>
        <v>2Q04</v>
      </c>
      <c r="D228" s="1750">
        <f t="shared" si="67"/>
        <v>38096</v>
      </c>
      <c r="E228" s="1750">
        <f t="shared" si="67"/>
        <v>38089</v>
      </c>
      <c r="F228" s="1735">
        <v>1.679</v>
      </c>
      <c r="G228" s="1752"/>
      <c r="H228" s="1784">
        <v>0.14599999999999999</v>
      </c>
      <c r="I228" s="1763">
        <f t="shared" si="68"/>
        <v>0.14599999999999999</v>
      </c>
      <c r="J228" s="1784">
        <v>7.2999999999999995E-2</v>
      </c>
      <c r="K228" s="1763">
        <f t="shared" si="69"/>
        <v>7.2999999999999995E-2</v>
      </c>
      <c r="L228" s="1764">
        <f t="shared" si="66"/>
        <v>0.11999999999999998</v>
      </c>
      <c r="M228" s="1765">
        <f t="shared" si="64"/>
        <v>0.12999999999999998</v>
      </c>
      <c r="O228" s="1752"/>
      <c r="P228" s="1752"/>
      <c r="Q228" s="1758"/>
      <c r="R228" s="1758"/>
      <c r="T228" s="1752"/>
      <c r="U228" s="1752"/>
      <c r="V228" s="1787"/>
    </row>
    <row r="229" spans="1:22" outlineLevel="1">
      <c r="A229" s="1749">
        <f t="shared" si="61"/>
        <v>38078</v>
      </c>
      <c r="B229" s="1749" t="str">
        <f t="shared" si="62"/>
        <v>2Q04</v>
      </c>
      <c r="C229" s="1749" t="str">
        <f t="shared" si="63"/>
        <v>2Q04</v>
      </c>
      <c r="D229" s="1750">
        <f t="shared" ref="D229:E244" si="70">D228+7</f>
        <v>38103</v>
      </c>
      <c r="E229" s="1750">
        <f t="shared" si="70"/>
        <v>38096</v>
      </c>
      <c r="F229" s="1735">
        <v>1.724</v>
      </c>
      <c r="G229" s="1752"/>
      <c r="H229" s="1784">
        <v>0.14599999999999999</v>
      </c>
      <c r="I229" s="1763">
        <f t="shared" si="68"/>
        <v>0.14599999999999999</v>
      </c>
      <c r="J229" s="1784">
        <v>7.2999999999999995E-2</v>
      </c>
      <c r="K229" s="1763">
        <f t="shared" si="69"/>
        <v>7.2999999999999995E-2</v>
      </c>
      <c r="L229" s="1764">
        <f t="shared" si="66"/>
        <v>0.12999999999999998</v>
      </c>
      <c r="M229" s="1765">
        <f t="shared" si="64"/>
        <v>0.12999999999999998</v>
      </c>
      <c r="O229" s="1752"/>
      <c r="P229" s="1752"/>
      <c r="Q229" s="1758"/>
      <c r="R229" s="1758"/>
      <c r="T229" s="1752"/>
      <c r="U229" s="1752"/>
      <c r="V229" s="1787"/>
    </row>
    <row r="230" spans="1:22" outlineLevel="1">
      <c r="A230" s="1749">
        <f t="shared" si="61"/>
        <v>38108</v>
      </c>
      <c r="B230" s="1749" t="str">
        <f t="shared" si="62"/>
        <v>2Q04</v>
      </c>
      <c r="C230" s="1749" t="str">
        <f t="shared" si="63"/>
        <v>2Q04</v>
      </c>
      <c r="D230" s="1750">
        <f t="shared" si="70"/>
        <v>38110</v>
      </c>
      <c r="E230" s="1750">
        <f t="shared" si="70"/>
        <v>38103</v>
      </c>
      <c r="F230" s="1735">
        <v>1.7180000000000002</v>
      </c>
      <c r="G230" s="1752"/>
      <c r="H230" s="1784">
        <v>0.14599999999999999</v>
      </c>
      <c r="I230" s="1763">
        <f t="shared" si="68"/>
        <v>0.14599999999999999</v>
      </c>
      <c r="J230" s="1784">
        <v>7.2999999999999995E-2</v>
      </c>
      <c r="K230" s="1763">
        <f t="shared" si="69"/>
        <v>7.2999999999999995E-2</v>
      </c>
      <c r="L230" s="1764">
        <f t="shared" si="66"/>
        <v>0.12999999999999998</v>
      </c>
      <c r="M230" s="1765">
        <f t="shared" si="64"/>
        <v>0.12999999999999998</v>
      </c>
      <c r="O230" s="1752"/>
      <c r="P230" s="1752"/>
      <c r="Q230" s="1758"/>
      <c r="R230" s="1758"/>
      <c r="T230" s="1752"/>
      <c r="U230" s="1752"/>
      <c r="V230" s="1787"/>
    </row>
    <row r="231" spans="1:22" outlineLevel="1">
      <c r="A231" s="1749">
        <f t="shared" si="61"/>
        <v>38108</v>
      </c>
      <c r="B231" s="1749" t="str">
        <f t="shared" si="62"/>
        <v>2Q04</v>
      </c>
      <c r="C231" s="1749" t="str">
        <f t="shared" si="63"/>
        <v>2Q04</v>
      </c>
      <c r="D231" s="1750">
        <f t="shared" si="70"/>
        <v>38117</v>
      </c>
      <c r="E231" s="1750">
        <f t="shared" si="70"/>
        <v>38110</v>
      </c>
      <c r="F231" s="1735">
        <v>1.7169999999999999</v>
      </c>
      <c r="G231" s="1752"/>
      <c r="H231" s="1784">
        <v>0.14599999999999999</v>
      </c>
      <c r="I231" s="1763">
        <f t="shared" si="68"/>
        <v>0.16400000000000001</v>
      </c>
      <c r="J231" s="1784">
        <v>7.2999999999999995E-2</v>
      </c>
      <c r="K231" s="1763">
        <f t="shared" si="69"/>
        <v>8.2000000000000003E-2</v>
      </c>
      <c r="L231" s="1764">
        <f t="shared" si="66"/>
        <v>0.12999999999999998</v>
      </c>
      <c r="M231" s="1765">
        <f t="shared" si="64"/>
        <v>0.12999999999999998</v>
      </c>
      <c r="O231" s="1752"/>
      <c r="P231" s="1752"/>
      <c r="Q231" s="1758"/>
      <c r="R231" s="1758"/>
      <c r="T231" s="1752"/>
      <c r="U231" s="1752"/>
      <c r="V231" s="1787"/>
    </row>
    <row r="232" spans="1:22" outlineLevel="1">
      <c r="A232" s="1749">
        <f t="shared" si="61"/>
        <v>38108</v>
      </c>
      <c r="B232" s="1749" t="str">
        <f t="shared" si="62"/>
        <v>2Q04</v>
      </c>
      <c r="C232" s="1749" t="str">
        <f t="shared" si="63"/>
        <v>2Q04</v>
      </c>
      <c r="D232" s="1750">
        <f t="shared" si="70"/>
        <v>38124</v>
      </c>
      <c r="E232" s="1750">
        <f t="shared" si="70"/>
        <v>38117</v>
      </c>
      <c r="F232" s="1735">
        <v>1.7450000000000001</v>
      </c>
      <c r="G232" s="1752"/>
      <c r="H232" s="1784">
        <v>0.16400000000000001</v>
      </c>
      <c r="I232" s="1763">
        <f t="shared" si="68"/>
        <v>0.17</v>
      </c>
      <c r="J232" s="1784">
        <v>8.2000000000000003E-2</v>
      </c>
      <c r="K232" s="1763">
        <f t="shared" si="69"/>
        <v>8.5000000000000006E-2</v>
      </c>
      <c r="L232" s="1764">
        <f t="shared" si="66"/>
        <v>0.12999999999999998</v>
      </c>
      <c r="M232" s="1765">
        <f t="shared" si="64"/>
        <v>0.13999999999999999</v>
      </c>
      <c r="O232" s="1752"/>
      <c r="P232" s="1752"/>
      <c r="Q232" s="1758"/>
      <c r="R232" s="1758"/>
      <c r="T232" s="1752"/>
      <c r="U232" s="1752"/>
      <c r="V232" s="1787"/>
    </row>
    <row r="233" spans="1:22" outlineLevel="1">
      <c r="A233" s="1749">
        <f t="shared" si="61"/>
        <v>38108</v>
      </c>
      <c r="B233" s="1749" t="str">
        <f t="shared" si="62"/>
        <v>2Q04</v>
      </c>
      <c r="C233" s="1749" t="str">
        <f t="shared" si="63"/>
        <v>2Q04</v>
      </c>
      <c r="D233" s="1750">
        <f t="shared" si="70"/>
        <v>38131</v>
      </c>
      <c r="E233" s="1750">
        <f t="shared" si="70"/>
        <v>38124</v>
      </c>
      <c r="F233" s="1735">
        <v>1.7630000000000001</v>
      </c>
      <c r="G233" s="1752"/>
      <c r="H233" s="1784">
        <v>0.17</v>
      </c>
      <c r="I233" s="1763">
        <f t="shared" si="68"/>
        <v>0.17</v>
      </c>
      <c r="J233" s="1784">
        <v>8.5000000000000006E-2</v>
      </c>
      <c r="K233" s="1763">
        <f t="shared" si="69"/>
        <v>8.5000000000000006E-2</v>
      </c>
      <c r="L233" s="1764">
        <f t="shared" si="66"/>
        <v>0.13999999999999999</v>
      </c>
      <c r="M233" s="1765">
        <f t="shared" si="64"/>
        <v>0.13999999999999999</v>
      </c>
      <c r="O233" s="1752"/>
      <c r="P233" s="1752"/>
      <c r="Q233" s="1758"/>
      <c r="R233" s="1758"/>
      <c r="T233" s="1752"/>
      <c r="U233" s="1752"/>
      <c r="V233" s="1787"/>
    </row>
    <row r="234" spans="1:22" outlineLevel="1">
      <c r="A234" s="1749">
        <f t="shared" si="61"/>
        <v>38108</v>
      </c>
      <c r="B234" s="1749" t="str">
        <f t="shared" si="62"/>
        <v>2Q04</v>
      </c>
      <c r="C234" s="1749" t="str">
        <f t="shared" si="63"/>
        <v>2Q04</v>
      </c>
      <c r="D234" s="1750">
        <f t="shared" si="70"/>
        <v>38138</v>
      </c>
      <c r="E234" s="1750">
        <f t="shared" si="70"/>
        <v>38131</v>
      </c>
      <c r="F234" s="1735">
        <v>1.7609999999999999</v>
      </c>
      <c r="G234" s="1752"/>
      <c r="H234" s="1784">
        <v>0.17</v>
      </c>
      <c r="I234" s="1763">
        <f t="shared" si="68"/>
        <v>0.16400000000000001</v>
      </c>
      <c r="J234" s="1784">
        <v>8.5000000000000006E-2</v>
      </c>
      <c r="K234" s="1763">
        <f t="shared" si="69"/>
        <v>8.2000000000000003E-2</v>
      </c>
      <c r="L234" s="1764">
        <f t="shared" si="66"/>
        <v>0.13999999999999999</v>
      </c>
      <c r="M234" s="1765">
        <f t="shared" si="64"/>
        <v>0.12999999999999998</v>
      </c>
      <c r="O234" s="1752"/>
      <c r="P234" s="1752"/>
      <c r="Q234" s="1758"/>
      <c r="R234" s="1758"/>
      <c r="T234" s="1752"/>
      <c r="U234" s="1752"/>
      <c r="V234" s="1787"/>
    </row>
    <row r="235" spans="1:22" outlineLevel="1">
      <c r="A235" s="1749">
        <f t="shared" si="61"/>
        <v>38139</v>
      </c>
      <c r="B235" s="1749" t="str">
        <f t="shared" si="62"/>
        <v>2Q04</v>
      </c>
      <c r="C235" s="1749" t="str">
        <f t="shared" si="63"/>
        <v>2Q04</v>
      </c>
      <c r="D235" s="1750">
        <f t="shared" si="70"/>
        <v>38145</v>
      </c>
      <c r="E235" s="1750">
        <f t="shared" si="70"/>
        <v>38138</v>
      </c>
      <c r="F235" s="1735">
        <v>1.746</v>
      </c>
      <c r="G235" s="1752"/>
      <c r="H235" s="1784">
        <v>0.16400000000000001</v>
      </c>
      <c r="I235" s="1763">
        <f t="shared" si="68"/>
        <v>0.16200000000000001</v>
      </c>
      <c r="J235" s="1784">
        <v>8.2000000000000003E-2</v>
      </c>
      <c r="K235" s="1763">
        <f t="shared" si="69"/>
        <v>8.1000000000000003E-2</v>
      </c>
      <c r="L235" s="1764">
        <f t="shared" si="66"/>
        <v>0.12999999999999998</v>
      </c>
      <c r="M235" s="1765">
        <f t="shared" si="64"/>
        <v>0.12999999999999998</v>
      </c>
      <c r="O235" s="1752"/>
      <c r="P235" s="1752"/>
      <c r="Q235" s="1758"/>
      <c r="R235" s="1758"/>
      <c r="T235" s="1752"/>
      <c r="U235" s="1752"/>
      <c r="V235" s="1787"/>
    </row>
    <row r="236" spans="1:22" outlineLevel="1">
      <c r="A236" s="1749">
        <f t="shared" si="61"/>
        <v>38139</v>
      </c>
      <c r="B236" s="1749" t="str">
        <f t="shared" si="62"/>
        <v>2Q04</v>
      </c>
      <c r="C236" s="1749" t="str">
        <f t="shared" si="63"/>
        <v>2Q04</v>
      </c>
      <c r="D236" s="1750">
        <f t="shared" si="70"/>
        <v>38152</v>
      </c>
      <c r="E236" s="1750">
        <f t="shared" si="70"/>
        <v>38145</v>
      </c>
      <c r="F236" s="1735">
        <v>1.734</v>
      </c>
      <c r="G236" s="1752"/>
      <c r="H236" s="1784">
        <v>0.16200000000000001</v>
      </c>
      <c r="I236" s="1763">
        <f t="shared" si="68"/>
        <v>0.158</v>
      </c>
      <c r="J236" s="1784">
        <v>8.1000000000000003E-2</v>
      </c>
      <c r="K236" s="1763">
        <f t="shared" si="69"/>
        <v>7.9000000000000001E-2</v>
      </c>
      <c r="L236" s="1764">
        <f t="shared" si="66"/>
        <v>0.12999999999999998</v>
      </c>
      <c r="M236" s="1765">
        <f t="shared" si="64"/>
        <v>0.12999999999999998</v>
      </c>
      <c r="O236" s="1752"/>
      <c r="P236" s="1752"/>
      <c r="Q236" s="1758"/>
      <c r="R236" s="1758"/>
      <c r="T236" s="1752"/>
      <c r="U236" s="1752"/>
      <c r="V236" s="1787"/>
    </row>
    <row r="237" spans="1:22" outlineLevel="1">
      <c r="A237" s="1749">
        <f t="shared" si="61"/>
        <v>38139</v>
      </c>
      <c r="B237" s="1749" t="str">
        <f t="shared" si="62"/>
        <v>2Q04</v>
      </c>
      <c r="C237" s="1749" t="str">
        <f t="shared" si="63"/>
        <v>2Q04</v>
      </c>
      <c r="D237" s="1750">
        <f t="shared" si="70"/>
        <v>38159</v>
      </c>
      <c r="E237" s="1750">
        <f t="shared" si="70"/>
        <v>38152</v>
      </c>
      <c r="F237" s="1735">
        <v>1.7109999999999999</v>
      </c>
      <c r="G237" s="1752"/>
      <c r="H237" s="1784">
        <v>0.158</v>
      </c>
      <c r="I237" s="1763">
        <f t="shared" si="68"/>
        <v>0.154</v>
      </c>
      <c r="J237" s="1784">
        <v>7.9000000000000001E-2</v>
      </c>
      <c r="K237" s="1763">
        <f t="shared" si="69"/>
        <v>7.6999999999999999E-2</v>
      </c>
      <c r="L237" s="1764">
        <f t="shared" si="66"/>
        <v>0.12999999999999998</v>
      </c>
      <c r="M237" s="1765">
        <f t="shared" si="64"/>
        <v>0.11999999999999998</v>
      </c>
      <c r="O237" s="1752"/>
      <c r="P237" s="1752"/>
      <c r="Q237" s="1758"/>
      <c r="R237" s="1758"/>
      <c r="T237" s="1752"/>
      <c r="U237" s="1752"/>
      <c r="V237" s="1787"/>
    </row>
    <row r="238" spans="1:22" outlineLevel="1">
      <c r="A238" s="1749">
        <f t="shared" si="61"/>
        <v>38139</v>
      </c>
      <c r="B238" s="1749" t="str">
        <f t="shared" si="62"/>
        <v>2Q04</v>
      </c>
      <c r="C238" s="1749" t="str">
        <f t="shared" si="63"/>
        <v>2Q04</v>
      </c>
      <c r="D238" s="1750">
        <f t="shared" si="70"/>
        <v>38166</v>
      </c>
      <c r="E238" s="1750">
        <f t="shared" si="70"/>
        <v>38159</v>
      </c>
      <c r="F238" s="1735">
        <v>1.7</v>
      </c>
      <c r="G238" s="1752"/>
      <c r="H238" s="1784">
        <v>0.154</v>
      </c>
      <c r="I238" s="1763">
        <f t="shared" si="68"/>
        <v>0.154</v>
      </c>
      <c r="J238" s="1784">
        <v>7.6999999999999999E-2</v>
      </c>
      <c r="K238" s="1763">
        <f t="shared" si="69"/>
        <v>7.6999999999999999E-2</v>
      </c>
      <c r="L238" s="1764">
        <f t="shared" si="66"/>
        <v>0.11999999999999998</v>
      </c>
      <c r="M238" s="1765">
        <f t="shared" si="64"/>
        <v>0.11999999999999998</v>
      </c>
      <c r="O238" s="1752"/>
      <c r="P238" s="1752"/>
      <c r="Q238" s="1758"/>
      <c r="R238" s="1758"/>
      <c r="T238" s="1752"/>
      <c r="U238" s="1752"/>
      <c r="V238" s="1787"/>
    </row>
    <row r="239" spans="1:22" outlineLevel="1">
      <c r="A239" s="1749">
        <f t="shared" si="61"/>
        <v>38169</v>
      </c>
      <c r="B239" s="1749" t="str">
        <f t="shared" si="62"/>
        <v>3Q04</v>
      </c>
      <c r="C239" s="1749" t="str">
        <f t="shared" si="63"/>
        <v>2Q04</v>
      </c>
      <c r="D239" s="1750">
        <f t="shared" si="70"/>
        <v>38173</v>
      </c>
      <c r="E239" s="1750">
        <f t="shared" si="70"/>
        <v>38166</v>
      </c>
      <c r="F239" s="1735">
        <v>1.7</v>
      </c>
      <c r="G239" s="1752"/>
      <c r="H239" s="1784">
        <v>0.154</v>
      </c>
      <c r="I239" s="1763">
        <f t="shared" si="68"/>
        <v>0.158</v>
      </c>
      <c r="J239" s="1784">
        <v>7.6999999999999999E-2</v>
      </c>
      <c r="K239" s="1763">
        <f t="shared" si="69"/>
        <v>7.9000000000000001E-2</v>
      </c>
      <c r="L239" s="1764">
        <f t="shared" si="66"/>
        <v>0.11999999999999998</v>
      </c>
      <c r="M239" s="1765">
        <f t="shared" si="64"/>
        <v>0.12999999999999998</v>
      </c>
      <c r="O239" s="1752"/>
      <c r="P239" s="1752"/>
      <c r="Q239" s="1758"/>
      <c r="R239" s="1758"/>
      <c r="T239" s="1752"/>
      <c r="U239" s="1752"/>
      <c r="V239" s="1787"/>
    </row>
    <row r="240" spans="1:22" outlineLevel="1">
      <c r="A240" s="1749">
        <f t="shared" si="61"/>
        <v>38169</v>
      </c>
      <c r="B240" s="1749" t="str">
        <f t="shared" si="62"/>
        <v>3Q04</v>
      </c>
      <c r="C240" s="1749" t="str">
        <f t="shared" si="63"/>
        <v>3Q04</v>
      </c>
      <c r="D240" s="1750">
        <f t="shared" si="70"/>
        <v>38180</v>
      </c>
      <c r="E240" s="1750">
        <f t="shared" si="70"/>
        <v>38173</v>
      </c>
      <c r="F240" s="1735">
        <v>1.716</v>
      </c>
      <c r="G240" s="1752"/>
      <c r="H240" s="1784">
        <v>0.158</v>
      </c>
      <c r="I240" s="1763">
        <f t="shared" si="68"/>
        <v>0.16400000000000001</v>
      </c>
      <c r="J240" s="1784">
        <v>7.9000000000000001E-2</v>
      </c>
      <c r="K240" s="1763">
        <f t="shared" si="69"/>
        <v>8.2000000000000003E-2</v>
      </c>
      <c r="L240" s="1764">
        <f t="shared" si="66"/>
        <v>0.12999999999999998</v>
      </c>
      <c r="M240" s="1765">
        <f t="shared" si="64"/>
        <v>0.12999999999999998</v>
      </c>
      <c r="O240" s="1752"/>
      <c r="P240" s="1752"/>
      <c r="Q240" s="1758"/>
      <c r="R240" s="1758"/>
      <c r="T240" s="1752"/>
      <c r="U240" s="1752"/>
      <c r="V240" s="1787"/>
    </row>
    <row r="241" spans="1:22" outlineLevel="1">
      <c r="A241" s="1749">
        <f t="shared" si="61"/>
        <v>38169</v>
      </c>
      <c r="B241" s="1749" t="str">
        <f t="shared" si="62"/>
        <v>3Q04</v>
      </c>
      <c r="C241" s="1749" t="str">
        <f t="shared" si="63"/>
        <v>3Q04</v>
      </c>
      <c r="D241" s="1750">
        <f t="shared" si="70"/>
        <v>38187</v>
      </c>
      <c r="E241" s="1750">
        <f t="shared" si="70"/>
        <v>38180</v>
      </c>
      <c r="F241" s="1735">
        <v>1.74</v>
      </c>
      <c r="G241" s="1752"/>
      <c r="H241" s="1784">
        <v>0.16400000000000001</v>
      </c>
      <c r="I241" s="1763">
        <f t="shared" si="68"/>
        <v>0.16400000000000001</v>
      </c>
      <c r="J241" s="1784">
        <v>8.2000000000000003E-2</v>
      </c>
      <c r="K241" s="1763">
        <f t="shared" si="69"/>
        <v>8.2000000000000003E-2</v>
      </c>
      <c r="L241" s="1764">
        <f t="shared" si="66"/>
        <v>0.12999999999999998</v>
      </c>
      <c r="M241" s="1765">
        <f t="shared" si="64"/>
        <v>0.12999999999999998</v>
      </c>
      <c r="O241" s="1752"/>
      <c r="P241" s="1752"/>
      <c r="Q241" s="1758"/>
      <c r="R241" s="1758"/>
      <c r="T241" s="1752"/>
      <c r="U241" s="1752"/>
      <c r="V241" s="1787"/>
    </row>
    <row r="242" spans="1:22" outlineLevel="1">
      <c r="A242" s="1749">
        <f t="shared" si="61"/>
        <v>38169</v>
      </c>
      <c r="B242" s="1749" t="str">
        <f t="shared" si="62"/>
        <v>3Q04</v>
      </c>
      <c r="C242" s="1749" t="str">
        <f t="shared" si="63"/>
        <v>3Q04</v>
      </c>
      <c r="D242" s="1750">
        <f t="shared" si="70"/>
        <v>38194</v>
      </c>
      <c r="E242" s="1750">
        <f t="shared" si="70"/>
        <v>38187</v>
      </c>
      <c r="F242" s="1735">
        <v>1.744</v>
      </c>
      <c r="G242" s="1752"/>
      <c r="H242" s="1784">
        <v>0.16400000000000001</v>
      </c>
      <c r="I242" s="1763">
        <f t="shared" si="68"/>
        <v>0.16600000000000001</v>
      </c>
      <c r="J242" s="1784">
        <v>8.2000000000000003E-2</v>
      </c>
      <c r="K242" s="1763">
        <f t="shared" si="69"/>
        <v>8.3000000000000004E-2</v>
      </c>
      <c r="L242" s="1764">
        <f t="shared" si="66"/>
        <v>0.12999999999999998</v>
      </c>
      <c r="M242" s="1765">
        <f t="shared" si="64"/>
        <v>0.13999999999999999</v>
      </c>
      <c r="O242" s="1752"/>
      <c r="P242" s="1752"/>
      <c r="Q242" s="1758"/>
      <c r="R242" s="1758"/>
      <c r="T242" s="1752"/>
      <c r="U242" s="1752"/>
      <c r="V242" s="1787"/>
    </row>
    <row r="243" spans="1:22" outlineLevel="1">
      <c r="A243" s="1749">
        <f t="shared" si="61"/>
        <v>38200</v>
      </c>
      <c r="B243" s="1749" t="str">
        <f t="shared" si="62"/>
        <v>3Q04</v>
      </c>
      <c r="C243" s="1749" t="str">
        <f t="shared" si="63"/>
        <v>3Q04</v>
      </c>
      <c r="D243" s="1750">
        <f t="shared" si="70"/>
        <v>38201</v>
      </c>
      <c r="E243" s="1750">
        <f t="shared" si="70"/>
        <v>38194</v>
      </c>
      <c r="F243" s="1735">
        <v>1.754</v>
      </c>
      <c r="G243" s="1752"/>
      <c r="H243" s="1784">
        <v>0.16600000000000001</v>
      </c>
      <c r="I243" s="1763">
        <f t="shared" si="68"/>
        <v>0.17399999999999999</v>
      </c>
      <c r="J243" s="1784">
        <v>8.3000000000000004E-2</v>
      </c>
      <c r="K243" s="1763">
        <f t="shared" si="69"/>
        <v>8.6999999999999994E-2</v>
      </c>
      <c r="L243" s="1764">
        <f t="shared" si="66"/>
        <v>0.13999999999999999</v>
      </c>
      <c r="M243" s="1765">
        <f t="shared" si="64"/>
        <v>0.13999999999999999</v>
      </c>
      <c r="O243" s="1752"/>
      <c r="P243" s="1752"/>
      <c r="Q243" s="1758"/>
      <c r="R243" s="1758"/>
      <c r="T243" s="1752"/>
      <c r="U243" s="1752"/>
      <c r="V243" s="1787"/>
    </row>
    <row r="244" spans="1:22" outlineLevel="1">
      <c r="A244" s="1749">
        <f t="shared" si="61"/>
        <v>38200</v>
      </c>
      <c r="B244" s="1749" t="str">
        <f t="shared" si="62"/>
        <v>3Q04</v>
      </c>
      <c r="C244" s="1749" t="str">
        <f t="shared" si="63"/>
        <v>3Q04</v>
      </c>
      <c r="D244" s="1750">
        <f t="shared" si="70"/>
        <v>38208</v>
      </c>
      <c r="E244" s="1750">
        <f t="shared" si="70"/>
        <v>38201</v>
      </c>
      <c r="F244" s="1735">
        <v>1.78</v>
      </c>
      <c r="G244" s="1752"/>
      <c r="H244" s="1784">
        <v>0.17399999999999999</v>
      </c>
      <c r="I244" s="1763">
        <f t="shared" si="68"/>
        <v>0.182</v>
      </c>
      <c r="J244" s="1784">
        <v>8.6999999999999994E-2</v>
      </c>
      <c r="K244" s="1763">
        <f t="shared" si="69"/>
        <v>9.0999999999999998E-2</v>
      </c>
      <c r="L244" s="1764">
        <f t="shared" si="66"/>
        <v>0.13999999999999999</v>
      </c>
      <c r="M244" s="1765">
        <f t="shared" si="64"/>
        <v>0.15</v>
      </c>
      <c r="O244" s="1752"/>
      <c r="P244" s="1752"/>
      <c r="Q244" s="1758"/>
      <c r="R244" s="1758"/>
      <c r="T244" s="1752"/>
      <c r="U244" s="1752"/>
      <c r="V244" s="1787"/>
    </row>
    <row r="245" spans="1:22" outlineLevel="1">
      <c r="A245" s="1749">
        <f t="shared" si="61"/>
        <v>38200</v>
      </c>
      <c r="B245" s="1749" t="str">
        <f t="shared" si="62"/>
        <v>3Q04</v>
      </c>
      <c r="C245" s="1749" t="str">
        <f t="shared" si="63"/>
        <v>3Q04</v>
      </c>
      <c r="D245" s="1750">
        <f t="shared" ref="D245:E260" si="71">D244+7</f>
        <v>38215</v>
      </c>
      <c r="E245" s="1750">
        <f t="shared" si="71"/>
        <v>38208</v>
      </c>
      <c r="F245" s="1735">
        <v>1.8140000000000001</v>
      </c>
      <c r="G245" s="1752"/>
      <c r="H245" s="1784">
        <v>0.182</v>
      </c>
      <c r="I245" s="1763">
        <f t="shared" si="68"/>
        <v>0.186</v>
      </c>
      <c r="J245" s="1784">
        <v>9.0999999999999998E-2</v>
      </c>
      <c r="K245" s="1763">
        <f t="shared" si="69"/>
        <v>9.2999999999999999E-2</v>
      </c>
      <c r="L245" s="1764">
        <f t="shared" si="66"/>
        <v>0.15</v>
      </c>
      <c r="M245" s="1765">
        <f t="shared" si="64"/>
        <v>0.15</v>
      </c>
      <c r="O245" s="1752"/>
      <c r="P245" s="1752"/>
      <c r="Q245" s="1758"/>
      <c r="R245" s="1758"/>
      <c r="T245" s="1752"/>
      <c r="U245" s="1752"/>
      <c r="V245" s="1787"/>
    </row>
    <row r="246" spans="1:22" outlineLevel="1">
      <c r="A246" s="1749">
        <f t="shared" si="61"/>
        <v>38200</v>
      </c>
      <c r="B246" s="1749" t="str">
        <f t="shared" si="62"/>
        <v>3Q04</v>
      </c>
      <c r="C246" s="1749" t="str">
        <f t="shared" si="63"/>
        <v>3Q04</v>
      </c>
      <c r="D246" s="1750">
        <f t="shared" si="71"/>
        <v>38222</v>
      </c>
      <c r="E246" s="1750">
        <f t="shared" si="71"/>
        <v>38215</v>
      </c>
      <c r="F246" s="1735">
        <v>1.825</v>
      </c>
      <c r="G246" s="1752"/>
      <c r="H246" s="1784">
        <v>0.186</v>
      </c>
      <c r="I246" s="1763">
        <f t="shared" si="68"/>
        <v>0.192</v>
      </c>
      <c r="J246" s="1784">
        <v>9.2999999999999999E-2</v>
      </c>
      <c r="K246" s="1763">
        <f t="shared" si="69"/>
        <v>9.6000000000000002E-2</v>
      </c>
      <c r="L246" s="1764">
        <f t="shared" si="66"/>
        <v>0.15</v>
      </c>
      <c r="M246" s="1765">
        <f t="shared" si="64"/>
        <v>0.16</v>
      </c>
      <c r="O246" s="1752"/>
      <c r="P246" s="1752"/>
      <c r="Q246" s="1758"/>
      <c r="R246" s="1758"/>
      <c r="T246" s="1752"/>
      <c r="U246" s="1752"/>
      <c r="V246" s="1787"/>
    </row>
    <row r="247" spans="1:22" outlineLevel="1">
      <c r="A247" s="1749">
        <f t="shared" si="61"/>
        <v>38200</v>
      </c>
      <c r="B247" s="1749" t="str">
        <f t="shared" si="62"/>
        <v>3Q04</v>
      </c>
      <c r="C247" s="1749" t="str">
        <f t="shared" si="63"/>
        <v>3Q04</v>
      </c>
      <c r="D247" s="1750">
        <f t="shared" si="71"/>
        <v>38229</v>
      </c>
      <c r="E247" s="1750">
        <f t="shared" si="71"/>
        <v>38222</v>
      </c>
      <c r="F247" s="1735">
        <v>1.8740000000000001</v>
      </c>
      <c r="G247" s="1752"/>
      <c r="H247" s="1784">
        <v>0.192</v>
      </c>
      <c r="I247" s="1763">
        <f t="shared" si="68"/>
        <v>0.192</v>
      </c>
      <c r="J247" s="1784">
        <v>9.6000000000000002E-2</v>
      </c>
      <c r="K247" s="1763">
        <f t="shared" si="69"/>
        <v>9.6000000000000002E-2</v>
      </c>
      <c r="L247" s="1764">
        <f t="shared" si="66"/>
        <v>0.16</v>
      </c>
      <c r="M247" s="1765">
        <f t="shared" si="64"/>
        <v>0.16</v>
      </c>
      <c r="O247" s="1752"/>
      <c r="P247" s="1752"/>
      <c r="Q247" s="1758"/>
      <c r="R247" s="1758"/>
      <c r="T247" s="1752"/>
      <c r="U247" s="1752"/>
      <c r="V247" s="1787"/>
    </row>
    <row r="248" spans="1:22" outlineLevel="1">
      <c r="A248" s="1749">
        <f t="shared" si="61"/>
        <v>38231</v>
      </c>
      <c r="B248" s="1749" t="str">
        <f t="shared" si="62"/>
        <v>3Q04</v>
      </c>
      <c r="C248" s="1749" t="str">
        <f t="shared" si="63"/>
        <v>3Q04</v>
      </c>
      <c r="D248" s="1750">
        <f t="shared" si="71"/>
        <v>38236</v>
      </c>
      <c r="E248" s="1750">
        <f t="shared" si="71"/>
        <v>38229</v>
      </c>
      <c r="F248" s="1735">
        <v>1.871</v>
      </c>
      <c r="G248" s="1752"/>
      <c r="H248" s="1784">
        <v>0.192</v>
      </c>
      <c r="I248" s="1763">
        <f t="shared" si="68"/>
        <v>0.192</v>
      </c>
      <c r="J248" s="1784">
        <v>9.6000000000000002E-2</v>
      </c>
      <c r="K248" s="1763">
        <f t="shared" si="69"/>
        <v>9.6000000000000002E-2</v>
      </c>
      <c r="L248" s="1764">
        <f t="shared" si="66"/>
        <v>0.16</v>
      </c>
      <c r="M248" s="1765">
        <f t="shared" si="64"/>
        <v>0.16</v>
      </c>
      <c r="O248" s="1752"/>
      <c r="P248" s="1752"/>
      <c r="Q248" s="1758"/>
      <c r="R248" s="1758"/>
      <c r="T248" s="1752"/>
      <c r="U248" s="1752"/>
      <c r="V248" s="1787"/>
    </row>
    <row r="249" spans="1:22" outlineLevel="1">
      <c r="A249" s="1749">
        <f t="shared" si="61"/>
        <v>38231</v>
      </c>
      <c r="B249" s="1749" t="str">
        <f t="shared" si="62"/>
        <v>3Q04</v>
      </c>
      <c r="C249" s="1749" t="str">
        <f t="shared" si="63"/>
        <v>3Q04</v>
      </c>
      <c r="D249" s="1750">
        <f t="shared" si="71"/>
        <v>38243</v>
      </c>
      <c r="E249" s="1750">
        <f t="shared" si="71"/>
        <v>38236</v>
      </c>
      <c r="F249" s="1735">
        <v>1.869</v>
      </c>
      <c r="G249" s="1752"/>
      <c r="H249" s="1784">
        <v>0.192</v>
      </c>
      <c r="I249" s="1763">
        <f t="shared" si="68"/>
        <v>0.192</v>
      </c>
      <c r="J249" s="1784">
        <v>9.6000000000000002E-2</v>
      </c>
      <c r="K249" s="1763">
        <f t="shared" si="69"/>
        <v>9.6000000000000002E-2</v>
      </c>
      <c r="L249" s="1764">
        <f t="shared" si="66"/>
        <v>0.16</v>
      </c>
      <c r="M249" s="1765">
        <f t="shared" si="64"/>
        <v>0.16</v>
      </c>
      <c r="O249" s="1752"/>
      <c r="P249" s="1752"/>
      <c r="Q249" s="1758"/>
      <c r="R249" s="1758"/>
      <c r="T249" s="1752"/>
      <c r="U249" s="1752"/>
      <c r="V249" s="1787"/>
    </row>
    <row r="250" spans="1:22" outlineLevel="1">
      <c r="A250" s="1749">
        <f t="shared" si="61"/>
        <v>38231</v>
      </c>
      <c r="B250" s="1749" t="str">
        <f t="shared" si="62"/>
        <v>3Q04</v>
      </c>
      <c r="C250" s="1749" t="str">
        <f t="shared" si="63"/>
        <v>3Q04</v>
      </c>
      <c r="D250" s="1750">
        <f t="shared" si="71"/>
        <v>38250</v>
      </c>
      <c r="E250" s="1750">
        <f t="shared" si="71"/>
        <v>38243</v>
      </c>
      <c r="F250" s="1735">
        <v>1.8740000000000001</v>
      </c>
      <c r="G250" s="1752"/>
      <c r="H250" s="1784">
        <v>0.192</v>
      </c>
      <c r="I250" s="1763">
        <f t="shared" si="68"/>
        <v>0.2</v>
      </c>
      <c r="J250" s="1784">
        <v>9.6000000000000002E-2</v>
      </c>
      <c r="K250" s="1763">
        <f t="shared" si="69"/>
        <v>0.1</v>
      </c>
      <c r="L250" s="1764">
        <f t="shared" si="66"/>
        <v>0.16</v>
      </c>
      <c r="M250" s="1765">
        <f t="shared" si="64"/>
        <v>0.17</v>
      </c>
      <c r="O250" s="1752"/>
      <c r="P250" s="1752"/>
      <c r="Q250" s="1758"/>
      <c r="R250" s="1758"/>
      <c r="T250" s="1752"/>
      <c r="U250" s="1752"/>
      <c r="V250" s="1787"/>
    </row>
    <row r="251" spans="1:22" outlineLevel="1">
      <c r="A251" s="1749">
        <f t="shared" si="61"/>
        <v>38231</v>
      </c>
      <c r="B251" s="1749" t="str">
        <f t="shared" si="62"/>
        <v>3Q04</v>
      </c>
      <c r="C251" s="1749" t="str">
        <f t="shared" si="63"/>
        <v>3Q04</v>
      </c>
      <c r="D251" s="1750">
        <f t="shared" si="71"/>
        <v>38257</v>
      </c>
      <c r="E251" s="1750">
        <f t="shared" si="71"/>
        <v>38250</v>
      </c>
      <c r="F251" s="1735">
        <v>1.9119999999999999</v>
      </c>
      <c r="G251" s="1752"/>
      <c r="H251" s="1784">
        <v>0.2</v>
      </c>
      <c r="I251" s="1763">
        <f t="shared" si="68"/>
        <v>0.22</v>
      </c>
      <c r="J251" s="1784">
        <v>0.1</v>
      </c>
      <c r="K251" s="1763">
        <f t="shared" si="69"/>
        <v>0.11</v>
      </c>
      <c r="L251" s="1764">
        <f t="shared" si="66"/>
        <v>0.17</v>
      </c>
      <c r="M251" s="1765">
        <f t="shared" si="64"/>
        <v>0.19000000000000003</v>
      </c>
      <c r="O251" s="1752"/>
      <c r="P251" s="1752"/>
      <c r="Q251" s="1758"/>
      <c r="R251" s="1758"/>
      <c r="T251" s="1752"/>
      <c r="U251" s="1752"/>
      <c r="V251" s="1787"/>
    </row>
    <row r="252" spans="1:22" outlineLevel="1">
      <c r="A252" s="1749">
        <f t="shared" si="61"/>
        <v>38261</v>
      </c>
      <c r="B252" s="1749" t="str">
        <f t="shared" si="62"/>
        <v>4Q04</v>
      </c>
      <c r="C252" s="1749" t="str">
        <f t="shared" si="63"/>
        <v>3Q04</v>
      </c>
      <c r="D252" s="1750">
        <f t="shared" si="71"/>
        <v>38264</v>
      </c>
      <c r="E252" s="1750">
        <f t="shared" si="71"/>
        <v>38257</v>
      </c>
      <c r="F252" s="1735">
        <v>2.012</v>
      </c>
      <c r="G252" s="1752"/>
      <c r="H252" s="1784">
        <v>0.22</v>
      </c>
      <c r="I252" s="1763">
        <f t="shared" si="68"/>
        <v>0.22800000000000001</v>
      </c>
      <c r="J252" s="1784">
        <v>0.11</v>
      </c>
      <c r="K252" s="1763">
        <f t="shared" si="69"/>
        <v>0.114</v>
      </c>
      <c r="L252" s="1764">
        <f t="shared" si="66"/>
        <v>0.19000000000000003</v>
      </c>
      <c r="M252" s="1765">
        <f t="shared" si="64"/>
        <v>0.20000000000000004</v>
      </c>
      <c r="O252" s="1752"/>
      <c r="P252" s="1752"/>
      <c r="Q252" s="1758"/>
      <c r="R252" s="1758"/>
      <c r="T252" s="1752"/>
      <c r="U252" s="1752"/>
      <c r="V252" s="1787"/>
    </row>
    <row r="253" spans="1:22" outlineLevel="1">
      <c r="A253" s="1749">
        <f t="shared" si="61"/>
        <v>38261</v>
      </c>
      <c r="B253" s="1749" t="str">
        <f t="shared" si="62"/>
        <v>4Q04</v>
      </c>
      <c r="C253" s="1749" t="str">
        <f t="shared" si="63"/>
        <v>4Q04</v>
      </c>
      <c r="D253" s="1750">
        <f t="shared" si="71"/>
        <v>38271</v>
      </c>
      <c r="E253" s="1750">
        <f t="shared" si="71"/>
        <v>38264</v>
      </c>
      <c r="F253" s="1735">
        <v>2.0529999999999999</v>
      </c>
      <c r="G253" s="1752"/>
      <c r="H253" s="1784">
        <v>0.22800000000000001</v>
      </c>
      <c r="I253" s="1763">
        <f t="shared" si="68"/>
        <v>0.23599999999999999</v>
      </c>
      <c r="J253" s="1784">
        <v>0.114</v>
      </c>
      <c r="K253" s="1763">
        <f t="shared" si="69"/>
        <v>0.11799999999999999</v>
      </c>
      <c r="L253" s="1764">
        <f t="shared" si="66"/>
        <v>0.20000000000000004</v>
      </c>
      <c r="M253" s="1765">
        <f t="shared" si="64"/>
        <v>0.20000000000000004</v>
      </c>
      <c r="O253" s="1752"/>
      <c r="P253" s="1752"/>
      <c r="Q253" s="1758"/>
      <c r="R253" s="1758"/>
      <c r="T253" s="1752"/>
      <c r="U253" s="1752"/>
      <c r="V253" s="1787"/>
    </row>
    <row r="254" spans="1:22" outlineLevel="1">
      <c r="A254" s="1749">
        <f t="shared" si="61"/>
        <v>38261</v>
      </c>
      <c r="B254" s="1749" t="str">
        <f t="shared" si="62"/>
        <v>4Q04</v>
      </c>
      <c r="C254" s="1749" t="str">
        <f t="shared" si="63"/>
        <v>4Q04</v>
      </c>
      <c r="D254" s="1750">
        <f t="shared" si="71"/>
        <v>38278</v>
      </c>
      <c r="E254" s="1750">
        <f t="shared" si="71"/>
        <v>38271</v>
      </c>
      <c r="F254" s="1735">
        <v>2.0920000000000001</v>
      </c>
      <c r="G254" s="1752"/>
      <c r="H254" s="1784">
        <v>0.23599999999999999</v>
      </c>
      <c r="I254" s="1763">
        <f t="shared" si="68"/>
        <v>0.23799999999999999</v>
      </c>
      <c r="J254" s="1784">
        <v>0.11799999999999999</v>
      </c>
      <c r="K254" s="1763">
        <f t="shared" si="69"/>
        <v>0.11899999999999999</v>
      </c>
      <c r="L254" s="1764">
        <f t="shared" si="66"/>
        <v>0.20000000000000004</v>
      </c>
      <c r="M254" s="1765">
        <f t="shared" si="64"/>
        <v>0.22000000000000006</v>
      </c>
      <c r="O254" s="1752"/>
      <c r="P254" s="1752"/>
      <c r="Q254" s="1758"/>
      <c r="R254" s="1758"/>
      <c r="T254" s="1752"/>
      <c r="U254" s="1752"/>
      <c r="V254" s="1787"/>
    </row>
    <row r="255" spans="1:22" outlineLevel="1">
      <c r="A255" s="1749">
        <f t="shared" si="61"/>
        <v>38261</v>
      </c>
      <c r="B255" s="1749" t="str">
        <f t="shared" si="62"/>
        <v>4Q04</v>
      </c>
      <c r="C255" s="1749" t="str">
        <f t="shared" si="63"/>
        <v>4Q04</v>
      </c>
      <c r="D255" s="1750">
        <f t="shared" si="71"/>
        <v>38285</v>
      </c>
      <c r="E255" s="1750">
        <f t="shared" si="71"/>
        <v>38278</v>
      </c>
      <c r="F255" s="1735">
        <v>2.1800000000000002</v>
      </c>
      <c r="G255" s="1752"/>
      <c r="H255" s="1784">
        <v>0.23799999999999999</v>
      </c>
      <c r="I255" s="1763">
        <f t="shared" si="68"/>
        <v>0.26</v>
      </c>
      <c r="J255" s="1784">
        <v>0.11899999999999999</v>
      </c>
      <c r="K255" s="1763">
        <f t="shared" si="69"/>
        <v>0.13</v>
      </c>
      <c r="L255" s="1764">
        <f t="shared" si="66"/>
        <v>0.22000000000000006</v>
      </c>
      <c r="M255" s="1765">
        <f t="shared" si="64"/>
        <v>0.23000000000000007</v>
      </c>
      <c r="O255" s="1752"/>
      <c r="P255" s="1752"/>
      <c r="Q255" s="1758"/>
      <c r="R255" s="1758"/>
      <c r="T255" s="1752"/>
      <c r="U255" s="1752"/>
      <c r="V255" s="1787"/>
    </row>
    <row r="256" spans="1:22" outlineLevel="1">
      <c r="A256" s="1749">
        <f t="shared" si="61"/>
        <v>38292</v>
      </c>
      <c r="B256" s="1749" t="str">
        <f t="shared" si="62"/>
        <v>4Q04</v>
      </c>
      <c r="C256" s="1749" t="str">
        <f t="shared" si="63"/>
        <v>4Q04</v>
      </c>
      <c r="D256" s="1750">
        <f t="shared" si="71"/>
        <v>38292</v>
      </c>
      <c r="E256" s="1750">
        <f t="shared" si="71"/>
        <v>38285</v>
      </c>
      <c r="F256" s="1735">
        <v>2.2119999999999997</v>
      </c>
      <c r="G256" s="1752"/>
      <c r="H256" s="1784">
        <v>0.26</v>
      </c>
      <c r="I256" s="1763">
        <f t="shared" si="68"/>
        <v>0.25800000000000001</v>
      </c>
      <c r="J256" s="1784">
        <v>0.13</v>
      </c>
      <c r="K256" s="1763">
        <f t="shared" si="69"/>
        <v>0.129</v>
      </c>
      <c r="L256" s="1764">
        <f t="shared" si="66"/>
        <v>0.23000000000000007</v>
      </c>
      <c r="M256" s="1765">
        <f t="shared" si="64"/>
        <v>0.23000000000000007</v>
      </c>
      <c r="O256" s="1752"/>
      <c r="P256" s="1752"/>
      <c r="Q256" s="1758"/>
      <c r="R256" s="1758"/>
      <c r="T256" s="1752"/>
      <c r="U256" s="1752"/>
      <c r="V256" s="1787"/>
    </row>
    <row r="257" spans="1:22" outlineLevel="1">
      <c r="A257" s="1749">
        <f t="shared" si="61"/>
        <v>38292</v>
      </c>
      <c r="B257" s="1749" t="str">
        <f t="shared" si="62"/>
        <v>4Q04</v>
      </c>
      <c r="C257" s="1749" t="str">
        <f t="shared" si="63"/>
        <v>4Q04</v>
      </c>
      <c r="D257" s="1750">
        <f t="shared" si="71"/>
        <v>38299</v>
      </c>
      <c r="E257" s="1750">
        <f t="shared" si="71"/>
        <v>38292</v>
      </c>
      <c r="F257" s="1735">
        <v>2.206</v>
      </c>
      <c r="G257" s="1752"/>
      <c r="H257" s="1784">
        <v>0.25800000000000001</v>
      </c>
      <c r="I257" s="1763">
        <f t="shared" si="68"/>
        <v>0.25</v>
      </c>
      <c r="J257" s="1784">
        <v>0.129</v>
      </c>
      <c r="K257" s="1763">
        <f t="shared" si="69"/>
        <v>0.125</v>
      </c>
      <c r="L257" s="1764">
        <f t="shared" si="66"/>
        <v>0.23000000000000007</v>
      </c>
      <c r="M257" s="1765">
        <f t="shared" si="64"/>
        <v>0.22000000000000006</v>
      </c>
      <c r="O257" s="1752"/>
      <c r="P257" s="1752"/>
      <c r="Q257" s="1758"/>
      <c r="R257" s="1758"/>
      <c r="T257" s="1752"/>
      <c r="U257" s="1752"/>
      <c r="V257" s="1787"/>
    </row>
    <row r="258" spans="1:22" outlineLevel="1">
      <c r="A258" s="1749">
        <f t="shared" si="61"/>
        <v>38292</v>
      </c>
      <c r="B258" s="1749" t="str">
        <f t="shared" si="62"/>
        <v>4Q04</v>
      </c>
      <c r="C258" s="1749" t="str">
        <f t="shared" si="63"/>
        <v>4Q04</v>
      </c>
      <c r="D258" s="1750">
        <f t="shared" si="71"/>
        <v>38306</v>
      </c>
      <c r="E258" s="1750">
        <f t="shared" si="71"/>
        <v>38299</v>
      </c>
      <c r="F258" s="1735">
        <v>2.1630000000000003</v>
      </c>
      <c r="G258" s="1752"/>
      <c r="H258" s="1784">
        <v>0.25</v>
      </c>
      <c r="I258" s="1763">
        <f t="shared" si="68"/>
        <v>0.224</v>
      </c>
      <c r="J258" s="1784">
        <v>0.125</v>
      </c>
      <c r="K258" s="1763">
        <f t="shared" si="69"/>
        <v>0.122</v>
      </c>
      <c r="L258" s="1764">
        <f t="shared" si="66"/>
        <v>0.22000000000000006</v>
      </c>
      <c r="M258" s="1765">
        <f t="shared" si="64"/>
        <v>0.21000000000000005</v>
      </c>
      <c r="O258" s="1752"/>
      <c r="P258" s="1752"/>
      <c r="Q258" s="1758"/>
      <c r="R258" s="1758"/>
      <c r="T258" s="1752"/>
      <c r="U258" s="1752"/>
      <c r="V258" s="1787"/>
    </row>
    <row r="259" spans="1:22" outlineLevel="1">
      <c r="A259" s="1749">
        <f t="shared" si="61"/>
        <v>38292</v>
      </c>
      <c r="B259" s="1749" t="str">
        <f t="shared" si="62"/>
        <v>4Q04</v>
      </c>
      <c r="C259" s="1749" t="str">
        <f t="shared" si="63"/>
        <v>4Q04</v>
      </c>
      <c r="D259" s="1750">
        <f t="shared" si="71"/>
        <v>38313</v>
      </c>
      <c r="E259" s="1750">
        <f t="shared" si="71"/>
        <v>38306</v>
      </c>
      <c r="F259" s="1735">
        <v>2.1319999999999997</v>
      </c>
      <c r="G259" s="1752"/>
      <c r="H259" s="1784">
        <v>0.224</v>
      </c>
      <c r="I259" s="1763">
        <f t="shared" si="68"/>
        <v>0.24</v>
      </c>
      <c r="J259" s="1784">
        <v>0.122</v>
      </c>
      <c r="K259" s="1763">
        <f t="shared" si="69"/>
        <v>0.12</v>
      </c>
      <c r="L259" s="1764">
        <f t="shared" si="66"/>
        <v>0.21000000000000005</v>
      </c>
      <c r="M259" s="1765">
        <f t="shared" si="64"/>
        <v>0.21000000000000005</v>
      </c>
      <c r="O259" s="1752"/>
      <c r="P259" s="1752"/>
      <c r="Q259" s="1758"/>
      <c r="R259" s="1758"/>
      <c r="T259" s="1752"/>
      <c r="U259" s="1752"/>
      <c r="V259" s="1787"/>
    </row>
    <row r="260" spans="1:22" outlineLevel="1">
      <c r="A260" s="1749">
        <f t="shared" ref="A260:A323" si="72">DATE(YEAR(D260),MONTH(D260),1)</f>
        <v>38292</v>
      </c>
      <c r="B260" s="1749" t="str">
        <f t="shared" ref="B260:B323" si="73">VLOOKUP(MONTH(A260),$AB$4:$AC$17,2,FALSE) &amp; "Q" &amp; RIGHT(YEAR(A260),2)</f>
        <v>4Q04</v>
      </c>
      <c r="C260" s="1749" t="str">
        <f t="shared" ref="C260:C323" si="74">VLOOKUP(MONTH(E260),$AB$4:$AC$17,2,FALSE) &amp; "Q" &amp; RIGHT(YEAR(E260),2)</f>
        <v>4Q04</v>
      </c>
      <c r="D260" s="1750">
        <f t="shared" si="71"/>
        <v>38320</v>
      </c>
      <c r="E260" s="1750">
        <f t="shared" si="71"/>
        <v>38313</v>
      </c>
      <c r="F260" s="1735">
        <v>2.1160000000000001</v>
      </c>
      <c r="G260" s="1752"/>
      <c r="H260" s="1784">
        <v>0.24</v>
      </c>
      <c r="I260" s="1763">
        <f t="shared" si="68"/>
        <v>0.24</v>
      </c>
      <c r="J260" s="1784">
        <v>0.12</v>
      </c>
      <c r="K260" s="1763">
        <f t="shared" si="69"/>
        <v>0.12</v>
      </c>
      <c r="L260" s="1764">
        <f t="shared" si="66"/>
        <v>0.21000000000000005</v>
      </c>
      <c r="M260" s="1765">
        <f t="shared" ref="M260:M323" si="75">L261</f>
        <v>0.21000000000000005</v>
      </c>
      <c r="O260" s="1752"/>
      <c r="P260" s="1752"/>
      <c r="Q260" s="1758"/>
      <c r="R260" s="1758"/>
      <c r="T260" s="1752"/>
      <c r="U260" s="1752"/>
      <c r="V260" s="1787"/>
    </row>
    <row r="261" spans="1:22" outlineLevel="1">
      <c r="A261" s="1749">
        <f t="shared" si="72"/>
        <v>38322</v>
      </c>
      <c r="B261" s="1749" t="str">
        <f t="shared" si="73"/>
        <v>4Q04</v>
      </c>
      <c r="C261" s="1749" t="str">
        <f t="shared" si="74"/>
        <v>4Q04</v>
      </c>
      <c r="D261" s="1750">
        <f t="shared" ref="D261:E276" si="76">D260+7</f>
        <v>38327</v>
      </c>
      <c r="E261" s="1750">
        <f t="shared" si="76"/>
        <v>38320</v>
      </c>
      <c r="F261" s="1735">
        <v>2.1160000000000001</v>
      </c>
      <c r="G261" s="1752"/>
      <c r="H261" s="1784">
        <v>0.24</v>
      </c>
      <c r="I261" s="1763">
        <f t="shared" si="68"/>
        <v>0.23</v>
      </c>
      <c r="J261" s="1784">
        <v>0.12</v>
      </c>
      <c r="K261" s="1763">
        <f t="shared" si="69"/>
        <v>0.115</v>
      </c>
      <c r="L261" s="1764">
        <f t="shared" ref="L261:L324" si="77">INDEX($T$4:$V$100,MATCH(F261,$T$4:$T$100,1),3)</f>
        <v>0.21000000000000005</v>
      </c>
      <c r="M261" s="1765">
        <f t="shared" si="75"/>
        <v>0.20000000000000004</v>
      </c>
      <c r="O261" s="1752"/>
      <c r="P261" s="1752"/>
      <c r="Q261" s="1758"/>
      <c r="R261" s="1758"/>
      <c r="T261" s="1752"/>
      <c r="U261" s="1752"/>
      <c r="V261" s="1787"/>
    </row>
    <row r="262" spans="1:22" outlineLevel="1">
      <c r="A262" s="1749">
        <f t="shared" si="72"/>
        <v>38322</v>
      </c>
      <c r="B262" s="1749" t="str">
        <f t="shared" si="73"/>
        <v>4Q04</v>
      </c>
      <c r="C262" s="1749" t="str">
        <f t="shared" si="74"/>
        <v>4Q04</v>
      </c>
      <c r="D262" s="1750">
        <f t="shared" si="76"/>
        <v>38334</v>
      </c>
      <c r="E262" s="1750">
        <f t="shared" si="76"/>
        <v>38327</v>
      </c>
      <c r="F262" s="1735">
        <v>2.069</v>
      </c>
      <c r="G262" s="1752"/>
      <c r="H262" s="1784">
        <v>0.23</v>
      </c>
      <c r="I262" s="1763">
        <f t="shared" si="68"/>
        <v>0.216</v>
      </c>
      <c r="J262" s="1784">
        <v>0.115</v>
      </c>
      <c r="K262" s="1763">
        <f t="shared" si="69"/>
        <v>0.108</v>
      </c>
      <c r="L262" s="1764">
        <f t="shared" si="77"/>
        <v>0.20000000000000004</v>
      </c>
      <c r="M262" s="1765">
        <f t="shared" si="75"/>
        <v>0.18000000000000002</v>
      </c>
      <c r="O262" s="1752"/>
      <c r="P262" s="1752"/>
      <c r="Q262" s="1758"/>
      <c r="R262" s="1758"/>
      <c r="T262" s="1752"/>
      <c r="U262" s="1752"/>
      <c r="V262" s="1787"/>
    </row>
    <row r="263" spans="1:22" outlineLevel="1">
      <c r="A263" s="1749">
        <f t="shared" si="72"/>
        <v>38322</v>
      </c>
      <c r="B263" s="1749" t="str">
        <f t="shared" si="73"/>
        <v>4Q04</v>
      </c>
      <c r="C263" s="1749" t="str">
        <f t="shared" si="74"/>
        <v>4Q04</v>
      </c>
      <c r="D263" s="1750">
        <f t="shared" si="76"/>
        <v>38341</v>
      </c>
      <c r="E263" s="1750">
        <f t="shared" si="76"/>
        <v>38334</v>
      </c>
      <c r="F263" s="1735">
        <v>1.9969999999999999</v>
      </c>
      <c r="G263" s="1752"/>
      <c r="H263" s="1784">
        <v>0.216</v>
      </c>
      <c r="I263" s="1763">
        <f t="shared" si="68"/>
        <v>0.214</v>
      </c>
      <c r="J263" s="1784">
        <v>0.108</v>
      </c>
      <c r="K263" s="1763">
        <f t="shared" si="69"/>
        <v>0.107</v>
      </c>
      <c r="L263" s="1764">
        <f t="shared" si="77"/>
        <v>0.18000000000000002</v>
      </c>
      <c r="M263" s="1765">
        <f t="shared" si="75"/>
        <v>0.18000000000000002</v>
      </c>
      <c r="O263" s="1752"/>
      <c r="P263" s="1752"/>
      <c r="Q263" s="1758"/>
      <c r="R263" s="1758"/>
      <c r="T263" s="1752"/>
      <c r="U263" s="1752"/>
      <c r="V263" s="1787"/>
    </row>
    <row r="264" spans="1:22" outlineLevel="1">
      <c r="A264" s="1749">
        <f t="shared" si="72"/>
        <v>38322</v>
      </c>
      <c r="B264" s="1749" t="str">
        <f t="shared" si="73"/>
        <v>4Q04</v>
      </c>
      <c r="C264" s="1749" t="str">
        <f t="shared" si="74"/>
        <v>4Q04</v>
      </c>
      <c r="D264" s="1750">
        <f t="shared" si="76"/>
        <v>38348</v>
      </c>
      <c r="E264" s="1750">
        <f t="shared" si="76"/>
        <v>38341</v>
      </c>
      <c r="F264" s="1735">
        <v>1.984</v>
      </c>
      <c r="G264" s="1752"/>
      <c r="H264" s="1784">
        <v>0.214</v>
      </c>
      <c r="I264" s="1763">
        <f t="shared" si="68"/>
        <v>0.214</v>
      </c>
      <c r="J264" s="1784">
        <v>0.107</v>
      </c>
      <c r="K264" s="1763">
        <f t="shared" si="69"/>
        <v>0.107</v>
      </c>
      <c r="L264" s="1764">
        <f t="shared" si="77"/>
        <v>0.18000000000000002</v>
      </c>
      <c r="M264" s="1765">
        <f t="shared" si="75"/>
        <v>0.18000000000000002</v>
      </c>
      <c r="O264" s="1752"/>
      <c r="P264" s="1752"/>
      <c r="Q264" s="1758"/>
      <c r="R264" s="1758"/>
      <c r="T264" s="1752"/>
      <c r="U264" s="1752"/>
      <c r="V264" s="1787"/>
    </row>
    <row r="265" spans="1:22" outlineLevel="1">
      <c r="A265" s="1749">
        <f t="shared" si="72"/>
        <v>38353</v>
      </c>
      <c r="B265" s="1749" t="str">
        <f t="shared" si="73"/>
        <v>1Q05</v>
      </c>
      <c r="C265" s="1749" t="str">
        <f t="shared" si="74"/>
        <v>4Q04</v>
      </c>
      <c r="D265" s="1750">
        <f t="shared" si="76"/>
        <v>38355</v>
      </c>
      <c r="E265" s="1750">
        <f t="shared" si="76"/>
        <v>38348</v>
      </c>
      <c r="F265" s="1735">
        <v>1.9869999999999999</v>
      </c>
      <c r="G265" s="1752"/>
      <c r="H265" s="1784">
        <v>0.214</v>
      </c>
      <c r="I265" s="1763">
        <f t="shared" si="68"/>
        <v>0.20799999999999999</v>
      </c>
      <c r="J265" s="1784">
        <v>0.107</v>
      </c>
      <c r="K265" s="1763">
        <f t="shared" si="69"/>
        <v>0.104</v>
      </c>
      <c r="L265" s="1764">
        <f t="shared" si="77"/>
        <v>0.18000000000000002</v>
      </c>
      <c r="M265" s="1765">
        <f t="shared" si="75"/>
        <v>0.18000000000000002</v>
      </c>
      <c r="O265" s="1752"/>
      <c r="P265" s="1752"/>
      <c r="Q265" s="1758"/>
      <c r="R265" s="1758"/>
      <c r="T265" s="1752"/>
      <c r="U265" s="1752"/>
      <c r="V265" s="1787"/>
    </row>
    <row r="266" spans="1:22" outlineLevel="1">
      <c r="A266" s="1749">
        <f t="shared" si="72"/>
        <v>38353</v>
      </c>
      <c r="B266" s="1749" t="str">
        <f t="shared" si="73"/>
        <v>1Q05</v>
      </c>
      <c r="C266" s="1749" t="str">
        <f t="shared" si="74"/>
        <v>1Q05</v>
      </c>
      <c r="D266" s="1750">
        <f t="shared" si="76"/>
        <v>38362</v>
      </c>
      <c r="E266" s="1750">
        <f t="shared" si="76"/>
        <v>38355</v>
      </c>
      <c r="F266" s="1735">
        <v>1.9569999999999999</v>
      </c>
      <c r="G266" s="1752"/>
      <c r="H266" s="1784">
        <v>0.20799999999999999</v>
      </c>
      <c r="I266" s="1763">
        <f t="shared" si="68"/>
        <v>0.20399999999999999</v>
      </c>
      <c r="J266" s="1784">
        <v>0.104</v>
      </c>
      <c r="K266" s="1763">
        <f t="shared" si="69"/>
        <v>0.10199999999999999</v>
      </c>
      <c r="L266" s="1764">
        <f t="shared" si="77"/>
        <v>0.18000000000000002</v>
      </c>
      <c r="M266" s="1765">
        <f t="shared" si="75"/>
        <v>0.17</v>
      </c>
      <c r="O266" s="1752"/>
      <c r="P266" s="1752"/>
      <c r="Q266" s="1758"/>
      <c r="R266" s="1758"/>
      <c r="T266" s="1752"/>
      <c r="U266" s="1752"/>
      <c r="V266" s="1787"/>
    </row>
    <row r="267" spans="1:22" outlineLevel="1">
      <c r="A267" s="1749">
        <f t="shared" si="72"/>
        <v>38353</v>
      </c>
      <c r="B267" s="1749" t="str">
        <f t="shared" si="73"/>
        <v>1Q05</v>
      </c>
      <c r="C267" s="1749" t="str">
        <f t="shared" si="74"/>
        <v>1Q05</v>
      </c>
      <c r="D267" s="1750">
        <f t="shared" si="76"/>
        <v>38369</v>
      </c>
      <c r="E267" s="1750">
        <f t="shared" si="76"/>
        <v>38362</v>
      </c>
      <c r="F267" s="1735">
        <v>1.9340000000000002</v>
      </c>
      <c r="G267" s="1752"/>
      <c r="H267" s="1784">
        <v>0.20399999999999999</v>
      </c>
      <c r="I267" s="1763">
        <f t="shared" si="68"/>
        <v>0.20799999999999999</v>
      </c>
      <c r="J267" s="1784">
        <v>0.10199999999999999</v>
      </c>
      <c r="K267" s="1763">
        <f t="shared" si="69"/>
        <v>0.104</v>
      </c>
      <c r="L267" s="1764">
        <f t="shared" si="77"/>
        <v>0.17</v>
      </c>
      <c r="M267" s="1765">
        <f t="shared" si="75"/>
        <v>0.18000000000000002</v>
      </c>
      <c r="O267" s="1752"/>
      <c r="P267" s="1752"/>
      <c r="Q267" s="1758"/>
      <c r="R267" s="1758"/>
      <c r="T267" s="1752"/>
      <c r="U267" s="1752"/>
      <c r="V267" s="1787"/>
    </row>
    <row r="268" spans="1:22" outlineLevel="1">
      <c r="A268" s="1749">
        <f t="shared" si="72"/>
        <v>38353</v>
      </c>
      <c r="B268" s="1749" t="str">
        <f t="shared" si="73"/>
        <v>1Q05</v>
      </c>
      <c r="C268" s="1749" t="str">
        <f t="shared" si="74"/>
        <v>1Q05</v>
      </c>
      <c r="D268" s="1750">
        <f t="shared" si="76"/>
        <v>38376</v>
      </c>
      <c r="E268" s="1750">
        <f t="shared" si="76"/>
        <v>38369</v>
      </c>
      <c r="F268" s="1735">
        <v>1.952</v>
      </c>
      <c r="G268" s="1752"/>
      <c r="H268" s="1784">
        <v>0.20799999999999999</v>
      </c>
      <c r="I268" s="1763">
        <f t="shared" si="68"/>
        <v>0.20799999999999999</v>
      </c>
      <c r="J268" s="1784">
        <v>0.104</v>
      </c>
      <c r="K268" s="1763">
        <f t="shared" si="69"/>
        <v>0.104</v>
      </c>
      <c r="L268" s="1764">
        <f t="shared" si="77"/>
        <v>0.18000000000000002</v>
      </c>
      <c r="M268" s="1765">
        <f t="shared" si="75"/>
        <v>0.18000000000000002</v>
      </c>
      <c r="O268" s="1752"/>
      <c r="P268" s="1752"/>
      <c r="Q268" s="1758"/>
      <c r="R268" s="1758"/>
      <c r="T268" s="1752"/>
      <c r="U268" s="1752"/>
      <c r="V268" s="1787"/>
    </row>
    <row r="269" spans="1:22" outlineLevel="1">
      <c r="A269" s="1749">
        <f t="shared" si="72"/>
        <v>38353</v>
      </c>
      <c r="B269" s="1749" t="str">
        <f t="shared" si="73"/>
        <v>1Q05</v>
      </c>
      <c r="C269" s="1749" t="str">
        <f t="shared" si="74"/>
        <v>1Q05</v>
      </c>
      <c r="D269" s="1750">
        <f t="shared" si="76"/>
        <v>38383</v>
      </c>
      <c r="E269" s="1750">
        <f t="shared" si="76"/>
        <v>38376</v>
      </c>
      <c r="F269" s="1735">
        <v>1.9590000000000001</v>
      </c>
      <c r="G269" s="1752"/>
      <c r="H269" s="1784">
        <v>0.20799999999999999</v>
      </c>
      <c r="I269" s="1763">
        <f t="shared" si="68"/>
        <v>0.216</v>
      </c>
      <c r="J269" s="1784">
        <v>0.104</v>
      </c>
      <c r="K269" s="1763">
        <f t="shared" si="69"/>
        <v>0.108</v>
      </c>
      <c r="L269" s="1764">
        <f t="shared" si="77"/>
        <v>0.18000000000000002</v>
      </c>
      <c r="M269" s="1765">
        <f t="shared" si="75"/>
        <v>0.18000000000000002</v>
      </c>
      <c r="O269" s="1752"/>
      <c r="P269" s="1752"/>
      <c r="Q269" s="1758"/>
      <c r="R269" s="1758"/>
      <c r="T269" s="1752"/>
      <c r="U269" s="1752"/>
      <c r="V269" s="1787"/>
    </row>
    <row r="270" spans="1:22" outlineLevel="1">
      <c r="A270" s="1749">
        <f t="shared" si="72"/>
        <v>38384</v>
      </c>
      <c r="B270" s="1749" t="str">
        <f t="shared" si="73"/>
        <v>1Q05</v>
      </c>
      <c r="C270" s="1749" t="str">
        <f t="shared" si="74"/>
        <v>1Q05</v>
      </c>
      <c r="D270" s="1750">
        <f t="shared" si="76"/>
        <v>38390</v>
      </c>
      <c r="E270" s="1750">
        <f t="shared" si="76"/>
        <v>38383</v>
      </c>
      <c r="F270" s="1735">
        <v>1.992</v>
      </c>
      <c r="G270" s="1752"/>
      <c r="H270" s="1784">
        <v>0.216</v>
      </c>
      <c r="I270" s="1763">
        <f t="shared" si="68"/>
        <v>0.214</v>
      </c>
      <c r="J270" s="1784">
        <v>0.108</v>
      </c>
      <c r="K270" s="1763">
        <f t="shared" si="69"/>
        <v>0.107</v>
      </c>
      <c r="L270" s="1764">
        <f t="shared" si="77"/>
        <v>0.18000000000000002</v>
      </c>
      <c r="M270" s="1765">
        <f t="shared" si="75"/>
        <v>0.18000000000000002</v>
      </c>
      <c r="O270" s="1752"/>
      <c r="P270" s="1752"/>
      <c r="Q270" s="1758"/>
      <c r="R270" s="1758"/>
      <c r="T270" s="1752"/>
      <c r="U270" s="1752"/>
      <c r="V270" s="1787"/>
    </row>
    <row r="271" spans="1:22" outlineLevel="1">
      <c r="A271" s="1749">
        <f t="shared" si="72"/>
        <v>38384</v>
      </c>
      <c r="B271" s="1749" t="str">
        <f t="shared" si="73"/>
        <v>1Q05</v>
      </c>
      <c r="C271" s="1749" t="str">
        <f t="shared" si="74"/>
        <v>1Q05</v>
      </c>
      <c r="D271" s="1750">
        <f t="shared" si="76"/>
        <v>38397</v>
      </c>
      <c r="E271" s="1750">
        <f t="shared" si="76"/>
        <v>38390</v>
      </c>
      <c r="F271" s="1735">
        <v>1.9830000000000001</v>
      </c>
      <c r="G271" s="1752"/>
      <c r="H271" s="1784">
        <v>0.214</v>
      </c>
      <c r="I271" s="1763">
        <f t="shared" si="68"/>
        <v>0.214</v>
      </c>
      <c r="J271" s="1784">
        <v>0.107</v>
      </c>
      <c r="K271" s="1763">
        <f t="shared" si="69"/>
        <v>0.107</v>
      </c>
      <c r="L271" s="1764">
        <f t="shared" si="77"/>
        <v>0.18000000000000002</v>
      </c>
      <c r="M271" s="1765">
        <f t="shared" si="75"/>
        <v>0.18000000000000002</v>
      </c>
      <c r="O271" s="1752"/>
      <c r="P271" s="1752"/>
      <c r="Q271" s="1758"/>
      <c r="R271" s="1758"/>
      <c r="T271" s="1752"/>
      <c r="U271" s="1752"/>
      <c r="V271" s="1787"/>
    </row>
    <row r="272" spans="1:22" outlineLevel="1">
      <c r="A272" s="1749">
        <f t="shared" si="72"/>
        <v>38384</v>
      </c>
      <c r="B272" s="1749" t="str">
        <f t="shared" si="73"/>
        <v>1Q05</v>
      </c>
      <c r="C272" s="1749" t="str">
        <f t="shared" si="74"/>
        <v>1Q05</v>
      </c>
      <c r="D272" s="1750">
        <f t="shared" si="76"/>
        <v>38404</v>
      </c>
      <c r="E272" s="1750">
        <f t="shared" si="76"/>
        <v>38397</v>
      </c>
      <c r="F272" s="1735">
        <v>1.986</v>
      </c>
      <c r="G272" s="1752"/>
      <c r="H272" s="1784">
        <v>0.214</v>
      </c>
      <c r="I272" s="1763">
        <f t="shared" si="68"/>
        <v>0.222</v>
      </c>
      <c r="J272" s="1784">
        <v>0.107</v>
      </c>
      <c r="K272" s="1763">
        <f t="shared" si="69"/>
        <v>0.111</v>
      </c>
      <c r="L272" s="1764">
        <f t="shared" si="77"/>
        <v>0.18000000000000002</v>
      </c>
      <c r="M272" s="1765">
        <f t="shared" si="75"/>
        <v>0.19000000000000003</v>
      </c>
      <c r="O272" s="1752"/>
      <c r="P272" s="1752"/>
      <c r="Q272" s="1758"/>
      <c r="R272" s="1758"/>
      <c r="T272" s="1752"/>
      <c r="U272" s="1752"/>
      <c r="V272" s="1787"/>
    </row>
    <row r="273" spans="1:22" outlineLevel="1">
      <c r="A273" s="1749">
        <f t="shared" si="72"/>
        <v>38384</v>
      </c>
      <c r="B273" s="1749" t="str">
        <f t="shared" si="73"/>
        <v>1Q05</v>
      </c>
      <c r="C273" s="1749" t="str">
        <f t="shared" si="74"/>
        <v>1Q05</v>
      </c>
      <c r="D273" s="1750">
        <f t="shared" si="76"/>
        <v>38411</v>
      </c>
      <c r="E273" s="1750">
        <f t="shared" si="76"/>
        <v>38404</v>
      </c>
      <c r="F273" s="1735">
        <v>2.02</v>
      </c>
      <c r="G273" s="1752"/>
      <c r="H273" s="1784">
        <v>0.222</v>
      </c>
      <c r="I273" s="1763">
        <f t="shared" si="68"/>
        <v>0.24</v>
      </c>
      <c r="J273" s="1784">
        <v>0.111</v>
      </c>
      <c r="K273" s="1763">
        <f t="shared" si="69"/>
        <v>0.12</v>
      </c>
      <c r="L273" s="1764">
        <f t="shared" si="77"/>
        <v>0.19000000000000003</v>
      </c>
      <c r="M273" s="1765">
        <f t="shared" si="75"/>
        <v>0.21000000000000005</v>
      </c>
      <c r="O273" s="1752"/>
      <c r="P273" s="1752"/>
      <c r="Q273" s="1758"/>
      <c r="R273" s="1758"/>
      <c r="T273" s="1752"/>
      <c r="U273" s="1752"/>
      <c r="V273" s="1787"/>
    </row>
    <row r="274" spans="1:22" outlineLevel="1">
      <c r="A274" s="1749">
        <f t="shared" si="72"/>
        <v>38412</v>
      </c>
      <c r="B274" s="1749" t="str">
        <f t="shared" si="73"/>
        <v>1Q05</v>
      </c>
      <c r="C274" s="1749" t="str">
        <f t="shared" si="74"/>
        <v>1Q05</v>
      </c>
      <c r="D274" s="1750">
        <f t="shared" si="76"/>
        <v>38418</v>
      </c>
      <c r="E274" s="1750">
        <f t="shared" si="76"/>
        <v>38411</v>
      </c>
      <c r="F274" s="1735">
        <v>2.1180000000000003</v>
      </c>
      <c r="G274" s="1752"/>
      <c r="H274" s="1784">
        <v>0.24</v>
      </c>
      <c r="I274" s="1763">
        <f t="shared" si="68"/>
        <v>0.25</v>
      </c>
      <c r="J274" s="1784">
        <v>0.12</v>
      </c>
      <c r="K274" s="1763">
        <f t="shared" si="69"/>
        <v>0.125</v>
      </c>
      <c r="L274" s="1764">
        <f t="shared" si="77"/>
        <v>0.21000000000000005</v>
      </c>
      <c r="M274" s="1765">
        <f t="shared" si="75"/>
        <v>0.22000000000000006</v>
      </c>
      <c r="O274" s="1752"/>
      <c r="P274" s="1752"/>
      <c r="Q274" s="1758"/>
      <c r="R274" s="1758"/>
      <c r="T274" s="1752"/>
      <c r="U274" s="1752"/>
      <c r="V274" s="1787"/>
    </row>
    <row r="275" spans="1:22" outlineLevel="1">
      <c r="A275" s="1749">
        <f t="shared" si="72"/>
        <v>38412</v>
      </c>
      <c r="B275" s="1749" t="str">
        <f t="shared" si="73"/>
        <v>1Q05</v>
      </c>
      <c r="C275" s="1749" t="str">
        <f t="shared" si="74"/>
        <v>1Q05</v>
      </c>
      <c r="D275" s="1750">
        <f t="shared" si="76"/>
        <v>38425</v>
      </c>
      <c r="E275" s="1750">
        <f t="shared" si="76"/>
        <v>38418</v>
      </c>
      <c r="F275" s="1735">
        <v>2.1680000000000001</v>
      </c>
      <c r="G275" s="1752"/>
      <c r="H275" s="1784">
        <v>0.25</v>
      </c>
      <c r="I275" s="1763">
        <f t="shared" si="68"/>
        <v>0.25600000000000001</v>
      </c>
      <c r="J275" s="1784">
        <v>0.125</v>
      </c>
      <c r="K275" s="1763">
        <f t="shared" si="69"/>
        <v>0.128</v>
      </c>
      <c r="L275" s="1764">
        <f t="shared" si="77"/>
        <v>0.22000000000000006</v>
      </c>
      <c r="M275" s="1765">
        <f t="shared" si="75"/>
        <v>0.22000000000000006</v>
      </c>
      <c r="O275" s="1752"/>
      <c r="P275" s="1752"/>
      <c r="Q275" s="1758"/>
      <c r="R275" s="1758"/>
      <c r="T275" s="1752"/>
      <c r="U275" s="1752"/>
      <c r="V275" s="1787"/>
    </row>
    <row r="276" spans="1:22" outlineLevel="1">
      <c r="A276" s="1749">
        <f t="shared" si="72"/>
        <v>38412</v>
      </c>
      <c r="B276" s="1749" t="str">
        <f t="shared" si="73"/>
        <v>1Q05</v>
      </c>
      <c r="C276" s="1749" t="str">
        <f t="shared" si="74"/>
        <v>1Q05</v>
      </c>
      <c r="D276" s="1750">
        <f t="shared" si="76"/>
        <v>38432</v>
      </c>
      <c r="E276" s="1750">
        <f t="shared" si="76"/>
        <v>38425</v>
      </c>
      <c r="F276" s="1735">
        <v>2.194</v>
      </c>
      <c r="G276" s="1752"/>
      <c r="H276" s="1784">
        <v>0.25600000000000001</v>
      </c>
      <c r="I276" s="1763">
        <f t="shared" si="68"/>
        <v>0.26600000000000001</v>
      </c>
      <c r="J276" s="1784">
        <v>0.128</v>
      </c>
      <c r="K276" s="1763">
        <f t="shared" si="69"/>
        <v>0.13300000000000001</v>
      </c>
      <c r="L276" s="1764">
        <f t="shared" si="77"/>
        <v>0.22000000000000006</v>
      </c>
      <c r="M276" s="1765">
        <f t="shared" si="75"/>
        <v>0.23000000000000007</v>
      </c>
      <c r="O276" s="1752"/>
      <c r="P276" s="1752"/>
      <c r="Q276" s="1758"/>
      <c r="R276" s="1758"/>
      <c r="T276" s="1752"/>
      <c r="U276" s="1752"/>
      <c r="V276" s="1787"/>
    </row>
    <row r="277" spans="1:22" outlineLevel="1">
      <c r="A277" s="1749">
        <f t="shared" si="72"/>
        <v>38412</v>
      </c>
      <c r="B277" s="1749" t="str">
        <f t="shared" si="73"/>
        <v>1Q05</v>
      </c>
      <c r="C277" s="1749" t="str">
        <f t="shared" si="74"/>
        <v>1Q05</v>
      </c>
      <c r="D277" s="1750">
        <f t="shared" ref="D277:E292" si="78">D276+7</f>
        <v>38439</v>
      </c>
      <c r="E277" s="1750">
        <f t="shared" si="78"/>
        <v>38432</v>
      </c>
      <c r="F277" s="1735">
        <v>2.2440000000000002</v>
      </c>
      <c r="G277" s="1752"/>
      <c r="H277" s="1784">
        <v>0.26600000000000001</v>
      </c>
      <c r="I277" s="1763">
        <f t="shared" si="68"/>
        <v>0.26600000000000001</v>
      </c>
      <c r="J277" s="1784">
        <v>0.13300000000000001</v>
      </c>
      <c r="K277" s="1763">
        <f t="shared" si="69"/>
        <v>0.13300000000000001</v>
      </c>
      <c r="L277" s="1764">
        <f t="shared" si="77"/>
        <v>0.23000000000000007</v>
      </c>
      <c r="M277" s="1765">
        <f t="shared" si="75"/>
        <v>0.23000000000000007</v>
      </c>
      <c r="O277" s="1752"/>
      <c r="P277" s="1752"/>
      <c r="Q277" s="1758"/>
      <c r="R277" s="1758"/>
      <c r="T277" s="1752"/>
      <c r="U277" s="1752"/>
      <c r="V277" s="1787"/>
    </row>
    <row r="278" spans="1:22" outlineLevel="1">
      <c r="A278" s="1749">
        <f t="shared" si="72"/>
        <v>38443</v>
      </c>
      <c r="B278" s="1749" t="str">
        <f t="shared" si="73"/>
        <v>2Q05</v>
      </c>
      <c r="C278" s="1749" t="str">
        <f t="shared" si="74"/>
        <v>1Q05</v>
      </c>
      <c r="D278" s="1750">
        <f t="shared" si="78"/>
        <v>38446</v>
      </c>
      <c r="E278" s="1750">
        <f t="shared" si="78"/>
        <v>38439</v>
      </c>
      <c r="F278" s="1735">
        <v>2.2490000000000001</v>
      </c>
      <c r="G278" s="1752"/>
      <c r="H278" s="1784">
        <v>0.26600000000000001</v>
      </c>
      <c r="I278" s="1763">
        <f t="shared" si="68"/>
        <v>0.27800000000000002</v>
      </c>
      <c r="J278" s="1784">
        <v>0.13300000000000001</v>
      </c>
      <c r="K278" s="1763">
        <f t="shared" si="69"/>
        <v>0.13900000000000001</v>
      </c>
      <c r="L278" s="1764">
        <f t="shared" si="77"/>
        <v>0.23000000000000007</v>
      </c>
      <c r="M278" s="1765">
        <f t="shared" si="75"/>
        <v>0.25000000000000006</v>
      </c>
      <c r="O278" s="1752"/>
      <c r="P278" s="1752"/>
      <c r="Q278" s="1758"/>
      <c r="R278" s="1758"/>
      <c r="T278" s="1752"/>
      <c r="U278" s="1752"/>
      <c r="V278" s="1787"/>
    </row>
    <row r="279" spans="1:22" outlineLevel="1">
      <c r="A279" s="1749">
        <f t="shared" si="72"/>
        <v>38443</v>
      </c>
      <c r="B279" s="1749" t="str">
        <f t="shared" si="73"/>
        <v>2Q05</v>
      </c>
      <c r="C279" s="1749" t="str">
        <f t="shared" si="74"/>
        <v>2Q05</v>
      </c>
      <c r="D279" s="1750">
        <f t="shared" si="78"/>
        <v>38453</v>
      </c>
      <c r="E279" s="1750">
        <f t="shared" si="78"/>
        <v>38446</v>
      </c>
      <c r="F279" s="1735">
        <v>2.3029999999999999</v>
      </c>
      <c r="G279" s="1752"/>
      <c r="H279" s="1784">
        <v>0.27800000000000002</v>
      </c>
      <c r="I279" s="1763">
        <f t="shared" si="68"/>
        <v>0.28000000000000003</v>
      </c>
      <c r="J279" s="1784">
        <v>0.13900000000000001</v>
      </c>
      <c r="K279" s="1763">
        <f t="shared" si="69"/>
        <v>0.14000000000000001</v>
      </c>
      <c r="L279" s="1764">
        <f t="shared" si="77"/>
        <v>0.25000000000000006</v>
      </c>
      <c r="M279" s="1765">
        <f t="shared" si="75"/>
        <v>0.25000000000000006</v>
      </c>
      <c r="O279" s="1752"/>
      <c r="P279" s="1752"/>
      <c r="Q279" s="1758"/>
      <c r="R279" s="1758"/>
      <c r="T279" s="1752"/>
      <c r="U279" s="1752"/>
      <c r="V279" s="1787"/>
    </row>
    <row r="280" spans="1:22" outlineLevel="1">
      <c r="A280" s="1749">
        <f t="shared" si="72"/>
        <v>38443</v>
      </c>
      <c r="B280" s="1749" t="str">
        <f t="shared" si="73"/>
        <v>2Q05</v>
      </c>
      <c r="C280" s="1749" t="str">
        <f t="shared" si="74"/>
        <v>2Q05</v>
      </c>
      <c r="D280" s="1750">
        <f t="shared" si="78"/>
        <v>38460</v>
      </c>
      <c r="E280" s="1750">
        <f t="shared" si="78"/>
        <v>38453</v>
      </c>
      <c r="F280" s="1735">
        <v>2.3159999999999998</v>
      </c>
      <c r="G280" s="1752"/>
      <c r="H280" s="1784">
        <v>0.28000000000000003</v>
      </c>
      <c r="I280" s="1763">
        <f t="shared" si="68"/>
        <v>0.26800000000000002</v>
      </c>
      <c r="J280" s="1784">
        <v>0.14000000000000001</v>
      </c>
      <c r="K280" s="1763">
        <f t="shared" si="69"/>
        <v>0.13400000000000001</v>
      </c>
      <c r="L280" s="1764">
        <f t="shared" si="77"/>
        <v>0.25000000000000006</v>
      </c>
      <c r="M280" s="1765">
        <f t="shared" si="75"/>
        <v>0.24000000000000007</v>
      </c>
      <c r="O280" s="1752"/>
      <c r="P280" s="1752"/>
      <c r="Q280" s="1758"/>
      <c r="R280" s="1758"/>
      <c r="T280" s="1752"/>
      <c r="U280" s="1752"/>
      <c r="V280" s="1787"/>
    </row>
    <row r="281" spans="1:22" outlineLevel="1">
      <c r="A281" s="1749">
        <f t="shared" si="72"/>
        <v>38443</v>
      </c>
      <c r="B281" s="1749" t="str">
        <f t="shared" si="73"/>
        <v>2Q05</v>
      </c>
      <c r="C281" s="1749" t="str">
        <f t="shared" si="74"/>
        <v>2Q05</v>
      </c>
      <c r="D281" s="1750">
        <f t="shared" si="78"/>
        <v>38467</v>
      </c>
      <c r="E281" s="1750">
        <f t="shared" si="78"/>
        <v>38460</v>
      </c>
      <c r="F281" s="1735">
        <v>2.2589999999999999</v>
      </c>
      <c r="G281" s="1752"/>
      <c r="H281" s="1784">
        <v>0.26800000000000002</v>
      </c>
      <c r="I281" s="1763">
        <f t="shared" ref="I281:I344" si="79">H282</f>
        <v>0.27400000000000002</v>
      </c>
      <c r="J281" s="1784">
        <v>0.13400000000000001</v>
      </c>
      <c r="K281" s="1763">
        <f t="shared" ref="K281:K344" si="80">J282</f>
        <v>0.13700000000000001</v>
      </c>
      <c r="L281" s="1764">
        <f t="shared" si="77"/>
        <v>0.24000000000000007</v>
      </c>
      <c r="M281" s="1765">
        <f t="shared" si="75"/>
        <v>0.24000000000000007</v>
      </c>
      <c r="O281" s="1752"/>
      <c r="P281" s="1752"/>
      <c r="Q281" s="1758"/>
      <c r="R281" s="1758"/>
      <c r="T281" s="1752"/>
      <c r="U281" s="1752"/>
      <c r="V281" s="1787"/>
    </row>
    <row r="282" spans="1:22" outlineLevel="1">
      <c r="A282" s="1749">
        <f t="shared" si="72"/>
        <v>38473</v>
      </c>
      <c r="B282" s="1749" t="str">
        <f t="shared" si="73"/>
        <v>2Q05</v>
      </c>
      <c r="C282" s="1749" t="str">
        <f t="shared" si="74"/>
        <v>2Q05</v>
      </c>
      <c r="D282" s="1750">
        <f t="shared" si="78"/>
        <v>38474</v>
      </c>
      <c r="E282" s="1750">
        <f t="shared" si="78"/>
        <v>38467</v>
      </c>
      <c r="F282" s="1735">
        <v>2.2890000000000001</v>
      </c>
      <c r="G282" s="1752"/>
      <c r="H282" s="1784">
        <v>0.27400000000000002</v>
      </c>
      <c r="I282" s="1763">
        <f t="shared" si="79"/>
        <v>0.27</v>
      </c>
      <c r="J282" s="1784">
        <v>0.13700000000000001</v>
      </c>
      <c r="K282" s="1763">
        <f t="shared" si="80"/>
        <v>0.13500000000000001</v>
      </c>
      <c r="L282" s="1764">
        <f t="shared" si="77"/>
        <v>0.24000000000000007</v>
      </c>
      <c r="M282" s="1765">
        <f t="shared" si="75"/>
        <v>0.24000000000000007</v>
      </c>
      <c r="O282" s="1752"/>
      <c r="P282" s="1752"/>
      <c r="Q282" s="1758"/>
      <c r="R282" s="1758"/>
      <c r="T282" s="1752"/>
      <c r="U282" s="1752"/>
      <c r="V282" s="1787"/>
    </row>
    <row r="283" spans="1:22" outlineLevel="1">
      <c r="A283" s="1749">
        <f t="shared" si="72"/>
        <v>38473</v>
      </c>
      <c r="B283" s="1749" t="str">
        <f t="shared" si="73"/>
        <v>2Q05</v>
      </c>
      <c r="C283" s="1749" t="str">
        <f t="shared" si="74"/>
        <v>2Q05</v>
      </c>
      <c r="D283" s="1750">
        <f t="shared" si="78"/>
        <v>38481</v>
      </c>
      <c r="E283" s="1750">
        <f t="shared" si="78"/>
        <v>38474</v>
      </c>
      <c r="F283" s="1735">
        <v>2.262</v>
      </c>
      <c r="G283" s="1752"/>
      <c r="H283" s="1784">
        <v>0.27</v>
      </c>
      <c r="I283" s="1763">
        <f t="shared" si="79"/>
        <v>0.26200000000000001</v>
      </c>
      <c r="J283" s="1784">
        <v>0.13500000000000001</v>
      </c>
      <c r="K283" s="1763">
        <f t="shared" si="80"/>
        <v>0.13100000000000001</v>
      </c>
      <c r="L283" s="1764">
        <f t="shared" si="77"/>
        <v>0.24000000000000007</v>
      </c>
      <c r="M283" s="1765">
        <f t="shared" si="75"/>
        <v>0.23000000000000007</v>
      </c>
      <c r="O283" s="1752"/>
      <c r="P283" s="1752"/>
      <c r="Q283" s="1758"/>
      <c r="R283" s="1758"/>
      <c r="T283" s="1752"/>
      <c r="U283" s="1752"/>
      <c r="V283" s="1787"/>
    </row>
    <row r="284" spans="1:22" outlineLevel="1">
      <c r="A284" s="1749">
        <f t="shared" si="72"/>
        <v>38473</v>
      </c>
      <c r="B284" s="1749" t="str">
        <f t="shared" si="73"/>
        <v>2Q05</v>
      </c>
      <c r="C284" s="1749" t="str">
        <f t="shared" si="74"/>
        <v>2Q05</v>
      </c>
      <c r="D284" s="1750">
        <f t="shared" si="78"/>
        <v>38488</v>
      </c>
      <c r="E284" s="1750">
        <f t="shared" si="78"/>
        <v>38481</v>
      </c>
      <c r="F284" s="1735">
        <v>2.2269999999999999</v>
      </c>
      <c r="G284" s="1752"/>
      <c r="H284" s="1784">
        <v>0.26200000000000001</v>
      </c>
      <c r="I284" s="1763">
        <f t="shared" si="79"/>
        <v>0.254</v>
      </c>
      <c r="J284" s="1784">
        <v>0.13100000000000001</v>
      </c>
      <c r="K284" s="1763">
        <f t="shared" si="80"/>
        <v>0.127</v>
      </c>
      <c r="L284" s="1764">
        <f t="shared" si="77"/>
        <v>0.23000000000000007</v>
      </c>
      <c r="M284" s="1765">
        <f t="shared" si="75"/>
        <v>0.22000000000000006</v>
      </c>
      <c r="O284" s="1752"/>
      <c r="P284" s="1752"/>
      <c r="Q284" s="1758"/>
      <c r="R284" s="1758"/>
      <c r="T284" s="1752"/>
      <c r="U284" s="1752"/>
      <c r="V284" s="1787"/>
    </row>
    <row r="285" spans="1:22" outlineLevel="1">
      <c r="A285" s="1749">
        <f t="shared" si="72"/>
        <v>38473</v>
      </c>
      <c r="B285" s="1749" t="str">
        <f t="shared" si="73"/>
        <v>2Q05</v>
      </c>
      <c r="C285" s="1749" t="str">
        <f t="shared" si="74"/>
        <v>2Q05</v>
      </c>
      <c r="D285" s="1750">
        <f t="shared" si="78"/>
        <v>38495</v>
      </c>
      <c r="E285" s="1750">
        <f t="shared" si="78"/>
        <v>38488</v>
      </c>
      <c r="F285" s="1735">
        <v>2.1890000000000001</v>
      </c>
      <c r="G285" s="1752"/>
      <c r="H285" s="1784">
        <v>0.254</v>
      </c>
      <c r="I285" s="1763">
        <f t="shared" si="79"/>
        <v>0.248</v>
      </c>
      <c r="J285" s="1784">
        <v>0.127</v>
      </c>
      <c r="K285" s="1763">
        <f t="shared" si="80"/>
        <v>0.124</v>
      </c>
      <c r="L285" s="1764">
        <f t="shared" si="77"/>
        <v>0.22000000000000006</v>
      </c>
      <c r="M285" s="1765">
        <f t="shared" si="75"/>
        <v>0.22000000000000006</v>
      </c>
      <c r="O285" s="1752"/>
      <c r="P285" s="1752"/>
      <c r="Q285" s="1758"/>
      <c r="R285" s="1758"/>
      <c r="T285" s="1752"/>
      <c r="U285" s="1752"/>
      <c r="V285" s="1787"/>
    </row>
    <row r="286" spans="1:22" outlineLevel="1">
      <c r="A286" s="1749">
        <f t="shared" si="72"/>
        <v>38473</v>
      </c>
      <c r="B286" s="1749" t="str">
        <f t="shared" si="73"/>
        <v>2Q05</v>
      </c>
      <c r="C286" s="1749" t="str">
        <f t="shared" si="74"/>
        <v>2Q05</v>
      </c>
      <c r="D286" s="1750">
        <f t="shared" si="78"/>
        <v>38502</v>
      </c>
      <c r="E286" s="1750">
        <f t="shared" si="78"/>
        <v>38495</v>
      </c>
      <c r="F286" s="1735">
        <v>2.1560000000000001</v>
      </c>
      <c r="G286" s="1752"/>
      <c r="H286" s="1784">
        <v>0.248</v>
      </c>
      <c r="I286" s="1763">
        <f t="shared" si="79"/>
        <v>0.25</v>
      </c>
      <c r="J286" s="1784">
        <v>0.124</v>
      </c>
      <c r="K286" s="1763">
        <f t="shared" si="80"/>
        <v>0.125</v>
      </c>
      <c r="L286" s="1764">
        <f t="shared" si="77"/>
        <v>0.22000000000000006</v>
      </c>
      <c r="M286" s="1765">
        <f t="shared" si="75"/>
        <v>0.22000000000000006</v>
      </c>
      <c r="O286" s="1752"/>
      <c r="P286" s="1752"/>
      <c r="Q286" s="1758"/>
      <c r="R286" s="1758"/>
      <c r="T286" s="1752"/>
      <c r="U286" s="1752"/>
      <c r="V286" s="1787"/>
    </row>
    <row r="287" spans="1:22" outlineLevel="1">
      <c r="A287" s="1749">
        <f t="shared" si="72"/>
        <v>38504</v>
      </c>
      <c r="B287" s="1749" t="str">
        <f t="shared" si="73"/>
        <v>2Q05</v>
      </c>
      <c r="C287" s="1749" t="str">
        <f t="shared" si="74"/>
        <v>2Q05</v>
      </c>
      <c r="D287" s="1750">
        <f t="shared" si="78"/>
        <v>38509</v>
      </c>
      <c r="E287" s="1750">
        <f t="shared" si="78"/>
        <v>38502</v>
      </c>
      <c r="F287" s="1735">
        <v>2.16</v>
      </c>
      <c r="G287" s="1752"/>
      <c r="H287" s="1784">
        <v>0.25</v>
      </c>
      <c r="I287" s="1763">
        <f t="shared" si="79"/>
        <v>0.26400000000000001</v>
      </c>
      <c r="J287" s="1784">
        <v>0.125</v>
      </c>
      <c r="K287" s="1763">
        <f t="shared" si="80"/>
        <v>0.13200000000000001</v>
      </c>
      <c r="L287" s="1764">
        <f t="shared" si="77"/>
        <v>0.22000000000000006</v>
      </c>
      <c r="M287" s="1765">
        <f t="shared" si="75"/>
        <v>0.23000000000000007</v>
      </c>
      <c r="O287" s="1752"/>
      <c r="P287" s="1752"/>
      <c r="Q287" s="1758"/>
      <c r="R287" s="1758"/>
      <c r="T287" s="1752"/>
      <c r="U287" s="1752"/>
      <c r="V287" s="1787"/>
    </row>
    <row r="288" spans="1:22" outlineLevel="1">
      <c r="A288" s="1749">
        <f t="shared" si="72"/>
        <v>38504</v>
      </c>
      <c r="B288" s="1749" t="str">
        <f t="shared" si="73"/>
        <v>2Q05</v>
      </c>
      <c r="C288" s="1749" t="str">
        <f t="shared" si="74"/>
        <v>2Q05</v>
      </c>
      <c r="D288" s="1750">
        <f t="shared" si="78"/>
        <v>38516</v>
      </c>
      <c r="E288" s="1750">
        <f t="shared" si="78"/>
        <v>38509</v>
      </c>
      <c r="F288" s="1735">
        <v>2.234</v>
      </c>
      <c r="G288" s="1752"/>
      <c r="H288" s="1784">
        <v>0.26400000000000001</v>
      </c>
      <c r="I288" s="1763">
        <f t="shared" si="79"/>
        <v>0.27200000000000002</v>
      </c>
      <c r="J288" s="1784">
        <v>0.13200000000000001</v>
      </c>
      <c r="K288" s="1763">
        <f t="shared" si="80"/>
        <v>0.13600000000000001</v>
      </c>
      <c r="L288" s="1764">
        <f t="shared" si="77"/>
        <v>0.23000000000000007</v>
      </c>
      <c r="M288" s="1765">
        <f t="shared" si="75"/>
        <v>0.24000000000000007</v>
      </c>
      <c r="O288" s="1752"/>
      <c r="P288" s="1752"/>
      <c r="Q288" s="1758"/>
      <c r="R288" s="1758"/>
      <c r="T288" s="1752"/>
      <c r="U288" s="1752"/>
      <c r="V288" s="1787"/>
    </row>
    <row r="289" spans="1:22" outlineLevel="1">
      <c r="A289" s="1749">
        <f t="shared" si="72"/>
        <v>38504</v>
      </c>
      <c r="B289" s="1749" t="str">
        <f t="shared" si="73"/>
        <v>2Q05</v>
      </c>
      <c r="C289" s="1749" t="str">
        <f t="shared" si="74"/>
        <v>2Q05</v>
      </c>
      <c r="D289" s="1750">
        <f t="shared" si="78"/>
        <v>38523</v>
      </c>
      <c r="E289" s="1750">
        <f t="shared" si="78"/>
        <v>38516</v>
      </c>
      <c r="F289" s="1735">
        <v>2.2759999999999998</v>
      </c>
      <c r="G289" s="1752"/>
      <c r="H289" s="1784">
        <v>0.27200000000000002</v>
      </c>
      <c r="I289" s="1763">
        <f t="shared" si="79"/>
        <v>0.28000000000000003</v>
      </c>
      <c r="J289" s="1784">
        <v>0.13600000000000001</v>
      </c>
      <c r="K289" s="1763">
        <f t="shared" si="80"/>
        <v>0.14000000000000001</v>
      </c>
      <c r="L289" s="1764">
        <f t="shared" si="77"/>
        <v>0.24000000000000007</v>
      </c>
      <c r="M289" s="1765">
        <f t="shared" si="75"/>
        <v>0.25000000000000006</v>
      </c>
      <c r="O289" s="1752"/>
      <c r="P289" s="1752"/>
      <c r="Q289" s="1758"/>
      <c r="R289" s="1758"/>
      <c r="T289" s="1752"/>
      <c r="U289" s="1752"/>
      <c r="V289" s="1787"/>
    </row>
    <row r="290" spans="1:22" outlineLevel="1">
      <c r="A290" s="1749">
        <f t="shared" si="72"/>
        <v>38504</v>
      </c>
      <c r="B290" s="1749" t="str">
        <f t="shared" si="73"/>
        <v>2Q05</v>
      </c>
      <c r="C290" s="1749" t="str">
        <f t="shared" si="74"/>
        <v>2Q05</v>
      </c>
      <c r="D290" s="1750">
        <f t="shared" si="78"/>
        <v>38530</v>
      </c>
      <c r="E290" s="1750">
        <f t="shared" si="78"/>
        <v>38523</v>
      </c>
      <c r="F290" s="1735">
        <v>2.3130000000000002</v>
      </c>
      <c r="G290" s="1752"/>
      <c r="H290" s="1784">
        <v>0.28000000000000003</v>
      </c>
      <c r="I290" s="1763">
        <f t="shared" si="79"/>
        <v>0.28399999999999997</v>
      </c>
      <c r="J290" s="1784">
        <v>0.14000000000000001</v>
      </c>
      <c r="K290" s="1763">
        <f t="shared" si="80"/>
        <v>0.14199999999999999</v>
      </c>
      <c r="L290" s="1764">
        <f t="shared" si="77"/>
        <v>0.25000000000000006</v>
      </c>
      <c r="M290" s="1765">
        <f t="shared" si="75"/>
        <v>0.25000000000000006</v>
      </c>
      <c r="O290" s="1752"/>
      <c r="P290" s="1752"/>
      <c r="Q290" s="1758"/>
      <c r="R290" s="1758"/>
      <c r="T290" s="1752"/>
      <c r="U290" s="1752"/>
      <c r="V290" s="1787"/>
    </row>
    <row r="291" spans="1:22" outlineLevel="1">
      <c r="A291" s="1749">
        <f t="shared" si="72"/>
        <v>38534</v>
      </c>
      <c r="B291" s="1749" t="str">
        <f t="shared" si="73"/>
        <v>3Q05</v>
      </c>
      <c r="C291" s="1749" t="str">
        <f t="shared" si="74"/>
        <v>2Q05</v>
      </c>
      <c r="D291" s="1750">
        <f t="shared" si="78"/>
        <v>38537</v>
      </c>
      <c r="E291" s="1750">
        <f t="shared" si="78"/>
        <v>38530</v>
      </c>
      <c r="F291" s="1735">
        <v>2.3359999999999999</v>
      </c>
      <c r="G291" s="1752"/>
      <c r="H291" s="1784">
        <v>0.28399999999999997</v>
      </c>
      <c r="I291" s="1763">
        <f t="shared" si="79"/>
        <v>0.28599999999999998</v>
      </c>
      <c r="J291" s="1784">
        <v>0.14199999999999999</v>
      </c>
      <c r="K291" s="1763">
        <f t="shared" si="80"/>
        <v>0.14299999999999999</v>
      </c>
      <c r="L291" s="1764">
        <f t="shared" si="77"/>
        <v>0.25000000000000006</v>
      </c>
      <c r="M291" s="1765">
        <f t="shared" si="75"/>
        <v>0.25000000000000006</v>
      </c>
      <c r="O291" s="1752"/>
      <c r="P291" s="1752"/>
      <c r="Q291" s="1758"/>
      <c r="R291" s="1758"/>
      <c r="T291" s="1752"/>
      <c r="U291" s="1752"/>
      <c r="V291" s="1787"/>
    </row>
    <row r="292" spans="1:22" outlineLevel="1">
      <c r="A292" s="1749">
        <f t="shared" si="72"/>
        <v>38534</v>
      </c>
      <c r="B292" s="1749" t="str">
        <f t="shared" si="73"/>
        <v>3Q05</v>
      </c>
      <c r="C292" s="1749" t="str">
        <f t="shared" si="74"/>
        <v>3Q05</v>
      </c>
      <c r="D292" s="1750">
        <f t="shared" si="78"/>
        <v>38544</v>
      </c>
      <c r="E292" s="1750">
        <f t="shared" si="78"/>
        <v>38537</v>
      </c>
      <c r="F292" s="1735">
        <v>2.3480000000000003</v>
      </c>
      <c r="G292" s="1752"/>
      <c r="H292" s="1784">
        <v>0.28599999999999998</v>
      </c>
      <c r="I292" s="1763">
        <f t="shared" si="79"/>
        <v>0.29799999999999999</v>
      </c>
      <c r="J292" s="1784">
        <v>0.14299999999999999</v>
      </c>
      <c r="K292" s="1763">
        <f t="shared" si="80"/>
        <v>0.14899999999999999</v>
      </c>
      <c r="L292" s="1764">
        <f t="shared" si="77"/>
        <v>0.25000000000000006</v>
      </c>
      <c r="M292" s="1765">
        <f t="shared" si="75"/>
        <v>0.27000000000000007</v>
      </c>
      <c r="O292" s="1752"/>
      <c r="P292" s="1752"/>
      <c r="Q292" s="1758"/>
      <c r="R292" s="1758"/>
      <c r="T292" s="1752"/>
      <c r="U292" s="1752"/>
      <c r="V292" s="1787"/>
    </row>
    <row r="293" spans="1:22" outlineLevel="1">
      <c r="A293" s="1749">
        <f t="shared" si="72"/>
        <v>38534</v>
      </c>
      <c r="B293" s="1749" t="str">
        <f t="shared" si="73"/>
        <v>3Q05</v>
      </c>
      <c r="C293" s="1749" t="str">
        <f t="shared" si="74"/>
        <v>3Q05</v>
      </c>
      <c r="D293" s="1750">
        <f t="shared" ref="D293:E308" si="81">D292+7</f>
        <v>38551</v>
      </c>
      <c r="E293" s="1750">
        <f t="shared" si="81"/>
        <v>38544</v>
      </c>
      <c r="F293" s="1735">
        <v>2.4079999999999999</v>
      </c>
      <c r="G293" s="1752"/>
      <c r="H293" s="1784">
        <v>0.29799999999999999</v>
      </c>
      <c r="I293" s="1763">
        <f t="shared" si="79"/>
        <v>0.29599999999999999</v>
      </c>
      <c r="J293" s="1784">
        <v>0.14899999999999999</v>
      </c>
      <c r="K293" s="1763">
        <f t="shared" si="80"/>
        <v>0.14799999999999999</v>
      </c>
      <c r="L293" s="1764">
        <f t="shared" si="77"/>
        <v>0.27000000000000007</v>
      </c>
      <c r="M293" s="1765">
        <f t="shared" si="75"/>
        <v>0.26000000000000006</v>
      </c>
      <c r="O293" s="1752"/>
      <c r="P293" s="1752"/>
      <c r="Q293" s="1758"/>
      <c r="R293" s="1758"/>
      <c r="T293" s="1752"/>
      <c r="U293" s="1752"/>
      <c r="V293" s="1787"/>
    </row>
    <row r="294" spans="1:22" outlineLevel="1">
      <c r="A294" s="1749">
        <f t="shared" si="72"/>
        <v>38534</v>
      </c>
      <c r="B294" s="1749" t="str">
        <f t="shared" si="73"/>
        <v>3Q05</v>
      </c>
      <c r="C294" s="1749" t="str">
        <f t="shared" si="74"/>
        <v>3Q05</v>
      </c>
      <c r="D294" s="1750">
        <f t="shared" si="81"/>
        <v>38558</v>
      </c>
      <c r="E294" s="1750">
        <f t="shared" si="81"/>
        <v>38551</v>
      </c>
      <c r="F294" s="1735">
        <v>2.3919999999999999</v>
      </c>
      <c r="G294" s="1752"/>
      <c r="H294" s="1784">
        <v>0.29599999999999999</v>
      </c>
      <c r="I294" s="1763">
        <f t="shared" si="79"/>
        <v>0.28599999999999998</v>
      </c>
      <c r="J294" s="1784">
        <v>0.14799999999999999</v>
      </c>
      <c r="K294" s="1763">
        <f t="shared" si="80"/>
        <v>0.14299999999999999</v>
      </c>
      <c r="L294" s="1764">
        <f t="shared" si="77"/>
        <v>0.26000000000000006</v>
      </c>
      <c r="M294" s="1765">
        <f t="shared" si="75"/>
        <v>0.25000000000000006</v>
      </c>
      <c r="O294" s="1752"/>
      <c r="P294" s="1752"/>
      <c r="Q294" s="1758"/>
      <c r="R294" s="1758"/>
      <c r="T294" s="1752"/>
      <c r="U294" s="1752"/>
      <c r="V294" s="1787"/>
    </row>
    <row r="295" spans="1:22" outlineLevel="1">
      <c r="A295" s="1749">
        <f t="shared" si="72"/>
        <v>38565</v>
      </c>
      <c r="B295" s="1749" t="str">
        <f t="shared" si="73"/>
        <v>3Q05</v>
      </c>
      <c r="C295" s="1749" t="str">
        <f t="shared" si="74"/>
        <v>3Q05</v>
      </c>
      <c r="D295" s="1750">
        <f t="shared" si="81"/>
        <v>38565</v>
      </c>
      <c r="E295" s="1750">
        <f t="shared" si="81"/>
        <v>38558</v>
      </c>
      <c r="F295" s="1735">
        <v>2.3420000000000001</v>
      </c>
      <c r="G295" s="1752"/>
      <c r="H295" s="1784">
        <v>0.28599999999999998</v>
      </c>
      <c r="I295" s="1763">
        <f t="shared" si="79"/>
        <v>0.28599999999999998</v>
      </c>
      <c r="J295" s="1784">
        <v>0.14299999999999999</v>
      </c>
      <c r="K295" s="1763">
        <f t="shared" si="80"/>
        <v>0.14299999999999999</v>
      </c>
      <c r="L295" s="1764">
        <f t="shared" si="77"/>
        <v>0.25000000000000006</v>
      </c>
      <c r="M295" s="1765">
        <f t="shared" si="75"/>
        <v>0.25000000000000006</v>
      </c>
      <c r="O295" s="1752"/>
      <c r="P295" s="1752"/>
      <c r="Q295" s="1758"/>
      <c r="R295" s="1758"/>
      <c r="T295" s="1752"/>
      <c r="U295" s="1752"/>
      <c r="V295" s="1787"/>
    </row>
    <row r="296" spans="1:22" outlineLevel="1">
      <c r="A296" s="1749">
        <f t="shared" si="72"/>
        <v>38565</v>
      </c>
      <c r="B296" s="1749" t="str">
        <f t="shared" si="73"/>
        <v>3Q05</v>
      </c>
      <c r="C296" s="1749" t="str">
        <f t="shared" si="74"/>
        <v>3Q05</v>
      </c>
      <c r="D296" s="1750">
        <f t="shared" si="81"/>
        <v>38572</v>
      </c>
      <c r="E296" s="1750">
        <f t="shared" si="81"/>
        <v>38565</v>
      </c>
      <c r="F296" s="1735">
        <v>2.3480000000000003</v>
      </c>
      <c r="G296" s="1752"/>
      <c r="H296" s="1784">
        <v>0.28599999999999998</v>
      </c>
      <c r="I296" s="1763">
        <f t="shared" si="79"/>
        <v>0.29799999999999999</v>
      </c>
      <c r="J296" s="1784">
        <v>0.14299999999999999</v>
      </c>
      <c r="K296" s="1763">
        <f t="shared" si="80"/>
        <v>0.14899999999999999</v>
      </c>
      <c r="L296" s="1764">
        <f t="shared" si="77"/>
        <v>0.25000000000000006</v>
      </c>
      <c r="M296" s="1765">
        <f t="shared" si="75"/>
        <v>0.27000000000000007</v>
      </c>
      <c r="O296" s="1752"/>
      <c r="P296" s="1752"/>
      <c r="Q296" s="1758"/>
      <c r="R296" s="1758"/>
      <c r="T296" s="1752"/>
      <c r="U296" s="1752"/>
      <c r="V296" s="1787"/>
    </row>
    <row r="297" spans="1:22" outlineLevel="1">
      <c r="A297" s="1749">
        <f t="shared" si="72"/>
        <v>38565</v>
      </c>
      <c r="B297" s="1749" t="str">
        <f t="shared" si="73"/>
        <v>3Q05</v>
      </c>
      <c r="C297" s="1749" t="str">
        <f t="shared" si="74"/>
        <v>3Q05</v>
      </c>
      <c r="D297" s="1750">
        <f t="shared" si="81"/>
        <v>38579</v>
      </c>
      <c r="E297" s="1750">
        <f t="shared" si="81"/>
        <v>38572</v>
      </c>
      <c r="F297" s="1735">
        <v>2.407</v>
      </c>
      <c r="G297" s="1752"/>
      <c r="H297" s="1784">
        <v>0.29799999999999999</v>
      </c>
      <c r="I297" s="1763">
        <f t="shared" si="79"/>
        <v>0.33</v>
      </c>
      <c r="J297" s="1784">
        <v>0.14899999999999999</v>
      </c>
      <c r="K297" s="1763">
        <f t="shared" si="80"/>
        <v>0.16500000000000001</v>
      </c>
      <c r="L297" s="1764">
        <f t="shared" si="77"/>
        <v>0.27000000000000007</v>
      </c>
      <c r="M297" s="1765">
        <f t="shared" si="75"/>
        <v>0.3000000000000001</v>
      </c>
      <c r="O297" s="1752"/>
      <c r="P297" s="1752"/>
      <c r="Q297" s="1758"/>
      <c r="R297" s="1758"/>
      <c r="T297" s="1752"/>
      <c r="U297" s="1752"/>
      <c r="V297" s="1787"/>
    </row>
    <row r="298" spans="1:22" outlineLevel="1">
      <c r="A298" s="1749">
        <f t="shared" si="72"/>
        <v>38565</v>
      </c>
      <c r="B298" s="1749" t="str">
        <f t="shared" si="73"/>
        <v>3Q05</v>
      </c>
      <c r="C298" s="1749" t="str">
        <f t="shared" si="74"/>
        <v>3Q05</v>
      </c>
      <c r="D298" s="1750">
        <f t="shared" si="81"/>
        <v>38586</v>
      </c>
      <c r="E298" s="1750">
        <f t="shared" si="81"/>
        <v>38579</v>
      </c>
      <c r="F298" s="1735">
        <v>2.5669999999999997</v>
      </c>
      <c r="G298" s="1752"/>
      <c r="H298" s="1784">
        <v>0.33</v>
      </c>
      <c r="I298" s="1763">
        <f t="shared" si="79"/>
        <v>0.33200000000000002</v>
      </c>
      <c r="J298" s="1784">
        <v>0.16500000000000001</v>
      </c>
      <c r="K298" s="1763">
        <f t="shared" si="80"/>
        <v>0.16600000000000001</v>
      </c>
      <c r="L298" s="1764">
        <f t="shared" si="77"/>
        <v>0.3000000000000001</v>
      </c>
      <c r="M298" s="1765">
        <f t="shared" si="75"/>
        <v>0.3000000000000001</v>
      </c>
      <c r="O298" s="1752"/>
      <c r="P298" s="1752"/>
      <c r="Q298" s="1758"/>
      <c r="R298" s="1758"/>
      <c r="T298" s="1752"/>
      <c r="U298" s="1752"/>
      <c r="V298" s="1787"/>
    </row>
    <row r="299" spans="1:22" outlineLevel="1">
      <c r="A299" s="1749">
        <f t="shared" si="72"/>
        <v>38565</v>
      </c>
      <c r="B299" s="1749" t="str">
        <f t="shared" si="73"/>
        <v>3Q05</v>
      </c>
      <c r="C299" s="1749" t="str">
        <f t="shared" si="74"/>
        <v>3Q05</v>
      </c>
      <c r="D299" s="1750">
        <f t="shared" si="81"/>
        <v>38593</v>
      </c>
      <c r="E299" s="1750">
        <f t="shared" si="81"/>
        <v>38586</v>
      </c>
      <c r="F299" s="1735">
        <v>2.5880000000000001</v>
      </c>
      <c r="G299" s="1752"/>
      <c r="H299" s="1784">
        <v>0.33200000000000002</v>
      </c>
      <c r="I299" s="1763">
        <f t="shared" si="79"/>
        <v>0.33200000000000002</v>
      </c>
      <c r="J299" s="1784">
        <v>0.16600000000000001</v>
      </c>
      <c r="K299" s="1763">
        <f t="shared" si="80"/>
        <v>0.16600000000000001</v>
      </c>
      <c r="L299" s="1764">
        <f t="shared" si="77"/>
        <v>0.3000000000000001</v>
      </c>
      <c r="M299" s="1765">
        <f t="shared" si="75"/>
        <v>0.3000000000000001</v>
      </c>
      <c r="O299" s="1752"/>
      <c r="P299" s="1752"/>
      <c r="Q299" s="1758"/>
      <c r="R299" s="1758"/>
      <c r="T299" s="1752"/>
      <c r="U299" s="1752"/>
      <c r="V299" s="1787"/>
    </row>
    <row r="300" spans="1:22" outlineLevel="1">
      <c r="A300" s="1749">
        <f t="shared" si="72"/>
        <v>38596</v>
      </c>
      <c r="B300" s="1749" t="str">
        <f t="shared" si="73"/>
        <v>3Q05</v>
      </c>
      <c r="C300" s="1749" t="str">
        <f t="shared" si="74"/>
        <v>3Q05</v>
      </c>
      <c r="D300" s="1750">
        <f t="shared" si="81"/>
        <v>38600</v>
      </c>
      <c r="E300" s="1750">
        <f t="shared" si="81"/>
        <v>38593</v>
      </c>
      <c r="F300" s="1735">
        <v>2.59</v>
      </c>
      <c r="G300" s="1752"/>
      <c r="H300" s="1784">
        <v>0.33200000000000002</v>
      </c>
      <c r="I300" s="1763">
        <f t="shared" si="79"/>
        <v>0.33200000000000002</v>
      </c>
      <c r="J300" s="1784">
        <v>0.16600000000000001</v>
      </c>
      <c r="K300" s="1763">
        <f t="shared" si="80"/>
        <v>0.16600000000000001</v>
      </c>
      <c r="L300" s="1764">
        <f t="shared" si="77"/>
        <v>0.3000000000000001</v>
      </c>
      <c r="M300" s="1765">
        <f t="shared" si="75"/>
        <v>0.36000000000000015</v>
      </c>
      <c r="O300" s="1752"/>
      <c r="P300" s="1752"/>
      <c r="Q300" s="1758"/>
      <c r="R300" s="1758"/>
      <c r="T300" s="1752"/>
      <c r="U300" s="1752"/>
      <c r="V300" s="1787"/>
    </row>
    <row r="301" spans="1:22" outlineLevel="1">
      <c r="A301" s="1749">
        <f t="shared" si="72"/>
        <v>38596</v>
      </c>
      <c r="B301" s="1749" t="str">
        <f t="shared" si="73"/>
        <v>3Q05</v>
      </c>
      <c r="C301" s="1749" t="str">
        <f t="shared" si="74"/>
        <v>3Q05</v>
      </c>
      <c r="D301" s="1750">
        <f t="shared" si="81"/>
        <v>38607</v>
      </c>
      <c r="E301" s="1750">
        <f t="shared" si="81"/>
        <v>38600</v>
      </c>
      <c r="F301" s="1735">
        <v>2.8980000000000001</v>
      </c>
      <c r="G301" s="1752"/>
      <c r="H301" s="1784">
        <v>0.33200000000000002</v>
      </c>
      <c r="I301" s="1763">
        <f t="shared" si="79"/>
        <v>0.33200000000000002</v>
      </c>
      <c r="J301" s="1784">
        <v>0.16600000000000001</v>
      </c>
      <c r="K301" s="1763">
        <f t="shared" si="80"/>
        <v>0.16600000000000001</v>
      </c>
      <c r="L301" s="1764">
        <f t="shared" si="77"/>
        <v>0.36000000000000015</v>
      </c>
      <c r="M301" s="1765">
        <f t="shared" si="75"/>
        <v>0.35000000000000014</v>
      </c>
      <c r="O301" s="1752"/>
      <c r="P301" s="1752"/>
      <c r="Q301" s="1758"/>
      <c r="R301" s="1758"/>
      <c r="T301" s="1752"/>
      <c r="U301" s="1752"/>
      <c r="V301" s="1787"/>
    </row>
    <row r="302" spans="1:22" outlineLevel="1">
      <c r="A302" s="1749">
        <f t="shared" si="72"/>
        <v>38596</v>
      </c>
      <c r="B302" s="1749" t="str">
        <f t="shared" si="73"/>
        <v>3Q05</v>
      </c>
      <c r="C302" s="1749" t="str">
        <f t="shared" si="74"/>
        <v>3Q05</v>
      </c>
      <c r="D302" s="1750">
        <f t="shared" si="81"/>
        <v>38614</v>
      </c>
      <c r="E302" s="1750">
        <f t="shared" si="81"/>
        <v>38607</v>
      </c>
      <c r="F302" s="1735">
        <v>2.847</v>
      </c>
      <c r="G302" s="1752"/>
      <c r="H302" s="1784">
        <v>0.33200000000000002</v>
      </c>
      <c r="I302" s="1763">
        <f t="shared" si="79"/>
        <v>0.33200000000000002</v>
      </c>
      <c r="J302" s="1784">
        <v>0.16600000000000001</v>
      </c>
      <c r="K302" s="1763">
        <f t="shared" si="80"/>
        <v>0.16600000000000001</v>
      </c>
      <c r="L302" s="1764">
        <f t="shared" si="77"/>
        <v>0.35000000000000014</v>
      </c>
      <c r="M302" s="1765">
        <f t="shared" si="75"/>
        <v>0.33000000000000013</v>
      </c>
      <c r="O302" s="1752"/>
      <c r="P302" s="1752"/>
      <c r="Q302" s="1758"/>
      <c r="R302" s="1758"/>
      <c r="T302" s="1752"/>
      <c r="U302" s="1752"/>
      <c r="V302" s="1787"/>
    </row>
    <row r="303" spans="1:22" outlineLevel="1">
      <c r="A303" s="1749">
        <f t="shared" si="72"/>
        <v>38596</v>
      </c>
      <c r="B303" s="1749" t="str">
        <f t="shared" si="73"/>
        <v>3Q05</v>
      </c>
      <c r="C303" s="1749" t="str">
        <f t="shared" si="74"/>
        <v>3Q05</v>
      </c>
      <c r="D303" s="1750">
        <f t="shared" si="81"/>
        <v>38621</v>
      </c>
      <c r="E303" s="1750">
        <f t="shared" si="81"/>
        <v>38614</v>
      </c>
      <c r="F303" s="1735">
        <v>2.7319999999999998</v>
      </c>
      <c r="G303" s="1752"/>
      <c r="H303" s="1784">
        <v>0.33200000000000002</v>
      </c>
      <c r="I303" s="1763">
        <f t="shared" si="79"/>
        <v>0.33200000000000002</v>
      </c>
      <c r="J303" s="1784">
        <v>0.16600000000000001</v>
      </c>
      <c r="K303" s="1763">
        <f t="shared" si="80"/>
        <v>0.16600000000000001</v>
      </c>
      <c r="L303" s="1764">
        <f t="shared" si="77"/>
        <v>0.33000000000000013</v>
      </c>
      <c r="M303" s="1765">
        <f t="shared" si="75"/>
        <v>0.34000000000000014</v>
      </c>
      <c r="O303" s="1752"/>
      <c r="P303" s="1752"/>
      <c r="Q303" s="1758"/>
      <c r="R303" s="1758"/>
      <c r="T303" s="1752"/>
      <c r="U303" s="1752"/>
      <c r="V303" s="1787"/>
    </row>
    <row r="304" spans="1:22" outlineLevel="1">
      <c r="A304" s="1749">
        <f t="shared" si="72"/>
        <v>38626</v>
      </c>
      <c r="B304" s="1749" t="str">
        <f t="shared" si="73"/>
        <v>4Q05</v>
      </c>
      <c r="C304" s="1749" t="str">
        <f t="shared" si="74"/>
        <v>3Q05</v>
      </c>
      <c r="D304" s="1750">
        <f t="shared" si="81"/>
        <v>38628</v>
      </c>
      <c r="E304" s="1750">
        <f t="shared" si="81"/>
        <v>38621</v>
      </c>
      <c r="F304" s="1735">
        <v>2.798</v>
      </c>
      <c r="G304" s="1752"/>
      <c r="H304" s="1784">
        <v>0.33200000000000002</v>
      </c>
      <c r="I304" s="1763">
        <f t="shared" si="79"/>
        <v>0.33200000000000002</v>
      </c>
      <c r="J304" s="1784">
        <v>0.16600000000000001</v>
      </c>
      <c r="K304" s="1763">
        <f t="shared" si="80"/>
        <v>0.16600000000000001</v>
      </c>
      <c r="L304" s="1764">
        <f t="shared" si="77"/>
        <v>0.34000000000000014</v>
      </c>
      <c r="M304" s="1765">
        <f t="shared" si="75"/>
        <v>0.4100000000000002</v>
      </c>
      <c r="O304" s="1752"/>
      <c r="P304" s="1752"/>
      <c r="Q304" s="1758"/>
      <c r="R304" s="1758"/>
      <c r="T304" s="1752"/>
      <c r="U304" s="1752"/>
      <c r="V304" s="1787"/>
    </row>
    <row r="305" spans="1:22" outlineLevel="1">
      <c r="A305" s="1749">
        <f t="shared" si="72"/>
        <v>38626</v>
      </c>
      <c r="B305" s="1749" t="str">
        <f t="shared" si="73"/>
        <v>4Q05</v>
      </c>
      <c r="C305" s="1749" t="str">
        <f t="shared" si="74"/>
        <v>4Q05</v>
      </c>
      <c r="D305" s="1750">
        <f t="shared" si="81"/>
        <v>38635</v>
      </c>
      <c r="E305" s="1750">
        <f t="shared" si="81"/>
        <v>38628</v>
      </c>
      <c r="F305" s="1735">
        <v>3.1439999999999997</v>
      </c>
      <c r="G305" s="1752"/>
      <c r="H305" s="1784">
        <v>0.33200000000000002</v>
      </c>
      <c r="I305" s="1763">
        <f t="shared" si="79"/>
        <v>0.33200000000000002</v>
      </c>
      <c r="J305" s="1784">
        <v>0.16600000000000001</v>
      </c>
      <c r="K305" s="1763">
        <f t="shared" si="80"/>
        <v>0.16600000000000001</v>
      </c>
      <c r="L305" s="1764">
        <f t="shared" si="77"/>
        <v>0.4100000000000002</v>
      </c>
      <c r="M305" s="1765">
        <f t="shared" si="75"/>
        <v>0.42000000000000021</v>
      </c>
      <c r="O305" s="1752"/>
      <c r="P305" s="1752"/>
      <c r="Q305" s="1758"/>
      <c r="R305" s="1758"/>
      <c r="T305" s="1752"/>
      <c r="U305" s="1752"/>
      <c r="V305" s="1787"/>
    </row>
    <row r="306" spans="1:22" outlineLevel="1">
      <c r="A306" s="1749">
        <f t="shared" si="72"/>
        <v>38626</v>
      </c>
      <c r="B306" s="1749" t="str">
        <f t="shared" si="73"/>
        <v>4Q05</v>
      </c>
      <c r="C306" s="1749" t="str">
        <f t="shared" si="74"/>
        <v>4Q05</v>
      </c>
      <c r="D306" s="1750">
        <f t="shared" si="81"/>
        <v>38642</v>
      </c>
      <c r="E306" s="1750">
        <f t="shared" si="81"/>
        <v>38635</v>
      </c>
      <c r="F306" s="1735">
        <v>3.15</v>
      </c>
      <c r="G306" s="1752"/>
      <c r="H306" s="1784">
        <v>0.33200000000000002</v>
      </c>
      <c r="I306" s="1763">
        <f t="shared" si="79"/>
        <v>0.38800000000000001</v>
      </c>
      <c r="J306" s="1784">
        <v>0.16600000000000001</v>
      </c>
      <c r="K306" s="1763">
        <f t="shared" si="80"/>
        <v>0.19400000000000001</v>
      </c>
      <c r="L306" s="1764">
        <f t="shared" si="77"/>
        <v>0.42000000000000021</v>
      </c>
      <c r="M306" s="1765">
        <f t="shared" si="75"/>
        <v>0.4100000000000002</v>
      </c>
      <c r="O306" s="1752"/>
      <c r="P306" s="1752"/>
      <c r="Q306" s="1758"/>
      <c r="R306" s="1758"/>
      <c r="T306" s="1752"/>
      <c r="U306" s="1752"/>
      <c r="V306" s="1787"/>
    </row>
    <row r="307" spans="1:22" outlineLevel="1">
      <c r="A307" s="1749">
        <f t="shared" si="72"/>
        <v>38626</v>
      </c>
      <c r="B307" s="1749" t="str">
        <f t="shared" si="73"/>
        <v>4Q05</v>
      </c>
      <c r="C307" s="1749" t="str">
        <f t="shared" si="74"/>
        <v>4Q05</v>
      </c>
      <c r="D307" s="1750">
        <f t="shared" si="81"/>
        <v>38649</v>
      </c>
      <c r="E307" s="1750">
        <f t="shared" si="81"/>
        <v>38642</v>
      </c>
      <c r="F307" s="1735">
        <v>3.1480000000000001</v>
      </c>
      <c r="G307" s="1752"/>
      <c r="H307" s="1784">
        <v>0.38800000000000001</v>
      </c>
      <c r="I307" s="1763">
        <f t="shared" si="79"/>
        <v>0.38800000000000001</v>
      </c>
      <c r="J307" s="1784">
        <v>0.19400000000000001</v>
      </c>
      <c r="K307" s="1763">
        <f t="shared" si="80"/>
        <v>0.19400000000000001</v>
      </c>
      <c r="L307" s="1764">
        <f t="shared" si="77"/>
        <v>0.4100000000000002</v>
      </c>
      <c r="M307" s="1765">
        <f t="shared" si="75"/>
        <v>0.42000000000000021</v>
      </c>
      <c r="O307" s="1752"/>
      <c r="P307" s="1752"/>
      <c r="Q307" s="1758"/>
      <c r="R307" s="1758"/>
      <c r="T307" s="1752"/>
      <c r="U307" s="1752"/>
      <c r="V307" s="1787"/>
    </row>
    <row r="308" spans="1:22" outlineLevel="1">
      <c r="A308" s="1749">
        <f t="shared" si="72"/>
        <v>38626</v>
      </c>
      <c r="B308" s="1749" t="str">
        <f t="shared" si="73"/>
        <v>4Q05</v>
      </c>
      <c r="C308" s="1749" t="str">
        <f t="shared" si="74"/>
        <v>4Q05</v>
      </c>
      <c r="D308" s="1750">
        <f t="shared" si="81"/>
        <v>38656</v>
      </c>
      <c r="E308" s="1750">
        <f t="shared" si="81"/>
        <v>38649</v>
      </c>
      <c r="F308" s="1735">
        <v>3.157</v>
      </c>
      <c r="G308" s="1752"/>
      <c r="H308" s="1784">
        <v>0.38800000000000001</v>
      </c>
      <c r="I308" s="1763">
        <f t="shared" si="79"/>
        <v>0.36</v>
      </c>
      <c r="J308" s="1784">
        <v>0.19400000000000001</v>
      </c>
      <c r="K308" s="1763">
        <f t="shared" si="80"/>
        <v>0.18</v>
      </c>
      <c r="L308" s="1764">
        <f t="shared" si="77"/>
        <v>0.42000000000000021</v>
      </c>
      <c r="M308" s="1765">
        <f t="shared" si="75"/>
        <v>0.36000000000000015</v>
      </c>
      <c r="O308" s="1752"/>
      <c r="P308" s="1752"/>
      <c r="Q308" s="1758"/>
      <c r="R308" s="1758"/>
      <c r="T308" s="1752"/>
      <c r="U308" s="1752"/>
      <c r="V308" s="1787"/>
    </row>
    <row r="309" spans="1:22" outlineLevel="1">
      <c r="A309" s="1749">
        <f t="shared" si="72"/>
        <v>38657</v>
      </c>
      <c r="B309" s="1749" t="str">
        <f t="shared" si="73"/>
        <v>4Q05</v>
      </c>
      <c r="C309" s="1749" t="str">
        <f t="shared" si="74"/>
        <v>4Q05</v>
      </c>
      <c r="D309" s="1750">
        <f t="shared" ref="D309:E324" si="82">D308+7</f>
        <v>38663</v>
      </c>
      <c r="E309" s="1750">
        <f t="shared" si="82"/>
        <v>38656</v>
      </c>
      <c r="F309" s="1735">
        <v>2.8760000000000003</v>
      </c>
      <c r="G309" s="1752"/>
      <c r="H309" s="1784">
        <v>0.36</v>
      </c>
      <c r="I309" s="1763">
        <f t="shared" si="79"/>
        <v>0.34200000000000003</v>
      </c>
      <c r="J309" s="1784">
        <v>0.18</v>
      </c>
      <c r="K309" s="1763">
        <f t="shared" si="80"/>
        <v>0.17100000000000001</v>
      </c>
      <c r="L309" s="1764">
        <f t="shared" si="77"/>
        <v>0.36000000000000015</v>
      </c>
      <c r="M309" s="1765">
        <f t="shared" si="75"/>
        <v>0.32000000000000012</v>
      </c>
      <c r="O309" s="1752"/>
      <c r="P309" s="1752"/>
      <c r="Q309" s="1758"/>
      <c r="R309" s="1758"/>
      <c r="T309" s="1752"/>
      <c r="U309" s="1752"/>
      <c r="V309" s="1787"/>
    </row>
    <row r="310" spans="1:22" outlineLevel="1">
      <c r="A310" s="1749">
        <f t="shared" si="72"/>
        <v>38657</v>
      </c>
      <c r="B310" s="1749" t="str">
        <f t="shared" si="73"/>
        <v>4Q05</v>
      </c>
      <c r="C310" s="1749" t="str">
        <f t="shared" si="74"/>
        <v>4Q05</v>
      </c>
      <c r="D310" s="1750">
        <f t="shared" si="82"/>
        <v>38670</v>
      </c>
      <c r="E310" s="1750">
        <f t="shared" si="82"/>
        <v>38663</v>
      </c>
      <c r="F310" s="1735">
        <v>2.698</v>
      </c>
      <c r="G310" s="1752"/>
      <c r="H310" s="1784">
        <v>0.34200000000000003</v>
      </c>
      <c r="I310" s="1763">
        <f t="shared" si="79"/>
        <v>0.33400000000000002</v>
      </c>
      <c r="J310" s="1784">
        <v>0.17100000000000001</v>
      </c>
      <c r="K310" s="1763">
        <f t="shared" si="80"/>
        <v>0.16700000000000001</v>
      </c>
      <c r="L310" s="1764">
        <f t="shared" si="77"/>
        <v>0.32000000000000012</v>
      </c>
      <c r="M310" s="1765">
        <f t="shared" si="75"/>
        <v>0.31000000000000011</v>
      </c>
      <c r="O310" s="1752"/>
      <c r="P310" s="1752"/>
      <c r="Q310" s="1758"/>
      <c r="R310" s="1758"/>
      <c r="T310" s="1752"/>
      <c r="U310" s="1752"/>
      <c r="V310" s="1787"/>
    </row>
    <row r="311" spans="1:22" outlineLevel="1">
      <c r="A311" s="1749">
        <f t="shared" si="72"/>
        <v>38657</v>
      </c>
      <c r="B311" s="1749" t="str">
        <f t="shared" si="73"/>
        <v>4Q05</v>
      </c>
      <c r="C311" s="1749" t="str">
        <f t="shared" si="74"/>
        <v>4Q05</v>
      </c>
      <c r="D311" s="1750">
        <f t="shared" si="82"/>
        <v>38677</v>
      </c>
      <c r="E311" s="1750">
        <f t="shared" si="82"/>
        <v>38670</v>
      </c>
      <c r="F311" s="1735">
        <v>2.6019999999999999</v>
      </c>
      <c r="G311" s="1752"/>
      <c r="H311" s="1784">
        <v>0.33400000000000002</v>
      </c>
      <c r="I311" s="1763">
        <f t="shared" si="79"/>
        <v>0.32</v>
      </c>
      <c r="J311" s="1784">
        <v>0.16700000000000001</v>
      </c>
      <c r="K311" s="1763">
        <f t="shared" si="80"/>
        <v>0.16</v>
      </c>
      <c r="L311" s="1764">
        <f t="shared" si="77"/>
        <v>0.31000000000000011</v>
      </c>
      <c r="M311" s="1765">
        <f t="shared" si="75"/>
        <v>0.29000000000000009</v>
      </c>
      <c r="O311" s="1752"/>
      <c r="P311" s="1752"/>
      <c r="Q311" s="1758"/>
      <c r="R311" s="1758"/>
      <c r="T311" s="1752"/>
      <c r="U311" s="1752"/>
      <c r="V311" s="1787"/>
    </row>
    <row r="312" spans="1:22" outlineLevel="1">
      <c r="A312" s="1749">
        <f t="shared" si="72"/>
        <v>38657</v>
      </c>
      <c r="B312" s="1749" t="str">
        <f t="shared" si="73"/>
        <v>4Q05</v>
      </c>
      <c r="C312" s="1749" t="str">
        <f t="shared" si="74"/>
        <v>4Q05</v>
      </c>
      <c r="D312" s="1750">
        <f t="shared" si="82"/>
        <v>38684</v>
      </c>
      <c r="E312" s="1750">
        <f t="shared" si="82"/>
        <v>38677</v>
      </c>
      <c r="F312" s="1735">
        <v>2.5129999999999999</v>
      </c>
      <c r="G312" s="1752"/>
      <c r="H312" s="1784">
        <v>0.32</v>
      </c>
      <c r="I312" s="1763">
        <f t="shared" si="79"/>
        <v>0.312</v>
      </c>
      <c r="J312" s="1784">
        <v>0.16</v>
      </c>
      <c r="K312" s="1763">
        <f t="shared" si="80"/>
        <v>0.156</v>
      </c>
      <c r="L312" s="1764">
        <f t="shared" si="77"/>
        <v>0.29000000000000009</v>
      </c>
      <c r="M312" s="1765">
        <f t="shared" si="75"/>
        <v>0.28000000000000008</v>
      </c>
      <c r="O312" s="1752"/>
      <c r="P312" s="1752"/>
      <c r="Q312" s="1758"/>
      <c r="R312" s="1758"/>
      <c r="T312" s="1752"/>
      <c r="U312" s="1752"/>
      <c r="V312" s="1787"/>
    </row>
    <row r="313" spans="1:22" outlineLevel="1">
      <c r="A313" s="1749">
        <f t="shared" si="72"/>
        <v>38687</v>
      </c>
      <c r="B313" s="1749" t="str">
        <f t="shared" si="73"/>
        <v>4Q05</v>
      </c>
      <c r="C313" s="1749" t="str">
        <f t="shared" si="74"/>
        <v>4Q05</v>
      </c>
      <c r="D313" s="1750">
        <f t="shared" si="82"/>
        <v>38691</v>
      </c>
      <c r="E313" s="1750">
        <f t="shared" si="82"/>
        <v>38684</v>
      </c>
      <c r="F313" s="1735">
        <v>2.4790000000000001</v>
      </c>
      <c r="G313" s="1752"/>
      <c r="H313" s="1784">
        <v>0.312</v>
      </c>
      <c r="I313" s="1763">
        <f t="shared" si="79"/>
        <v>0.30199999999999999</v>
      </c>
      <c r="J313" s="1784">
        <v>0.156</v>
      </c>
      <c r="K313" s="1763">
        <f t="shared" si="80"/>
        <v>0.151</v>
      </c>
      <c r="L313" s="1764">
        <f t="shared" si="77"/>
        <v>0.28000000000000008</v>
      </c>
      <c r="M313" s="1765">
        <f t="shared" si="75"/>
        <v>0.27000000000000007</v>
      </c>
      <c r="O313" s="1752"/>
      <c r="P313" s="1752"/>
      <c r="Q313" s="1758"/>
      <c r="R313" s="1758"/>
      <c r="T313" s="1752"/>
      <c r="U313" s="1752"/>
      <c r="V313" s="1787"/>
    </row>
    <row r="314" spans="1:22" outlineLevel="1">
      <c r="A314" s="1749">
        <f t="shared" si="72"/>
        <v>38687</v>
      </c>
      <c r="B314" s="1749" t="str">
        <f t="shared" si="73"/>
        <v>4Q05</v>
      </c>
      <c r="C314" s="1749" t="str">
        <f t="shared" si="74"/>
        <v>4Q05</v>
      </c>
      <c r="D314" s="1750">
        <f t="shared" si="82"/>
        <v>38698</v>
      </c>
      <c r="E314" s="1750">
        <f t="shared" si="82"/>
        <v>38691</v>
      </c>
      <c r="F314" s="1735">
        <v>2.4249999999999998</v>
      </c>
      <c r="G314" s="1752"/>
      <c r="H314" s="1784">
        <v>0.30199999999999999</v>
      </c>
      <c r="I314" s="1763">
        <f t="shared" si="79"/>
        <v>0.30399999999999999</v>
      </c>
      <c r="J314" s="1784">
        <v>0.151</v>
      </c>
      <c r="K314" s="1763">
        <f t="shared" si="80"/>
        <v>0.152</v>
      </c>
      <c r="L314" s="1764">
        <f t="shared" si="77"/>
        <v>0.27000000000000007</v>
      </c>
      <c r="M314" s="1765">
        <f t="shared" si="75"/>
        <v>0.27000000000000007</v>
      </c>
      <c r="O314" s="1752"/>
      <c r="P314" s="1752"/>
      <c r="Q314" s="1758"/>
      <c r="R314" s="1758"/>
      <c r="T314" s="1752"/>
      <c r="U314" s="1752"/>
      <c r="V314" s="1787"/>
    </row>
    <row r="315" spans="1:22" outlineLevel="1">
      <c r="A315" s="1749">
        <f t="shared" si="72"/>
        <v>38687</v>
      </c>
      <c r="B315" s="1749" t="str">
        <f t="shared" si="73"/>
        <v>4Q05</v>
      </c>
      <c r="C315" s="1749" t="str">
        <f t="shared" si="74"/>
        <v>4Q05</v>
      </c>
      <c r="D315" s="1750">
        <f t="shared" si="82"/>
        <v>38705</v>
      </c>
      <c r="E315" s="1750">
        <f t="shared" si="82"/>
        <v>38698</v>
      </c>
      <c r="F315" s="1735">
        <v>2.4359999999999999</v>
      </c>
      <c r="G315" s="1752"/>
      <c r="H315" s="1784">
        <v>0.30399999999999999</v>
      </c>
      <c r="I315" s="1763">
        <f t="shared" si="79"/>
        <v>0.31</v>
      </c>
      <c r="J315" s="1784">
        <v>0.152</v>
      </c>
      <c r="K315" s="1763">
        <f t="shared" si="80"/>
        <v>0.155</v>
      </c>
      <c r="L315" s="1764">
        <f t="shared" si="77"/>
        <v>0.27000000000000007</v>
      </c>
      <c r="M315" s="1765">
        <f t="shared" si="75"/>
        <v>0.28000000000000008</v>
      </c>
      <c r="O315" s="1752"/>
      <c r="P315" s="1752"/>
      <c r="Q315" s="1758"/>
      <c r="R315" s="1758"/>
      <c r="T315" s="1752"/>
      <c r="U315" s="1752"/>
      <c r="V315" s="1787"/>
    </row>
    <row r="316" spans="1:22" outlineLevel="1">
      <c r="A316" s="1749">
        <f t="shared" si="72"/>
        <v>38687</v>
      </c>
      <c r="B316" s="1749" t="str">
        <f t="shared" si="73"/>
        <v>4Q05</v>
      </c>
      <c r="C316" s="1749" t="str">
        <f t="shared" si="74"/>
        <v>4Q05</v>
      </c>
      <c r="D316" s="1750">
        <f t="shared" si="82"/>
        <v>38712</v>
      </c>
      <c r="E316" s="1750">
        <f t="shared" si="82"/>
        <v>38705</v>
      </c>
      <c r="F316" s="1735">
        <v>2.4619999999999997</v>
      </c>
      <c r="G316" s="1752"/>
      <c r="H316" s="1784">
        <v>0.31</v>
      </c>
      <c r="I316" s="1763">
        <f t="shared" si="79"/>
        <v>0.30599999999999999</v>
      </c>
      <c r="J316" s="1784">
        <v>0.155</v>
      </c>
      <c r="K316" s="1763">
        <f t="shared" si="80"/>
        <v>0.153</v>
      </c>
      <c r="L316" s="1764">
        <f t="shared" si="77"/>
        <v>0.28000000000000008</v>
      </c>
      <c r="M316" s="1765">
        <f t="shared" si="75"/>
        <v>0.27000000000000007</v>
      </c>
      <c r="O316" s="1752"/>
      <c r="P316" s="1752"/>
      <c r="Q316" s="1758"/>
      <c r="R316" s="1758"/>
      <c r="T316" s="1752"/>
      <c r="U316" s="1752"/>
      <c r="V316" s="1787"/>
    </row>
    <row r="317" spans="1:22" outlineLevel="1">
      <c r="A317" s="1749">
        <f t="shared" si="72"/>
        <v>38718</v>
      </c>
      <c r="B317" s="1749" t="str">
        <f t="shared" si="73"/>
        <v>1Q06</v>
      </c>
      <c r="C317" s="1749" t="str">
        <f t="shared" si="74"/>
        <v>4Q05</v>
      </c>
      <c r="D317" s="1750">
        <f t="shared" si="82"/>
        <v>38719</v>
      </c>
      <c r="E317" s="1750">
        <f t="shared" si="82"/>
        <v>38712</v>
      </c>
      <c r="F317" s="1735">
        <v>2.448</v>
      </c>
      <c r="G317" s="1752"/>
      <c r="H317" s="1784">
        <v>0.30599999999999999</v>
      </c>
      <c r="I317" s="1763">
        <f t="shared" si="79"/>
        <v>0.30599999999999999</v>
      </c>
      <c r="J317" s="1784">
        <v>0.153</v>
      </c>
      <c r="K317" s="1763">
        <f t="shared" si="80"/>
        <v>0.153</v>
      </c>
      <c r="L317" s="1764">
        <f t="shared" si="77"/>
        <v>0.27000000000000007</v>
      </c>
      <c r="M317" s="1765">
        <f t="shared" si="75"/>
        <v>0.27000000000000007</v>
      </c>
      <c r="O317" s="1752"/>
      <c r="P317" s="1752"/>
      <c r="Q317" s="1758"/>
      <c r="R317" s="1758"/>
      <c r="T317" s="1752"/>
      <c r="U317" s="1752"/>
      <c r="V317" s="1787"/>
    </row>
    <row r="318" spans="1:22" outlineLevel="1">
      <c r="A318" s="1749">
        <f t="shared" si="72"/>
        <v>38718</v>
      </c>
      <c r="B318" s="1749" t="str">
        <f t="shared" si="73"/>
        <v>1Q06</v>
      </c>
      <c r="C318" s="1749" t="str">
        <f t="shared" si="74"/>
        <v>1Q06</v>
      </c>
      <c r="D318" s="1750">
        <f t="shared" si="82"/>
        <v>38726</v>
      </c>
      <c r="E318" s="1750">
        <f t="shared" si="82"/>
        <v>38719</v>
      </c>
      <c r="F318" s="1735">
        <v>2.4420000000000002</v>
      </c>
      <c r="G318" s="1752"/>
      <c r="H318" s="1784">
        <v>0.30599999999999999</v>
      </c>
      <c r="I318" s="1763">
        <f t="shared" si="79"/>
        <v>0.314</v>
      </c>
      <c r="J318" s="1784">
        <v>0.153</v>
      </c>
      <c r="K318" s="1763">
        <f t="shared" si="80"/>
        <v>0.157</v>
      </c>
      <c r="L318" s="1764">
        <f t="shared" si="77"/>
        <v>0.27000000000000007</v>
      </c>
      <c r="M318" s="1765">
        <f t="shared" si="75"/>
        <v>0.28000000000000008</v>
      </c>
      <c r="O318" s="1752"/>
      <c r="P318" s="1752"/>
      <c r="Q318" s="1758"/>
      <c r="R318" s="1758"/>
      <c r="T318" s="1752"/>
      <c r="U318" s="1752"/>
      <c r="V318" s="1787"/>
    </row>
    <row r="319" spans="1:22" outlineLevel="1">
      <c r="A319" s="1749">
        <f t="shared" si="72"/>
        <v>38718</v>
      </c>
      <c r="B319" s="1749" t="str">
        <f t="shared" si="73"/>
        <v>1Q06</v>
      </c>
      <c r="C319" s="1749" t="str">
        <f t="shared" si="74"/>
        <v>1Q06</v>
      </c>
      <c r="D319" s="1750">
        <f t="shared" si="82"/>
        <v>38733</v>
      </c>
      <c r="E319" s="1750">
        <f t="shared" si="82"/>
        <v>38726</v>
      </c>
      <c r="F319" s="1735">
        <v>2.4849999999999999</v>
      </c>
      <c r="G319" s="1752"/>
      <c r="H319" s="1784">
        <v>0.314</v>
      </c>
      <c r="I319" s="1763">
        <f t="shared" si="79"/>
        <v>0.30599999999999999</v>
      </c>
      <c r="J319" s="1784">
        <v>0.157</v>
      </c>
      <c r="K319" s="1763">
        <f t="shared" si="80"/>
        <v>0.153</v>
      </c>
      <c r="L319" s="1764">
        <f t="shared" si="77"/>
        <v>0.28000000000000008</v>
      </c>
      <c r="M319" s="1765">
        <f t="shared" si="75"/>
        <v>0.27000000000000007</v>
      </c>
      <c r="O319" s="1752"/>
      <c r="P319" s="1752"/>
      <c r="Q319" s="1758"/>
      <c r="R319" s="1758"/>
      <c r="T319" s="1752"/>
      <c r="U319" s="1752"/>
      <c r="V319" s="1787"/>
    </row>
    <row r="320" spans="1:22" outlineLevel="1">
      <c r="A320" s="1749">
        <f t="shared" si="72"/>
        <v>38718</v>
      </c>
      <c r="B320" s="1749" t="str">
        <f t="shared" si="73"/>
        <v>1Q06</v>
      </c>
      <c r="C320" s="1749" t="str">
        <f t="shared" si="74"/>
        <v>1Q06</v>
      </c>
      <c r="D320" s="1750">
        <f t="shared" si="82"/>
        <v>38740</v>
      </c>
      <c r="E320" s="1750">
        <f t="shared" si="82"/>
        <v>38733</v>
      </c>
      <c r="F320" s="1735">
        <v>2.4489999999999998</v>
      </c>
      <c r="G320" s="1752"/>
      <c r="H320" s="1784">
        <v>0.30599999999999999</v>
      </c>
      <c r="I320" s="1763">
        <f t="shared" si="79"/>
        <v>0.312</v>
      </c>
      <c r="J320" s="1784">
        <v>0.153</v>
      </c>
      <c r="K320" s="1763">
        <f t="shared" si="80"/>
        <v>0.156</v>
      </c>
      <c r="L320" s="1764">
        <f t="shared" si="77"/>
        <v>0.27000000000000007</v>
      </c>
      <c r="M320" s="1765">
        <f t="shared" si="75"/>
        <v>0.28000000000000008</v>
      </c>
      <c r="O320" s="1752"/>
      <c r="P320" s="1752"/>
      <c r="Q320" s="1758"/>
      <c r="R320" s="1758"/>
      <c r="T320" s="1752"/>
      <c r="U320" s="1752"/>
      <c r="V320" s="1787"/>
    </row>
    <row r="321" spans="1:22" outlineLevel="1">
      <c r="A321" s="1749">
        <f t="shared" si="72"/>
        <v>38718</v>
      </c>
      <c r="B321" s="1749" t="str">
        <f t="shared" si="73"/>
        <v>1Q06</v>
      </c>
      <c r="C321" s="1749" t="str">
        <f t="shared" si="74"/>
        <v>1Q06</v>
      </c>
      <c r="D321" s="1750">
        <f t="shared" si="82"/>
        <v>38747</v>
      </c>
      <c r="E321" s="1750">
        <f t="shared" si="82"/>
        <v>38740</v>
      </c>
      <c r="F321" s="1735">
        <v>2.472</v>
      </c>
      <c r="G321" s="1752"/>
      <c r="H321" s="1784">
        <v>0.312</v>
      </c>
      <c r="I321" s="1763">
        <f t="shared" si="79"/>
        <v>0.314</v>
      </c>
      <c r="J321" s="1784">
        <v>0.156</v>
      </c>
      <c r="K321" s="1763">
        <f t="shared" si="80"/>
        <v>0.157</v>
      </c>
      <c r="L321" s="1764">
        <f t="shared" si="77"/>
        <v>0.28000000000000008</v>
      </c>
      <c r="M321" s="1765">
        <f t="shared" si="75"/>
        <v>0.28000000000000008</v>
      </c>
      <c r="O321" s="1752"/>
      <c r="P321" s="1752"/>
      <c r="Q321" s="1758"/>
      <c r="R321" s="1758"/>
      <c r="T321" s="1752"/>
      <c r="U321" s="1752"/>
      <c r="V321" s="1787"/>
    </row>
    <row r="322" spans="1:22" outlineLevel="1">
      <c r="A322" s="1749">
        <f t="shared" si="72"/>
        <v>38749</v>
      </c>
      <c r="B322" s="1749" t="str">
        <f t="shared" si="73"/>
        <v>1Q06</v>
      </c>
      <c r="C322" s="1749" t="str">
        <f t="shared" si="74"/>
        <v>1Q06</v>
      </c>
      <c r="D322" s="1750">
        <f t="shared" si="82"/>
        <v>38754</v>
      </c>
      <c r="E322" s="1750">
        <f t="shared" si="82"/>
        <v>38747</v>
      </c>
      <c r="F322" s="1735">
        <v>2.4889999999999999</v>
      </c>
      <c r="G322" s="1752"/>
      <c r="H322" s="1784">
        <v>0.314</v>
      </c>
      <c r="I322" s="1763">
        <f t="shared" si="79"/>
        <v>0.316</v>
      </c>
      <c r="J322" s="1784">
        <v>0.157</v>
      </c>
      <c r="K322" s="1763">
        <f t="shared" si="80"/>
        <v>0.158</v>
      </c>
      <c r="L322" s="1764">
        <f t="shared" si="77"/>
        <v>0.28000000000000008</v>
      </c>
      <c r="M322" s="1765">
        <f t="shared" si="75"/>
        <v>0.28000000000000008</v>
      </c>
      <c r="O322" s="1752"/>
      <c r="P322" s="1752"/>
      <c r="Q322" s="1758"/>
      <c r="R322" s="1758"/>
      <c r="T322" s="1752"/>
      <c r="U322" s="1752"/>
      <c r="V322" s="1787"/>
    </row>
    <row r="323" spans="1:22" outlineLevel="1">
      <c r="A323" s="1749">
        <f t="shared" si="72"/>
        <v>38749</v>
      </c>
      <c r="B323" s="1749" t="str">
        <f t="shared" si="73"/>
        <v>1Q06</v>
      </c>
      <c r="C323" s="1749" t="str">
        <f t="shared" si="74"/>
        <v>1Q06</v>
      </c>
      <c r="D323" s="1750">
        <f t="shared" si="82"/>
        <v>38761</v>
      </c>
      <c r="E323" s="1750">
        <f t="shared" si="82"/>
        <v>38754</v>
      </c>
      <c r="F323" s="1735">
        <v>2.4990000000000001</v>
      </c>
      <c r="G323" s="1752"/>
      <c r="H323" s="1784">
        <v>0.316</v>
      </c>
      <c r="I323" s="1763">
        <f t="shared" si="79"/>
        <v>0.312</v>
      </c>
      <c r="J323" s="1784">
        <v>0.158</v>
      </c>
      <c r="K323" s="1763">
        <f t="shared" si="80"/>
        <v>0.156</v>
      </c>
      <c r="L323" s="1764">
        <f t="shared" si="77"/>
        <v>0.28000000000000008</v>
      </c>
      <c r="M323" s="1765">
        <f t="shared" si="75"/>
        <v>0.28000000000000008</v>
      </c>
      <c r="O323" s="1752"/>
      <c r="P323" s="1752"/>
      <c r="Q323" s="1758"/>
      <c r="R323" s="1758"/>
      <c r="T323" s="1752"/>
      <c r="U323" s="1752"/>
      <c r="V323" s="1787"/>
    </row>
    <row r="324" spans="1:22" outlineLevel="1">
      <c r="A324" s="1749">
        <f t="shared" ref="A324:A387" si="83">DATE(YEAR(D324),MONTH(D324),1)</f>
        <v>38749</v>
      </c>
      <c r="B324" s="1749" t="str">
        <f t="shared" ref="B324:B387" si="84">VLOOKUP(MONTH(A324),$AB$4:$AC$17,2,FALSE) &amp; "Q" &amp; RIGHT(YEAR(A324),2)</f>
        <v>1Q06</v>
      </c>
      <c r="C324" s="1749" t="str">
        <f t="shared" ref="C324:C387" si="85">VLOOKUP(MONTH(E324),$AB$4:$AC$17,2,FALSE) &amp; "Q" &amp; RIGHT(YEAR(E324),2)</f>
        <v>1Q06</v>
      </c>
      <c r="D324" s="1750">
        <f t="shared" si="82"/>
        <v>38768</v>
      </c>
      <c r="E324" s="1750">
        <f t="shared" si="82"/>
        <v>38761</v>
      </c>
      <c r="F324" s="1735">
        <v>2.476</v>
      </c>
      <c r="G324" s="1752"/>
      <c r="H324" s="1784">
        <v>0.312</v>
      </c>
      <c r="I324" s="1763">
        <f t="shared" si="79"/>
        <v>0.308</v>
      </c>
      <c r="J324" s="1784">
        <v>0.156</v>
      </c>
      <c r="K324" s="1763">
        <f t="shared" si="80"/>
        <v>0.154</v>
      </c>
      <c r="L324" s="1764">
        <f t="shared" si="77"/>
        <v>0.28000000000000008</v>
      </c>
      <c r="M324" s="1765">
        <f t="shared" ref="M324:M387" si="86">L325</f>
        <v>0.28000000000000008</v>
      </c>
      <c r="O324" s="1752"/>
      <c r="P324" s="1752"/>
      <c r="Q324" s="1758"/>
      <c r="R324" s="1758"/>
      <c r="T324" s="1752"/>
      <c r="U324" s="1752"/>
      <c r="V324" s="1787"/>
    </row>
    <row r="325" spans="1:22" outlineLevel="1">
      <c r="A325" s="1749">
        <f t="shared" si="83"/>
        <v>38749</v>
      </c>
      <c r="B325" s="1749" t="str">
        <f t="shared" si="84"/>
        <v>1Q06</v>
      </c>
      <c r="C325" s="1749" t="str">
        <f t="shared" si="85"/>
        <v>1Q06</v>
      </c>
      <c r="D325" s="1750">
        <f t="shared" ref="D325:E340" si="87">D324+7</f>
        <v>38775</v>
      </c>
      <c r="E325" s="1750">
        <f t="shared" si="87"/>
        <v>38768</v>
      </c>
      <c r="F325" s="1735">
        <v>2.4550000000000001</v>
      </c>
      <c r="G325" s="1752"/>
      <c r="H325" s="1784">
        <v>0.308</v>
      </c>
      <c r="I325" s="1763">
        <f t="shared" si="79"/>
        <v>0.312</v>
      </c>
      <c r="J325" s="1784">
        <v>0.154</v>
      </c>
      <c r="K325" s="1763">
        <f t="shared" si="80"/>
        <v>0.156</v>
      </c>
      <c r="L325" s="1764">
        <f t="shared" ref="L325:L388" si="88">INDEX($T$4:$V$100,MATCH(F325,$T$4:$T$100,1),3)</f>
        <v>0.28000000000000008</v>
      </c>
      <c r="M325" s="1765">
        <f t="shared" si="86"/>
        <v>0.28000000000000008</v>
      </c>
      <c r="O325" s="1752"/>
      <c r="P325" s="1752"/>
      <c r="Q325" s="1758"/>
      <c r="R325" s="1758"/>
      <c r="T325" s="1752"/>
      <c r="U325" s="1752"/>
      <c r="V325" s="1787"/>
    </row>
    <row r="326" spans="1:22" outlineLevel="1">
      <c r="A326" s="1749">
        <f t="shared" si="83"/>
        <v>38777</v>
      </c>
      <c r="B326" s="1749" t="str">
        <f t="shared" si="84"/>
        <v>1Q06</v>
      </c>
      <c r="C326" s="1749" t="str">
        <f t="shared" si="85"/>
        <v>1Q06</v>
      </c>
      <c r="D326" s="1750">
        <f t="shared" si="87"/>
        <v>38782</v>
      </c>
      <c r="E326" s="1750">
        <f t="shared" si="87"/>
        <v>38775</v>
      </c>
      <c r="F326" s="1735">
        <v>2.4710000000000001</v>
      </c>
      <c r="G326" s="1752"/>
      <c r="H326" s="1784">
        <v>0.312</v>
      </c>
      <c r="I326" s="1763">
        <f t="shared" si="79"/>
        <v>0.32600000000000001</v>
      </c>
      <c r="J326" s="1784">
        <v>0.156</v>
      </c>
      <c r="K326" s="1763">
        <f t="shared" si="80"/>
        <v>0.16300000000000001</v>
      </c>
      <c r="L326" s="1764">
        <f t="shared" si="88"/>
        <v>0.28000000000000008</v>
      </c>
      <c r="M326" s="1765">
        <f t="shared" si="86"/>
        <v>0.29000000000000009</v>
      </c>
      <c r="O326" s="1752"/>
      <c r="P326" s="1752"/>
      <c r="Q326" s="1758"/>
      <c r="R326" s="1758"/>
      <c r="T326" s="1752"/>
      <c r="U326" s="1752"/>
      <c r="V326" s="1787"/>
    </row>
    <row r="327" spans="1:22" outlineLevel="1">
      <c r="A327" s="1749">
        <f t="shared" si="83"/>
        <v>38777</v>
      </c>
      <c r="B327" s="1749" t="str">
        <f t="shared" si="84"/>
        <v>1Q06</v>
      </c>
      <c r="C327" s="1749" t="str">
        <f t="shared" si="85"/>
        <v>1Q06</v>
      </c>
      <c r="D327" s="1750">
        <f t="shared" si="87"/>
        <v>38789</v>
      </c>
      <c r="E327" s="1750">
        <f t="shared" si="87"/>
        <v>38782</v>
      </c>
      <c r="F327" s="1735">
        <v>2.5449999999999999</v>
      </c>
      <c r="G327" s="1752"/>
      <c r="H327" s="1784">
        <v>0.32600000000000001</v>
      </c>
      <c r="I327" s="1763">
        <f t="shared" si="79"/>
        <v>0.32600000000000001</v>
      </c>
      <c r="J327" s="1784">
        <v>0.16300000000000001</v>
      </c>
      <c r="K327" s="1763">
        <f t="shared" si="80"/>
        <v>0.16300000000000001</v>
      </c>
      <c r="L327" s="1764">
        <f t="shared" si="88"/>
        <v>0.29000000000000009</v>
      </c>
      <c r="M327" s="1765">
        <f t="shared" si="86"/>
        <v>0.29000000000000009</v>
      </c>
      <c r="O327" s="1752"/>
      <c r="P327" s="1752"/>
      <c r="Q327" s="1758"/>
      <c r="R327" s="1758"/>
      <c r="T327" s="1752"/>
      <c r="U327" s="1752"/>
      <c r="V327" s="1787"/>
    </row>
    <row r="328" spans="1:22" outlineLevel="1">
      <c r="A328" s="1749">
        <f t="shared" si="83"/>
        <v>38777</v>
      </c>
      <c r="B328" s="1749" t="str">
        <f t="shared" si="84"/>
        <v>1Q06</v>
      </c>
      <c r="C328" s="1749" t="str">
        <f t="shared" si="85"/>
        <v>1Q06</v>
      </c>
      <c r="D328" s="1750">
        <f t="shared" si="87"/>
        <v>38796</v>
      </c>
      <c r="E328" s="1750">
        <f t="shared" si="87"/>
        <v>38789</v>
      </c>
      <c r="F328" s="1735">
        <v>2.5430000000000001</v>
      </c>
      <c r="G328" s="1752"/>
      <c r="H328" s="1784">
        <v>0.32600000000000001</v>
      </c>
      <c r="I328" s="1763">
        <f t="shared" si="79"/>
        <v>0.33200000000000002</v>
      </c>
      <c r="J328" s="1784">
        <v>0.16300000000000001</v>
      </c>
      <c r="K328" s="1763">
        <f t="shared" si="80"/>
        <v>0.16600000000000001</v>
      </c>
      <c r="L328" s="1764">
        <f t="shared" si="88"/>
        <v>0.29000000000000009</v>
      </c>
      <c r="M328" s="1765">
        <f t="shared" si="86"/>
        <v>0.3000000000000001</v>
      </c>
      <c r="O328" s="1752"/>
      <c r="P328" s="1752"/>
      <c r="Q328" s="1758"/>
      <c r="R328" s="1758"/>
      <c r="T328" s="1752"/>
      <c r="U328" s="1752"/>
      <c r="V328" s="1787"/>
    </row>
    <row r="329" spans="1:22" outlineLevel="1">
      <c r="A329" s="1749">
        <f t="shared" si="83"/>
        <v>38777</v>
      </c>
      <c r="B329" s="1749" t="str">
        <f t="shared" si="84"/>
        <v>1Q06</v>
      </c>
      <c r="C329" s="1749" t="str">
        <f t="shared" si="85"/>
        <v>1Q06</v>
      </c>
      <c r="D329" s="1750">
        <f t="shared" si="87"/>
        <v>38803</v>
      </c>
      <c r="E329" s="1750">
        <f t="shared" si="87"/>
        <v>38796</v>
      </c>
      <c r="F329" s="1735">
        <v>2.581</v>
      </c>
      <c r="G329" s="1752"/>
      <c r="H329" s="1784">
        <v>0.33200000000000002</v>
      </c>
      <c r="I329" s="1763">
        <f t="shared" si="79"/>
        <v>0.33</v>
      </c>
      <c r="J329" s="1784">
        <v>0.16600000000000001</v>
      </c>
      <c r="K329" s="1763">
        <f t="shared" si="80"/>
        <v>0.16500000000000001</v>
      </c>
      <c r="L329" s="1764">
        <f t="shared" si="88"/>
        <v>0.3000000000000001</v>
      </c>
      <c r="M329" s="1765">
        <f t="shared" si="86"/>
        <v>0.3000000000000001</v>
      </c>
      <c r="O329" s="1752"/>
      <c r="P329" s="1752"/>
      <c r="Q329" s="1758"/>
      <c r="R329" s="1758"/>
      <c r="T329" s="1752"/>
      <c r="U329" s="1752"/>
      <c r="V329" s="1787"/>
    </row>
    <row r="330" spans="1:22" outlineLevel="1">
      <c r="A330" s="1749">
        <f t="shared" si="83"/>
        <v>38808</v>
      </c>
      <c r="B330" s="1749" t="str">
        <f t="shared" si="84"/>
        <v>2Q06</v>
      </c>
      <c r="C330" s="1749" t="str">
        <f t="shared" si="85"/>
        <v>1Q06</v>
      </c>
      <c r="D330" s="1750">
        <f t="shared" si="87"/>
        <v>38810</v>
      </c>
      <c r="E330" s="1750">
        <f t="shared" si="87"/>
        <v>38803</v>
      </c>
      <c r="F330" s="1735">
        <v>2.5649999999999999</v>
      </c>
      <c r="G330" s="1752"/>
      <c r="H330" s="1784">
        <v>0.33</v>
      </c>
      <c r="I330" s="1763">
        <f t="shared" si="79"/>
        <v>0.33400000000000002</v>
      </c>
      <c r="J330" s="1784">
        <v>0.16500000000000001</v>
      </c>
      <c r="K330" s="1763">
        <f t="shared" si="80"/>
        <v>0.16700000000000001</v>
      </c>
      <c r="L330" s="1764">
        <f t="shared" si="88"/>
        <v>0.3000000000000001</v>
      </c>
      <c r="M330" s="1765">
        <f t="shared" si="86"/>
        <v>0.31000000000000011</v>
      </c>
      <c r="O330" s="1752"/>
      <c r="P330" s="1752"/>
      <c r="Q330" s="1758"/>
      <c r="R330" s="1758"/>
      <c r="T330" s="1752"/>
      <c r="U330" s="1752"/>
      <c r="V330" s="1787"/>
    </row>
    <row r="331" spans="1:22" outlineLevel="1">
      <c r="A331" s="1749">
        <f t="shared" si="83"/>
        <v>38808</v>
      </c>
      <c r="B331" s="1749" t="str">
        <f t="shared" si="84"/>
        <v>2Q06</v>
      </c>
      <c r="C331" s="1749" t="str">
        <f t="shared" si="85"/>
        <v>2Q06</v>
      </c>
      <c r="D331" s="1750">
        <f t="shared" si="87"/>
        <v>38817</v>
      </c>
      <c r="E331" s="1750">
        <f t="shared" si="87"/>
        <v>38810</v>
      </c>
      <c r="F331" s="1735">
        <v>2.617</v>
      </c>
      <c r="G331" s="1752"/>
      <c r="H331" s="1784">
        <v>0.33400000000000002</v>
      </c>
      <c r="I331" s="1763">
        <f t="shared" si="79"/>
        <v>0.33800000000000002</v>
      </c>
      <c r="J331" s="1784">
        <v>0.16700000000000001</v>
      </c>
      <c r="K331" s="1763">
        <f t="shared" si="80"/>
        <v>0.16900000000000001</v>
      </c>
      <c r="L331" s="1764">
        <f t="shared" si="88"/>
        <v>0.31000000000000011</v>
      </c>
      <c r="M331" s="1765">
        <f t="shared" si="86"/>
        <v>0.32000000000000012</v>
      </c>
      <c r="O331" s="1752"/>
      <c r="P331" s="1752"/>
      <c r="Q331" s="1758"/>
      <c r="R331" s="1758"/>
      <c r="T331" s="1752"/>
      <c r="U331" s="1752"/>
      <c r="V331" s="1787"/>
    </row>
    <row r="332" spans="1:22" outlineLevel="1">
      <c r="A332" s="1749">
        <f t="shared" si="83"/>
        <v>38808</v>
      </c>
      <c r="B332" s="1749" t="str">
        <f t="shared" si="84"/>
        <v>2Q06</v>
      </c>
      <c r="C332" s="1749" t="str">
        <f t="shared" si="85"/>
        <v>2Q06</v>
      </c>
      <c r="D332" s="1750">
        <f t="shared" si="87"/>
        <v>38824</v>
      </c>
      <c r="E332" s="1750">
        <f t="shared" si="87"/>
        <v>38817</v>
      </c>
      <c r="F332" s="1735">
        <v>2.6539999999999999</v>
      </c>
      <c r="G332" s="1752"/>
      <c r="H332" s="1784">
        <v>0.33800000000000002</v>
      </c>
      <c r="I332" s="1763">
        <f t="shared" si="79"/>
        <v>0.35</v>
      </c>
      <c r="J332" s="1784">
        <v>0.16900000000000001</v>
      </c>
      <c r="K332" s="1763">
        <f t="shared" si="80"/>
        <v>0.17499999999999999</v>
      </c>
      <c r="L332" s="1764">
        <f t="shared" si="88"/>
        <v>0.32000000000000012</v>
      </c>
      <c r="M332" s="1765">
        <f t="shared" si="86"/>
        <v>0.34000000000000014</v>
      </c>
      <c r="O332" s="1752"/>
      <c r="P332" s="1752"/>
      <c r="Q332" s="1758"/>
      <c r="R332" s="1758"/>
      <c r="T332" s="1752"/>
      <c r="U332" s="1752"/>
      <c r="V332" s="1787"/>
    </row>
    <row r="333" spans="1:22" outlineLevel="1">
      <c r="A333" s="1749">
        <f t="shared" si="83"/>
        <v>38808</v>
      </c>
      <c r="B333" s="1749" t="str">
        <f t="shared" si="84"/>
        <v>2Q06</v>
      </c>
      <c r="C333" s="1749" t="str">
        <f t="shared" si="85"/>
        <v>2Q06</v>
      </c>
      <c r="D333" s="1750">
        <f t="shared" si="87"/>
        <v>38831</v>
      </c>
      <c r="E333" s="1750">
        <f t="shared" si="87"/>
        <v>38824</v>
      </c>
      <c r="F333" s="1735">
        <v>2.7650000000000001</v>
      </c>
      <c r="G333" s="1752"/>
      <c r="H333" s="1784">
        <v>0.35</v>
      </c>
      <c r="I333" s="1763">
        <f t="shared" si="79"/>
        <v>0.372</v>
      </c>
      <c r="J333" s="1784">
        <v>0.17499999999999999</v>
      </c>
      <c r="K333" s="1763">
        <f t="shared" si="80"/>
        <v>0.186</v>
      </c>
      <c r="L333" s="1764">
        <f t="shared" si="88"/>
        <v>0.34000000000000014</v>
      </c>
      <c r="M333" s="1765">
        <f t="shared" si="86"/>
        <v>0.36000000000000015</v>
      </c>
      <c r="O333" s="1752"/>
      <c r="P333" s="1752"/>
      <c r="Q333" s="1758"/>
      <c r="R333" s="1758"/>
      <c r="T333" s="1752"/>
      <c r="U333" s="1752"/>
      <c r="V333" s="1787"/>
    </row>
    <row r="334" spans="1:22" outlineLevel="1">
      <c r="A334" s="1749">
        <f t="shared" si="83"/>
        <v>38838</v>
      </c>
      <c r="B334" s="1749" t="str">
        <f t="shared" si="84"/>
        <v>2Q06</v>
      </c>
      <c r="C334" s="1749" t="str">
        <f t="shared" si="85"/>
        <v>2Q06</v>
      </c>
      <c r="D334" s="1750">
        <f t="shared" si="87"/>
        <v>38838</v>
      </c>
      <c r="E334" s="1750">
        <f t="shared" si="87"/>
        <v>38831</v>
      </c>
      <c r="F334" s="1735">
        <v>2.8759999999999999</v>
      </c>
      <c r="G334" s="1752"/>
      <c r="H334" s="1784">
        <v>0.372</v>
      </c>
      <c r="I334" s="1763">
        <f t="shared" si="79"/>
        <v>0.376</v>
      </c>
      <c r="J334" s="1784">
        <v>0.186</v>
      </c>
      <c r="K334" s="1763">
        <f t="shared" si="80"/>
        <v>0.188</v>
      </c>
      <c r="L334" s="1764">
        <f t="shared" si="88"/>
        <v>0.36000000000000015</v>
      </c>
      <c r="M334" s="1765">
        <f t="shared" si="86"/>
        <v>0.36000000000000015</v>
      </c>
      <c r="O334" s="1752"/>
      <c r="P334" s="1752"/>
      <c r="Q334" s="1758"/>
      <c r="R334" s="1758"/>
      <c r="T334" s="1752"/>
      <c r="U334" s="1752"/>
      <c r="V334" s="1787"/>
    </row>
    <row r="335" spans="1:22" outlineLevel="1">
      <c r="A335" s="1749">
        <f t="shared" si="83"/>
        <v>38838</v>
      </c>
      <c r="B335" s="1749" t="str">
        <f t="shared" si="84"/>
        <v>2Q06</v>
      </c>
      <c r="C335" s="1749" t="str">
        <f t="shared" si="85"/>
        <v>2Q06</v>
      </c>
      <c r="D335" s="1750">
        <f t="shared" si="87"/>
        <v>38845</v>
      </c>
      <c r="E335" s="1750">
        <f t="shared" si="87"/>
        <v>38838</v>
      </c>
      <c r="F335" s="1735">
        <v>2.8959999999999999</v>
      </c>
      <c r="G335" s="1752"/>
      <c r="H335" s="1784">
        <v>0.376</v>
      </c>
      <c r="I335" s="1763">
        <f t="shared" si="79"/>
        <v>0.376</v>
      </c>
      <c r="J335" s="1784">
        <v>0.188</v>
      </c>
      <c r="K335" s="1763">
        <f t="shared" si="80"/>
        <v>0.188</v>
      </c>
      <c r="L335" s="1764">
        <f t="shared" si="88"/>
        <v>0.36000000000000015</v>
      </c>
      <c r="M335" s="1765">
        <f t="shared" si="86"/>
        <v>0.36000000000000015</v>
      </c>
      <c r="O335" s="1752"/>
      <c r="P335" s="1752"/>
      <c r="Q335" s="1758"/>
      <c r="R335" s="1758"/>
      <c r="T335" s="1752"/>
      <c r="U335" s="1752"/>
      <c r="V335" s="1787"/>
    </row>
    <row r="336" spans="1:22" outlineLevel="1">
      <c r="A336" s="1749">
        <f t="shared" si="83"/>
        <v>38838</v>
      </c>
      <c r="B336" s="1749" t="str">
        <f t="shared" si="84"/>
        <v>2Q06</v>
      </c>
      <c r="C336" s="1749" t="str">
        <f t="shared" si="85"/>
        <v>2Q06</v>
      </c>
      <c r="D336" s="1750">
        <f t="shared" si="87"/>
        <v>38852</v>
      </c>
      <c r="E336" s="1750">
        <f t="shared" si="87"/>
        <v>38845</v>
      </c>
      <c r="F336" s="1735">
        <v>2.8969999999999998</v>
      </c>
      <c r="G336" s="1752"/>
      <c r="H336" s="1784">
        <v>0.376</v>
      </c>
      <c r="I336" s="1763">
        <f t="shared" si="79"/>
        <v>0.38200000000000001</v>
      </c>
      <c r="J336" s="1784">
        <v>0.188</v>
      </c>
      <c r="K336" s="1763">
        <f t="shared" si="80"/>
        <v>0.191</v>
      </c>
      <c r="L336" s="1764">
        <f t="shared" si="88"/>
        <v>0.36000000000000015</v>
      </c>
      <c r="M336" s="1765">
        <f t="shared" si="86"/>
        <v>0.37000000000000016</v>
      </c>
      <c r="O336" s="1752"/>
      <c r="P336" s="1752"/>
      <c r="Q336" s="1758"/>
      <c r="R336" s="1758"/>
      <c r="T336" s="1752"/>
      <c r="U336" s="1752"/>
      <c r="V336" s="1787"/>
    </row>
    <row r="337" spans="1:22" outlineLevel="1">
      <c r="A337" s="1749">
        <f t="shared" si="83"/>
        <v>38838</v>
      </c>
      <c r="B337" s="1749" t="str">
        <f t="shared" si="84"/>
        <v>2Q06</v>
      </c>
      <c r="C337" s="1749" t="str">
        <f t="shared" si="85"/>
        <v>2Q06</v>
      </c>
      <c r="D337" s="1750">
        <f t="shared" si="87"/>
        <v>38859</v>
      </c>
      <c r="E337" s="1750">
        <f t="shared" si="87"/>
        <v>38852</v>
      </c>
      <c r="F337" s="1735">
        <v>2.92</v>
      </c>
      <c r="G337" s="1752"/>
      <c r="H337" s="1784">
        <v>0.38200000000000001</v>
      </c>
      <c r="I337" s="1763">
        <f t="shared" si="79"/>
        <v>0.374</v>
      </c>
      <c r="J337" s="1784">
        <v>0.191</v>
      </c>
      <c r="K337" s="1763">
        <f t="shared" si="80"/>
        <v>0.187</v>
      </c>
      <c r="L337" s="1764">
        <f t="shared" si="88"/>
        <v>0.37000000000000016</v>
      </c>
      <c r="M337" s="1765">
        <f t="shared" si="86"/>
        <v>0.36000000000000015</v>
      </c>
      <c r="O337" s="1752"/>
      <c r="P337" s="1752"/>
      <c r="Q337" s="1758"/>
      <c r="R337" s="1758"/>
      <c r="T337" s="1752"/>
      <c r="U337" s="1752"/>
      <c r="V337" s="1787"/>
    </row>
    <row r="338" spans="1:22" outlineLevel="1">
      <c r="A338" s="1749">
        <f t="shared" si="83"/>
        <v>38838</v>
      </c>
      <c r="B338" s="1749" t="str">
        <f t="shared" si="84"/>
        <v>2Q06</v>
      </c>
      <c r="C338" s="1749" t="str">
        <f t="shared" si="85"/>
        <v>2Q06</v>
      </c>
      <c r="D338" s="1750">
        <f t="shared" si="87"/>
        <v>38866</v>
      </c>
      <c r="E338" s="1750">
        <f t="shared" si="87"/>
        <v>38859</v>
      </c>
      <c r="F338" s="1735">
        <v>2.8879999999999999</v>
      </c>
      <c r="G338" s="1752"/>
      <c r="H338" s="1784">
        <v>0.374</v>
      </c>
      <c r="I338" s="1763">
        <f t="shared" si="79"/>
        <v>0.374</v>
      </c>
      <c r="J338" s="1784">
        <v>0.187</v>
      </c>
      <c r="K338" s="1763">
        <f t="shared" si="80"/>
        <v>0.187</v>
      </c>
      <c r="L338" s="1764">
        <f t="shared" si="88"/>
        <v>0.36000000000000015</v>
      </c>
      <c r="M338" s="1765">
        <f t="shared" si="86"/>
        <v>0.36000000000000015</v>
      </c>
      <c r="O338" s="1752"/>
      <c r="P338" s="1752"/>
      <c r="Q338" s="1758"/>
      <c r="R338" s="1758"/>
      <c r="T338" s="1752"/>
      <c r="U338" s="1752"/>
      <c r="V338" s="1787"/>
    </row>
    <row r="339" spans="1:22" outlineLevel="1">
      <c r="A339" s="1749">
        <f t="shared" si="83"/>
        <v>38869</v>
      </c>
      <c r="B339" s="1749" t="str">
        <f t="shared" si="84"/>
        <v>2Q06</v>
      </c>
      <c r="C339" s="1749" t="str">
        <f t="shared" si="85"/>
        <v>2Q06</v>
      </c>
      <c r="D339" s="1750">
        <f t="shared" si="87"/>
        <v>38873</v>
      </c>
      <c r="E339" s="1750">
        <f t="shared" si="87"/>
        <v>38866</v>
      </c>
      <c r="F339" s="1735">
        <v>2.8820000000000001</v>
      </c>
      <c r="G339" s="1752"/>
      <c r="H339" s="1784">
        <v>0.374</v>
      </c>
      <c r="I339" s="1763">
        <f t="shared" si="79"/>
        <v>0.376</v>
      </c>
      <c r="J339" s="1784">
        <v>0.187</v>
      </c>
      <c r="K339" s="1763">
        <f t="shared" si="80"/>
        <v>0.188</v>
      </c>
      <c r="L339" s="1764">
        <f t="shared" si="88"/>
        <v>0.36000000000000015</v>
      </c>
      <c r="M339" s="1765">
        <f t="shared" si="86"/>
        <v>0.36000000000000015</v>
      </c>
      <c r="O339" s="1752"/>
      <c r="P339" s="1752"/>
      <c r="Q339" s="1758"/>
      <c r="R339" s="1758"/>
      <c r="T339" s="1752"/>
      <c r="U339" s="1752"/>
      <c r="V339" s="1787"/>
    </row>
    <row r="340" spans="1:22" outlineLevel="1">
      <c r="A340" s="1749">
        <f t="shared" si="83"/>
        <v>38869</v>
      </c>
      <c r="B340" s="1749" t="str">
        <f t="shared" si="84"/>
        <v>2Q06</v>
      </c>
      <c r="C340" s="1749" t="str">
        <f t="shared" si="85"/>
        <v>2Q06</v>
      </c>
      <c r="D340" s="1750">
        <f t="shared" si="87"/>
        <v>38880</v>
      </c>
      <c r="E340" s="1750">
        <f t="shared" si="87"/>
        <v>38873</v>
      </c>
      <c r="F340" s="1735">
        <v>2.89</v>
      </c>
      <c r="G340" s="1752"/>
      <c r="H340" s="1784">
        <v>0.376</v>
      </c>
      <c r="I340" s="1763">
        <f t="shared" si="79"/>
        <v>0.38</v>
      </c>
      <c r="J340" s="1784">
        <v>0.188</v>
      </c>
      <c r="K340" s="1763">
        <f t="shared" si="80"/>
        <v>0.19</v>
      </c>
      <c r="L340" s="1764">
        <f t="shared" si="88"/>
        <v>0.36000000000000015</v>
      </c>
      <c r="M340" s="1765">
        <f t="shared" si="86"/>
        <v>0.37000000000000016</v>
      </c>
      <c r="O340" s="1752"/>
      <c r="P340" s="1752"/>
      <c r="Q340" s="1758"/>
      <c r="R340" s="1758"/>
      <c r="T340" s="1752"/>
      <c r="U340" s="1752"/>
      <c r="V340" s="1787"/>
    </row>
    <row r="341" spans="1:22" outlineLevel="1">
      <c r="A341" s="1749">
        <f t="shared" si="83"/>
        <v>38869</v>
      </c>
      <c r="B341" s="1749" t="str">
        <f t="shared" si="84"/>
        <v>2Q06</v>
      </c>
      <c r="C341" s="1749" t="str">
        <f t="shared" si="85"/>
        <v>2Q06</v>
      </c>
      <c r="D341" s="1750">
        <f t="shared" ref="D341:E356" si="89">D340+7</f>
        <v>38887</v>
      </c>
      <c r="E341" s="1750">
        <f t="shared" si="89"/>
        <v>38880</v>
      </c>
      <c r="F341" s="1735">
        <v>2.9180000000000001</v>
      </c>
      <c r="G341" s="1752"/>
      <c r="H341" s="1784">
        <v>0.38</v>
      </c>
      <c r="I341" s="1763">
        <f t="shared" si="79"/>
        <v>0.38</v>
      </c>
      <c r="J341" s="1784">
        <v>0.19</v>
      </c>
      <c r="K341" s="1763">
        <f t="shared" si="80"/>
        <v>0.19</v>
      </c>
      <c r="L341" s="1764">
        <f t="shared" si="88"/>
        <v>0.37000000000000016</v>
      </c>
      <c r="M341" s="1765">
        <f t="shared" si="86"/>
        <v>0.37000000000000016</v>
      </c>
      <c r="O341" s="1752"/>
      <c r="P341" s="1752"/>
      <c r="Q341" s="1758"/>
      <c r="R341" s="1758"/>
      <c r="T341" s="1752"/>
      <c r="U341" s="1752"/>
      <c r="V341" s="1787"/>
    </row>
    <row r="342" spans="1:22" outlineLevel="1">
      <c r="A342" s="1749">
        <f t="shared" si="83"/>
        <v>38869</v>
      </c>
      <c r="B342" s="1749" t="str">
        <f t="shared" si="84"/>
        <v>2Q06</v>
      </c>
      <c r="C342" s="1749" t="str">
        <f t="shared" si="85"/>
        <v>2Q06</v>
      </c>
      <c r="D342" s="1750">
        <f t="shared" si="89"/>
        <v>38894</v>
      </c>
      <c r="E342" s="1750">
        <f t="shared" si="89"/>
        <v>38887</v>
      </c>
      <c r="F342" s="1735">
        <v>2.915</v>
      </c>
      <c r="G342" s="1752"/>
      <c r="H342" s="1784">
        <v>0.38</v>
      </c>
      <c r="I342" s="1763">
        <f t="shared" si="79"/>
        <v>0.36</v>
      </c>
      <c r="J342" s="1784">
        <v>0.19</v>
      </c>
      <c r="K342" s="1763">
        <f t="shared" si="80"/>
        <v>0.18</v>
      </c>
      <c r="L342" s="1764">
        <f t="shared" si="88"/>
        <v>0.37000000000000016</v>
      </c>
      <c r="M342" s="1765">
        <f t="shared" si="86"/>
        <v>0.36000000000000015</v>
      </c>
      <c r="O342" s="1752"/>
      <c r="P342" s="1752"/>
      <c r="Q342" s="1758"/>
      <c r="R342" s="1758"/>
      <c r="T342" s="1752"/>
      <c r="U342" s="1752"/>
      <c r="V342" s="1787"/>
    </row>
    <row r="343" spans="1:22" outlineLevel="1">
      <c r="A343" s="1749">
        <f t="shared" si="83"/>
        <v>38899</v>
      </c>
      <c r="B343" s="1749" t="str">
        <f t="shared" si="84"/>
        <v>3Q06</v>
      </c>
      <c r="C343" s="1749" t="str">
        <f t="shared" si="85"/>
        <v>2Q06</v>
      </c>
      <c r="D343" s="1750">
        <f t="shared" si="89"/>
        <v>38901</v>
      </c>
      <c r="E343" s="1750">
        <f t="shared" si="89"/>
        <v>38894</v>
      </c>
      <c r="F343" s="1735">
        <v>2.867</v>
      </c>
      <c r="G343" s="1752"/>
      <c r="H343" s="1784">
        <v>0.36</v>
      </c>
      <c r="I343" s="1763">
        <f t="shared" si="79"/>
        <v>0.39600000000000002</v>
      </c>
      <c r="J343" s="1784">
        <v>0.18</v>
      </c>
      <c r="K343" s="1763">
        <f t="shared" si="80"/>
        <v>0.19800000000000001</v>
      </c>
      <c r="L343" s="1764">
        <f t="shared" si="88"/>
        <v>0.36000000000000015</v>
      </c>
      <c r="M343" s="1765">
        <f t="shared" si="86"/>
        <v>0.36000000000000015</v>
      </c>
      <c r="O343" s="1752"/>
      <c r="P343" s="1752"/>
      <c r="Q343" s="1758"/>
      <c r="R343" s="1758"/>
      <c r="T343" s="1752"/>
      <c r="U343" s="1752"/>
      <c r="V343" s="1787"/>
    </row>
    <row r="344" spans="1:22" outlineLevel="1">
      <c r="A344" s="1749">
        <f t="shared" si="83"/>
        <v>38899</v>
      </c>
      <c r="B344" s="1749" t="str">
        <f t="shared" si="84"/>
        <v>3Q06</v>
      </c>
      <c r="C344" s="1749" t="str">
        <f t="shared" si="85"/>
        <v>3Q06</v>
      </c>
      <c r="D344" s="1750">
        <f t="shared" si="89"/>
        <v>38908</v>
      </c>
      <c r="E344" s="1750">
        <f t="shared" si="89"/>
        <v>38901</v>
      </c>
      <c r="F344" s="1735">
        <v>2.8980000000000001</v>
      </c>
      <c r="G344" s="1752"/>
      <c r="H344" s="1784">
        <v>0.39600000000000002</v>
      </c>
      <c r="I344" s="1763">
        <f t="shared" si="79"/>
        <v>0.4</v>
      </c>
      <c r="J344" s="1784">
        <v>0.19800000000000001</v>
      </c>
      <c r="K344" s="1763">
        <f t="shared" si="80"/>
        <v>0.2</v>
      </c>
      <c r="L344" s="1764">
        <f t="shared" si="88"/>
        <v>0.36000000000000015</v>
      </c>
      <c r="M344" s="1765">
        <f t="shared" si="86"/>
        <v>0.37000000000000016</v>
      </c>
      <c r="O344" s="1752"/>
      <c r="P344" s="1752"/>
      <c r="Q344" s="1758"/>
      <c r="R344" s="1758"/>
      <c r="T344" s="1752"/>
      <c r="U344" s="1752"/>
      <c r="V344" s="1787"/>
    </row>
    <row r="345" spans="1:22" outlineLevel="1">
      <c r="A345" s="1749">
        <f t="shared" si="83"/>
        <v>38899</v>
      </c>
      <c r="B345" s="1749" t="str">
        <f t="shared" si="84"/>
        <v>3Q06</v>
      </c>
      <c r="C345" s="1749" t="str">
        <f t="shared" si="85"/>
        <v>3Q06</v>
      </c>
      <c r="D345" s="1750">
        <f t="shared" si="89"/>
        <v>38915</v>
      </c>
      <c r="E345" s="1750">
        <f t="shared" si="89"/>
        <v>38908</v>
      </c>
      <c r="F345" s="1735">
        <v>2.9180000000000001</v>
      </c>
      <c r="G345" s="1752"/>
      <c r="H345" s="1784">
        <v>0.4</v>
      </c>
      <c r="I345" s="1763">
        <f t="shared" ref="I345:I408" si="90">H346</f>
        <v>0.40200000000000002</v>
      </c>
      <c r="J345" s="1784">
        <v>0.2</v>
      </c>
      <c r="K345" s="1763">
        <f t="shared" ref="K345:K408" si="91">J346</f>
        <v>0.20100000000000001</v>
      </c>
      <c r="L345" s="1764">
        <f t="shared" si="88"/>
        <v>0.37000000000000016</v>
      </c>
      <c r="M345" s="1765">
        <f t="shared" si="86"/>
        <v>0.37000000000000016</v>
      </c>
      <c r="O345" s="1752"/>
      <c r="P345" s="1752"/>
      <c r="Q345" s="1758"/>
      <c r="R345" s="1758"/>
      <c r="T345" s="1752"/>
      <c r="U345" s="1752"/>
      <c r="V345" s="1787"/>
    </row>
    <row r="346" spans="1:22" outlineLevel="1">
      <c r="A346" s="1749">
        <f t="shared" si="83"/>
        <v>38899</v>
      </c>
      <c r="B346" s="1749" t="str">
        <f t="shared" si="84"/>
        <v>3Q06</v>
      </c>
      <c r="C346" s="1749" t="str">
        <f t="shared" si="85"/>
        <v>3Q06</v>
      </c>
      <c r="D346" s="1750">
        <f t="shared" si="89"/>
        <v>38922</v>
      </c>
      <c r="E346" s="1750">
        <f t="shared" si="89"/>
        <v>38915</v>
      </c>
      <c r="F346" s="1735">
        <v>2.9260000000000002</v>
      </c>
      <c r="G346" s="1752"/>
      <c r="H346" s="1784">
        <v>0.40200000000000002</v>
      </c>
      <c r="I346" s="1763">
        <f t="shared" si="90"/>
        <v>0.40600000000000003</v>
      </c>
      <c r="J346" s="1784">
        <v>0.20100000000000001</v>
      </c>
      <c r="K346" s="1763">
        <f t="shared" si="91"/>
        <v>0.20300000000000001</v>
      </c>
      <c r="L346" s="1764">
        <f t="shared" si="88"/>
        <v>0.37000000000000016</v>
      </c>
      <c r="M346" s="1765">
        <f t="shared" si="86"/>
        <v>0.37000000000000016</v>
      </c>
      <c r="O346" s="1752"/>
      <c r="P346" s="1752"/>
      <c r="Q346" s="1758"/>
      <c r="R346" s="1758"/>
      <c r="T346" s="1752"/>
      <c r="U346" s="1752"/>
      <c r="V346" s="1787"/>
    </row>
    <row r="347" spans="1:22" outlineLevel="1">
      <c r="A347" s="1749">
        <f t="shared" si="83"/>
        <v>38899</v>
      </c>
      <c r="B347" s="1749" t="str">
        <f t="shared" si="84"/>
        <v>3Q06</v>
      </c>
      <c r="C347" s="1749" t="str">
        <f t="shared" si="85"/>
        <v>3Q06</v>
      </c>
      <c r="D347" s="1750">
        <f t="shared" si="89"/>
        <v>38929</v>
      </c>
      <c r="E347" s="1750">
        <f t="shared" si="89"/>
        <v>38922</v>
      </c>
      <c r="F347" s="1735">
        <v>2.9460000000000002</v>
      </c>
      <c r="G347" s="1752"/>
      <c r="H347" s="1784">
        <v>0.40600000000000003</v>
      </c>
      <c r="I347" s="1763">
        <f t="shared" si="90"/>
        <v>0.41399999999999998</v>
      </c>
      <c r="J347" s="1784">
        <v>0.20300000000000001</v>
      </c>
      <c r="K347" s="1763">
        <f t="shared" si="91"/>
        <v>0.20699999999999999</v>
      </c>
      <c r="L347" s="1764">
        <f t="shared" si="88"/>
        <v>0.37000000000000016</v>
      </c>
      <c r="M347" s="1765">
        <f t="shared" si="86"/>
        <v>0.38000000000000017</v>
      </c>
      <c r="O347" s="1752"/>
      <c r="P347" s="1752"/>
      <c r="Q347" s="1758"/>
      <c r="R347" s="1758"/>
      <c r="T347" s="1752"/>
      <c r="U347" s="1752"/>
      <c r="V347" s="1787"/>
    </row>
    <row r="348" spans="1:22" outlineLevel="1">
      <c r="A348" s="1749">
        <f t="shared" si="83"/>
        <v>38930</v>
      </c>
      <c r="B348" s="1749" t="str">
        <f t="shared" si="84"/>
        <v>3Q06</v>
      </c>
      <c r="C348" s="1749" t="str">
        <f t="shared" si="85"/>
        <v>3Q06</v>
      </c>
      <c r="D348" s="1750">
        <f t="shared" si="89"/>
        <v>38936</v>
      </c>
      <c r="E348" s="1750">
        <f t="shared" si="89"/>
        <v>38929</v>
      </c>
      <c r="F348" s="1735">
        <v>2.98</v>
      </c>
      <c r="G348" s="1752"/>
      <c r="H348" s="1784">
        <v>0.41399999999999998</v>
      </c>
      <c r="I348" s="1763">
        <f t="shared" si="90"/>
        <v>0.42799999999999999</v>
      </c>
      <c r="J348" s="1784">
        <v>0.20699999999999999</v>
      </c>
      <c r="K348" s="1763">
        <f t="shared" si="91"/>
        <v>0.214</v>
      </c>
      <c r="L348" s="1764">
        <f t="shared" si="88"/>
        <v>0.38000000000000017</v>
      </c>
      <c r="M348" s="1765">
        <f t="shared" si="86"/>
        <v>0.40000000000000019</v>
      </c>
      <c r="O348" s="1752"/>
      <c r="P348" s="1752"/>
      <c r="Q348" s="1758"/>
      <c r="R348" s="1758"/>
      <c r="T348" s="1752"/>
      <c r="U348" s="1752"/>
      <c r="V348" s="1787"/>
    </row>
    <row r="349" spans="1:22" outlineLevel="1">
      <c r="A349" s="1749">
        <f t="shared" si="83"/>
        <v>38930</v>
      </c>
      <c r="B349" s="1749" t="str">
        <f t="shared" si="84"/>
        <v>3Q06</v>
      </c>
      <c r="C349" s="1749" t="str">
        <f t="shared" si="85"/>
        <v>3Q06</v>
      </c>
      <c r="D349" s="1750">
        <f t="shared" si="89"/>
        <v>38943</v>
      </c>
      <c r="E349" s="1750">
        <f t="shared" si="89"/>
        <v>38936</v>
      </c>
      <c r="F349" s="1735">
        <v>3.0550000000000002</v>
      </c>
      <c r="G349" s="1752"/>
      <c r="H349" s="1784">
        <v>0.42799999999999999</v>
      </c>
      <c r="I349" s="1763">
        <f t="shared" si="90"/>
        <v>0.43</v>
      </c>
      <c r="J349" s="1784">
        <v>0.214</v>
      </c>
      <c r="K349" s="1763">
        <f t="shared" si="91"/>
        <v>0.215</v>
      </c>
      <c r="L349" s="1764">
        <f t="shared" si="88"/>
        <v>0.40000000000000019</v>
      </c>
      <c r="M349" s="1765">
        <f t="shared" si="86"/>
        <v>0.40000000000000019</v>
      </c>
      <c r="O349" s="1752"/>
      <c r="P349" s="1752"/>
      <c r="Q349" s="1758"/>
      <c r="R349" s="1758"/>
      <c r="T349" s="1752"/>
      <c r="U349" s="1752"/>
      <c r="V349" s="1787"/>
    </row>
    <row r="350" spans="1:22" outlineLevel="1">
      <c r="A350" s="1749">
        <f t="shared" si="83"/>
        <v>38930</v>
      </c>
      <c r="B350" s="1749" t="str">
        <f t="shared" si="84"/>
        <v>3Q06</v>
      </c>
      <c r="C350" s="1749" t="str">
        <f t="shared" si="85"/>
        <v>3Q06</v>
      </c>
      <c r="D350" s="1750">
        <f t="shared" si="89"/>
        <v>38950</v>
      </c>
      <c r="E350" s="1750">
        <f t="shared" si="89"/>
        <v>38943</v>
      </c>
      <c r="F350" s="1735">
        <v>3.0649999999999999</v>
      </c>
      <c r="G350" s="1752"/>
      <c r="H350" s="1784">
        <v>0.43</v>
      </c>
      <c r="I350" s="1763">
        <f t="shared" si="90"/>
        <v>0.42399999999999999</v>
      </c>
      <c r="J350" s="1784">
        <v>0.215</v>
      </c>
      <c r="K350" s="1763">
        <f t="shared" si="91"/>
        <v>0.21199999999999999</v>
      </c>
      <c r="L350" s="1764">
        <f t="shared" si="88"/>
        <v>0.40000000000000019</v>
      </c>
      <c r="M350" s="1765">
        <f t="shared" si="86"/>
        <v>0.39000000000000018</v>
      </c>
      <c r="O350" s="1752"/>
      <c r="P350" s="1752"/>
      <c r="Q350" s="1758"/>
      <c r="R350" s="1758"/>
      <c r="T350" s="1752"/>
      <c r="U350" s="1752"/>
      <c r="V350" s="1787"/>
    </row>
    <row r="351" spans="1:22" outlineLevel="1">
      <c r="A351" s="1749">
        <f t="shared" si="83"/>
        <v>38930</v>
      </c>
      <c r="B351" s="1749" t="str">
        <f t="shared" si="84"/>
        <v>3Q06</v>
      </c>
      <c r="C351" s="1749" t="str">
        <f t="shared" si="85"/>
        <v>3Q06</v>
      </c>
      <c r="D351" s="1750">
        <f t="shared" si="89"/>
        <v>38957</v>
      </c>
      <c r="E351" s="1750">
        <f t="shared" si="89"/>
        <v>38950</v>
      </c>
      <c r="F351" s="1735">
        <v>3.0329999999999999</v>
      </c>
      <c r="G351" s="1752"/>
      <c r="H351" s="1784">
        <v>0.42399999999999999</v>
      </c>
      <c r="I351" s="1763">
        <f t="shared" si="90"/>
        <v>0.42199999999999999</v>
      </c>
      <c r="J351" s="1784">
        <v>0.21199999999999999</v>
      </c>
      <c r="K351" s="1763">
        <f t="shared" si="91"/>
        <v>0.21099999999999999</v>
      </c>
      <c r="L351" s="1764">
        <f t="shared" si="88"/>
        <v>0.39000000000000018</v>
      </c>
      <c r="M351" s="1765">
        <f t="shared" si="86"/>
        <v>0.39000000000000018</v>
      </c>
      <c r="O351" s="1752"/>
      <c r="P351" s="1752"/>
      <c r="Q351" s="1758"/>
      <c r="R351" s="1758"/>
      <c r="T351" s="1752"/>
      <c r="U351" s="1752"/>
      <c r="V351" s="1787"/>
    </row>
    <row r="352" spans="1:22" outlineLevel="1">
      <c r="A352" s="1749">
        <f t="shared" si="83"/>
        <v>38961</v>
      </c>
      <c r="B352" s="1749" t="str">
        <f t="shared" si="84"/>
        <v>3Q06</v>
      </c>
      <c r="C352" s="1749" t="str">
        <f t="shared" si="85"/>
        <v>3Q06</v>
      </c>
      <c r="D352" s="1750">
        <f t="shared" si="89"/>
        <v>38964</v>
      </c>
      <c r="E352" s="1750">
        <f t="shared" si="89"/>
        <v>38957</v>
      </c>
      <c r="F352" s="1735">
        <v>3.0270000000000001</v>
      </c>
      <c r="G352" s="1752"/>
      <c r="H352" s="1784">
        <v>0.42199999999999999</v>
      </c>
      <c r="I352" s="1763">
        <f t="shared" si="90"/>
        <v>0.41</v>
      </c>
      <c r="J352" s="1784">
        <v>0.21099999999999999</v>
      </c>
      <c r="K352" s="1763">
        <f t="shared" si="91"/>
        <v>0.20499999999999999</v>
      </c>
      <c r="L352" s="1764">
        <f t="shared" si="88"/>
        <v>0.39000000000000018</v>
      </c>
      <c r="M352" s="1765">
        <f t="shared" si="86"/>
        <v>0.38000000000000017</v>
      </c>
      <c r="O352" s="1752"/>
      <c r="P352" s="1752"/>
      <c r="Q352" s="1758"/>
      <c r="R352" s="1758"/>
      <c r="T352" s="1752"/>
      <c r="U352" s="1752"/>
      <c r="V352" s="1787"/>
    </row>
    <row r="353" spans="1:22" outlineLevel="1">
      <c r="A353" s="1749">
        <f t="shared" si="83"/>
        <v>38961</v>
      </c>
      <c r="B353" s="1749" t="str">
        <f t="shared" si="84"/>
        <v>3Q06</v>
      </c>
      <c r="C353" s="1749" t="str">
        <f t="shared" si="85"/>
        <v>3Q06</v>
      </c>
      <c r="D353" s="1750">
        <f t="shared" si="89"/>
        <v>38971</v>
      </c>
      <c r="E353" s="1750">
        <f t="shared" si="89"/>
        <v>38964</v>
      </c>
      <c r="F353" s="1735">
        <v>2.9670000000000001</v>
      </c>
      <c r="G353" s="1752"/>
      <c r="H353" s="1784">
        <v>0.41</v>
      </c>
      <c r="I353" s="1763">
        <f t="shared" si="90"/>
        <v>0.38800000000000001</v>
      </c>
      <c r="J353" s="1784">
        <v>0.20499999999999999</v>
      </c>
      <c r="K353" s="1763">
        <f t="shared" si="91"/>
        <v>0.19400000000000001</v>
      </c>
      <c r="L353" s="1764">
        <f t="shared" si="88"/>
        <v>0.38000000000000017</v>
      </c>
      <c r="M353" s="1765">
        <f t="shared" si="86"/>
        <v>0.36000000000000015</v>
      </c>
      <c r="O353" s="1752"/>
      <c r="P353" s="1752"/>
      <c r="Q353" s="1758"/>
      <c r="R353" s="1758"/>
      <c r="T353" s="1752"/>
      <c r="U353" s="1752"/>
      <c r="V353" s="1787"/>
    </row>
    <row r="354" spans="1:22" outlineLevel="1">
      <c r="A354" s="1749">
        <f t="shared" si="83"/>
        <v>38961</v>
      </c>
      <c r="B354" s="1749" t="str">
        <f t="shared" si="84"/>
        <v>3Q06</v>
      </c>
      <c r="C354" s="1749" t="str">
        <f t="shared" si="85"/>
        <v>3Q06</v>
      </c>
      <c r="D354" s="1750">
        <f t="shared" si="89"/>
        <v>38978</v>
      </c>
      <c r="E354" s="1750">
        <f t="shared" si="89"/>
        <v>38971</v>
      </c>
      <c r="F354" s="1735">
        <v>2.8570000000000002</v>
      </c>
      <c r="G354" s="1752"/>
      <c r="H354" s="1784">
        <v>0.38800000000000001</v>
      </c>
      <c r="I354" s="1763">
        <f t="shared" si="90"/>
        <v>0.36</v>
      </c>
      <c r="J354" s="1784">
        <v>0.19400000000000001</v>
      </c>
      <c r="K354" s="1763">
        <f t="shared" si="91"/>
        <v>0.18</v>
      </c>
      <c r="L354" s="1764">
        <f t="shared" si="88"/>
        <v>0.36000000000000015</v>
      </c>
      <c r="M354" s="1765">
        <f t="shared" si="86"/>
        <v>0.33000000000000013</v>
      </c>
      <c r="O354" s="1752"/>
      <c r="P354" s="1752"/>
      <c r="Q354" s="1758"/>
      <c r="R354" s="1758"/>
      <c r="T354" s="1752"/>
      <c r="U354" s="1752"/>
      <c r="V354" s="1787"/>
    </row>
    <row r="355" spans="1:22" outlineLevel="1">
      <c r="A355" s="1749">
        <f t="shared" si="83"/>
        <v>38961</v>
      </c>
      <c r="B355" s="1749" t="str">
        <f t="shared" si="84"/>
        <v>3Q06</v>
      </c>
      <c r="C355" s="1749" t="str">
        <f t="shared" si="85"/>
        <v>3Q06</v>
      </c>
      <c r="D355" s="1750">
        <f t="shared" si="89"/>
        <v>38985</v>
      </c>
      <c r="E355" s="1750">
        <f t="shared" si="89"/>
        <v>38978</v>
      </c>
      <c r="F355" s="1735">
        <v>2.7130000000000001</v>
      </c>
      <c r="G355" s="1752"/>
      <c r="H355" s="1784">
        <v>0.36</v>
      </c>
      <c r="I355" s="1763">
        <f t="shared" si="90"/>
        <v>0.33600000000000002</v>
      </c>
      <c r="J355" s="1784">
        <v>0.18</v>
      </c>
      <c r="K355" s="1763">
        <f t="shared" si="91"/>
        <v>0.16800000000000001</v>
      </c>
      <c r="L355" s="1764">
        <f t="shared" si="88"/>
        <v>0.33000000000000013</v>
      </c>
      <c r="M355" s="1765">
        <f t="shared" si="86"/>
        <v>0.3000000000000001</v>
      </c>
      <c r="O355" s="1752"/>
      <c r="P355" s="1752"/>
      <c r="Q355" s="1758"/>
      <c r="R355" s="1758"/>
      <c r="T355" s="1752"/>
      <c r="U355" s="1752"/>
      <c r="V355" s="1787"/>
    </row>
    <row r="356" spans="1:22" outlineLevel="1">
      <c r="A356" s="1749">
        <f t="shared" si="83"/>
        <v>38991</v>
      </c>
      <c r="B356" s="1749" t="str">
        <f t="shared" si="84"/>
        <v>4Q06</v>
      </c>
      <c r="C356" s="1749" t="str">
        <f t="shared" si="85"/>
        <v>3Q06</v>
      </c>
      <c r="D356" s="1750">
        <f t="shared" si="89"/>
        <v>38992</v>
      </c>
      <c r="E356" s="1750">
        <f t="shared" si="89"/>
        <v>38985</v>
      </c>
      <c r="F356" s="1735">
        <v>2.5950000000000002</v>
      </c>
      <c r="G356" s="1752"/>
      <c r="H356" s="1784">
        <v>0.33600000000000002</v>
      </c>
      <c r="I356" s="1763">
        <f t="shared" si="90"/>
        <v>0.32600000000000001</v>
      </c>
      <c r="J356" s="1784">
        <v>0.16800000000000001</v>
      </c>
      <c r="K356" s="1763">
        <f t="shared" si="91"/>
        <v>0.16300000000000001</v>
      </c>
      <c r="L356" s="1764">
        <f t="shared" si="88"/>
        <v>0.3000000000000001</v>
      </c>
      <c r="M356" s="1765">
        <f t="shared" si="86"/>
        <v>0.29000000000000009</v>
      </c>
      <c r="O356" s="1752"/>
      <c r="P356" s="1752"/>
      <c r="Q356" s="1758"/>
      <c r="R356" s="1758"/>
      <c r="T356" s="1752"/>
      <c r="U356" s="1752"/>
      <c r="V356" s="1787"/>
    </row>
    <row r="357" spans="1:22" outlineLevel="1">
      <c r="A357" s="1749">
        <f t="shared" si="83"/>
        <v>38991</v>
      </c>
      <c r="B357" s="1749" t="str">
        <f t="shared" si="84"/>
        <v>4Q06</v>
      </c>
      <c r="C357" s="1749" t="str">
        <f t="shared" si="85"/>
        <v>4Q06</v>
      </c>
      <c r="D357" s="1750">
        <f t="shared" ref="D357:E372" si="92">D356+7</f>
        <v>38999</v>
      </c>
      <c r="E357" s="1750">
        <f t="shared" si="92"/>
        <v>38992</v>
      </c>
      <c r="F357" s="1735">
        <v>2.5459999999999998</v>
      </c>
      <c r="G357" s="1752"/>
      <c r="H357" s="1784">
        <v>0.32600000000000001</v>
      </c>
      <c r="I357" s="1763">
        <f t="shared" si="90"/>
        <v>0.318</v>
      </c>
      <c r="J357" s="1784">
        <v>0.16300000000000001</v>
      </c>
      <c r="K357" s="1763">
        <f t="shared" si="91"/>
        <v>0.159</v>
      </c>
      <c r="L357" s="1764">
        <f t="shared" si="88"/>
        <v>0.29000000000000009</v>
      </c>
      <c r="M357" s="1765">
        <f t="shared" si="86"/>
        <v>0.29000000000000009</v>
      </c>
      <c r="O357" s="1752"/>
      <c r="P357" s="1752"/>
      <c r="Q357" s="1758"/>
      <c r="R357" s="1758"/>
      <c r="T357" s="1752"/>
      <c r="U357" s="1752"/>
      <c r="V357" s="1787"/>
    </row>
    <row r="358" spans="1:22" outlineLevel="1">
      <c r="A358" s="1749">
        <f t="shared" si="83"/>
        <v>38991</v>
      </c>
      <c r="B358" s="1749" t="str">
        <f t="shared" si="84"/>
        <v>4Q06</v>
      </c>
      <c r="C358" s="1749" t="str">
        <f t="shared" si="85"/>
        <v>4Q06</v>
      </c>
      <c r="D358" s="1750">
        <f t="shared" si="92"/>
        <v>39006</v>
      </c>
      <c r="E358" s="1750">
        <f t="shared" si="92"/>
        <v>38999</v>
      </c>
      <c r="F358" s="1735">
        <v>2.5059999999999998</v>
      </c>
      <c r="G358" s="1752"/>
      <c r="H358" s="1784">
        <v>0.318</v>
      </c>
      <c r="I358" s="1763">
        <f t="shared" si="90"/>
        <v>0.318</v>
      </c>
      <c r="J358" s="1784">
        <v>0.159</v>
      </c>
      <c r="K358" s="1763">
        <f t="shared" si="91"/>
        <v>0.159</v>
      </c>
      <c r="L358" s="1764">
        <f t="shared" si="88"/>
        <v>0.29000000000000009</v>
      </c>
      <c r="M358" s="1765">
        <f t="shared" si="86"/>
        <v>0.29000000000000009</v>
      </c>
      <c r="O358" s="1752"/>
      <c r="P358" s="1752"/>
      <c r="Q358" s="1758"/>
      <c r="R358" s="1758"/>
      <c r="T358" s="1752"/>
      <c r="U358" s="1752"/>
      <c r="V358" s="1787"/>
    </row>
    <row r="359" spans="1:22" outlineLevel="1">
      <c r="A359" s="1749">
        <f t="shared" si="83"/>
        <v>38991</v>
      </c>
      <c r="B359" s="1749" t="str">
        <f t="shared" si="84"/>
        <v>4Q06</v>
      </c>
      <c r="C359" s="1749" t="str">
        <f t="shared" si="85"/>
        <v>4Q06</v>
      </c>
      <c r="D359" s="1750">
        <f t="shared" si="92"/>
        <v>39013</v>
      </c>
      <c r="E359" s="1750">
        <f t="shared" si="92"/>
        <v>39006</v>
      </c>
      <c r="F359" s="1735">
        <v>2.5030000000000001</v>
      </c>
      <c r="G359" s="1752"/>
      <c r="H359" s="1784">
        <v>0.318</v>
      </c>
      <c r="I359" s="1763">
        <f t="shared" si="90"/>
        <v>0.32200000000000001</v>
      </c>
      <c r="J359" s="1784">
        <v>0.159</v>
      </c>
      <c r="K359" s="1763">
        <f t="shared" si="91"/>
        <v>0.161</v>
      </c>
      <c r="L359" s="1764">
        <f t="shared" si="88"/>
        <v>0.29000000000000009</v>
      </c>
      <c r="M359" s="1765">
        <f t="shared" si="86"/>
        <v>0.29000000000000009</v>
      </c>
      <c r="O359" s="1752"/>
      <c r="P359" s="1752"/>
      <c r="Q359" s="1758"/>
      <c r="R359" s="1758"/>
      <c r="T359" s="1752"/>
      <c r="U359" s="1752"/>
      <c r="V359" s="1787"/>
    </row>
    <row r="360" spans="1:22" outlineLevel="1">
      <c r="A360" s="1749">
        <f t="shared" si="83"/>
        <v>38991</v>
      </c>
      <c r="B360" s="1749" t="str">
        <f t="shared" si="84"/>
        <v>4Q06</v>
      </c>
      <c r="C360" s="1749" t="str">
        <f t="shared" si="85"/>
        <v>4Q06</v>
      </c>
      <c r="D360" s="1750">
        <f t="shared" si="92"/>
        <v>39020</v>
      </c>
      <c r="E360" s="1750">
        <f t="shared" si="92"/>
        <v>39013</v>
      </c>
      <c r="F360" s="1735">
        <v>2.524</v>
      </c>
      <c r="G360" s="1752"/>
      <c r="H360" s="1784">
        <v>0.32200000000000001</v>
      </c>
      <c r="I360" s="1763">
        <f t="shared" si="90"/>
        <v>0.32</v>
      </c>
      <c r="J360" s="1784">
        <v>0.161</v>
      </c>
      <c r="K360" s="1763">
        <f t="shared" si="91"/>
        <v>0.16</v>
      </c>
      <c r="L360" s="1764">
        <f t="shared" si="88"/>
        <v>0.29000000000000009</v>
      </c>
      <c r="M360" s="1765">
        <f t="shared" si="86"/>
        <v>0.29000000000000009</v>
      </c>
      <c r="O360" s="1752"/>
      <c r="P360" s="1752"/>
      <c r="Q360" s="1758"/>
      <c r="R360" s="1758"/>
      <c r="T360" s="1752"/>
      <c r="U360" s="1752"/>
      <c r="V360" s="1787"/>
    </row>
    <row r="361" spans="1:22" outlineLevel="1">
      <c r="A361" s="1749">
        <f t="shared" si="83"/>
        <v>39022</v>
      </c>
      <c r="B361" s="1749" t="str">
        <f t="shared" si="84"/>
        <v>4Q06</v>
      </c>
      <c r="C361" s="1749" t="str">
        <f t="shared" si="85"/>
        <v>4Q06</v>
      </c>
      <c r="D361" s="1750">
        <f t="shared" si="92"/>
        <v>39027</v>
      </c>
      <c r="E361" s="1750">
        <f t="shared" si="92"/>
        <v>39020</v>
      </c>
      <c r="F361" s="1735">
        <v>2.5169999999999999</v>
      </c>
      <c r="G361" s="1752"/>
      <c r="H361" s="1784">
        <v>0.32</v>
      </c>
      <c r="I361" s="1763">
        <f t="shared" si="90"/>
        <v>0.318</v>
      </c>
      <c r="J361" s="1784">
        <v>0.16</v>
      </c>
      <c r="K361" s="1763">
        <f t="shared" si="91"/>
        <v>0.159</v>
      </c>
      <c r="L361" s="1764">
        <f t="shared" si="88"/>
        <v>0.29000000000000009</v>
      </c>
      <c r="M361" s="1765">
        <f t="shared" si="86"/>
        <v>0.29000000000000009</v>
      </c>
      <c r="O361" s="1752"/>
      <c r="P361" s="1752"/>
      <c r="Q361" s="1758"/>
      <c r="R361" s="1758"/>
      <c r="T361" s="1752"/>
      <c r="U361" s="1752"/>
      <c r="V361" s="1787"/>
    </row>
    <row r="362" spans="1:22" outlineLevel="1">
      <c r="A362" s="1749">
        <f t="shared" si="83"/>
        <v>39022</v>
      </c>
      <c r="B362" s="1749" t="str">
        <f t="shared" si="84"/>
        <v>4Q06</v>
      </c>
      <c r="C362" s="1749" t="str">
        <f t="shared" si="85"/>
        <v>4Q06</v>
      </c>
      <c r="D362" s="1750">
        <f t="shared" si="92"/>
        <v>39034</v>
      </c>
      <c r="E362" s="1750">
        <f t="shared" si="92"/>
        <v>39027</v>
      </c>
      <c r="F362" s="1735">
        <v>2.5059999999999998</v>
      </c>
      <c r="G362" s="1752"/>
      <c r="H362" s="1784">
        <v>0.318</v>
      </c>
      <c r="I362" s="1763">
        <f t="shared" si="90"/>
        <v>0.32800000000000001</v>
      </c>
      <c r="J362" s="1784">
        <v>0.159</v>
      </c>
      <c r="K362" s="1763">
        <f t="shared" si="91"/>
        <v>0.16400000000000001</v>
      </c>
      <c r="L362" s="1764">
        <f t="shared" si="88"/>
        <v>0.29000000000000009</v>
      </c>
      <c r="M362" s="1765">
        <f t="shared" si="86"/>
        <v>0.3000000000000001</v>
      </c>
      <c r="O362" s="1752"/>
      <c r="P362" s="1752"/>
      <c r="Q362" s="1758"/>
      <c r="R362" s="1758"/>
      <c r="T362" s="1752"/>
      <c r="U362" s="1752"/>
      <c r="V362" s="1787"/>
    </row>
    <row r="363" spans="1:22" outlineLevel="1">
      <c r="A363" s="1749">
        <f t="shared" si="83"/>
        <v>39022</v>
      </c>
      <c r="B363" s="1749" t="str">
        <f t="shared" si="84"/>
        <v>4Q06</v>
      </c>
      <c r="C363" s="1749" t="str">
        <f t="shared" si="85"/>
        <v>4Q06</v>
      </c>
      <c r="D363" s="1750">
        <f t="shared" si="92"/>
        <v>39041</v>
      </c>
      <c r="E363" s="1750">
        <f t="shared" si="92"/>
        <v>39034</v>
      </c>
      <c r="F363" s="1735">
        <v>2.552</v>
      </c>
      <c r="G363" s="1752"/>
      <c r="H363" s="1784">
        <v>0.32800000000000001</v>
      </c>
      <c r="I363" s="1763">
        <f t="shared" si="90"/>
        <v>0.32800000000000001</v>
      </c>
      <c r="J363" s="1784">
        <v>0.16400000000000001</v>
      </c>
      <c r="K363" s="1763">
        <f t="shared" si="91"/>
        <v>0.16400000000000001</v>
      </c>
      <c r="L363" s="1764">
        <f t="shared" si="88"/>
        <v>0.3000000000000001</v>
      </c>
      <c r="M363" s="1765">
        <f t="shared" si="86"/>
        <v>0.3000000000000001</v>
      </c>
      <c r="O363" s="1752"/>
      <c r="P363" s="1752"/>
      <c r="Q363" s="1758"/>
      <c r="R363" s="1758"/>
      <c r="T363" s="1752"/>
      <c r="U363" s="1752"/>
      <c r="V363" s="1787"/>
    </row>
    <row r="364" spans="1:22" outlineLevel="1">
      <c r="A364" s="1749">
        <f t="shared" si="83"/>
        <v>39022</v>
      </c>
      <c r="B364" s="1749" t="str">
        <f t="shared" si="84"/>
        <v>4Q06</v>
      </c>
      <c r="C364" s="1749" t="str">
        <f t="shared" si="85"/>
        <v>4Q06</v>
      </c>
      <c r="D364" s="1750">
        <f t="shared" si="92"/>
        <v>39048</v>
      </c>
      <c r="E364" s="1750">
        <f t="shared" si="92"/>
        <v>39041</v>
      </c>
      <c r="F364" s="1735">
        <v>2.5529999999999999</v>
      </c>
      <c r="G364" s="1752"/>
      <c r="H364" s="1784">
        <v>0.32800000000000001</v>
      </c>
      <c r="I364" s="1763">
        <f t="shared" si="90"/>
        <v>0.33</v>
      </c>
      <c r="J364" s="1784">
        <v>0.16400000000000001</v>
      </c>
      <c r="K364" s="1763">
        <f t="shared" si="91"/>
        <v>0.16500000000000001</v>
      </c>
      <c r="L364" s="1764">
        <f t="shared" si="88"/>
        <v>0.3000000000000001</v>
      </c>
      <c r="M364" s="1765">
        <f t="shared" si="86"/>
        <v>0.3000000000000001</v>
      </c>
      <c r="O364" s="1752"/>
      <c r="P364" s="1752"/>
      <c r="Q364" s="1758"/>
      <c r="R364" s="1758"/>
      <c r="T364" s="1752"/>
      <c r="U364" s="1752"/>
      <c r="V364" s="1787"/>
    </row>
    <row r="365" spans="1:22" outlineLevel="1">
      <c r="A365" s="1749">
        <f t="shared" si="83"/>
        <v>39052</v>
      </c>
      <c r="B365" s="1749" t="str">
        <f t="shared" si="84"/>
        <v>4Q06</v>
      </c>
      <c r="C365" s="1749" t="str">
        <f t="shared" si="85"/>
        <v>4Q06</v>
      </c>
      <c r="D365" s="1750">
        <f t="shared" si="92"/>
        <v>39055</v>
      </c>
      <c r="E365" s="1750">
        <f t="shared" si="92"/>
        <v>39048</v>
      </c>
      <c r="F365" s="1735">
        <v>2.5670000000000002</v>
      </c>
      <c r="G365" s="1752"/>
      <c r="H365" s="1784">
        <v>0.33</v>
      </c>
      <c r="I365" s="1763">
        <f t="shared" si="90"/>
        <v>0.34</v>
      </c>
      <c r="J365" s="1784">
        <v>0.16500000000000001</v>
      </c>
      <c r="K365" s="1763">
        <f t="shared" si="91"/>
        <v>0.17</v>
      </c>
      <c r="L365" s="1764">
        <f t="shared" si="88"/>
        <v>0.3000000000000001</v>
      </c>
      <c r="M365" s="1765">
        <f t="shared" si="86"/>
        <v>0.31000000000000011</v>
      </c>
      <c r="O365" s="1752"/>
      <c r="P365" s="1752"/>
      <c r="Q365" s="1758"/>
      <c r="R365" s="1758"/>
      <c r="T365" s="1752"/>
      <c r="U365" s="1752"/>
      <c r="V365" s="1787"/>
    </row>
    <row r="366" spans="1:22" outlineLevel="1">
      <c r="A366" s="1749">
        <f t="shared" si="83"/>
        <v>39052</v>
      </c>
      <c r="B366" s="1749" t="str">
        <f t="shared" si="84"/>
        <v>4Q06</v>
      </c>
      <c r="C366" s="1749" t="str">
        <f t="shared" si="85"/>
        <v>4Q06</v>
      </c>
      <c r="D366" s="1750">
        <f t="shared" si="92"/>
        <v>39062</v>
      </c>
      <c r="E366" s="1750">
        <f t="shared" si="92"/>
        <v>39055</v>
      </c>
      <c r="F366" s="1735">
        <v>2.6179999999999999</v>
      </c>
      <c r="G366" s="1752"/>
      <c r="H366" s="1784">
        <v>0.34</v>
      </c>
      <c r="I366" s="1763">
        <f t="shared" si="90"/>
        <v>0.34200000000000003</v>
      </c>
      <c r="J366" s="1784">
        <v>0.17</v>
      </c>
      <c r="K366" s="1763">
        <f t="shared" si="91"/>
        <v>0.17100000000000001</v>
      </c>
      <c r="L366" s="1764">
        <f t="shared" si="88"/>
        <v>0.31000000000000011</v>
      </c>
      <c r="M366" s="1765">
        <f t="shared" si="86"/>
        <v>0.31000000000000011</v>
      </c>
      <c r="O366" s="1752"/>
      <c r="P366" s="1752"/>
      <c r="Q366" s="1758"/>
      <c r="R366" s="1758"/>
      <c r="T366" s="1752"/>
      <c r="U366" s="1752"/>
      <c r="V366" s="1787"/>
    </row>
    <row r="367" spans="1:22" outlineLevel="1">
      <c r="A367" s="1749">
        <f t="shared" si="83"/>
        <v>39052</v>
      </c>
      <c r="B367" s="1749" t="str">
        <f t="shared" si="84"/>
        <v>4Q06</v>
      </c>
      <c r="C367" s="1749" t="str">
        <f t="shared" si="85"/>
        <v>4Q06</v>
      </c>
      <c r="D367" s="1750">
        <f t="shared" si="92"/>
        <v>39069</v>
      </c>
      <c r="E367" s="1750">
        <f t="shared" si="92"/>
        <v>39062</v>
      </c>
      <c r="F367" s="1735">
        <v>2.621</v>
      </c>
      <c r="G367" s="1752"/>
      <c r="H367" s="1784">
        <v>0.34200000000000003</v>
      </c>
      <c r="I367" s="1763">
        <f t="shared" si="90"/>
        <v>0.33800000000000002</v>
      </c>
      <c r="J367" s="1784">
        <v>0.17100000000000001</v>
      </c>
      <c r="K367" s="1763">
        <f t="shared" si="91"/>
        <v>0.16900000000000001</v>
      </c>
      <c r="L367" s="1764">
        <f t="shared" si="88"/>
        <v>0.31000000000000011</v>
      </c>
      <c r="M367" s="1765">
        <f t="shared" si="86"/>
        <v>0.31000000000000011</v>
      </c>
      <c r="O367" s="1752"/>
      <c r="P367" s="1752"/>
      <c r="Q367" s="1758"/>
      <c r="R367" s="1758"/>
      <c r="T367" s="1752"/>
      <c r="U367" s="1752"/>
      <c r="V367" s="1787"/>
    </row>
    <row r="368" spans="1:22" outlineLevel="1">
      <c r="A368" s="1749">
        <f t="shared" si="83"/>
        <v>39052</v>
      </c>
      <c r="B368" s="1749" t="str">
        <f t="shared" si="84"/>
        <v>4Q06</v>
      </c>
      <c r="C368" s="1749" t="str">
        <f t="shared" si="85"/>
        <v>4Q06</v>
      </c>
      <c r="D368" s="1750">
        <f t="shared" si="92"/>
        <v>39076</v>
      </c>
      <c r="E368" s="1750">
        <f t="shared" si="92"/>
        <v>39069</v>
      </c>
      <c r="F368" s="1735">
        <v>2.6059999999999999</v>
      </c>
      <c r="G368" s="1752"/>
      <c r="H368" s="1784">
        <v>0.33800000000000002</v>
      </c>
      <c r="I368" s="1763">
        <f t="shared" si="90"/>
        <v>0.33600000000000002</v>
      </c>
      <c r="J368" s="1784">
        <v>0.16900000000000001</v>
      </c>
      <c r="K368" s="1763">
        <f t="shared" si="91"/>
        <v>0.16800000000000001</v>
      </c>
      <c r="L368" s="1764">
        <f t="shared" si="88"/>
        <v>0.31000000000000011</v>
      </c>
      <c r="M368" s="1765">
        <f t="shared" si="86"/>
        <v>0.3000000000000001</v>
      </c>
      <c r="O368" s="1752"/>
      <c r="P368" s="1752"/>
      <c r="Q368" s="1758"/>
      <c r="R368" s="1758"/>
      <c r="T368" s="1752"/>
      <c r="U368" s="1752"/>
      <c r="V368" s="1787"/>
    </row>
    <row r="369" spans="1:22" outlineLevel="1">
      <c r="A369" s="1749">
        <f t="shared" si="83"/>
        <v>39083</v>
      </c>
      <c r="B369" s="1749" t="str">
        <f t="shared" si="84"/>
        <v>1Q07</v>
      </c>
      <c r="C369" s="1749" t="str">
        <f t="shared" si="85"/>
        <v>4Q06</v>
      </c>
      <c r="D369" s="1750">
        <f t="shared" si="92"/>
        <v>39083</v>
      </c>
      <c r="E369" s="1750">
        <f t="shared" si="92"/>
        <v>39076</v>
      </c>
      <c r="F369" s="1735">
        <v>2.5960000000000001</v>
      </c>
      <c r="G369" s="1752"/>
      <c r="H369" s="1784">
        <v>0.33600000000000002</v>
      </c>
      <c r="I369" s="1763">
        <f t="shared" si="90"/>
        <v>0.33400000000000002</v>
      </c>
      <c r="J369" s="1784">
        <v>0.16800000000000001</v>
      </c>
      <c r="K369" s="1763">
        <f t="shared" si="91"/>
        <v>0.16700000000000001</v>
      </c>
      <c r="L369" s="1764">
        <f t="shared" si="88"/>
        <v>0.3000000000000001</v>
      </c>
      <c r="M369" s="1765">
        <f t="shared" si="86"/>
        <v>0.3000000000000001</v>
      </c>
      <c r="O369" s="1752"/>
      <c r="P369" s="1752"/>
      <c r="Q369" s="1758"/>
      <c r="R369" s="1758"/>
      <c r="T369" s="1752"/>
      <c r="U369" s="1752"/>
      <c r="V369" s="1787"/>
    </row>
    <row r="370" spans="1:22" outlineLevel="1">
      <c r="A370" s="1749">
        <f t="shared" si="83"/>
        <v>39083</v>
      </c>
      <c r="B370" s="1749" t="str">
        <f t="shared" si="84"/>
        <v>1Q07</v>
      </c>
      <c r="C370" s="1749" t="str">
        <f t="shared" si="85"/>
        <v>1Q07</v>
      </c>
      <c r="D370" s="1750">
        <f t="shared" si="92"/>
        <v>39090</v>
      </c>
      <c r="E370" s="1750">
        <f t="shared" si="92"/>
        <v>39083</v>
      </c>
      <c r="F370" s="1735">
        <v>2.58</v>
      </c>
      <c r="G370" s="1752"/>
      <c r="H370" s="1784">
        <v>0.33400000000000002</v>
      </c>
      <c r="I370" s="1763">
        <f t="shared" si="90"/>
        <v>0.32400000000000001</v>
      </c>
      <c r="J370" s="1784">
        <v>0.16700000000000001</v>
      </c>
      <c r="K370" s="1763">
        <f t="shared" si="91"/>
        <v>0.16200000000000001</v>
      </c>
      <c r="L370" s="1764">
        <f t="shared" si="88"/>
        <v>0.3000000000000001</v>
      </c>
      <c r="M370" s="1765">
        <f t="shared" si="86"/>
        <v>0.29000000000000009</v>
      </c>
      <c r="O370" s="1752"/>
      <c r="P370" s="1752"/>
      <c r="Q370" s="1758"/>
      <c r="R370" s="1758"/>
      <c r="T370" s="1752"/>
      <c r="U370" s="1752"/>
      <c r="V370" s="1787"/>
    </row>
    <row r="371" spans="1:22" outlineLevel="1">
      <c r="A371" s="1749">
        <f t="shared" si="83"/>
        <v>39083</v>
      </c>
      <c r="B371" s="1749" t="str">
        <f t="shared" si="84"/>
        <v>1Q07</v>
      </c>
      <c r="C371" s="1749" t="str">
        <f t="shared" si="85"/>
        <v>1Q07</v>
      </c>
      <c r="D371" s="1750">
        <f t="shared" si="92"/>
        <v>39097</v>
      </c>
      <c r="E371" s="1750">
        <f t="shared" si="92"/>
        <v>39090</v>
      </c>
      <c r="F371" s="1735">
        <v>2.5369999999999999</v>
      </c>
      <c r="G371" s="1752"/>
      <c r="H371" s="1784">
        <v>0.32400000000000001</v>
      </c>
      <c r="I371" s="1763">
        <f t="shared" si="90"/>
        <v>0.31</v>
      </c>
      <c r="J371" s="1784">
        <v>0.16200000000000001</v>
      </c>
      <c r="K371" s="1763">
        <f t="shared" si="91"/>
        <v>0.155</v>
      </c>
      <c r="L371" s="1764">
        <f t="shared" si="88"/>
        <v>0.29000000000000009</v>
      </c>
      <c r="M371" s="1765">
        <f t="shared" si="86"/>
        <v>0.28000000000000008</v>
      </c>
      <c r="O371" s="1752"/>
      <c r="P371" s="1752"/>
      <c r="Q371" s="1758"/>
      <c r="R371" s="1758"/>
      <c r="T371" s="1752"/>
      <c r="U371" s="1752"/>
      <c r="V371" s="1787"/>
    </row>
    <row r="372" spans="1:22" outlineLevel="1">
      <c r="A372" s="1749">
        <f t="shared" si="83"/>
        <v>39083</v>
      </c>
      <c r="B372" s="1749" t="str">
        <f t="shared" si="84"/>
        <v>1Q07</v>
      </c>
      <c r="C372" s="1749" t="str">
        <f t="shared" si="85"/>
        <v>1Q07</v>
      </c>
      <c r="D372" s="1750">
        <f t="shared" si="92"/>
        <v>39104</v>
      </c>
      <c r="E372" s="1750">
        <f t="shared" si="92"/>
        <v>39097</v>
      </c>
      <c r="F372" s="1735">
        <v>2.4630000000000001</v>
      </c>
      <c r="G372" s="1752"/>
      <c r="H372" s="1784">
        <v>0.31</v>
      </c>
      <c r="I372" s="1763">
        <f t="shared" si="90"/>
        <v>0.30399999999999999</v>
      </c>
      <c r="J372" s="1784">
        <v>0.155</v>
      </c>
      <c r="K372" s="1763">
        <f t="shared" si="91"/>
        <v>0.152</v>
      </c>
      <c r="L372" s="1764">
        <f t="shared" si="88"/>
        <v>0.28000000000000008</v>
      </c>
      <c r="M372" s="1765">
        <f t="shared" si="86"/>
        <v>0.27000000000000007</v>
      </c>
      <c r="O372" s="1752"/>
      <c r="P372" s="1752"/>
      <c r="Q372" s="1758"/>
      <c r="R372" s="1758"/>
      <c r="T372" s="1752"/>
      <c r="U372" s="1752"/>
      <c r="V372" s="1787"/>
    </row>
    <row r="373" spans="1:22" outlineLevel="1">
      <c r="A373" s="1749">
        <f t="shared" si="83"/>
        <v>39083</v>
      </c>
      <c r="B373" s="1749" t="str">
        <f t="shared" si="84"/>
        <v>1Q07</v>
      </c>
      <c r="C373" s="1749" t="str">
        <f t="shared" si="85"/>
        <v>1Q07</v>
      </c>
      <c r="D373" s="1750">
        <f t="shared" ref="D373:E388" si="93">D372+7</f>
        <v>39111</v>
      </c>
      <c r="E373" s="1750">
        <f t="shared" si="93"/>
        <v>39104</v>
      </c>
      <c r="F373" s="1735">
        <v>2.4300000000000002</v>
      </c>
      <c r="G373" s="1752"/>
      <c r="H373" s="1784">
        <v>0.30399999999999999</v>
      </c>
      <c r="I373" s="1763">
        <f t="shared" si="90"/>
        <v>0.3</v>
      </c>
      <c r="J373" s="1784">
        <v>0.152</v>
      </c>
      <c r="K373" s="1763">
        <f t="shared" si="91"/>
        <v>0.15</v>
      </c>
      <c r="L373" s="1764">
        <f t="shared" si="88"/>
        <v>0.27000000000000007</v>
      </c>
      <c r="M373" s="1765">
        <f t="shared" si="86"/>
        <v>0.27000000000000007</v>
      </c>
      <c r="O373" s="1752"/>
      <c r="P373" s="1752"/>
      <c r="Q373" s="1758"/>
      <c r="R373" s="1758"/>
      <c r="T373" s="1752"/>
      <c r="U373" s="1752"/>
      <c r="V373" s="1787"/>
    </row>
    <row r="374" spans="1:22" outlineLevel="1">
      <c r="A374" s="1749">
        <f t="shared" si="83"/>
        <v>39114</v>
      </c>
      <c r="B374" s="1749" t="str">
        <f t="shared" si="84"/>
        <v>1Q07</v>
      </c>
      <c r="C374" s="1749" t="str">
        <f t="shared" si="85"/>
        <v>1Q07</v>
      </c>
      <c r="D374" s="1750">
        <f t="shared" si="93"/>
        <v>39118</v>
      </c>
      <c r="E374" s="1750">
        <f t="shared" si="93"/>
        <v>39111</v>
      </c>
      <c r="F374" s="1735">
        <v>2.4129999999999998</v>
      </c>
      <c r="G374" s="1752"/>
      <c r="H374" s="1784">
        <v>0.3</v>
      </c>
      <c r="I374" s="1763">
        <f t="shared" si="90"/>
        <v>0.30399999999999999</v>
      </c>
      <c r="J374" s="1784">
        <v>0.15</v>
      </c>
      <c r="K374" s="1763">
        <f t="shared" si="91"/>
        <v>0.152</v>
      </c>
      <c r="L374" s="1764">
        <f t="shared" si="88"/>
        <v>0.27000000000000007</v>
      </c>
      <c r="M374" s="1765">
        <f t="shared" si="86"/>
        <v>0.27000000000000007</v>
      </c>
      <c r="O374" s="1752"/>
      <c r="P374" s="1752"/>
      <c r="Q374" s="1758"/>
      <c r="R374" s="1758"/>
      <c r="T374" s="1752"/>
      <c r="U374" s="1752"/>
      <c r="V374" s="1787"/>
    </row>
    <row r="375" spans="1:22" outlineLevel="1">
      <c r="A375" s="1749">
        <f t="shared" si="83"/>
        <v>39114</v>
      </c>
      <c r="B375" s="1749" t="str">
        <f t="shared" si="84"/>
        <v>1Q07</v>
      </c>
      <c r="C375" s="1749" t="str">
        <f t="shared" si="85"/>
        <v>1Q07</v>
      </c>
      <c r="D375" s="1750">
        <f t="shared" si="93"/>
        <v>39125</v>
      </c>
      <c r="E375" s="1750">
        <f t="shared" si="93"/>
        <v>39118</v>
      </c>
      <c r="F375" s="1735">
        <v>2.4350000000000001</v>
      </c>
      <c r="G375" s="1752"/>
      <c r="H375" s="1784">
        <v>0.30399999999999999</v>
      </c>
      <c r="I375" s="1763">
        <f t="shared" si="90"/>
        <v>0.312</v>
      </c>
      <c r="J375" s="1784">
        <v>0.152</v>
      </c>
      <c r="K375" s="1763">
        <f t="shared" si="91"/>
        <v>0.156</v>
      </c>
      <c r="L375" s="1764">
        <f t="shared" si="88"/>
        <v>0.27000000000000007</v>
      </c>
      <c r="M375" s="1765">
        <f t="shared" si="86"/>
        <v>0.28000000000000008</v>
      </c>
      <c r="O375" s="1752"/>
      <c r="P375" s="1752"/>
      <c r="Q375" s="1758"/>
      <c r="R375" s="1758"/>
      <c r="T375" s="1752"/>
      <c r="U375" s="1752"/>
      <c r="V375" s="1787"/>
    </row>
    <row r="376" spans="1:22" outlineLevel="1">
      <c r="A376" s="1749">
        <f t="shared" si="83"/>
        <v>39114</v>
      </c>
      <c r="B376" s="1749" t="str">
        <f t="shared" si="84"/>
        <v>1Q07</v>
      </c>
      <c r="C376" s="1749" t="str">
        <f t="shared" si="85"/>
        <v>1Q07</v>
      </c>
      <c r="D376" s="1750">
        <f t="shared" si="93"/>
        <v>39132</v>
      </c>
      <c r="E376" s="1750">
        <f t="shared" si="93"/>
        <v>39125</v>
      </c>
      <c r="F376" s="1735">
        <v>2.476</v>
      </c>
      <c r="G376" s="1752"/>
      <c r="H376" s="1784">
        <v>0.312</v>
      </c>
      <c r="I376" s="1763">
        <f t="shared" si="90"/>
        <v>0.316</v>
      </c>
      <c r="J376" s="1784">
        <v>0.156</v>
      </c>
      <c r="K376" s="1763">
        <f t="shared" si="91"/>
        <v>0.158</v>
      </c>
      <c r="L376" s="1764">
        <f t="shared" si="88"/>
        <v>0.28000000000000008</v>
      </c>
      <c r="M376" s="1765">
        <f t="shared" si="86"/>
        <v>0.28000000000000008</v>
      </c>
      <c r="O376" s="1752"/>
      <c r="P376" s="1752"/>
      <c r="Q376" s="1758"/>
      <c r="R376" s="1758"/>
      <c r="T376" s="1752"/>
      <c r="U376" s="1752"/>
      <c r="V376" s="1787"/>
    </row>
    <row r="377" spans="1:22" outlineLevel="1">
      <c r="A377" s="1749">
        <f t="shared" si="83"/>
        <v>39114</v>
      </c>
      <c r="B377" s="1749" t="str">
        <f t="shared" si="84"/>
        <v>1Q07</v>
      </c>
      <c r="C377" s="1749" t="str">
        <f t="shared" si="85"/>
        <v>1Q07</v>
      </c>
      <c r="D377" s="1750">
        <f t="shared" si="93"/>
        <v>39139</v>
      </c>
      <c r="E377" s="1750">
        <f t="shared" si="93"/>
        <v>39132</v>
      </c>
      <c r="F377" s="1735">
        <v>2.4910000000000001</v>
      </c>
      <c r="G377" s="1752"/>
      <c r="H377" s="1784">
        <v>0.316</v>
      </c>
      <c r="I377" s="1763">
        <f t="shared" si="90"/>
        <v>0.32800000000000001</v>
      </c>
      <c r="J377" s="1784">
        <v>0.158</v>
      </c>
      <c r="K377" s="1763">
        <f t="shared" si="91"/>
        <v>0.16400000000000001</v>
      </c>
      <c r="L377" s="1764">
        <f t="shared" si="88"/>
        <v>0.28000000000000008</v>
      </c>
      <c r="M377" s="1765">
        <f t="shared" si="86"/>
        <v>0.3000000000000001</v>
      </c>
      <c r="O377" s="1752"/>
      <c r="P377" s="1752"/>
      <c r="Q377" s="1758"/>
      <c r="R377" s="1758"/>
      <c r="T377" s="1752"/>
      <c r="U377" s="1752"/>
      <c r="V377" s="1787"/>
    </row>
    <row r="378" spans="1:22" outlineLevel="1">
      <c r="A378" s="1749">
        <f t="shared" si="83"/>
        <v>39142</v>
      </c>
      <c r="B378" s="1749" t="str">
        <f t="shared" si="84"/>
        <v>1Q07</v>
      </c>
      <c r="C378" s="1749" t="str">
        <f t="shared" si="85"/>
        <v>1Q07</v>
      </c>
      <c r="D378" s="1750">
        <f t="shared" si="93"/>
        <v>39146</v>
      </c>
      <c r="E378" s="1750">
        <f t="shared" si="93"/>
        <v>39139</v>
      </c>
      <c r="F378" s="1735">
        <v>2.5510000000000002</v>
      </c>
      <c r="G378" s="1752"/>
      <c r="H378" s="1784">
        <v>0.32800000000000001</v>
      </c>
      <c r="I378" s="1763">
        <f t="shared" si="90"/>
        <v>0.34200000000000003</v>
      </c>
      <c r="J378" s="1784">
        <v>0.16400000000000001</v>
      </c>
      <c r="K378" s="1763">
        <f t="shared" si="91"/>
        <v>0.17100000000000001</v>
      </c>
      <c r="L378" s="1764">
        <f t="shared" si="88"/>
        <v>0.3000000000000001</v>
      </c>
      <c r="M378" s="1765">
        <f t="shared" si="86"/>
        <v>0.31000000000000011</v>
      </c>
      <c r="O378" s="1752"/>
      <c r="P378" s="1752"/>
      <c r="Q378" s="1758"/>
      <c r="R378" s="1758"/>
      <c r="T378" s="1752"/>
      <c r="U378" s="1752"/>
      <c r="V378" s="1787"/>
    </row>
    <row r="379" spans="1:22" outlineLevel="1">
      <c r="A379" s="1749">
        <f t="shared" si="83"/>
        <v>39142</v>
      </c>
      <c r="B379" s="1749" t="str">
        <f t="shared" si="84"/>
        <v>1Q07</v>
      </c>
      <c r="C379" s="1749" t="str">
        <f t="shared" si="85"/>
        <v>1Q07</v>
      </c>
      <c r="D379" s="1750">
        <f t="shared" si="93"/>
        <v>39153</v>
      </c>
      <c r="E379" s="1750">
        <f t="shared" si="93"/>
        <v>39146</v>
      </c>
      <c r="F379" s="1735">
        <v>2.6259999999999999</v>
      </c>
      <c r="G379" s="1752"/>
      <c r="H379" s="1784">
        <v>0.34200000000000003</v>
      </c>
      <c r="I379" s="1763">
        <f t="shared" si="90"/>
        <v>0.35399999999999998</v>
      </c>
      <c r="J379" s="1784">
        <v>0.17100000000000001</v>
      </c>
      <c r="K379" s="1763">
        <f t="shared" si="91"/>
        <v>0.17699999999999999</v>
      </c>
      <c r="L379" s="1764">
        <f t="shared" si="88"/>
        <v>0.31000000000000011</v>
      </c>
      <c r="M379" s="1765">
        <f t="shared" si="86"/>
        <v>0.32000000000000012</v>
      </c>
      <c r="O379" s="1752"/>
      <c r="P379" s="1752"/>
      <c r="Q379" s="1758"/>
      <c r="R379" s="1758"/>
      <c r="T379" s="1752"/>
      <c r="U379" s="1752"/>
      <c r="V379" s="1787"/>
    </row>
    <row r="380" spans="1:22" outlineLevel="1">
      <c r="A380" s="1749">
        <f t="shared" si="83"/>
        <v>39142</v>
      </c>
      <c r="B380" s="1749" t="str">
        <f t="shared" si="84"/>
        <v>1Q07</v>
      </c>
      <c r="C380" s="1749" t="str">
        <f t="shared" si="85"/>
        <v>1Q07</v>
      </c>
      <c r="D380" s="1750">
        <f t="shared" si="93"/>
        <v>39160</v>
      </c>
      <c r="E380" s="1750">
        <f t="shared" si="93"/>
        <v>39153</v>
      </c>
      <c r="F380" s="1735">
        <v>2.6850000000000001</v>
      </c>
      <c r="G380" s="1752"/>
      <c r="H380" s="1784">
        <v>0.35399999999999998</v>
      </c>
      <c r="I380" s="1763">
        <f t="shared" si="90"/>
        <v>0.35399999999999998</v>
      </c>
      <c r="J380" s="1784">
        <v>0.17699999999999999</v>
      </c>
      <c r="K380" s="1763">
        <f t="shared" si="91"/>
        <v>0.17699999999999999</v>
      </c>
      <c r="L380" s="1764">
        <f t="shared" si="88"/>
        <v>0.32000000000000012</v>
      </c>
      <c r="M380" s="1765">
        <f t="shared" si="86"/>
        <v>0.32000000000000012</v>
      </c>
      <c r="O380" s="1752"/>
      <c r="P380" s="1752"/>
      <c r="Q380" s="1758"/>
      <c r="R380" s="1758"/>
      <c r="T380" s="1752"/>
      <c r="U380" s="1752"/>
      <c r="V380" s="1787"/>
    </row>
    <row r="381" spans="1:22" outlineLevel="1">
      <c r="A381" s="1749">
        <f t="shared" si="83"/>
        <v>39142</v>
      </c>
      <c r="B381" s="1749" t="str">
        <f t="shared" si="84"/>
        <v>1Q07</v>
      </c>
      <c r="C381" s="1749" t="str">
        <f t="shared" si="85"/>
        <v>1Q07</v>
      </c>
      <c r="D381" s="1750">
        <f t="shared" si="93"/>
        <v>39167</v>
      </c>
      <c r="E381" s="1750">
        <f t="shared" si="93"/>
        <v>39160</v>
      </c>
      <c r="F381" s="1735">
        <v>2.681</v>
      </c>
      <c r="G381" s="1752"/>
      <c r="H381" s="1784">
        <v>0.35399999999999998</v>
      </c>
      <c r="I381" s="1763">
        <f t="shared" si="90"/>
        <v>0.35199999999999998</v>
      </c>
      <c r="J381" s="1784">
        <v>0.17699999999999999</v>
      </c>
      <c r="K381" s="1763">
        <f t="shared" si="91"/>
        <v>0.17599999999999999</v>
      </c>
      <c r="L381" s="1764">
        <f t="shared" si="88"/>
        <v>0.32000000000000012</v>
      </c>
      <c r="M381" s="1765">
        <f t="shared" si="86"/>
        <v>0.32000000000000012</v>
      </c>
      <c r="O381" s="1752"/>
      <c r="P381" s="1752"/>
      <c r="Q381" s="1758"/>
      <c r="R381" s="1758"/>
      <c r="T381" s="1752"/>
      <c r="U381" s="1752"/>
      <c r="V381" s="1787"/>
    </row>
    <row r="382" spans="1:22" outlineLevel="1">
      <c r="A382" s="1749">
        <f t="shared" si="83"/>
        <v>39173</v>
      </c>
      <c r="B382" s="1749" t="str">
        <f t="shared" si="84"/>
        <v>2Q07</v>
      </c>
      <c r="C382" s="1749" t="str">
        <f t="shared" si="85"/>
        <v>1Q07</v>
      </c>
      <c r="D382" s="1750">
        <f t="shared" si="93"/>
        <v>39174</v>
      </c>
      <c r="E382" s="1750">
        <f t="shared" si="93"/>
        <v>39167</v>
      </c>
      <c r="F382" s="1735">
        <v>2.6760000000000002</v>
      </c>
      <c r="G382" s="1752"/>
      <c r="H382" s="1784">
        <v>0.35199999999999998</v>
      </c>
      <c r="I382" s="1763">
        <f t="shared" si="90"/>
        <v>0.376</v>
      </c>
      <c r="J382" s="1784">
        <v>0.17599999999999999</v>
      </c>
      <c r="K382" s="1763">
        <f t="shared" si="91"/>
        <v>0.188</v>
      </c>
      <c r="L382" s="1764">
        <f t="shared" si="88"/>
        <v>0.32000000000000012</v>
      </c>
      <c r="M382" s="1765">
        <f t="shared" si="86"/>
        <v>0.34000000000000014</v>
      </c>
      <c r="O382" s="1752"/>
      <c r="P382" s="1752"/>
      <c r="Q382" s="1758"/>
      <c r="R382" s="1758"/>
      <c r="T382" s="1752"/>
      <c r="U382" s="1752"/>
      <c r="V382" s="1787"/>
    </row>
    <row r="383" spans="1:22" outlineLevel="1">
      <c r="A383" s="1749">
        <f t="shared" si="83"/>
        <v>39173</v>
      </c>
      <c r="B383" s="1749" t="str">
        <f t="shared" si="84"/>
        <v>2Q07</v>
      </c>
      <c r="C383" s="1749" t="str">
        <f t="shared" si="85"/>
        <v>2Q07</v>
      </c>
      <c r="D383" s="1750">
        <f t="shared" si="93"/>
        <v>39181</v>
      </c>
      <c r="E383" s="1750">
        <f t="shared" si="93"/>
        <v>39174</v>
      </c>
      <c r="F383" s="1735">
        <v>2.79</v>
      </c>
      <c r="G383" s="1752"/>
      <c r="H383" s="1784">
        <v>0.376</v>
      </c>
      <c r="I383" s="1763">
        <f t="shared" si="90"/>
        <v>0.38600000000000001</v>
      </c>
      <c r="J383" s="1784">
        <v>0.188</v>
      </c>
      <c r="K383" s="1763">
        <f t="shared" si="91"/>
        <v>0.193</v>
      </c>
      <c r="L383" s="1764">
        <f t="shared" si="88"/>
        <v>0.34000000000000014</v>
      </c>
      <c r="M383" s="1765">
        <f t="shared" si="86"/>
        <v>0.35000000000000014</v>
      </c>
      <c r="O383" s="1752"/>
      <c r="P383" s="1752"/>
      <c r="Q383" s="1758"/>
      <c r="R383" s="1758"/>
      <c r="T383" s="1752"/>
      <c r="U383" s="1752"/>
      <c r="V383" s="1787"/>
    </row>
    <row r="384" spans="1:22" outlineLevel="1">
      <c r="A384" s="1749">
        <f t="shared" si="83"/>
        <v>39173</v>
      </c>
      <c r="B384" s="1749" t="str">
        <f t="shared" si="84"/>
        <v>2Q07</v>
      </c>
      <c r="C384" s="1749" t="str">
        <f t="shared" si="85"/>
        <v>2Q07</v>
      </c>
      <c r="D384" s="1750">
        <f t="shared" si="93"/>
        <v>39188</v>
      </c>
      <c r="E384" s="1750">
        <f t="shared" si="93"/>
        <v>39181</v>
      </c>
      <c r="F384" s="1735">
        <v>2.84</v>
      </c>
      <c r="G384" s="1752"/>
      <c r="H384" s="1784">
        <v>0.38600000000000001</v>
      </c>
      <c r="I384" s="1763">
        <f t="shared" si="90"/>
        <v>0.39200000000000002</v>
      </c>
      <c r="J384" s="1784">
        <v>0.193</v>
      </c>
      <c r="K384" s="1763">
        <f t="shared" si="91"/>
        <v>0.19600000000000001</v>
      </c>
      <c r="L384" s="1764">
        <f t="shared" si="88"/>
        <v>0.35000000000000014</v>
      </c>
      <c r="M384" s="1765">
        <f t="shared" si="86"/>
        <v>0.36000000000000015</v>
      </c>
      <c r="O384" s="1752"/>
      <c r="P384" s="1752"/>
      <c r="Q384" s="1758"/>
      <c r="R384" s="1758"/>
      <c r="T384" s="1752"/>
      <c r="U384" s="1752"/>
      <c r="V384" s="1787"/>
    </row>
    <row r="385" spans="1:22" outlineLevel="1">
      <c r="A385" s="1749">
        <f t="shared" si="83"/>
        <v>39173</v>
      </c>
      <c r="B385" s="1749" t="str">
        <f t="shared" si="84"/>
        <v>2Q07</v>
      </c>
      <c r="C385" s="1749" t="str">
        <f t="shared" si="85"/>
        <v>2Q07</v>
      </c>
      <c r="D385" s="1750">
        <f t="shared" si="93"/>
        <v>39195</v>
      </c>
      <c r="E385" s="1750">
        <f t="shared" si="93"/>
        <v>39188</v>
      </c>
      <c r="F385" s="1735">
        <v>2.8769999999999998</v>
      </c>
      <c r="G385" s="1752"/>
      <c r="H385" s="1784">
        <v>0.39200000000000002</v>
      </c>
      <c r="I385" s="1763">
        <f t="shared" si="90"/>
        <v>0.38800000000000001</v>
      </c>
      <c r="J385" s="1784">
        <v>0.19600000000000001</v>
      </c>
      <c r="K385" s="1763">
        <f t="shared" si="91"/>
        <v>0.19400000000000001</v>
      </c>
      <c r="L385" s="1764">
        <f t="shared" si="88"/>
        <v>0.36000000000000015</v>
      </c>
      <c r="M385" s="1765">
        <f t="shared" si="86"/>
        <v>0.36000000000000015</v>
      </c>
      <c r="O385" s="1752"/>
      <c r="P385" s="1752"/>
      <c r="Q385" s="1758"/>
      <c r="R385" s="1758"/>
      <c r="T385" s="1752"/>
      <c r="U385" s="1752"/>
      <c r="V385" s="1787"/>
    </row>
    <row r="386" spans="1:22" outlineLevel="1">
      <c r="A386" s="1749">
        <f t="shared" si="83"/>
        <v>39173</v>
      </c>
      <c r="B386" s="1749" t="str">
        <f t="shared" si="84"/>
        <v>2Q07</v>
      </c>
      <c r="C386" s="1749" t="str">
        <f t="shared" si="85"/>
        <v>2Q07</v>
      </c>
      <c r="D386" s="1750">
        <f t="shared" si="93"/>
        <v>39202</v>
      </c>
      <c r="E386" s="1750">
        <f t="shared" si="93"/>
        <v>39195</v>
      </c>
      <c r="F386" s="1735">
        <v>2.851</v>
      </c>
      <c r="G386" s="1752"/>
      <c r="H386" s="1784">
        <v>0.38800000000000001</v>
      </c>
      <c r="I386" s="1763">
        <f t="shared" si="90"/>
        <v>0.38</v>
      </c>
      <c r="J386" s="1784">
        <v>0.19400000000000001</v>
      </c>
      <c r="K386" s="1763">
        <f t="shared" si="91"/>
        <v>0.19</v>
      </c>
      <c r="L386" s="1764">
        <f t="shared" si="88"/>
        <v>0.36000000000000015</v>
      </c>
      <c r="M386" s="1765">
        <f t="shared" si="86"/>
        <v>0.35000000000000014</v>
      </c>
      <c r="O386" s="1752"/>
      <c r="P386" s="1752"/>
      <c r="Q386" s="1758"/>
      <c r="R386" s="1758"/>
      <c r="T386" s="1752"/>
      <c r="U386" s="1752"/>
      <c r="V386" s="1787"/>
    </row>
    <row r="387" spans="1:22" outlineLevel="1">
      <c r="A387" s="1749">
        <f t="shared" si="83"/>
        <v>39203</v>
      </c>
      <c r="B387" s="1749" t="str">
        <f t="shared" si="84"/>
        <v>2Q07</v>
      </c>
      <c r="C387" s="1749" t="str">
        <f t="shared" si="85"/>
        <v>2Q07</v>
      </c>
      <c r="D387" s="1750">
        <f t="shared" si="93"/>
        <v>39209</v>
      </c>
      <c r="E387" s="1750">
        <f t="shared" si="93"/>
        <v>39202</v>
      </c>
      <c r="F387" s="1735">
        <v>2.8109999999999999</v>
      </c>
      <c r="G387" s="1752"/>
      <c r="H387" s="1784">
        <v>0.38</v>
      </c>
      <c r="I387" s="1763">
        <f t="shared" si="90"/>
        <v>0.376</v>
      </c>
      <c r="J387" s="1784">
        <v>0.19</v>
      </c>
      <c r="K387" s="1763">
        <f t="shared" si="91"/>
        <v>0.188</v>
      </c>
      <c r="L387" s="1764">
        <f t="shared" si="88"/>
        <v>0.35000000000000014</v>
      </c>
      <c r="M387" s="1765">
        <f t="shared" si="86"/>
        <v>0.34000000000000014</v>
      </c>
      <c r="O387" s="1752"/>
      <c r="P387" s="1752"/>
      <c r="Q387" s="1758"/>
      <c r="R387" s="1758"/>
      <c r="T387" s="1752"/>
      <c r="U387" s="1752"/>
      <c r="V387" s="1787"/>
    </row>
    <row r="388" spans="1:22" outlineLevel="1">
      <c r="A388" s="1749">
        <f t="shared" ref="A388:A451" si="94">DATE(YEAR(D388),MONTH(D388),1)</f>
        <v>39203</v>
      </c>
      <c r="B388" s="1749" t="str">
        <f t="shared" ref="B388:B451" si="95">VLOOKUP(MONTH(A388),$AB$4:$AC$17,2,FALSE) &amp; "Q" &amp; RIGHT(YEAR(A388),2)</f>
        <v>2Q07</v>
      </c>
      <c r="C388" s="1749" t="str">
        <f t="shared" ref="C388:C451" si="96">VLOOKUP(MONTH(E388),$AB$4:$AC$17,2,FALSE) &amp; "Q" &amp; RIGHT(YEAR(E388),2)</f>
        <v>2Q07</v>
      </c>
      <c r="D388" s="1750">
        <f t="shared" si="93"/>
        <v>39216</v>
      </c>
      <c r="E388" s="1750">
        <f t="shared" si="93"/>
        <v>39209</v>
      </c>
      <c r="F388" s="1735">
        <v>2.7919999999999998</v>
      </c>
      <c r="G388" s="1752"/>
      <c r="H388" s="1784">
        <v>0.376</v>
      </c>
      <c r="I388" s="1763">
        <f t="shared" si="90"/>
        <v>0.372</v>
      </c>
      <c r="J388" s="1784">
        <v>0.188</v>
      </c>
      <c r="K388" s="1763">
        <f t="shared" si="91"/>
        <v>0.186</v>
      </c>
      <c r="L388" s="1764">
        <f t="shared" si="88"/>
        <v>0.34000000000000014</v>
      </c>
      <c r="M388" s="1765">
        <f t="shared" ref="M388:M451" si="97">L389</f>
        <v>0.34000000000000014</v>
      </c>
      <c r="O388" s="1752"/>
      <c r="P388" s="1752"/>
      <c r="Q388" s="1758"/>
      <c r="R388" s="1758"/>
      <c r="T388" s="1752"/>
      <c r="U388" s="1752"/>
      <c r="V388" s="1787"/>
    </row>
    <row r="389" spans="1:22" outlineLevel="1">
      <c r="A389" s="1749">
        <f t="shared" si="94"/>
        <v>39203</v>
      </c>
      <c r="B389" s="1749" t="str">
        <f t="shared" si="95"/>
        <v>2Q07</v>
      </c>
      <c r="C389" s="1749" t="str">
        <f t="shared" si="96"/>
        <v>2Q07</v>
      </c>
      <c r="D389" s="1750">
        <f t="shared" ref="D389:E404" si="98">D388+7</f>
        <v>39223</v>
      </c>
      <c r="E389" s="1750">
        <f t="shared" si="98"/>
        <v>39216</v>
      </c>
      <c r="F389" s="1735">
        <v>2.7730000000000001</v>
      </c>
      <c r="G389" s="1752"/>
      <c r="H389" s="1784">
        <v>0.372</v>
      </c>
      <c r="I389" s="1763">
        <f t="shared" si="90"/>
        <v>0.378</v>
      </c>
      <c r="J389" s="1784">
        <v>0.186</v>
      </c>
      <c r="K389" s="1763">
        <f t="shared" si="91"/>
        <v>0.189</v>
      </c>
      <c r="L389" s="1764">
        <f t="shared" ref="L389:L452" si="99">INDEX($T$4:$V$100,MATCH(F389,$T$4:$T$100,1),3)</f>
        <v>0.34000000000000014</v>
      </c>
      <c r="M389" s="1765">
        <f t="shared" si="97"/>
        <v>0.35000000000000014</v>
      </c>
      <c r="O389" s="1752"/>
      <c r="P389" s="1752"/>
      <c r="Q389" s="1758"/>
      <c r="R389" s="1758"/>
      <c r="T389" s="1752"/>
      <c r="U389" s="1752"/>
      <c r="V389" s="1787"/>
    </row>
    <row r="390" spans="1:22" outlineLevel="1">
      <c r="A390" s="1749">
        <f t="shared" si="94"/>
        <v>39203</v>
      </c>
      <c r="B390" s="1749" t="str">
        <f t="shared" si="95"/>
        <v>2Q07</v>
      </c>
      <c r="C390" s="1749" t="str">
        <f t="shared" si="96"/>
        <v>2Q07</v>
      </c>
      <c r="D390" s="1750">
        <f t="shared" si="98"/>
        <v>39230</v>
      </c>
      <c r="E390" s="1750">
        <f t="shared" si="98"/>
        <v>39223</v>
      </c>
      <c r="F390" s="1735">
        <v>2.8029999999999999</v>
      </c>
      <c r="G390" s="1752"/>
      <c r="H390" s="1784">
        <v>0.378</v>
      </c>
      <c r="I390" s="1763">
        <f t="shared" si="90"/>
        <v>0.38</v>
      </c>
      <c r="J390" s="1784">
        <v>0.189</v>
      </c>
      <c r="K390" s="1763">
        <f t="shared" si="91"/>
        <v>0.19</v>
      </c>
      <c r="L390" s="1764">
        <f t="shared" si="99"/>
        <v>0.35000000000000014</v>
      </c>
      <c r="M390" s="1765">
        <f t="shared" si="97"/>
        <v>0.35000000000000014</v>
      </c>
      <c r="O390" s="1752"/>
      <c r="P390" s="1752"/>
      <c r="Q390" s="1758"/>
      <c r="R390" s="1758"/>
      <c r="T390" s="1752"/>
      <c r="U390" s="1752"/>
      <c r="V390" s="1787"/>
    </row>
    <row r="391" spans="1:22" outlineLevel="1">
      <c r="A391" s="1749">
        <f t="shared" si="94"/>
        <v>39234</v>
      </c>
      <c r="B391" s="1749" t="str">
        <f t="shared" si="95"/>
        <v>2Q07</v>
      </c>
      <c r="C391" s="1749" t="str">
        <f t="shared" si="96"/>
        <v>2Q07</v>
      </c>
      <c r="D391" s="1750">
        <f t="shared" si="98"/>
        <v>39237</v>
      </c>
      <c r="E391" s="1750">
        <f t="shared" si="98"/>
        <v>39230</v>
      </c>
      <c r="F391" s="1735">
        <v>2.8170000000000002</v>
      </c>
      <c r="G391" s="1752"/>
      <c r="H391" s="1784">
        <v>0.38</v>
      </c>
      <c r="I391" s="1763">
        <f t="shared" si="90"/>
        <v>0.376</v>
      </c>
      <c r="J391" s="1784">
        <v>0.19</v>
      </c>
      <c r="K391" s="1763">
        <f t="shared" si="91"/>
        <v>0.188</v>
      </c>
      <c r="L391" s="1764">
        <f t="shared" si="99"/>
        <v>0.35000000000000014</v>
      </c>
      <c r="M391" s="1765">
        <f t="shared" si="97"/>
        <v>0.34000000000000014</v>
      </c>
      <c r="O391" s="1752"/>
      <c r="P391" s="1752"/>
      <c r="Q391" s="1758"/>
      <c r="R391" s="1758"/>
      <c r="T391" s="1752"/>
      <c r="U391" s="1752"/>
      <c r="V391" s="1787"/>
    </row>
    <row r="392" spans="1:22" outlineLevel="1">
      <c r="A392" s="1749">
        <f t="shared" si="94"/>
        <v>39234</v>
      </c>
      <c r="B392" s="1749" t="str">
        <f t="shared" si="95"/>
        <v>2Q07</v>
      </c>
      <c r="C392" s="1749" t="str">
        <f t="shared" si="96"/>
        <v>2Q07</v>
      </c>
      <c r="D392" s="1750">
        <f t="shared" si="98"/>
        <v>39244</v>
      </c>
      <c r="E392" s="1750">
        <f t="shared" si="98"/>
        <v>39237</v>
      </c>
      <c r="F392" s="1735">
        <v>2.7989999999999999</v>
      </c>
      <c r="G392" s="1752"/>
      <c r="H392" s="1784">
        <v>0.376</v>
      </c>
      <c r="I392" s="1763">
        <f t="shared" si="90"/>
        <v>0.376</v>
      </c>
      <c r="J392" s="1784">
        <v>0.188</v>
      </c>
      <c r="K392" s="1763">
        <f t="shared" si="91"/>
        <v>0.188</v>
      </c>
      <c r="L392" s="1764">
        <f t="shared" si="99"/>
        <v>0.34000000000000014</v>
      </c>
      <c r="M392" s="1765">
        <f t="shared" si="97"/>
        <v>0.34000000000000014</v>
      </c>
      <c r="O392" s="1752"/>
      <c r="P392" s="1752"/>
      <c r="Q392" s="1758"/>
      <c r="R392" s="1758"/>
      <c r="T392" s="1752"/>
      <c r="U392" s="1752"/>
      <c r="V392" s="1787"/>
    </row>
    <row r="393" spans="1:22" outlineLevel="1">
      <c r="A393" s="1749">
        <f t="shared" si="94"/>
        <v>39234</v>
      </c>
      <c r="B393" s="1749" t="str">
        <f t="shared" si="95"/>
        <v>2Q07</v>
      </c>
      <c r="C393" s="1749" t="str">
        <f t="shared" si="96"/>
        <v>2Q07</v>
      </c>
      <c r="D393" s="1750">
        <f t="shared" si="98"/>
        <v>39251</v>
      </c>
      <c r="E393" s="1750">
        <f t="shared" si="98"/>
        <v>39244</v>
      </c>
      <c r="F393" s="1735">
        <v>2.7919999999999998</v>
      </c>
      <c r="G393" s="1752"/>
      <c r="H393" s="1784">
        <v>0.376</v>
      </c>
      <c r="I393" s="1763">
        <f t="shared" si="90"/>
        <v>0.378</v>
      </c>
      <c r="J393" s="1784">
        <v>0.188</v>
      </c>
      <c r="K393" s="1763">
        <f t="shared" si="91"/>
        <v>0.189</v>
      </c>
      <c r="L393" s="1764">
        <f t="shared" si="99"/>
        <v>0.34000000000000014</v>
      </c>
      <c r="M393" s="1765">
        <f t="shared" si="97"/>
        <v>0.35000000000000014</v>
      </c>
      <c r="O393" s="1752"/>
      <c r="P393" s="1752"/>
      <c r="Q393" s="1758"/>
      <c r="R393" s="1758"/>
      <c r="T393" s="1752"/>
      <c r="U393" s="1752"/>
      <c r="V393" s="1787"/>
    </row>
    <row r="394" spans="1:22" outlineLevel="1">
      <c r="A394" s="1749">
        <f t="shared" si="94"/>
        <v>39234</v>
      </c>
      <c r="B394" s="1749" t="str">
        <f t="shared" si="95"/>
        <v>2Q07</v>
      </c>
      <c r="C394" s="1749" t="str">
        <f t="shared" si="96"/>
        <v>2Q07</v>
      </c>
      <c r="D394" s="1750">
        <f t="shared" si="98"/>
        <v>39258</v>
      </c>
      <c r="E394" s="1750">
        <f t="shared" si="98"/>
        <v>39251</v>
      </c>
      <c r="F394" s="1735">
        <v>2.8050000000000002</v>
      </c>
      <c r="G394" s="1752"/>
      <c r="H394" s="1784">
        <v>0.378</v>
      </c>
      <c r="I394" s="1763">
        <f t="shared" si="90"/>
        <v>0.38400000000000001</v>
      </c>
      <c r="J394" s="1784">
        <v>0.189</v>
      </c>
      <c r="K394" s="1763">
        <f t="shared" si="91"/>
        <v>0.192</v>
      </c>
      <c r="L394" s="1764">
        <f t="shared" si="99"/>
        <v>0.35000000000000014</v>
      </c>
      <c r="M394" s="1765">
        <f t="shared" si="97"/>
        <v>0.35000000000000014</v>
      </c>
      <c r="O394" s="1752"/>
      <c r="P394" s="1752"/>
      <c r="Q394" s="1758"/>
      <c r="R394" s="1758"/>
      <c r="T394" s="1752"/>
      <c r="U394" s="1752"/>
      <c r="V394" s="1787"/>
    </row>
    <row r="395" spans="1:22" outlineLevel="1">
      <c r="A395" s="1749">
        <f t="shared" si="94"/>
        <v>39264</v>
      </c>
      <c r="B395" s="1749" t="str">
        <f t="shared" si="95"/>
        <v>3Q07</v>
      </c>
      <c r="C395" s="1749" t="str">
        <f t="shared" si="96"/>
        <v>2Q07</v>
      </c>
      <c r="D395" s="1750">
        <f t="shared" si="98"/>
        <v>39265</v>
      </c>
      <c r="E395" s="1750">
        <f t="shared" si="98"/>
        <v>39258</v>
      </c>
      <c r="F395" s="1735">
        <v>2.835</v>
      </c>
      <c r="G395" s="1752"/>
      <c r="H395" s="1784">
        <v>0.38400000000000001</v>
      </c>
      <c r="I395" s="1763">
        <f t="shared" si="90"/>
        <v>0.38200000000000001</v>
      </c>
      <c r="J395" s="1784">
        <v>0.192</v>
      </c>
      <c r="K395" s="1763">
        <f t="shared" si="91"/>
        <v>0.191</v>
      </c>
      <c r="L395" s="1764">
        <f t="shared" si="99"/>
        <v>0.35000000000000014</v>
      </c>
      <c r="M395" s="1765">
        <f t="shared" si="97"/>
        <v>0.35000000000000014</v>
      </c>
      <c r="O395" s="1752"/>
      <c r="P395" s="1752"/>
      <c r="Q395" s="1758"/>
      <c r="R395" s="1758"/>
      <c r="T395" s="1752"/>
      <c r="U395" s="1752"/>
      <c r="V395" s="1787"/>
    </row>
    <row r="396" spans="1:22" outlineLevel="1">
      <c r="A396" s="1749">
        <f t="shared" si="94"/>
        <v>39264</v>
      </c>
      <c r="B396" s="1749" t="str">
        <f t="shared" si="95"/>
        <v>3Q07</v>
      </c>
      <c r="C396" s="1749" t="str">
        <f t="shared" si="96"/>
        <v>3Q07</v>
      </c>
      <c r="D396" s="1750">
        <f t="shared" si="98"/>
        <v>39272</v>
      </c>
      <c r="E396" s="1750">
        <f t="shared" si="98"/>
        <v>39265</v>
      </c>
      <c r="F396" s="1735">
        <v>2.8290000000000002</v>
      </c>
      <c r="G396" s="1752"/>
      <c r="H396" s="1784">
        <v>0.38200000000000001</v>
      </c>
      <c r="I396" s="1763">
        <f t="shared" si="90"/>
        <v>0.38600000000000001</v>
      </c>
      <c r="J396" s="1784">
        <v>0.191</v>
      </c>
      <c r="K396" s="1763">
        <f t="shared" si="91"/>
        <v>0.193</v>
      </c>
      <c r="L396" s="1764">
        <f t="shared" si="99"/>
        <v>0.35000000000000014</v>
      </c>
      <c r="M396" s="1765">
        <f t="shared" si="97"/>
        <v>0.35000000000000014</v>
      </c>
      <c r="O396" s="1752"/>
      <c r="P396" s="1752"/>
      <c r="Q396" s="1758"/>
      <c r="R396" s="1758"/>
      <c r="T396" s="1752"/>
      <c r="U396" s="1752"/>
      <c r="V396" s="1787"/>
    </row>
    <row r="397" spans="1:22" outlineLevel="1">
      <c r="A397" s="1749">
        <f t="shared" si="94"/>
        <v>39264</v>
      </c>
      <c r="B397" s="1749" t="str">
        <f t="shared" si="95"/>
        <v>3Q07</v>
      </c>
      <c r="C397" s="1749" t="str">
        <f t="shared" si="96"/>
        <v>3Q07</v>
      </c>
      <c r="D397" s="1750">
        <f t="shared" si="98"/>
        <v>39279</v>
      </c>
      <c r="E397" s="1750">
        <f t="shared" si="98"/>
        <v>39272</v>
      </c>
      <c r="F397" s="1735">
        <v>2.8490000000000002</v>
      </c>
      <c r="G397" s="1752"/>
      <c r="H397" s="1784">
        <v>0.38600000000000001</v>
      </c>
      <c r="I397" s="1763">
        <f t="shared" si="90"/>
        <v>0.39400000000000002</v>
      </c>
      <c r="J397" s="1784">
        <v>0.193</v>
      </c>
      <c r="K397" s="1763">
        <f t="shared" si="91"/>
        <v>0.19700000000000001</v>
      </c>
      <c r="L397" s="1764">
        <f t="shared" si="99"/>
        <v>0.35000000000000014</v>
      </c>
      <c r="M397" s="1765">
        <f t="shared" si="97"/>
        <v>0.36000000000000015</v>
      </c>
      <c r="O397" s="1752"/>
      <c r="P397" s="1752"/>
      <c r="Q397" s="1758"/>
      <c r="R397" s="1758"/>
      <c r="T397" s="1752"/>
      <c r="U397" s="1752"/>
      <c r="V397" s="1787"/>
    </row>
    <row r="398" spans="1:22" outlineLevel="1">
      <c r="A398" s="1749">
        <f t="shared" si="94"/>
        <v>39264</v>
      </c>
      <c r="B398" s="1749" t="str">
        <f t="shared" si="95"/>
        <v>3Q07</v>
      </c>
      <c r="C398" s="1749" t="str">
        <f t="shared" si="96"/>
        <v>3Q07</v>
      </c>
      <c r="D398" s="1750">
        <f t="shared" si="98"/>
        <v>39286</v>
      </c>
      <c r="E398" s="1750">
        <f t="shared" si="98"/>
        <v>39279</v>
      </c>
      <c r="F398" s="1735">
        <v>2.8889999999999998</v>
      </c>
      <c r="G398" s="1752"/>
      <c r="H398" s="1784">
        <v>0.39400000000000002</v>
      </c>
      <c r="I398" s="1763">
        <f t="shared" si="90"/>
        <v>0.39400000000000002</v>
      </c>
      <c r="J398" s="1784">
        <v>0.19700000000000001</v>
      </c>
      <c r="K398" s="1763">
        <f t="shared" si="91"/>
        <v>0.19700000000000001</v>
      </c>
      <c r="L398" s="1764">
        <f t="shared" si="99"/>
        <v>0.36000000000000015</v>
      </c>
      <c r="M398" s="1765">
        <f t="shared" si="97"/>
        <v>0.36000000000000015</v>
      </c>
      <c r="O398" s="1752"/>
      <c r="P398" s="1752"/>
      <c r="Q398" s="1758"/>
      <c r="R398" s="1758"/>
      <c r="T398" s="1752"/>
      <c r="U398" s="1752"/>
      <c r="V398" s="1787"/>
    </row>
    <row r="399" spans="1:22" outlineLevel="1">
      <c r="A399" s="1749">
        <f t="shared" si="94"/>
        <v>39264</v>
      </c>
      <c r="B399" s="1749" t="str">
        <f t="shared" si="95"/>
        <v>3Q07</v>
      </c>
      <c r="C399" s="1749" t="str">
        <f t="shared" si="96"/>
        <v>3Q07</v>
      </c>
      <c r="D399" s="1750">
        <f t="shared" si="98"/>
        <v>39293</v>
      </c>
      <c r="E399" s="1750">
        <f t="shared" si="98"/>
        <v>39286</v>
      </c>
      <c r="F399" s="1735">
        <v>2.8889999999999998</v>
      </c>
      <c r="G399" s="1752"/>
      <c r="H399" s="1784">
        <v>0.39400000000000002</v>
      </c>
      <c r="I399" s="1763">
        <f t="shared" si="90"/>
        <v>0.39400000000000002</v>
      </c>
      <c r="J399" s="1784">
        <v>0.19700000000000001</v>
      </c>
      <c r="K399" s="1763">
        <f t="shared" si="91"/>
        <v>0.19700000000000001</v>
      </c>
      <c r="L399" s="1764">
        <f t="shared" si="99"/>
        <v>0.36000000000000015</v>
      </c>
      <c r="M399" s="1765">
        <f t="shared" si="97"/>
        <v>0.36000000000000015</v>
      </c>
      <c r="O399" s="1752"/>
      <c r="P399" s="1752"/>
      <c r="Q399" s="1758"/>
      <c r="R399" s="1758"/>
      <c r="T399" s="1752"/>
      <c r="U399" s="1752"/>
      <c r="V399" s="1787"/>
    </row>
    <row r="400" spans="1:22" outlineLevel="1">
      <c r="A400" s="1749">
        <f t="shared" si="94"/>
        <v>39295</v>
      </c>
      <c r="B400" s="1749" t="str">
        <f t="shared" si="95"/>
        <v>3Q07</v>
      </c>
      <c r="C400" s="1749" t="str">
        <f t="shared" si="96"/>
        <v>3Q07</v>
      </c>
      <c r="D400" s="1750">
        <f t="shared" si="98"/>
        <v>39300</v>
      </c>
      <c r="E400" s="1750">
        <f t="shared" si="98"/>
        <v>39293</v>
      </c>
      <c r="F400" s="1735">
        <v>2.8860000000000001</v>
      </c>
      <c r="G400" s="1752"/>
      <c r="H400" s="1784">
        <v>0.39400000000000002</v>
      </c>
      <c r="I400" s="1763">
        <f t="shared" si="90"/>
        <v>0.39600000000000002</v>
      </c>
      <c r="J400" s="1784">
        <v>0.19700000000000001</v>
      </c>
      <c r="K400" s="1763">
        <f t="shared" si="91"/>
        <v>0.19800000000000001</v>
      </c>
      <c r="L400" s="1764">
        <f t="shared" si="99"/>
        <v>0.36000000000000015</v>
      </c>
      <c r="M400" s="1765">
        <f t="shared" si="97"/>
        <v>0.36000000000000015</v>
      </c>
      <c r="O400" s="1752"/>
      <c r="P400" s="1752"/>
      <c r="Q400" s="1758"/>
      <c r="R400" s="1758"/>
      <c r="T400" s="1752"/>
      <c r="U400" s="1752"/>
      <c r="V400" s="1787"/>
    </row>
    <row r="401" spans="1:22" outlineLevel="1">
      <c r="A401" s="1749">
        <f t="shared" si="94"/>
        <v>39295</v>
      </c>
      <c r="B401" s="1749" t="str">
        <f t="shared" si="95"/>
        <v>3Q07</v>
      </c>
      <c r="C401" s="1749" t="str">
        <f t="shared" si="96"/>
        <v>3Q07</v>
      </c>
      <c r="D401" s="1750">
        <f t="shared" si="98"/>
        <v>39307</v>
      </c>
      <c r="E401" s="1750">
        <f t="shared" si="98"/>
        <v>39300</v>
      </c>
      <c r="F401" s="1735">
        <v>2.8980000000000001</v>
      </c>
      <c r="G401" s="1752"/>
      <c r="H401" s="1784">
        <v>0.39600000000000002</v>
      </c>
      <c r="I401" s="1763">
        <f t="shared" si="90"/>
        <v>0.38600000000000001</v>
      </c>
      <c r="J401" s="1784">
        <v>0.19800000000000001</v>
      </c>
      <c r="K401" s="1763">
        <f t="shared" si="91"/>
        <v>0.193</v>
      </c>
      <c r="L401" s="1764">
        <f t="shared" si="99"/>
        <v>0.36000000000000015</v>
      </c>
      <c r="M401" s="1765">
        <f t="shared" si="97"/>
        <v>0.35000000000000014</v>
      </c>
      <c r="O401" s="1752"/>
      <c r="P401" s="1752"/>
      <c r="Q401" s="1758"/>
      <c r="R401" s="1758"/>
      <c r="T401" s="1752"/>
      <c r="U401" s="1752"/>
      <c r="V401" s="1787"/>
    </row>
    <row r="402" spans="1:22" outlineLevel="1">
      <c r="A402" s="1749">
        <f t="shared" si="94"/>
        <v>39295</v>
      </c>
      <c r="B402" s="1749" t="str">
        <f t="shared" si="95"/>
        <v>3Q07</v>
      </c>
      <c r="C402" s="1749" t="str">
        <f t="shared" si="96"/>
        <v>3Q07</v>
      </c>
      <c r="D402" s="1750">
        <f t="shared" si="98"/>
        <v>39314</v>
      </c>
      <c r="E402" s="1750">
        <f t="shared" si="98"/>
        <v>39307</v>
      </c>
      <c r="F402" s="1735">
        <v>2.847</v>
      </c>
      <c r="G402" s="1752"/>
      <c r="H402" s="1784">
        <v>0.38600000000000001</v>
      </c>
      <c r="I402" s="1763">
        <f t="shared" si="90"/>
        <v>0.39</v>
      </c>
      <c r="J402" s="1784">
        <v>0.193</v>
      </c>
      <c r="K402" s="1763">
        <f t="shared" si="91"/>
        <v>0.19500000000000001</v>
      </c>
      <c r="L402" s="1764">
        <f t="shared" si="99"/>
        <v>0.35000000000000014</v>
      </c>
      <c r="M402" s="1765">
        <f t="shared" si="97"/>
        <v>0.36000000000000015</v>
      </c>
      <c r="O402" s="1752"/>
      <c r="P402" s="1752"/>
      <c r="Q402" s="1758"/>
      <c r="R402" s="1758"/>
      <c r="T402" s="1752"/>
      <c r="U402" s="1752"/>
      <c r="V402" s="1787"/>
    </row>
    <row r="403" spans="1:22" outlineLevel="1">
      <c r="A403" s="1749">
        <f t="shared" si="94"/>
        <v>39295</v>
      </c>
      <c r="B403" s="1749" t="str">
        <f t="shared" si="95"/>
        <v>3Q07</v>
      </c>
      <c r="C403" s="1749" t="str">
        <f t="shared" si="96"/>
        <v>3Q07</v>
      </c>
      <c r="D403" s="1750">
        <f t="shared" si="98"/>
        <v>39321</v>
      </c>
      <c r="E403" s="1750">
        <f t="shared" si="98"/>
        <v>39314</v>
      </c>
      <c r="F403" s="1735">
        <v>2.8679999999999999</v>
      </c>
      <c r="G403" s="1752"/>
      <c r="H403" s="1784">
        <v>0.39</v>
      </c>
      <c r="I403" s="1763">
        <f t="shared" si="90"/>
        <v>0.39</v>
      </c>
      <c r="J403" s="1784">
        <v>0.19500000000000001</v>
      </c>
      <c r="K403" s="1763">
        <f t="shared" si="91"/>
        <v>0.19500000000000001</v>
      </c>
      <c r="L403" s="1764">
        <f t="shared" si="99"/>
        <v>0.36000000000000015</v>
      </c>
      <c r="M403" s="1765">
        <f t="shared" si="97"/>
        <v>0.36000000000000015</v>
      </c>
      <c r="O403" s="1752"/>
      <c r="P403" s="1752"/>
      <c r="Q403" s="1758"/>
      <c r="R403" s="1758"/>
      <c r="T403" s="1752"/>
      <c r="U403" s="1752"/>
      <c r="V403" s="1787"/>
    </row>
    <row r="404" spans="1:22" outlineLevel="1">
      <c r="A404" s="1749">
        <f t="shared" si="94"/>
        <v>39326</v>
      </c>
      <c r="B404" s="1749" t="str">
        <f t="shared" si="95"/>
        <v>3Q07</v>
      </c>
      <c r="C404" s="1749" t="str">
        <f t="shared" si="96"/>
        <v>3Q07</v>
      </c>
      <c r="D404" s="1750">
        <f t="shared" si="98"/>
        <v>39328</v>
      </c>
      <c r="E404" s="1750">
        <f t="shared" si="98"/>
        <v>39321</v>
      </c>
      <c r="F404" s="1735">
        <v>2.863</v>
      </c>
      <c r="G404" s="1752"/>
      <c r="H404" s="1784">
        <v>0.39</v>
      </c>
      <c r="I404" s="1763">
        <f t="shared" si="90"/>
        <v>0.39600000000000002</v>
      </c>
      <c r="J404" s="1784">
        <v>0.19500000000000001</v>
      </c>
      <c r="K404" s="1763">
        <f t="shared" si="91"/>
        <v>0.19800000000000001</v>
      </c>
      <c r="L404" s="1764">
        <f t="shared" si="99"/>
        <v>0.36000000000000015</v>
      </c>
      <c r="M404" s="1765">
        <f t="shared" si="97"/>
        <v>0.36000000000000015</v>
      </c>
      <c r="O404" s="1752"/>
      <c r="P404" s="1752"/>
      <c r="Q404" s="1758"/>
      <c r="R404" s="1758"/>
      <c r="T404" s="1752"/>
      <c r="U404" s="1752"/>
      <c r="V404" s="1787"/>
    </row>
    <row r="405" spans="1:22" outlineLevel="1">
      <c r="A405" s="1749">
        <f t="shared" si="94"/>
        <v>39326</v>
      </c>
      <c r="B405" s="1749" t="str">
        <f t="shared" si="95"/>
        <v>3Q07</v>
      </c>
      <c r="C405" s="1749" t="str">
        <f t="shared" si="96"/>
        <v>3Q07</v>
      </c>
      <c r="D405" s="1750">
        <f t="shared" ref="D405:E420" si="100">D404+7</f>
        <v>39335</v>
      </c>
      <c r="E405" s="1750">
        <f t="shared" si="100"/>
        <v>39328</v>
      </c>
      <c r="F405" s="1735">
        <v>2.8929999999999998</v>
      </c>
      <c r="G405" s="1752"/>
      <c r="H405" s="1784">
        <v>0.39600000000000002</v>
      </c>
      <c r="I405" s="1763">
        <f t="shared" si="90"/>
        <v>0.40200000000000002</v>
      </c>
      <c r="J405" s="1784">
        <v>0.19800000000000001</v>
      </c>
      <c r="K405" s="1763">
        <f t="shared" si="91"/>
        <v>0.20100000000000001</v>
      </c>
      <c r="L405" s="1764">
        <f t="shared" si="99"/>
        <v>0.36000000000000015</v>
      </c>
      <c r="M405" s="1765">
        <f t="shared" si="97"/>
        <v>0.37000000000000016</v>
      </c>
      <c r="O405" s="1752"/>
      <c r="P405" s="1752"/>
      <c r="Q405" s="1758"/>
      <c r="R405" s="1758"/>
      <c r="T405" s="1752"/>
      <c r="U405" s="1752"/>
      <c r="V405" s="1787"/>
    </row>
    <row r="406" spans="1:22" outlineLevel="1">
      <c r="A406" s="1749">
        <f t="shared" si="94"/>
        <v>39326</v>
      </c>
      <c r="B406" s="1749" t="str">
        <f t="shared" si="95"/>
        <v>3Q07</v>
      </c>
      <c r="C406" s="1749" t="str">
        <f t="shared" si="96"/>
        <v>3Q07</v>
      </c>
      <c r="D406" s="1750">
        <f t="shared" si="100"/>
        <v>39342</v>
      </c>
      <c r="E406" s="1750">
        <f t="shared" si="100"/>
        <v>39335</v>
      </c>
      <c r="F406" s="1735">
        <v>2.9239999999999999</v>
      </c>
      <c r="G406" s="1752"/>
      <c r="H406" s="1784">
        <v>0.40200000000000002</v>
      </c>
      <c r="I406" s="1763">
        <f t="shared" si="90"/>
        <v>0.41</v>
      </c>
      <c r="J406" s="1784">
        <v>0.20100000000000001</v>
      </c>
      <c r="K406" s="1763">
        <f t="shared" si="91"/>
        <v>0.20499999999999999</v>
      </c>
      <c r="L406" s="1764">
        <f t="shared" si="99"/>
        <v>0.37000000000000016</v>
      </c>
      <c r="M406" s="1765">
        <f t="shared" si="97"/>
        <v>0.38000000000000017</v>
      </c>
      <c r="O406" s="1752"/>
      <c r="P406" s="1752"/>
      <c r="Q406" s="1758"/>
      <c r="R406" s="1758"/>
      <c r="T406" s="1752"/>
      <c r="U406" s="1752"/>
      <c r="V406" s="1787"/>
    </row>
    <row r="407" spans="1:22" outlineLevel="1">
      <c r="A407" s="1749">
        <f t="shared" si="94"/>
        <v>39326</v>
      </c>
      <c r="B407" s="1749" t="str">
        <f t="shared" si="95"/>
        <v>3Q07</v>
      </c>
      <c r="C407" s="1749" t="str">
        <f t="shared" si="96"/>
        <v>3Q07</v>
      </c>
      <c r="D407" s="1750">
        <f t="shared" si="100"/>
        <v>39349</v>
      </c>
      <c r="E407" s="1750">
        <f t="shared" si="100"/>
        <v>39342</v>
      </c>
      <c r="F407" s="1735">
        <v>2.964</v>
      </c>
      <c r="G407" s="1752"/>
      <c r="H407" s="1784">
        <v>0.41</v>
      </c>
      <c r="I407" s="1763">
        <f t="shared" si="90"/>
        <v>0.42399999999999999</v>
      </c>
      <c r="J407" s="1784">
        <v>0.20499999999999999</v>
      </c>
      <c r="K407" s="1763">
        <f t="shared" si="91"/>
        <v>0.21199999999999999</v>
      </c>
      <c r="L407" s="1764">
        <f t="shared" si="99"/>
        <v>0.38000000000000017</v>
      </c>
      <c r="M407" s="1765">
        <f t="shared" si="97"/>
        <v>0.39000000000000018</v>
      </c>
      <c r="O407" s="1752"/>
      <c r="P407" s="1752"/>
      <c r="Q407" s="1758"/>
      <c r="R407" s="1758"/>
      <c r="T407" s="1752"/>
      <c r="U407" s="1752"/>
      <c r="V407" s="1787"/>
    </row>
    <row r="408" spans="1:22" outlineLevel="1">
      <c r="A408" s="1749">
        <f t="shared" si="94"/>
        <v>39356</v>
      </c>
      <c r="B408" s="1749" t="str">
        <f t="shared" si="95"/>
        <v>4Q07</v>
      </c>
      <c r="C408" s="1749" t="str">
        <f t="shared" si="96"/>
        <v>3Q07</v>
      </c>
      <c r="D408" s="1750">
        <f t="shared" si="100"/>
        <v>39356</v>
      </c>
      <c r="E408" s="1750">
        <f t="shared" si="100"/>
        <v>39349</v>
      </c>
      <c r="F408" s="1735">
        <v>3.032</v>
      </c>
      <c r="G408" s="1752"/>
      <c r="H408" s="1784">
        <v>0.42399999999999999</v>
      </c>
      <c r="I408" s="1763">
        <f t="shared" si="90"/>
        <v>0.42599999999999999</v>
      </c>
      <c r="J408" s="1784">
        <v>0.21199999999999999</v>
      </c>
      <c r="K408" s="1763">
        <f t="shared" si="91"/>
        <v>0.21299999999999999</v>
      </c>
      <c r="L408" s="1764">
        <f t="shared" si="99"/>
        <v>0.39000000000000018</v>
      </c>
      <c r="M408" s="1765">
        <f t="shared" si="97"/>
        <v>0.39000000000000018</v>
      </c>
      <c r="O408" s="1752"/>
      <c r="P408" s="1752"/>
      <c r="Q408" s="1758"/>
      <c r="R408" s="1758"/>
      <c r="T408" s="1752"/>
      <c r="U408" s="1752"/>
      <c r="V408" s="1787"/>
    </row>
    <row r="409" spans="1:22" outlineLevel="1">
      <c r="A409" s="1749">
        <f t="shared" si="94"/>
        <v>39356</v>
      </c>
      <c r="B409" s="1749" t="str">
        <f t="shared" si="95"/>
        <v>4Q07</v>
      </c>
      <c r="C409" s="1749" t="str">
        <f t="shared" si="96"/>
        <v>4Q07</v>
      </c>
      <c r="D409" s="1750">
        <f t="shared" si="100"/>
        <v>39363</v>
      </c>
      <c r="E409" s="1750">
        <f t="shared" si="100"/>
        <v>39356</v>
      </c>
      <c r="F409" s="1735">
        <v>3.048</v>
      </c>
      <c r="G409" s="1752"/>
      <c r="H409" s="1784">
        <v>0.42599999999999999</v>
      </c>
      <c r="I409" s="1763">
        <f t="shared" ref="I409:I472" si="101">H410</f>
        <v>0.42399999999999999</v>
      </c>
      <c r="J409" s="1784">
        <v>0.21299999999999999</v>
      </c>
      <c r="K409" s="1763">
        <f t="shared" ref="K409:K472" si="102">J410</f>
        <v>0.21199999999999999</v>
      </c>
      <c r="L409" s="1764">
        <f t="shared" si="99"/>
        <v>0.39000000000000018</v>
      </c>
      <c r="M409" s="1765">
        <f t="shared" si="97"/>
        <v>0.39000000000000018</v>
      </c>
      <c r="O409" s="1752"/>
      <c r="P409" s="1752"/>
      <c r="Q409" s="1758"/>
      <c r="R409" s="1758"/>
      <c r="T409" s="1752"/>
      <c r="U409" s="1752"/>
      <c r="V409" s="1787"/>
    </row>
    <row r="410" spans="1:22" outlineLevel="1">
      <c r="A410" s="1749">
        <f t="shared" si="94"/>
        <v>39356</v>
      </c>
      <c r="B410" s="1749" t="str">
        <f t="shared" si="95"/>
        <v>4Q07</v>
      </c>
      <c r="C410" s="1749" t="str">
        <f t="shared" si="96"/>
        <v>4Q07</v>
      </c>
      <c r="D410" s="1750">
        <f t="shared" si="100"/>
        <v>39370</v>
      </c>
      <c r="E410" s="1750">
        <f t="shared" si="100"/>
        <v>39363</v>
      </c>
      <c r="F410" s="1735">
        <v>3.0350000000000001</v>
      </c>
      <c r="G410" s="1752"/>
      <c r="H410" s="1784">
        <v>0.42399999999999999</v>
      </c>
      <c r="I410" s="1763">
        <f t="shared" si="101"/>
        <v>0.42399999999999999</v>
      </c>
      <c r="J410" s="1784">
        <v>0.21199999999999999</v>
      </c>
      <c r="K410" s="1763">
        <f t="shared" si="102"/>
        <v>0.21199999999999999</v>
      </c>
      <c r="L410" s="1764">
        <f t="shared" si="99"/>
        <v>0.39000000000000018</v>
      </c>
      <c r="M410" s="1765">
        <f t="shared" si="97"/>
        <v>0.39000000000000018</v>
      </c>
      <c r="O410" s="1752"/>
      <c r="P410" s="1752"/>
      <c r="Q410" s="1758"/>
      <c r="R410" s="1758"/>
      <c r="T410" s="1752"/>
      <c r="U410" s="1752"/>
      <c r="V410" s="1787"/>
    </row>
    <row r="411" spans="1:22" outlineLevel="1">
      <c r="A411" s="1749">
        <f t="shared" si="94"/>
        <v>39356</v>
      </c>
      <c r="B411" s="1749" t="str">
        <f t="shared" si="95"/>
        <v>4Q07</v>
      </c>
      <c r="C411" s="1749" t="str">
        <f t="shared" si="96"/>
        <v>4Q07</v>
      </c>
      <c r="D411" s="1750">
        <f t="shared" si="100"/>
        <v>39377</v>
      </c>
      <c r="E411" s="1750">
        <f t="shared" si="100"/>
        <v>39370</v>
      </c>
      <c r="F411" s="1735">
        <v>3.0390000000000001</v>
      </c>
      <c r="G411" s="1752"/>
      <c r="H411" s="1784">
        <v>0.42399999999999999</v>
      </c>
      <c r="I411" s="1763">
        <f t="shared" si="101"/>
        <v>0.436</v>
      </c>
      <c r="J411" s="1784">
        <v>0.21199999999999999</v>
      </c>
      <c r="K411" s="1763">
        <f t="shared" si="102"/>
        <v>0.218</v>
      </c>
      <c r="L411" s="1764">
        <f t="shared" si="99"/>
        <v>0.39000000000000018</v>
      </c>
      <c r="M411" s="1765">
        <f t="shared" si="97"/>
        <v>0.40000000000000019</v>
      </c>
      <c r="O411" s="1752"/>
      <c r="P411" s="1752"/>
      <c r="Q411" s="1758"/>
      <c r="R411" s="1758"/>
      <c r="T411" s="1752"/>
      <c r="U411" s="1752"/>
      <c r="V411" s="1787"/>
    </row>
    <row r="412" spans="1:22" outlineLevel="1">
      <c r="A412" s="1749">
        <f t="shared" si="94"/>
        <v>39356</v>
      </c>
      <c r="B412" s="1749" t="str">
        <f t="shared" si="95"/>
        <v>4Q07</v>
      </c>
      <c r="C412" s="1749" t="str">
        <f t="shared" si="96"/>
        <v>4Q07</v>
      </c>
      <c r="D412" s="1750">
        <f t="shared" si="100"/>
        <v>39384</v>
      </c>
      <c r="E412" s="1750">
        <f t="shared" si="100"/>
        <v>39377</v>
      </c>
      <c r="F412" s="1735">
        <v>3.0939999999999999</v>
      </c>
      <c r="G412" s="1752"/>
      <c r="H412" s="1784">
        <v>0.436</v>
      </c>
      <c r="I412" s="1763">
        <f t="shared" si="101"/>
        <v>0.44800000000000001</v>
      </c>
      <c r="J412" s="1784">
        <v>0.218</v>
      </c>
      <c r="K412" s="1763">
        <f t="shared" si="102"/>
        <v>0.224</v>
      </c>
      <c r="L412" s="1764">
        <f t="shared" si="99"/>
        <v>0.40000000000000019</v>
      </c>
      <c r="M412" s="1765">
        <f t="shared" si="97"/>
        <v>0.42000000000000021</v>
      </c>
      <c r="O412" s="1752"/>
      <c r="P412" s="1752"/>
      <c r="Q412" s="1758"/>
      <c r="R412" s="1758"/>
      <c r="T412" s="1752"/>
      <c r="U412" s="1752"/>
      <c r="V412" s="1787"/>
    </row>
    <row r="413" spans="1:22" outlineLevel="1">
      <c r="A413" s="1749">
        <f t="shared" si="94"/>
        <v>39387</v>
      </c>
      <c r="B413" s="1749" t="str">
        <f t="shared" si="95"/>
        <v>4Q07</v>
      </c>
      <c r="C413" s="1749" t="str">
        <f t="shared" si="96"/>
        <v>4Q07</v>
      </c>
      <c r="D413" s="1750">
        <f t="shared" si="100"/>
        <v>39391</v>
      </c>
      <c r="E413" s="1750">
        <f t="shared" si="100"/>
        <v>39384</v>
      </c>
      <c r="F413" s="1735">
        <v>3.157</v>
      </c>
      <c r="G413" s="1752"/>
      <c r="H413" s="1784">
        <v>0.44800000000000001</v>
      </c>
      <c r="I413" s="1763">
        <f t="shared" si="101"/>
        <v>0.47799999999999998</v>
      </c>
      <c r="J413" s="1784">
        <v>0.224</v>
      </c>
      <c r="K413" s="1763">
        <f t="shared" si="102"/>
        <v>0.23899999999999999</v>
      </c>
      <c r="L413" s="1764">
        <f t="shared" si="99"/>
        <v>0.42000000000000021</v>
      </c>
      <c r="M413" s="1765">
        <f t="shared" si="97"/>
        <v>0.45000000000000023</v>
      </c>
      <c r="O413" s="1752"/>
      <c r="P413" s="1752"/>
      <c r="Q413" s="1758"/>
      <c r="R413" s="1758"/>
      <c r="T413" s="1752"/>
      <c r="U413" s="1752"/>
      <c r="V413" s="1787"/>
    </row>
    <row r="414" spans="1:22" outlineLevel="1">
      <c r="A414" s="1749">
        <f t="shared" si="94"/>
        <v>39387</v>
      </c>
      <c r="B414" s="1749" t="str">
        <f t="shared" si="95"/>
        <v>4Q07</v>
      </c>
      <c r="C414" s="1749" t="str">
        <f t="shared" si="96"/>
        <v>4Q07</v>
      </c>
      <c r="D414" s="1750">
        <f t="shared" si="100"/>
        <v>39398</v>
      </c>
      <c r="E414" s="1750">
        <f t="shared" si="100"/>
        <v>39391</v>
      </c>
      <c r="F414" s="1735">
        <v>3.3029999999999999</v>
      </c>
      <c r="G414" s="1752"/>
      <c r="H414" s="1784">
        <v>0.47799999999999998</v>
      </c>
      <c r="I414" s="1763">
        <f t="shared" si="101"/>
        <v>0.502</v>
      </c>
      <c r="J414" s="1784">
        <v>0.23899999999999999</v>
      </c>
      <c r="K414" s="1763">
        <f t="shared" si="102"/>
        <v>0.251</v>
      </c>
      <c r="L414" s="1764">
        <f t="shared" si="99"/>
        <v>0.45000000000000023</v>
      </c>
      <c r="M414" s="1765">
        <f t="shared" si="97"/>
        <v>0.47000000000000025</v>
      </c>
      <c r="O414" s="1752"/>
      <c r="P414" s="1752"/>
      <c r="Q414" s="1758"/>
      <c r="R414" s="1758"/>
      <c r="T414" s="1752"/>
      <c r="U414" s="1752"/>
      <c r="V414" s="1787"/>
    </row>
    <row r="415" spans="1:22" outlineLevel="1">
      <c r="A415" s="1749">
        <f t="shared" si="94"/>
        <v>39387</v>
      </c>
      <c r="B415" s="1749" t="str">
        <f t="shared" si="95"/>
        <v>4Q07</v>
      </c>
      <c r="C415" s="1749" t="str">
        <f t="shared" si="96"/>
        <v>4Q07</v>
      </c>
      <c r="D415" s="1750">
        <f t="shared" si="100"/>
        <v>39405</v>
      </c>
      <c r="E415" s="1750">
        <f t="shared" si="100"/>
        <v>39398</v>
      </c>
      <c r="F415" s="1735">
        <v>3.4249999999999998</v>
      </c>
      <c r="G415" s="1752"/>
      <c r="H415" s="1784">
        <v>0.502</v>
      </c>
      <c r="I415" s="1763">
        <f t="shared" si="101"/>
        <v>0.5</v>
      </c>
      <c r="J415" s="1784">
        <v>0.251</v>
      </c>
      <c r="K415" s="1763">
        <f t="shared" si="102"/>
        <v>0.25</v>
      </c>
      <c r="L415" s="1764">
        <f t="shared" si="99"/>
        <v>0.47000000000000025</v>
      </c>
      <c r="M415" s="1765">
        <f t="shared" si="97"/>
        <v>0.47000000000000025</v>
      </c>
      <c r="O415" s="1752"/>
      <c r="P415" s="1752"/>
      <c r="Q415" s="1758"/>
      <c r="R415" s="1758"/>
      <c r="T415" s="1752"/>
      <c r="U415" s="1752"/>
      <c r="V415" s="1787"/>
    </row>
    <row r="416" spans="1:22" outlineLevel="1">
      <c r="A416" s="1749">
        <f t="shared" si="94"/>
        <v>39387</v>
      </c>
      <c r="B416" s="1749" t="str">
        <f t="shared" si="95"/>
        <v>4Q07</v>
      </c>
      <c r="C416" s="1749" t="str">
        <f t="shared" si="96"/>
        <v>4Q07</v>
      </c>
      <c r="D416" s="1750">
        <f t="shared" si="100"/>
        <v>39412</v>
      </c>
      <c r="E416" s="1750">
        <f t="shared" si="100"/>
        <v>39405</v>
      </c>
      <c r="F416" s="1735">
        <v>3.41</v>
      </c>
      <c r="G416" s="1752"/>
      <c r="H416" s="1784">
        <v>0.5</v>
      </c>
      <c r="I416" s="1763">
        <f t="shared" si="101"/>
        <v>0.50600000000000001</v>
      </c>
      <c r="J416" s="1784">
        <v>0.25</v>
      </c>
      <c r="K416" s="1763">
        <f t="shared" si="102"/>
        <v>0.253</v>
      </c>
      <c r="L416" s="1764">
        <f t="shared" si="99"/>
        <v>0.47000000000000025</v>
      </c>
      <c r="M416" s="1765">
        <f t="shared" si="97"/>
        <v>0.47000000000000025</v>
      </c>
      <c r="O416" s="1752"/>
      <c r="P416" s="1752"/>
      <c r="Q416" s="1758"/>
      <c r="R416" s="1758"/>
      <c r="T416" s="1752"/>
      <c r="U416" s="1752"/>
      <c r="V416" s="1787"/>
    </row>
    <row r="417" spans="1:22" outlineLevel="1">
      <c r="A417" s="1749">
        <f t="shared" si="94"/>
        <v>39417</v>
      </c>
      <c r="B417" s="1749" t="str">
        <f t="shared" si="95"/>
        <v>4Q07</v>
      </c>
      <c r="C417" s="1749" t="str">
        <f t="shared" si="96"/>
        <v>4Q07</v>
      </c>
      <c r="D417" s="1750">
        <f t="shared" si="100"/>
        <v>39419</v>
      </c>
      <c r="E417" s="1750">
        <f t="shared" si="100"/>
        <v>39412</v>
      </c>
      <c r="F417" s="1735">
        <v>3.444</v>
      </c>
      <c r="G417" s="1752"/>
      <c r="H417" s="1784">
        <v>0.50600000000000001</v>
      </c>
      <c r="I417" s="1763">
        <f t="shared" si="101"/>
        <v>0.5</v>
      </c>
      <c r="J417" s="1784">
        <v>0.253</v>
      </c>
      <c r="K417" s="1763">
        <f t="shared" si="102"/>
        <v>0.25</v>
      </c>
      <c r="L417" s="1764">
        <f t="shared" si="99"/>
        <v>0.47000000000000025</v>
      </c>
      <c r="M417" s="1765">
        <f t="shared" si="97"/>
        <v>0.47000000000000025</v>
      </c>
      <c r="O417" s="1752"/>
      <c r="P417" s="1752"/>
      <c r="Q417" s="1758"/>
      <c r="R417" s="1758"/>
      <c r="T417" s="1752"/>
      <c r="U417" s="1752"/>
      <c r="V417" s="1787"/>
    </row>
    <row r="418" spans="1:22" outlineLevel="1">
      <c r="A418" s="1749">
        <f t="shared" si="94"/>
        <v>39417</v>
      </c>
      <c r="B418" s="1749" t="str">
        <f t="shared" si="95"/>
        <v>4Q07</v>
      </c>
      <c r="C418" s="1749" t="str">
        <f t="shared" si="96"/>
        <v>4Q07</v>
      </c>
      <c r="D418" s="1750">
        <f t="shared" si="100"/>
        <v>39426</v>
      </c>
      <c r="E418" s="1750">
        <f t="shared" si="100"/>
        <v>39419</v>
      </c>
      <c r="F418" s="1735">
        <v>3.4159999999999999</v>
      </c>
      <c r="G418" s="1752"/>
      <c r="H418" s="1784">
        <v>0.5</v>
      </c>
      <c r="I418" s="1763">
        <f t="shared" si="101"/>
        <v>0.48199999999999998</v>
      </c>
      <c r="J418" s="1784">
        <v>0.25</v>
      </c>
      <c r="K418" s="1763">
        <f t="shared" si="102"/>
        <v>0.24099999999999999</v>
      </c>
      <c r="L418" s="1764">
        <f t="shared" si="99"/>
        <v>0.47000000000000025</v>
      </c>
      <c r="M418" s="1765">
        <f t="shared" si="97"/>
        <v>0.45000000000000023</v>
      </c>
      <c r="O418" s="1752"/>
      <c r="P418" s="1752"/>
      <c r="Q418" s="1758"/>
      <c r="R418" s="1758"/>
      <c r="T418" s="1752"/>
      <c r="U418" s="1752"/>
      <c r="V418" s="1787"/>
    </row>
    <row r="419" spans="1:22" outlineLevel="1">
      <c r="A419" s="1749">
        <f t="shared" si="94"/>
        <v>39417</v>
      </c>
      <c r="B419" s="1749" t="str">
        <f t="shared" si="95"/>
        <v>4Q07</v>
      </c>
      <c r="C419" s="1749" t="str">
        <f t="shared" si="96"/>
        <v>4Q07</v>
      </c>
      <c r="D419" s="1750">
        <f t="shared" si="100"/>
        <v>39433</v>
      </c>
      <c r="E419" s="1750">
        <f t="shared" si="100"/>
        <v>39426</v>
      </c>
      <c r="F419" s="1735">
        <v>3.3250000000000002</v>
      </c>
      <c r="G419" s="1752"/>
      <c r="H419" s="1784">
        <v>0.48199999999999998</v>
      </c>
      <c r="I419" s="1763">
        <f t="shared" si="101"/>
        <v>0.47799999999999998</v>
      </c>
      <c r="J419" s="1784">
        <v>0.24099999999999999</v>
      </c>
      <c r="K419" s="1763">
        <f t="shared" si="102"/>
        <v>0.23899999999999999</v>
      </c>
      <c r="L419" s="1764">
        <f t="shared" si="99"/>
        <v>0.45000000000000023</v>
      </c>
      <c r="M419" s="1765">
        <f t="shared" si="97"/>
        <v>0.45000000000000023</v>
      </c>
      <c r="O419" s="1752"/>
      <c r="P419" s="1752"/>
      <c r="Q419" s="1758"/>
      <c r="R419" s="1758"/>
      <c r="T419" s="1752"/>
      <c r="U419" s="1752"/>
      <c r="V419" s="1787"/>
    </row>
    <row r="420" spans="1:22" outlineLevel="1">
      <c r="A420" s="1749">
        <f t="shared" si="94"/>
        <v>39417</v>
      </c>
      <c r="B420" s="1749" t="str">
        <f t="shared" si="95"/>
        <v>4Q07</v>
      </c>
      <c r="C420" s="1749" t="str">
        <f t="shared" si="96"/>
        <v>4Q07</v>
      </c>
      <c r="D420" s="1750">
        <f t="shared" si="100"/>
        <v>39440</v>
      </c>
      <c r="E420" s="1750">
        <f t="shared" si="100"/>
        <v>39433</v>
      </c>
      <c r="F420" s="1735">
        <v>3.3090000000000002</v>
      </c>
      <c r="G420" s="1752"/>
      <c r="H420" s="1784">
        <v>0.47799999999999998</v>
      </c>
      <c r="I420" s="1763">
        <f t="shared" si="101"/>
        <v>0.47799999999999998</v>
      </c>
      <c r="J420" s="1784">
        <v>0.23899999999999999</v>
      </c>
      <c r="K420" s="1763">
        <f t="shared" si="102"/>
        <v>0.23899999999999999</v>
      </c>
      <c r="L420" s="1764">
        <f t="shared" si="99"/>
        <v>0.45000000000000023</v>
      </c>
      <c r="M420" s="1765">
        <f t="shared" si="97"/>
        <v>0.45000000000000023</v>
      </c>
      <c r="O420" s="1752"/>
      <c r="P420" s="1752"/>
      <c r="Q420" s="1758"/>
      <c r="R420" s="1758"/>
      <c r="T420" s="1752"/>
      <c r="U420" s="1752"/>
      <c r="V420" s="1787"/>
    </row>
    <row r="421" spans="1:22" outlineLevel="1">
      <c r="A421" s="1749">
        <f t="shared" si="94"/>
        <v>39417</v>
      </c>
      <c r="B421" s="1749" t="str">
        <f t="shared" si="95"/>
        <v>4Q07</v>
      </c>
      <c r="C421" s="1749" t="str">
        <f t="shared" si="96"/>
        <v>4Q07</v>
      </c>
      <c r="D421" s="1750">
        <f t="shared" ref="D421:E436" si="103">D420+7</f>
        <v>39447</v>
      </c>
      <c r="E421" s="1750">
        <f t="shared" si="103"/>
        <v>39440</v>
      </c>
      <c r="F421" s="1735">
        <v>3.3079999999999998</v>
      </c>
      <c r="G421" s="1752"/>
      <c r="H421" s="1784">
        <v>0.47799999999999998</v>
      </c>
      <c r="I421" s="1763">
        <f t="shared" si="101"/>
        <v>0.48599999999999999</v>
      </c>
      <c r="J421" s="1784">
        <v>0.23899999999999999</v>
      </c>
      <c r="K421" s="1763">
        <f t="shared" si="102"/>
        <v>0.24299999999999999</v>
      </c>
      <c r="L421" s="1764">
        <f t="shared" si="99"/>
        <v>0.45000000000000023</v>
      </c>
      <c r="M421" s="1765">
        <f t="shared" si="97"/>
        <v>0.45000000000000023</v>
      </c>
      <c r="O421" s="1752"/>
      <c r="P421" s="1752"/>
      <c r="Q421" s="1758"/>
      <c r="R421" s="1758"/>
      <c r="T421" s="1752"/>
      <c r="U421" s="1752"/>
      <c r="V421" s="1787"/>
    </row>
    <row r="422" spans="1:22" outlineLevel="1">
      <c r="A422" s="1749">
        <f t="shared" si="94"/>
        <v>39448</v>
      </c>
      <c r="B422" s="1749" t="str">
        <f t="shared" si="95"/>
        <v>1Q08</v>
      </c>
      <c r="C422" s="1749" t="str">
        <f t="shared" si="96"/>
        <v>4Q07</v>
      </c>
      <c r="D422" s="1750">
        <f t="shared" si="103"/>
        <v>39454</v>
      </c>
      <c r="E422" s="1750">
        <f t="shared" si="103"/>
        <v>39447</v>
      </c>
      <c r="F422" s="1735">
        <v>3.3450000000000002</v>
      </c>
      <c r="G422" s="1752"/>
      <c r="H422" s="1784">
        <v>0.48599999999999999</v>
      </c>
      <c r="I422" s="1763">
        <f t="shared" si="101"/>
        <v>0.49199999999999999</v>
      </c>
      <c r="J422" s="1784">
        <v>0.24299999999999999</v>
      </c>
      <c r="K422" s="1763">
        <f t="shared" si="102"/>
        <v>0.246</v>
      </c>
      <c r="L422" s="1764">
        <f t="shared" si="99"/>
        <v>0.45000000000000023</v>
      </c>
      <c r="M422" s="1765">
        <f t="shared" si="97"/>
        <v>0.46000000000000024</v>
      </c>
      <c r="O422" s="1752"/>
      <c r="P422" s="1752"/>
      <c r="Q422" s="1758"/>
      <c r="R422" s="1758"/>
      <c r="T422" s="1752"/>
      <c r="U422" s="1752"/>
      <c r="V422" s="1787"/>
    </row>
    <row r="423" spans="1:22" outlineLevel="1">
      <c r="A423" s="1749">
        <f t="shared" si="94"/>
        <v>39448</v>
      </c>
      <c r="B423" s="1749" t="str">
        <f t="shared" si="95"/>
        <v>1Q08</v>
      </c>
      <c r="C423" s="1749" t="str">
        <f t="shared" si="96"/>
        <v>1Q08</v>
      </c>
      <c r="D423" s="1750">
        <f t="shared" si="103"/>
        <v>39461</v>
      </c>
      <c r="E423" s="1750">
        <f t="shared" si="103"/>
        <v>39454</v>
      </c>
      <c r="F423" s="1735">
        <v>3.3759999999999999</v>
      </c>
      <c r="G423" s="1752"/>
      <c r="H423" s="1784">
        <v>0.49199999999999999</v>
      </c>
      <c r="I423" s="1763">
        <f t="shared" si="101"/>
        <v>0.48199999999999998</v>
      </c>
      <c r="J423" s="1784">
        <v>0.246</v>
      </c>
      <c r="K423" s="1763">
        <f t="shared" si="102"/>
        <v>0.24099999999999999</v>
      </c>
      <c r="L423" s="1764">
        <f t="shared" si="99"/>
        <v>0.46000000000000024</v>
      </c>
      <c r="M423" s="1765">
        <f t="shared" si="97"/>
        <v>0.45000000000000023</v>
      </c>
      <c r="O423" s="1752"/>
      <c r="P423" s="1752"/>
      <c r="Q423" s="1758"/>
      <c r="R423" s="1758"/>
      <c r="T423" s="1752"/>
      <c r="U423" s="1752"/>
      <c r="V423" s="1787"/>
    </row>
    <row r="424" spans="1:22" outlineLevel="1">
      <c r="A424" s="1749">
        <f t="shared" si="94"/>
        <v>39448</v>
      </c>
      <c r="B424" s="1749" t="str">
        <f t="shared" si="95"/>
        <v>1Q08</v>
      </c>
      <c r="C424" s="1749" t="str">
        <f t="shared" si="96"/>
        <v>1Q08</v>
      </c>
      <c r="D424" s="1750">
        <f t="shared" si="103"/>
        <v>39468</v>
      </c>
      <c r="E424" s="1750">
        <f t="shared" si="103"/>
        <v>39461</v>
      </c>
      <c r="F424" s="1735">
        <v>3.3260000000000001</v>
      </c>
      <c r="G424" s="1752"/>
      <c r="H424" s="1784">
        <v>0.48199999999999998</v>
      </c>
      <c r="I424" s="1763">
        <f t="shared" si="101"/>
        <v>0.47199999999999998</v>
      </c>
      <c r="J424" s="1784">
        <v>0.24099999999999999</v>
      </c>
      <c r="K424" s="1763">
        <f t="shared" si="102"/>
        <v>0.23599999999999999</v>
      </c>
      <c r="L424" s="1764">
        <f t="shared" si="99"/>
        <v>0.45000000000000023</v>
      </c>
      <c r="M424" s="1765">
        <f t="shared" si="97"/>
        <v>0.44000000000000022</v>
      </c>
      <c r="O424" s="1752"/>
      <c r="P424" s="1752"/>
      <c r="Q424" s="1758"/>
      <c r="R424" s="1758"/>
      <c r="T424" s="1752"/>
      <c r="U424" s="1752"/>
      <c r="V424" s="1787"/>
    </row>
    <row r="425" spans="1:22" outlineLevel="1">
      <c r="A425" s="1749">
        <f t="shared" si="94"/>
        <v>39448</v>
      </c>
      <c r="B425" s="1749" t="str">
        <f t="shared" si="95"/>
        <v>1Q08</v>
      </c>
      <c r="C425" s="1749" t="str">
        <f t="shared" si="96"/>
        <v>1Q08</v>
      </c>
      <c r="D425" s="1750">
        <f t="shared" si="103"/>
        <v>39475</v>
      </c>
      <c r="E425" s="1750">
        <f t="shared" si="103"/>
        <v>39468</v>
      </c>
      <c r="F425" s="1735">
        <v>3.27</v>
      </c>
      <c r="G425" s="1752"/>
      <c r="H425" s="1784">
        <v>0.47199999999999998</v>
      </c>
      <c r="I425" s="1763">
        <f t="shared" si="101"/>
        <v>0.46800000000000003</v>
      </c>
      <c r="J425" s="1784">
        <v>0.23599999999999999</v>
      </c>
      <c r="K425" s="1763">
        <f t="shared" si="102"/>
        <v>0.23400000000000001</v>
      </c>
      <c r="L425" s="1764">
        <f t="shared" si="99"/>
        <v>0.44000000000000022</v>
      </c>
      <c r="M425" s="1765">
        <f t="shared" si="97"/>
        <v>0.44000000000000022</v>
      </c>
      <c r="O425" s="1752"/>
      <c r="P425" s="1752"/>
      <c r="Q425" s="1758"/>
      <c r="R425" s="1758"/>
      <c r="T425" s="1752"/>
      <c r="U425" s="1752"/>
      <c r="V425" s="1787"/>
    </row>
    <row r="426" spans="1:22" outlineLevel="1">
      <c r="A426" s="1749">
        <f t="shared" si="94"/>
        <v>39479</v>
      </c>
      <c r="B426" s="1749" t="str">
        <f t="shared" si="95"/>
        <v>1Q08</v>
      </c>
      <c r="C426" s="1749" t="str">
        <f t="shared" si="96"/>
        <v>1Q08</v>
      </c>
      <c r="D426" s="1750">
        <f t="shared" si="103"/>
        <v>39482</v>
      </c>
      <c r="E426" s="1750">
        <f t="shared" si="103"/>
        <v>39475</v>
      </c>
      <c r="F426" s="1735">
        <v>3.2589999999999999</v>
      </c>
      <c r="G426" s="1752"/>
      <c r="H426" s="1784">
        <v>0.46800000000000003</v>
      </c>
      <c r="I426" s="1763">
        <f t="shared" si="101"/>
        <v>0.47399999999999998</v>
      </c>
      <c r="J426" s="1784">
        <v>0.23400000000000001</v>
      </c>
      <c r="K426" s="1763">
        <f t="shared" si="102"/>
        <v>0.23699999999999999</v>
      </c>
      <c r="L426" s="1764">
        <f t="shared" si="99"/>
        <v>0.44000000000000022</v>
      </c>
      <c r="M426" s="1765">
        <f t="shared" si="97"/>
        <v>0.44000000000000022</v>
      </c>
      <c r="O426" s="1752"/>
      <c r="P426" s="1752"/>
      <c r="Q426" s="1758"/>
      <c r="R426" s="1758"/>
      <c r="T426" s="1752"/>
      <c r="U426" s="1752"/>
      <c r="V426" s="1787"/>
    </row>
    <row r="427" spans="1:22" outlineLevel="1">
      <c r="A427" s="1749">
        <f t="shared" si="94"/>
        <v>39479</v>
      </c>
      <c r="B427" s="1749" t="str">
        <f t="shared" si="95"/>
        <v>1Q08</v>
      </c>
      <c r="C427" s="1749" t="str">
        <f t="shared" si="96"/>
        <v>1Q08</v>
      </c>
      <c r="D427" s="1750">
        <f t="shared" si="103"/>
        <v>39489</v>
      </c>
      <c r="E427" s="1750">
        <f t="shared" si="103"/>
        <v>39482</v>
      </c>
      <c r="F427" s="1735">
        <v>3.28</v>
      </c>
      <c r="G427" s="1752"/>
      <c r="H427" s="1784">
        <v>0.47399999999999998</v>
      </c>
      <c r="I427" s="1763">
        <f t="shared" si="101"/>
        <v>0.47399999999999998</v>
      </c>
      <c r="J427" s="1784">
        <v>0.23699999999999999</v>
      </c>
      <c r="K427" s="1763">
        <f t="shared" si="102"/>
        <v>0.23699999999999999</v>
      </c>
      <c r="L427" s="1764">
        <f t="shared" si="99"/>
        <v>0.44000000000000022</v>
      </c>
      <c r="M427" s="1765">
        <f t="shared" si="97"/>
        <v>0.44000000000000022</v>
      </c>
      <c r="O427" s="1752"/>
      <c r="P427" s="1752"/>
      <c r="Q427" s="1758"/>
      <c r="R427" s="1758"/>
      <c r="T427" s="1752"/>
      <c r="U427" s="1752"/>
      <c r="V427" s="1787"/>
    </row>
    <row r="428" spans="1:22" outlineLevel="1">
      <c r="A428" s="1749">
        <f t="shared" si="94"/>
        <v>39479</v>
      </c>
      <c r="B428" s="1749" t="str">
        <f t="shared" si="95"/>
        <v>1Q08</v>
      </c>
      <c r="C428" s="1749" t="str">
        <f t="shared" si="96"/>
        <v>1Q08</v>
      </c>
      <c r="D428" s="1750">
        <f t="shared" si="103"/>
        <v>39496</v>
      </c>
      <c r="E428" s="1750">
        <f t="shared" si="103"/>
        <v>39489</v>
      </c>
      <c r="F428" s="1735">
        <v>3.28</v>
      </c>
      <c r="G428" s="1752"/>
      <c r="H428" s="1784">
        <v>0.47399999999999998</v>
      </c>
      <c r="I428" s="1763">
        <f t="shared" si="101"/>
        <v>0.496</v>
      </c>
      <c r="J428" s="1784">
        <v>0.23699999999999999</v>
      </c>
      <c r="K428" s="1763">
        <f t="shared" si="102"/>
        <v>0.248</v>
      </c>
      <c r="L428" s="1764">
        <f t="shared" si="99"/>
        <v>0.44000000000000022</v>
      </c>
      <c r="M428" s="1765">
        <f t="shared" si="97"/>
        <v>0.46000000000000024</v>
      </c>
      <c r="O428" s="1752"/>
      <c r="P428" s="1752"/>
      <c r="Q428" s="1758"/>
      <c r="R428" s="1758"/>
      <c r="T428" s="1752"/>
      <c r="U428" s="1752"/>
      <c r="V428" s="1787"/>
    </row>
    <row r="429" spans="1:22" outlineLevel="1">
      <c r="A429" s="1749">
        <f t="shared" si="94"/>
        <v>39479</v>
      </c>
      <c r="B429" s="1749" t="str">
        <f t="shared" si="95"/>
        <v>1Q08</v>
      </c>
      <c r="C429" s="1749" t="str">
        <f t="shared" si="96"/>
        <v>1Q08</v>
      </c>
      <c r="D429" s="1750">
        <f t="shared" si="103"/>
        <v>39503</v>
      </c>
      <c r="E429" s="1750">
        <f t="shared" si="103"/>
        <v>39496</v>
      </c>
      <c r="F429" s="1735">
        <v>3.3959999999999999</v>
      </c>
      <c r="G429" s="1752"/>
      <c r="H429" s="1784">
        <v>0.496</v>
      </c>
      <c r="I429" s="1763">
        <f t="shared" si="101"/>
        <v>0.52800000000000002</v>
      </c>
      <c r="J429" s="1784">
        <v>0.248</v>
      </c>
      <c r="K429" s="1763">
        <f t="shared" si="102"/>
        <v>0.26400000000000001</v>
      </c>
      <c r="L429" s="1764">
        <f t="shared" si="99"/>
        <v>0.46000000000000024</v>
      </c>
      <c r="M429" s="1765">
        <f t="shared" si="97"/>
        <v>0.50000000000000022</v>
      </c>
      <c r="O429" s="1752"/>
      <c r="P429" s="1752"/>
      <c r="Q429" s="1758"/>
      <c r="R429" s="1758"/>
      <c r="T429" s="1752"/>
      <c r="U429" s="1752"/>
      <c r="V429" s="1787"/>
    </row>
    <row r="430" spans="1:22" outlineLevel="1">
      <c r="A430" s="1749">
        <f t="shared" si="94"/>
        <v>39508</v>
      </c>
      <c r="B430" s="1749" t="str">
        <f t="shared" si="95"/>
        <v>1Q08</v>
      </c>
      <c r="C430" s="1749" t="str">
        <f t="shared" si="96"/>
        <v>1Q08</v>
      </c>
      <c r="D430" s="1750">
        <f t="shared" si="103"/>
        <v>39510</v>
      </c>
      <c r="E430" s="1750">
        <f t="shared" si="103"/>
        <v>39503</v>
      </c>
      <c r="F430" s="1735">
        <v>3.552</v>
      </c>
      <c r="G430" s="1752"/>
      <c r="H430" s="1784">
        <v>0.52800000000000002</v>
      </c>
      <c r="I430" s="1763">
        <f t="shared" si="101"/>
        <v>0.54800000000000004</v>
      </c>
      <c r="J430" s="1784">
        <v>0.26400000000000001</v>
      </c>
      <c r="K430" s="1763">
        <f t="shared" si="102"/>
        <v>0.27400000000000002</v>
      </c>
      <c r="L430" s="1764">
        <f t="shared" si="99"/>
        <v>0.50000000000000022</v>
      </c>
      <c r="M430" s="1765">
        <f t="shared" si="97"/>
        <v>0.52000000000000024</v>
      </c>
      <c r="O430" s="1752"/>
      <c r="P430" s="1752"/>
      <c r="Q430" s="1758"/>
      <c r="R430" s="1758"/>
      <c r="T430" s="1752"/>
      <c r="U430" s="1752"/>
      <c r="V430" s="1787"/>
    </row>
    <row r="431" spans="1:22" outlineLevel="1">
      <c r="A431" s="1749">
        <f t="shared" si="94"/>
        <v>39508</v>
      </c>
      <c r="B431" s="1749" t="str">
        <f t="shared" si="95"/>
        <v>1Q08</v>
      </c>
      <c r="C431" s="1749" t="str">
        <f t="shared" si="96"/>
        <v>1Q08</v>
      </c>
      <c r="D431" s="1750">
        <f t="shared" si="103"/>
        <v>39517</v>
      </c>
      <c r="E431" s="1750">
        <f t="shared" si="103"/>
        <v>39510</v>
      </c>
      <c r="F431" s="1735">
        <v>3.6579999999999999</v>
      </c>
      <c r="G431" s="1752"/>
      <c r="H431" s="1784">
        <v>0.54800000000000004</v>
      </c>
      <c r="I431" s="1763">
        <f t="shared" si="101"/>
        <v>0.57999999999999996</v>
      </c>
      <c r="J431" s="1784">
        <v>0.27400000000000002</v>
      </c>
      <c r="K431" s="1763">
        <f t="shared" si="102"/>
        <v>0.28999999999999998</v>
      </c>
      <c r="L431" s="1764">
        <f t="shared" si="99"/>
        <v>0.52000000000000024</v>
      </c>
      <c r="M431" s="1765">
        <f t="shared" si="97"/>
        <v>0.55000000000000027</v>
      </c>
      <c r="O431" s="1752"/>
      <c r="P431" s="1752"/>
      <c r="Q431" s="1758"/>
      <c r="R431" s="1758"/>
      <c r="T431" s="1752"/>
      <c r="U431" s="1752"/>
      <c r="V431" s="1787"/>
    </row>
    <row r="432" spans="1:22" outlineLevel="1">
      <c r="A432" s="1749">
        <f t="shared" si="94"/>
        <v>39508</v>
      </c>
      <c r="B432" s="1749" t="str">
        <f t="shared" si="95"/>
        <v>1Q08</v>
      </c>
      <c r="C432" s="1749" t="str">
        <f t="shared" si="96"/>
        <v>1Q08</v>
      </c>
      <c r="D432" s="1750">
        <f t="shared" si="103"/>
        <v>39524</v>
      </c>
      <c r="E432" s="1750">
        <f t="shared" si="103"/>
        <v>39517</v>
      </c>
      <c r="F432" s="1735">
        <v>3.819</v>
      </c>
      <c r="G432" s="1752"/>
      <c r="H432" s="1784">
        <v>0.57999999999999996</v>
      </c>
      <c r="I432" s="1763">
        <f t="shared" si="101"/>
        <v>0.61199999999999999</v>
      </c>
      <c r="J432" s="1784">
        <v>0.28999999999999998</v>
      </c>
      <c r="K432" s="1763">
        <f t="shared" si="102"/>
        <v>0.30599999999999999</v>
      </c>
      <c r="L432" s="1764">
        <f t="shared" si="99"/>
        <v>0.55000000000000027</v>
      </c>
      <c r="M432" s="1765">
        <f t="shared" si="97"/>
        <v>0.58000000000000029</v>
      </c>
      <c r="O432" s="1752"/>
      <c r="P432" s="1752"/>
      <c r="Q432" s="1758"/>
      <c r="R432" s="1758"/>
      <c r="T432" s="1752"/>
      <c r="U432" s="1752"/>
      <c r="V432" s="1787"/>
    </row>
    <row r="433" spans="1:22" outlineLevel="1">
      <c r="A433" s="1749">
        <f t="shared" si="94"/>
        <v>39508</v>
      </c>
      <c r="B433" s="1749" t="str">
        <f t="shared" si="95"/>
        <v>1Q08</v>
      </c>
      <c r="C433" s="1749" t="str">
        <f t="shared" si="96"/>
        <v>1Q08</v>
      </c>
      <c r="D433" s="1750">
        <f t="shared" si="103"/>
        <v>39531</v>
      </c>
      <c r="E433" s="1750">
        <f t="shared" si="103"/>
        <v>39524</v>
      </c>
      <c r="F433" s="1735">
        <v>3.9740000000000002</v>
      </c>
      <c r="G433" s="1752"/>
      <c r="H433" s="1784">
        <v>0.61199999999999999</v>
      </c>
      <c r="I433" s="1763">
        <f t="shared" si="101"/>
        <v>0.61399999999999999</v>
      </c>
      <c r="J433" s="1784">
        <v>0.30599999999999999</v>
      </c>
      <c r="K433" s="1763">
        <f t="shared" si="102"/>
        <v>0.307</v>
      </c>
      <c r="L433" s="1764">
        <f t="shared" si="99"/>
        <v>0.58000000000000029</v>
      </c>
      <c r="M433" s="1765">
        <f t="shared" si="97"/>
        <v>0.58000000000000029</v>
      </c>
      <c r="O433" s="1752"/>
      <c r="P433" s="1752"/>
      <c r="Q433" s="1758"/>
      <c r="R433" s="1758"/>
      <c r="T433" s="1752"/>
      <c r="U433" s="1752"/>
      <c r="V433" s="1787"/>
    </row>
    <row r="434" spans="1:22" outlineLevel="1">
      <c r="A434" s="1749">
        <f t="shared" si="94"/>
        <v>39508</v>
      </c>
      <c r="B434" s="1749" t="str">
        <f t="shared" si="95"/>
        <v>1Q08</v>
      </c>
      <c r="C434" s="1749" t="str">
        <f t="shared" si="96"/>
        <v>1Q08</v>
      </c>
      <c r="D434" s="1750">
        <f t="shared" si="103"/>
        <v>39538</v>
      </c>
      <c r="E434" s="1750">
        <f t="shared" si="103"/>
        <v>39531</v>
      </c>
      <c r="F434" s="1735">
        <v>3.9889999999999999</v>
      </c>
      <c r="G434" s="1752"/>
      <c r="H434" s="1784">
        <v>0.61399999999999999</v>
      </c>
      <c r="I434" s="1763">
        <f t="shared" si="101"/>
        <v>0.61</v>
      </c>
      <c r="J434" s="1784">
        <v>0.307</v>
      </c>
      <c r="K434" s="1763">
        <f t="shared" si="102"/>
        <v>0.30499999999999999</v>
      </c>
      <c r="L434" s="1764">
        <f t="shared" si="99"/>
        <v>0.58000000000000029</v>
      </c>
      <c r="M434" s="1765">
        <f t="shared" si="97"/>
        <v>0.58000000000000029</v>
      </c>
      <c r="O434" s="1752"/>
      <c r="P434" s="1752"/>
      <c r="Q434" s="1758"/>
      <c r="R434" s="1758"/>
      <c r="T434" s="1752"/>
      <c r="U434" s="1752"/>
      <c r="V434" s="1787"/>
    </row>
    <row r="435" spans="1:22" outlineLevel="1">
      <c r="A435" s="1749">
        <f t="shared" si="94"/>
        <v>39539</v>
      </c>
      <c r="B435" s="1749" t="str">
        <f t="shared" si="95"/>
        <v>2Q08</v>
      </c>
      <c r="C435" s="1749" t="str">
        <f t="shared" si="96"/>
        <v>1Q08</v>
      </c>
      <c r="D435" s="1750">
        <f t="shared" si="103"/>
        <v>39545</v>
      </c>
      <c r="E435" s="1750">
        <f t="shared" si="103"/>
        <v>39538</v>
      </c>
      <c r="F435" s="1735">
        <v>3.964</v>
      </c>
      <c r="G435" s="1752"/>
      <c r="H435" s="1784">
        <v>0.61</v>
      </c>
      <c r="I435" s="1763">
        <f t="shared" si="101"/>
        <v>0.60799999999999998</v>
      </c>
      <c r="J435" s="1784">
        <v>0.30499999999999999</v>
      </c>
      <c r="K435" s="1763">
        <f t="shared" si="102"/>
        <v>0.30399999999999999</v>
      </c>
      <c r="L435" s="1764">
        <f t="shared" si="99"/>
        <v>0.58000000000000029</v>
      </c>
      <c r="M435" s="1765">
        <f t="shared" si="97"/>
        <v>0.58000000000000029</v>
      </c>
      <c r="O435" s="1752"/>
      <c r="P435" s="1752"/>
      <c r="Q435" s="1758"/>
      <c r="R435" s="1758"/>
      <c r="T435" s="1752"/>
      <c r="U435" s="1752"/>
      <c r="V435" s="1787"/>
    </row>
    <row r="436" spans="1:22" outlineLevel="1">
      <c r="A436" s="1749">
        <f t="shared" si="94"/>
        <v>39539</v>
      </c>
      <c r="B436" s="1749" t="str">
        <f t="shared" si="95"/>
        <v>2Q08</v>
      </c>
      <c r="C436" s="1749" t="str">
        <f t="shared" si="96"/>
        <v>2Q08</v>
      </c>
      <c r="D436" s="1750">
        <f t="shared" si="103"/>
        <v>39552</v>
      </c>
      <c r="E436" s="1750">
        <f t="shared" si="103"/>
        <v>39545</v>
      </c>
      <c r="F436" s="1735">
        <v>3.9550000000000001</v>
      </c>
      <c r="G436" s="1752"/>
      <c r="H436" s="1784">
        <v>0.60799999999999998</v>
      </c>
      <c r="I436" s="1763">
        <f t="shared" si="101"/>
        <v>0.628</v>
      </c>
      <c r="J436" s="1784">
        <v>0.30399999999999999</v>
      </c>
      <c r="K436" s="1763">
        <f t="shared" si="102"/>
        <v>0.314</v>
      </c>
      <c r="L436" s="1764">
        <f t="shared" si="99"/>
        <v>0.58000000000000029</v>
      </c>
      <c r="M436" s="1765">
        <f t="shared" si="97"/>
        <v>0.60000000000000031</v>
      </c>
      <c r="O436" s="1752"/>
      <c r="P436" s="1752"/>
      <c r="Q436" s="1758"/>
      <c r="R436" s="1758"/>
      <c r="T436" s="1752"/>
      <c r="U436" s="1752"/>
      <c r="V436" s="1787"/>
    </row>
    <row r="437" spans="1:22" outlineLevel="1">
      <c r="A437" s="1749">
        <f t="shared" si="94"/>
        <v>39539</v>
      </c>
      <c r="B437" s="1749" t="str">
        <f t="shared" si="95"/>
        <v>2Q08</v>
      </c>
      <c r="C437" s="1749" t="str">
        <f t="shared" si="96"/>
        <v>2Q08</v>
      </c>
      <c r="D437" s="1750">
        <f t="shared" ref="D437:E452" si="104">D436+7</f>
        <v>39559</v>
      </c>
      <c r="E437" s="1750">
        <f t="shared" si="104"/>
        <v>39552</v>
      </c>
      <c r="F437" s="1735">
        <v>4.0590000000000002</v>
      </c>
      <c r="G437" s="1752"/>
      <c r="H437" s="1784">
        <v>0.628</v>
      </c>
      <c r="I437" s="1763">
        <f t="shared" si="101"/>
        <v>0.64600000000000002</v>
      </c>
      <c r="J437" s="1784">
        <v>0.314</v>
      </c>
      <c r="K437" s="1763">
        <f t="shared" si="102"/>
        <v>0.32300000000000001</v>
      </c>
      <c r="L437" s="1764">
        <f t="shared" si="99"/>
        <v>0.60000000000000031</v>
      </c>
      <c r="M437" s="1765">
        <f t="shared" si="97"/>
        <v>0.61000000000000032</v>
      </c>
      <c r="O437" s="1752"/>
      <c r="P437" s="1752"/>
      <c r="Q437" s="1758"/>
      <c r="R437" s="1758"/>
      <c r="T437" s="1752"/>
      <c r="U437" s="1752"/>
      <c r="V437" s="1787"/>
    </row>
    <row r="438" spans="1:22" outlineLevel="1">
      <c r="A438" s="1749">
        <f t="shared" si="94"/>
        <v>39539</v>
      </c>
      <c r="B438" s="1749" t="str">
        <f t="shared" si="95"/>
        <v>2Q08</v>
      </c>
      <c r="C438" s="1749" t="str">
        <f t="shared" si="96"/>
        <v>2Q08</v>
      </c>
      <c r="D438" s="1750">
        <f t="shared" si="104"/>
        <v>39566</v>
      </c>
      <c r="E438" s="1750">
        <f t="shared" si="104"/>
        <v>39559</v>
      </c>
      <c r="F438" s="1735">
        <v>4.1429999999999998</v>
      </c>
      <c r="G438" s="1752"/>
      <c r="H438" s="1784">
        <v>0.64600000000000002</v>
      </c>
      <c r="I438" s="1763">
        <f t="shared" si="101"/>
        <v>0.65200000000000002</v>
      </c>
      <c r="J438" s="1784">
        <v>0.32300000000000001</v>
      </c>
      <c r="K438" s="1763">
        <f t="shared" si="102"/>
        <v>0.32600000000000001</v>
      </c>
      <c r="L438" s="1764">
        <f t="shared" si="99"/>
        <v>0.61000000000000032</v>
      </c>
      <c r="M438" s="1765">
        <f t="shared" si="97"/>
        <v>0.62000000000000033</v>
      </c>
      <c r="O438" s="1752"/>
      <c r="P438" s="1752"/>
      <c r="Q438" s="1758"/>
      <c r="R438" s="1758"/>
      <c r="T438" s="1752"/>
      <c r="U438" s="1752"/>
      <c r="V438" s="1787"/>
    </row>
    <row r="439" spans="1:22" outlineLevel="1">
      <c r="A439" s="1749">
        <f t="shared" si="94"/>
        <v>39569</v>
      </c>
      <c r="B439" s="1749" t="str">
        <f t="shared" si="95"/>
        <v>2Q08</v>
      </c>
      <c r="C439" s="1749" t="str">
        <f t="shared" si="96"/>
        <v>2Q08</v>
      </c>
      <c r="D439" s="1750">
        <f t="shared" si="104"/>
        <v>39573</v>
      </c>
      <c r="E439" s="1750">
        <f t="shared" si="104"/>
        <v>39566</v>
      </c>
      <c r="F439" s="1735">
        <v>4.1769999999999996</v>
      </c>
      <c r="G439" s="1752"/>
      <c r="H439" s="1784">
        <v>0.65200000000000002</v>
      </c>
      <c r="I439" s="1763">
        <f t="shared" si="101"/>
        <v>0.64600000000000002</v>
      </c>
      <c r="J439" s="1784">
        <v>0.32600000000000001</v>
      </c>
      <c r="K439" s="1763">
        <f t="shared" si="102"/>
        <v>0.32300000000000001</v>
      </c>
      <c r="L439" s="1764">
        <f t="shared" si="99"/>
        <v>0.62000000000000033</v>
      </c>
      <c r="M439" s="1765">
        <f t="shared" si="97"/>
        <v>0.61000000000000032</v>
      </c>
      <c r="O439" s="1752"/>
      <c r="P439" s="1752"/>
      <c r="Q439" s="1758"/>
      <c r="R439" s="1758"/>
      <c r="T439" s="1752"/>
      <c r="U439" s="1752"/>
      <c r="V439" s="1787"/>
    </row>
    <row r="440" spans="1:22" outlineLevel="1">
      <c r="A440" s="1749">
        <f t="shared" si="94"/>
        <v>39569</v>
      </c>
      <c r="B440" s="1749" t="str">
        <f t="shared" si="95"/>
        <v>2Q08</v>
      </c>
      <c r="C440" s="1749" t="str">
        <f t="shared" si="96"/>
        <v>2Q08</v>
      </c>
      <c r="D440" s="1750">
        <f t="shared" si="104"/>
        <v>39580</v>
      </c>
      <c r="E440" s="1750">
        <f t="shared" si="104"/>
        <v>39573</v>
      </c>
      <c r="F440" s="1735">
        <v>4.149</v>
      </c>
      <c r="G440" s="1752"/>
      <c r="H440" s="1784">
        <v>0.64600000000000002</v>
      </c>
      <c r="I440" s="1763">
        <f t="shared" si="101"/>
        <v>0.68400000000000005</v>
      </c>
      <c r="J440" s="1784">
        <v>0.32300000000000001</v>
      </c>
      <c r="K440" s="1763">
        <f t="shared" si="102"/>
        <v>0.34200000000000003</v>
      </c>
      <c r="L440" s="1764">
        <f t="shared" si="99"/>
        <v>0.61000000000000032</v>
      </c>
      <c r="M440" s="1765">
        <f t="shared" si="97"/>
        <v>0.65000000000000036</v>
      </c>
      <c r="O440" s="1752"/>
      <c r="P440" s="1752"/>
      <c r="Q440" s="1758"/>
      <c r="R440" s="1758"/>
      <c r="T440" s="1752"/>
      <c r="U440" s="1752"/>
      <c r="V440" s="1787"/>
    </row>
    <row r="441" spans="1:22" outlineLevel="1">
      <c r="A441" s="1749">
        <f t="shared" si="94"/>
        <v>39569</v>
      </c>
      <c r="B441" s="1749" t="str">
        <f t="shared" si="95"/>
        <v>2Q08</v>
      </c>
      <c r="C441" s="1749" t="str">
        <f t="shared" si="96"/>
        <v>2Q08</v>
      </c>
      <c r="D441" s="1750">
        <f t="shared" si="104"/>
        <v>39587</v>
      </c>
      <c r="E441" s="1750">
        <f t="shared" si="104"/>
        <v>39580</v>
      </c>
      <c r="F441" s="1735">
        <v>4.3310000000000004</v>
      </c>
      <c r="G441" s="1752"/>
      <c r="H441" s="1784">
        <v>0.68400000000000005</v>
      </c>
      <c r="I441" s="1763">
        <f t="shared" si="101"/>
        <v>0.71599999999999997</v>
      </c>
      <c r="J441" s="1784">
        <v>0.34200000000000003</v>
      </c>
      <c r="K441" s="1763">
        <f t="shared" si="102"/>
        <v>0.35799999999999998</v>
      </c>
      <c r="L441" s="1764">
        <f t="shared" si="99"/>
        <v>0.65000000000000036</v>
      </c>
      <c r="M441" s="1765">
        <f t="shared" si="97"/>
        <v>0.68000000000000038</v>
      </c>
      <c r="O441" s="1752"/>
      <c r="P441" s="1752"/>
      <c r="Q441" s="1787"/>
      <c r="R441" s="1785"/>
      <c r="T441" s="1752"/>
      <c r="U441" s="1752"/>
      <c r="V441" s="1787"/>
    </row>
    <row r="442" spans="1:22" outlineLevel="1">
      <c r="A442" s="1749">
        <f t="shared" si="94"/>
        <v>39569</v>
      </c>
      <c r="B442" s="1749" t="str">
        <f t="shared" si="95"/>
        <v>2Q08</v>
      </c>
      <c r="C442" s="1749" t="str">
        <f t="shared" si="96"/>
        <v>2Q08</v>
      </c>
      <c r="D442" s="1750">
        <f t="shared" si="104"/>
        <v>39594</v>
      </c>
      <c r="E442" s="1750">
        <f t="shared" si="104"/>
        <v>39587</v>
      </c>
      <c r="F442" s="1735">
        <v>4.4969999999999999</v>
      </c>
      <c r="G442" s="1752"/>
      <c r="H442" s="1784">
        <v>0.71599999999999997</v>
      </c>
      <c r="I442" s="1763">
        <f t="shared" si="101"/>
        <v>0.76200000000000001</v>
      </c>
      <c r="J442" s="1784">
        <v>0.35799999999999998</v>
      </c>
      <c r="K442" s="1763">
        <f t="shared" si="102"/>
        <v>0.38100000000000001</v>
      </c>
      <c r="L442" s="1764">
        <f t="shared" si="99"/>
        <v>0.68000000000000038</v>
      </c>
      <c r="M442" s="1765">
        <f t="shared" si="97"/>
        <v>0.73000000000000043</v>
      </c>
      <c r="O442" s="1752"/>
      <c r="P442" s="1752"/>
      <c r="Q442" s="1787"/>
      <c r="R442" s="1785"/>
      <c r="T442" s="1752"/>
      <c r="U442" s="1752"/>
      <c r="V442" s="1787"/>
    </row>
    <row r="443" spans="1:22" outlineLevel="1">
      <c r="A443" s="1749">
        <f t="shared" si="94"/>
        <v>39600</v>
      </c>
      <c r="B443" s="1749" t="str">
        <f t="shared" si="95"/>
        <v>2Q08</v>
      </c>
      <c r="C443" s="1749" t="str">
        <f t="shared" si="96"/>
        <v>2Q08</v>
      </c>
      <c r="D443" s="1750">
        <f t="shared" si="104"/>
        <v>39601</v>
      </c>
      <c r="E443" s="1750">
        <f t="shared" si="104"/>
        <v>39594</v>
      </c>
      <c r="F443" s="1735">
        <v>4.7229999999999999</v>
      </c>
      <c r="G443" s="1752"/>
      <c r="H443" s="1784">
        <v>0.76200000000000001</v>
      </c>
      <c r="I443" s="1763">
        <f t="shared" si="101"/>
        <v>0.75800000000000001</v>
      </c>
      <c r="J443" s="1784">
        <v>0.38100000000000001</v>
      </c>
      <c r="K443" s="1763">
        <f t="shared" si="102"/>
        <v>0.379</v>
      </c>
      <c r="L443" s="1764">
        <f t="shared" si="99"/>
        <v>0.73000000000000043</v>
      </c>
      <c r="M443" s="1765">
        <f t="shared" si="97"/>
        <v>0.73000000000000043</v>
      </c>
    </row>
    <row r="444" spans="1:22" outlineLevel="1">
      <c r="A444" s="1749">
        <f t="shared" si="94"/>
        <v>39600</v>
      </c>
      <c r="B444" s="1749" t="str">
        <f t="shared" si="95"/>
        <v>2Q08</v>
      </c>
      <c r="C444" s="1749" t="str">
        <f t="shared" si="96"/>
        <v>2Q08</v>
      </c>
      <c r="D444" s="1750">
        <f t="shared" si="104"/>
        <v>39608</v>
      </c>
      <c r="E444" s="1750">
        <f t="shared" si="104"/>
        <v>39601</v>
      </c>
      <c r="F444" s="1735">
        <v>4.7069999999999999</v>
      </c>
      <c r="G444" s="1752"/>
      <c r="H444" s="1784">
        <v>0.75800000000000001</v>
      </c>
      <c r="I444" s="1763">
        <f t="shared" si="101"/>
        <v>0.75600000000000001</v>
      </c>
      <c r="J444" s="1784">
        <v>0.379</v>
      </c>
      <c r="K444" s="1763">
        <f t="shared" si="102"/>
        <v>0.378</v>
      </c>
      <c r="L444" s="1764">
        <f t="shared" si="99"/>
        <v>0.73000000000000043</v>
      </c>
      <c r="M444" s="1765">
        <f t="shared" si="97"/>
        <v>0.72000000000000042</v>
      </c>
    </row>
    <row r="445" spans="1:22" outlineLevel="1">
      <c r="A445" s="1749">
        <f t="shared" si="94"/>
        <v>39600</v>
      </c>
      <c r="B445" s="1749" t="str">
        <f t="shared" si="95"/>
        <v>2Q08</v>
      </c>
      <c r="C445" s="1749" t="str">
        <f t="shared" si="96"/>
        <v>2Q08</v>
      </c>
      <c r="D445" s="1750">
        <f t="shared" si="104"/>
        <v>39615</v>
      </c>
      <c r="E445" s="1750">
        <f t="shared" si="104"/>
        <v>39608</v>
      </c>
      <c r="F445" s="1735">
        <v>4.6920000000000002</v>
      </c>
      <c r="G445" s="1752"/>
      <c r="H445" s="1784">
        <v>0.75600000000000001</v>
      </c>
      <c r="I445" s="1763">
        <f t="shared" si="101"/>
        <v>0.75600000000000001</v>
      </c>
      <c r="J445" s="1784">
        <v>0.378</v>
      </c>
      <c r="K445" s="1763">
        <f t="shared" si="102"/>
        <v>0.378</v>
      </c>
      <c r="L445" s="1764">
        <f t="shared" si="99"/>
        <v>0.72000000000000042</v>
      </c>
      <c r="M445" s="1765">
        <f t="shared" si="97"/>
        <v>0.72000000000000042</v>
      </c>
    </row>
    <row r="446" spans="1:22" outlineLevel="1">
      <c r="A446" s="1749">
        <f t="shared" si="94"/>
        <v>39600</v>
      </c>
      <c r="B446" s="1749" t="str">
        <f t="shared" si="95"/>
        <v>2Q08</v>
      </c>
      <c r="C446" s="1749" t="str">
        <f t="shared" si="96"/>
        <v>2Q08</v>
      </c>
      <c r="D446" s="1750">
        <f t="shared" si="104"/>
        <v>39622</v>
      </c>
      <c r="E446" s="1750">
        <f t="shared" si="104"/>
        <v>39615</v>
      </c>
      <c r="F446" s="1735">
        <v>4.6920000000000002</v>
      </c>
      <c r="G446" s="1752"/>
      <c r="H446" s="1784">
        <v>0.75600000000000001</v>
      </c>
      <c r="I446" s="1763">
        <f t="shared" si="101"/>
        <v>0.746</v>
      </c>
      <c r="J446" s="1784">
        <v>0.378</v>
      </c>
      <c r="K446" s="1763">
        <f t="shared" si="102"/>
        <v>0.373</v>
      </c>
      <c r="L446" s="1764">
        <f t="shared" si="99"/>
        <v>0.72000000000000042</v>
      </c>
      <c r="M446" s="1765">
        <f t="shared" si="97"/>
        <v>0.71000000000000041</v>
      </c>
    </row>
    <row r="447" spans="1:22" outlineLevel="1">
      <c r="A447" s="1749">
        <f t="shared" si="94"/>
        <v>39600</v>
      </c>
      <c r="B447" s="1749" t="str">
        <f t="shared" si="95"/>
        <v>2Q08</v>
      </c>
      <c r="C447" s="1749" t="str">
        <f t="shared" si="96"/>
        <v>2Q08</v>
      </c>
      <c r="D447" s="1750">
        <f t="shared" si="104"/>
        <v>39629</v>
      </c>
      <c r="E447" s="1750">
        <f t="shared" si="104"/>
        <v>39622</v>
      </c>
      <c r="F447" s="1735">
        <v>4.6479999999999997</v>
      </c>
      <c r="G447" s="1752"/>
      <c r="H447" s="1784">
        <v>0.746</v>
      </c>
      <c r="I447" s="1763">
        <f t="shared" si="101"/>
        <v>0.746</v>
      </c>
      <c r="J447" s="1784">
        <v>0.373</v>
      </c>
      <c r="K447" s="1763">
        <f t="shared" si="102"/>
        <v>0.373</v>
      </c>
      <c r="L447" s="1764">
        <f t="shared" si="99"/>
        <v>0.71000000000000041</v>
      </c>
      <c r="M447" s="1765">
        <f t="shared" si="97"/>
        <v>0.71000000000000041</v>
      </c>
    </row>
    <row r="448" spans="1:22" outlineLevel="1">
      <c r="A448" s="1749">
        <f t="shared" si="94"/>
        <v>39630</v>
      </c>
      <c r="B448" s="1749" t="str">
        <f t="shared" si="95"/>
        <v>3Q08</v>
      </c>
      <c r="C448" s="1749" t="str">
        <f t="shared" si="96"/>
        <v>2Q08</v>
      </c>
      <c r="D448" s="1750">
        <f t="shared" si="104"/>
        <v>39636</v>
      </c>
      <c r="E448" s="1750">
        <f t="shared" si="104"/>
        <v>39629</v>
      </c>
      <c r="F448" s="1735">
        <v>4.6449999999999996</v>
      </c>
      <c r="G448" s="1752"/>
      <c r="H448" s="1784">
        <v>0.746</v>
      </c>
      <c r="I448" s="1763">
        <f t="shared" si="101"/>
        <v>0.76200000000000001</v>
      </c>
      <c r="J448" s="1784">
        <v>0.373</v>
      </c>
      <c r="K448" s="1763">
        <f t="shared" si="102"/>
        <v>0.38100000000000001</v>
      </c>
      <c r="L448" s="1764">
        <f t="shared" si="99"/>
        <v>0.71000000000000041</v>
      </c>
      <c r="M448" s="1765">
        <f t="shared" si="97"/>
        <v>0.73000000000000043</v>
      </c>
    </row>
    <row r="449" spans="1:13" outlineLevel="1">
      <c r="A449" s="1749">
        <f t="shared" si="94"/>
        <v>39630</v>
      </c>
      <c r="B449" s="1749" t="str">
        <f t="shared" si="95"/>
        <v>3Q08</v>
      </c>
      <c r="C449" s="1749" t="str">
        <f t="shared" si="96"/>
        <v>3Q08</v>
      </c>
      <c r="D449" s="1750">
        <f t="shared" si="104"/>
        <v>39643</v>
      </c>
      <c r="E449" s="1750">
        <f t="shared" si="104"/>
        <v>39636</v>
      </c>
      <c r="F449" s="1735">
        <v>4.7270000000000003</v>
      </c>
      <c r="G449" s="1752"/>
      <c r="H449" s="1784">
        <v>0.76200000000000001</v>
      </c>
      <c r="I449" s="1763">
        <f t="shared" si="101"/>
        <v>0.77</v>
      </c>
      <c r="J449" s="1784">
        <v>0.38100000000000001</v>
      </c>
      <c r="K449" s="1763">
        <f t="shared" si="102"/>
        <v>0.38500000000000001</v>
      </c>
      <c r="L449" s="1764">
        <f t="shared" si="99"/>
        <v>0.73000000000000043</v>
      </c>
      <c r="M449" s="1765">
        <f t="shared" si="97"/>
        <v>0.74000000000000044</v>
      </c>
    </row>
    <row r="450" spans="1:13" outlineLevel="1">
      <c r="A450" s="1749">
        <f t="shared" si="94"/>
        <v>39630</v>
      </c>
      <c r="B450" s="1749" t="str">
        <f t="shared" si="95"/>
        <v>3Q08</v>
      </c>
      <c r="C450" s="1749" t="str">
        <f t="shared" si="96"/>
        <v>3Q08</v>
      </c>
      <c r="D450" s="1750">
        <f t="shared" si="104"/>
        <v>39650</v>
      </c>
      <c r="E450" s="1750">
        <f t="shared" si="104"/>
        <v>39643</v>
      </c>
      <c r="F450" s="1735">
        <v>4.7640000000000002</v>
      </c>
      <c r="G450" s="1752"/>
      <c r="H450" s="1784">
        <v>0.77</v>
      </c>
      <c r="I450" s="1763">
        <f t="shared" si="101"/>
        <v>0.76</v>
      </c>
      <c r="J450" s="1784">
        <v>0.38500000000000001</v>
      </c>
      <c r="K450" s="1763">
        <f t="shared" si="102"/>
        <v>0.38</v>
      </c>
      <c r="L450" s="1764">
        <f t="shared" si="99"/>
        <v>0.74000000000000044</v>
      </c>
      <c r="M450" s="1765">
        <f t="shared" si="97"/>
        <v>0.73000000000000043</v>
      </c>
    </row>
    <row r="451" spans="1:13" outlineLevel="1">
      <c r="A451" s="1749">
        <f t="shared" si="94"/>
        <v>39630</v>
      </c>
      <c r="B451" s="1749" t="str">
        <f t="shared" si="95"/>
        <v>3Q08</v>
      </c>
      <c r="C451" s="1749" t="str">
        <f t="shared" si="96"/>
        <v>3Q08</v>
      </c>
      <c r="D451" s="1750">
        <f t="shared" si="104"/>
        <v>39657</v>
      </c>
      <c r="E451" s="1750">
        <f t="shared" si="104"/>
        <v>39650</v>
      </c>
      <c r="F451" s="1735">
        <v>4.718</v>
      </c>
      <c r="G451" s="1752"/>
      <c r="H451" s="1784">
        <v>0.76</v>
      </c>
      <c r="I451" s="1763">
        <f t="shared" si="101"/>
        <v>0.73799999999999999</v>
      </c>
      <c r="J451" s="1784">
        <v>0.38</v>
      </c>
      <c r="K451" s="1763">
        <f t="shared" si="102"/>
        <v>0.36899999999999999</v>
      </c>
      <c r="L451" s="1764">
        <f t="shared" si="99"/>
        <v>0.73000000000000043</v>
      </c>
      <c r="M451" s="1765">
        <f t="shared" si="97"/>
        <v>0.71000000000000041</v>
      </c>
    </row>
    <row r="452" spans="1:13" outlineLevel="1">
      <c r="A452" s="1749">
        <f t="shared" ref="A452:A515" si="105">DATE(YEAR(D452),MONTH(D452),1)</f>
        <v>39661</v>
      </c>
      <c r="B452" s="1749" t="str">
        <f t="shared" ref="B452:B515" si="106">VLOOKUP(MONTH(A452),$AB$4:$AC$17,2,FALSE) &amp; "Q" &amp; RIGHT(YEAR(A452),2)</f>
        <v>3Q08</v>
      </c>
      <c r="C452" s="1749" t="str">
        <f t="shared" ref="C452:C515" si="107">VLOOKUP(MONTH(E452),$AB$4:$AC$17,2,FALSE) &amp; "Q" &amp; RIGHT(YEAR(E452),2)</f>
        <v>3Q08</v>
      </c>
      <c r="D452" s="1750">
        <f t="shared" si="104"/>
        <v>39664</v>
      </c>
      <c r="E452" s="1750">
        <f t="shared" si="104"/>
        <v>39657</v>
      </c>
      <c r="F452" s="1735">
        <v>4.6029999999999998</v>
      </c>
      <c r="G452" s="1752"/>
      <c r="H452" s="1784">
        <v>0.73799999999999999</v>
      </c>
      <c r="I452" s="1763">
        <f t="shared" si="101"/>
        <v>0.71799999999999997</v>
      </c>
      <c r="J452" s="1784">
        <v>0.36899999999999999</v>
      </c>
      <c r="K452" s="1763">
        <f t="shared" si="102"/>
        <v>0.35899999999999999</v>
      </c>
      <c r="L452" s="1764">
        <f t="shared" si="99"/>
        <v>0.71000000000000041</v>
      </c>
      <c r="M452" s="1765">
        <f t="shared" ref="M452:M515" si="108">L453</f>
        <v>0.69000000000000039</v>
      </c>
    </row>
    <row r="453" spans="1:13" outlineLevel="1">
      <c r="A453" s="1749">
        <f t="shared" si="105"/>
        <v>39661</v>
      </c>
      <c r="B453" s="1749" t="str">
        <f t="shared" si="106"/>
        <v>3Q08</v>
      </c>
      <c r="C453" s="1749" t="str">
        <f t="shared" si="107"/>
        <v>3Q08</v>
      </c>
      <c r="D453" s="1750">
        <f t="shared" ref="D453:E468" si="109">D452+7</f>
        <v>39671</v>
      </c>
      <c r="E453" s="1750">
        <f t="shared" si="109"/>
        <v>39664</v>
      </c>
      <c r="F453" s="1735">
        <v>4.5019999999999998</v>
      </c>
      <c r="G453" s="1752"/>
      <c r="H453" s="1784">
        <v>0.71799999999999997</v>
      </c>
      <c r="I453" s="1763">
        <f t="shared" si="101"/>
        <v>0.68799999999999994</v>
      </c>
      <c r="J453" s="1784">
        <v>0.35899999999999999</v>
      </c>
      <c r="K453" s="1763">
        <f t="shared" si="102"/>
        <v>0.34399999999999997</v>
      </c>
      <c r="L453" s="1764">
        <f t="shared" ref="L453:L516" si="110">INDEX($T$4:$V$100,MATCH(F453,$T$4:$T$100,1),3)</f>
        <v>0.69000000000000039</v>
      </c>
      <c r="M453" s="1765">
        <f t="shared" si="108"/>
        <v>0.66000000000000036</v>
      </c>
    </row>
    <row r="454" spans="1:13" outlineLevel="1">
      <c r="A454" s="1749">
        <f t="shared" si="105"/>
        <v>39661</v>
      </c>
      <c r="B454" s="1749" t="str">
        <f t="shared" si="106"/>
        <v>3Q08</v>
      </c>
      <c r="C454" s="1749" t="str">
        <f t="shared" si="107"/>
        <v>3Q08</v>
      </c>
      <c r="D454" s="1750">
        <f t="shared" si="109"/>
        <v>39678</v>
      </c>
      <c r="E454" s="1750">
        <f t="shared" si="109"/>
        <v>39671</v>
      </c>
      <c r="F454" s="1735">
        <v>4.3529999999999998</v>
      </c>
      <c r="G454" s="1752"/>
      <c r="H454" s="1784">
        <v>0.68799999999999994</v>
      </c>
      <c r="I454" s="1763">
        <f t="shared" si="101"/>
        <v>0.65800000000000003</v>
      </c>
      <c r="J454" s="1784">
        <v>0.34399999999999997</v>
      </c>
      <c r="K454" s="1763">
        <f t="shared" si="102"/>
        <v>0.32900000000000001</v>
      </c>
      <c r="L454" s="1764">
        <f t="shared" si="110"/>
        <v>0.66000000000000036</v>
      </c>
      <c r="M454" s="1765">
        <f t="shared" si="108"/>
        <v>0.63000000000000034</v>
      </c>
    </row>
    <row r="455" spans="1:13" outlineLevel="1">
      <c r="A455" s="1749">
        <f t="shared" si="105"/>
        <v>39661</v>
      </c>
      <c r="B455" s="1749" t="str">
        <f t="shared" si="106"/>
        <v>3Q08</v>
      </c>
      <c r="C455" s="1749" t="str">
        <f t="shared" si="107"/>
        <v>3Q08</v>
      </c>
      <c r="D455" s="1750">
        <f t="shared" si="109"/>
        <v>39685</v>
      </c>
      <c r="E455" s="1750">
        <f t="shared" si="109"/>
        <v>39678</v>
      </c>
      <c r="F455" s="1735">
        <v>4.2069999999999999</v>
      </c>
      <c r="G455" s="1752"/>
      <c r="H455" s="1784">
        <v>0.65800000000000003</v>
      </c>
      <c r="I455" s="1763">
        <f t="shared" si="101"/>
        <v>0.64600000000000002</v>
      </c>
      <c r="J455" s="1784">
        <v>0.32900000000000001</v>
      </c>
      <c r="K455" s="1763">
        <f t="shared" si="102"/>
        <v>0.32300000000000001</v>
      </c>
      <c r="L455" s="1764">
        <f t="shared" si="110"/>
        <v>0.63000000000000034</v>
      </c>
      <c r="M455" s="1765">
        <f t="shared" si="108"/>
        <v>0.61000000000000032</v>
      </c>
    </row>
    <row r="456" spans="1:13" outlineLevel="1">
      <c r="A456" s="1749">
        <f t="shared" si="105"/>
        <v>39692</v>
      </c>
      <c r="B456" s="1749" t="str">
        <f t="shared" si="106"/>
        <v>3Q08</v>
      </c>
      <c r="C456" s="1749" t="str">
        <f t="shared" si="107"/>
        <v>3Q08</v>
      </c>
      <c r="D456" s="1750">
        <f t="shared" si="109"/>
        <v>39692</v>
      </c>
      <c r="E456" s="1750">
        <f t="shared" si="109"/>
        <v>39685</v>
      </c>
      <c r="F456" s="1735">
        <v>4.1449999999999996</v>
      </c>
      <c r="G456" s="1752"/>
      <c r="H456" s="1784">
        <v>0.64600000000000002</v>
      </c>
      <c r="I456" s="1763">
        <f t="shared" si="101"/>
        <v>0.64200000000000002</v>
      </c>
      <c r="J456" s="1784">
        <v>0.32300000000000001</v>
      </c>
      <c r="K456" s="1763">
        <f t="shared" si="102"/>
        <v>0.32100000000000001</v>
      </c>
      <c r="L456" s="1764">
        <f t="shared" si="110"/>
        <v>0.61000000000000032</v>
      </c>
      <c r="M456" s="1765">
        <f t="shared" si="108"/>
        <v>0.61000000000000032</v>
      </c>
    </row>
    <row r="457" spans="1:13" outlineLevel="1">
      <c r="A457" s="1749">
        <f t="shared" si="105"/>
        <v>39692</v>
      </c>
      <c r="B457" s="1749" t="str">
        <f t="shared" si="106"/>
        <v>3Q08</v>
      </c>
      <c r="C457" s="1749" t="str">
        <f t="shared" si="107"/>
        <v>3Q08</v>
      </c>
      <c r="D457" s="1750">
        <f t="shared" si="109"/>
        <v>39699</v>
      </c>
      <c r="E457" s="1750">
        <f t="shared" si="109"/>
        <v>39692</v>
      </c>
      <c r="F457" s="1735">
        <v>4.1210000000000004</v>
      </c>
      <c r="G457" s="1752"/>
      <c r="H457" s="1784">
        <v>0.64200000000000002</v>
      </c>
      <c r="I457" s="1763">
        <f t="shared" si="101"/>
        <v>0.628</v>
      </c>
      <c r="J457" s="1784">
        <v>0.32100000000000001</v>
      </c>
      <c r="K457" s="1763">
        <f t="shared" si="102"/>
        <v>0.314</v>
      </c>
      <c r="L457" s="1764">
        <f t="shared" si="110"/>
        <v>0.61000000000000032</v>
      </c>
      <c r="M457" s="1765">
        <f t="shared" si="108"/>
        <v>0.60000000000000031</v>
      </c>
    </row>
    <row r="458" spans="1:13" outlineLevel="1">
      <c r="A458" s="1749">
        <f t="shared" si="105"/>
        <v>39692</v>
      </c>
      <c r="B458" s="1749" t="str">
        <f t="shared" si="106"/>
        <v>3Q08</v>
      </c>
      <c r="C458" s="1749" t="str">
        <f t="shared" si="107"/>
        <v>3Q08</v>
      </c>
      <c r="D458" s="1750">
        <f t="shared" si="109"/>
        <v>39706</v>
      </c>
      <c r="E458" s="1750">
        <f t="shared" si="109"/>
        <v>39699</v>
      </c>
      <c r="F458" s="1735">
        <v>4.0590000000000002</v>
      </c>
      <c r="G458" s="1752"/>
      <c r="H458" s="1784">
        <v>0.628</v>
      </c>
      <c r="I458" s="1763">
        <f t="shared" si="101"/>
        <v>0.622</v>
      </c>
      <c r="J458" s="1784">
        <v>0.314</v>
      </c>
      <c r="K458" s="1763">
        <f t="shared" si="102"/>
        <v>0.311</v>
      </c>
      <c r="L458" s="1764">
        <f t="shared" si="110"/>
        <v>0.60000000000000031</v>
      </c>
      <c r="M458" s="1765">
        <f t="shared" si="108"/>
        <v>0.5900000000000003</v>
      </c>
    </row>
    <row r="459" spans="1:13" outlineLevel="1">
      <c r="A459" s="1749">
        <f t="shared" si="105"/>
        <v>39692</v>
      </c>
      <c r="B459" s="1749" t="str">
        <f t="shared" si="106"/>
        <v>3Q08</v>
      </c>
      <c r="C459" s="1749" t="str">
        <f t="shared" si="107"/>
        <v>3Q08</v>
      </c>
      <c r="D459" s="1750">
        <f t="shared" si="109"/>
        <v>39713</v>
      </c>
      <c r="E459" s="1750">
        <f t="shared" si="109"/>
        <v>39706</v>
      </c>
      <c r="F459" s="1735">
        <v>4.0229999999999997</v>
      </c>
      <c r="G459" s="1752"/>
      <c r="H459" s="1784">
        <v>0.622</v>
      </c>
      <c r="I459" s="1763">
        <f t="shared" si="101"/>
        <v>0.60799999999999998</v>
      </c>
      <c r="J459" s="1784">
        <v>0.311</v>
      </c>
      <c r="K459" s="1763">
        <f t="shared" si="102"/>
        <v>0.30399999999999999</v>
      </c>
      <c r="L459" s="1764">
        <f t="shared" si="110"/>
        <v>0.5900000000000003</v>
      </c>
      <c r="M459" s="1765">
        <f t="shared" si="108"/>
        <v>0.58000000000000029</v>
      </c>
    </row>
    <row r="460" spans="1:13" outlineLevel="1">
      <c r="A460" s="1749">
        <f t="shared" si="105"/>
        <v>39692</v>
      </c>
      <c r="B460" s="1749" t="str">
        <f t="shared" si="106"/>
        <v>3Q08</v>
      </c>
      <c r="C460" s="1749" t="str">
        <f t="shared" si="107"/>
        <v>3Q08</v>
      </c>
      <c r="D460" s="1750">
        <f t="shared" si="109"/>
        <v>39720</v>
      </c>
      <c r="E460" s="1750">
        <f t="shared" si="109"/>
        <v>39713</v>
      </c>
      <c r="F460" s="1735">
        <v>3.9580000000000002</v>
      </c>
      <c r="G460" s="1752"/>
      <c r="H460" s="1784">
        <v>0.60799999999999998</v>
      </c>
      <c r="I460" s="1763">
        <f t="shared" si="101"/>
        <v>0.60799999999999998</v>
      </c>
      <c r="J460" s="1784">
        <v>0.30399999999999999</v>
      </c>
      <c r="K460" s="1763">
        <f t="shared" si="102"/>
        <v>0.30399999999999999</v>
      </c>
      <c r="L460" s="1764">
        <f t="shared" si="110"/>
        <v>0.58000000000000029</v>
      </c>
      <c r="M460" s="1765">
        <f t="shared" si="108"/>
        <v>0.58000000000000029</v>
      </c>
    </row>
    <row r="461" spans="1:13" outlineLevel="1">
      <c r="A461" s="1749">
        <f t="shared" si="105"/>
        <v>39722</v>
      </c>
      <c r="B461" s="1749" t="str">
        <f t="shared" si="106"/>
        <v>4Q08</v>
      </c>
      <c r="C461" s="1749" t="str">
        <f t="shared" si="107"/>
        <v>3Q08</v>
      </c>
      <c r="D461" s="1750">
        <f t="shared" si="109"/>
        <v>39727</v>
      </c>
      <c r="E461" s="1750">
        <f t="shared" si="109"/>
        <v>39720</v>
      </c>
      <c r="F461" s="1735">
        <v>3.9590000000000001</v>
      </c>
      <c r="G461" s="1752"/>
      <c r="H461" s="1784">
        <v>0.60799999999999998</v>
      </c>
      <c r="I461" s="1763">
        <f t="shared" si="101"/>
        <v>0.59199999999999997</v>
      </c>
      <c r="J461" s="1784">
        <v>0.30399999999999999</v>
      </c>
      <c r="K461" s="1763">
        <f t="shared" si="102"/>
        <v>0.29599999999999999</v>
      </c>
      <c r="L461" s="1764">
        <f t="shared" si="110"/>
        <v>0.58000000000000029</v>
      </c>
      <c r="M461" s="1765">
        <f t="shared" si="108"/>
        <v>0.56000000000000028</v>
      </c>
    </row>
    <row r="462" spans="1:13" outlineLevel="1">
      <c r="A462" s="1749">
        <f t="shared" si="105"/>
        <v>39722</v>
      </c>
      <c r="B462" s="1749" t="str">
        <f t="shared" si="106"/>
        <v>4Q08</v>
      </c>
      <c r="C462" s="1749" t="str">
        <f t="shared" si="107"/>
        <v>4Q08</v>
      </c>
      <c r="D462" s="1750">
        <f t="shared" si="109"/>
        <v>39734</v>
      </c>
      <c r="E462" s="1750">
        <f t="shared" si="109"/>
        <v>39727</v>
      </c>
      <c r="F462" s="1735">
        <v>3.875</v>
      </c>
      <c r="G462" s="1752"/>
      <c r="H462" s="1784">
        <v>0.59199999999999997</v>
      </c>
      <c r="I462" s="1763">
        <f t="shared" si="101"/>
        <v>0.54800000000000004</v>
      </c>
      <c r="J462" s="1784">
        <v>0.29599999999999999</v>
      </c>
      <c r="K462" s="1763">
        <f t="shared" si="102"/>
        <v>0.27400000000000002</v>
      </c>
      <c r="L462" s="1764">
        <f t="shared" si="110"/>
        <v>0.56000000000000028</v>
      </c>
      <c r="M462" s="1765">
        <f t="shared" si="108"/>
        <v>0.52000000000000024</v>
      </c>
    </row>
    <row r="463" spans="1:13" outlineLevel="1">
      <c r="A463" s="1749">
        <f t="shared" si="105"/>
        <v>39722</v>
      </c>
      <c r="B463" s="1749" t="str">
        <f t="shared" si="106"/>
        <v>4Q08</v>
      </c>
      <c r="C463" s="1749" t="str">
        <f t="shared" si="107"/>
        <v>4Q08</v>
      </c>
      <c r="D463" s="1750">
        <f t="shared" si="109"/>
        <v>39741</v>
      </c>
      <c r="E463" s="1750">
        <f t="shared" si="109"/>
        <v>39734</v>
      </c>
      <c r="F463" s="1735">
        <v>3.6589999999999998</v>
      </c>
      <c r="G463" s="1752"/>
      <c r="H463" s="1784">
        <v>0.54800000000000004</v>
      </c>
      <c r="I463" s="1763">
        <f t="shared" si="101"/>
        <v>0.51400000000000001</v>
      </c>
      <c r="J463" s="1784">
        <v>0.27400000000000002</v>
      </c>
      <c r="K463" s="1763">
        <f t="shared" si="102"/>
        <v>0.25700000000000001</v>
      </c>
      <c r="L463" s="1764">
        <f t="shared" si="110"/>
        <v>0.52000000000000024</v>
      </c>
      <c r="M463" s="1765">
        <f t="shared" si="108"/>
        <v>0.48000000000000026</v>
      </c>
    </row>
    <row r="464" spans="1:13" outlineLevel="1">
      <c r="A464" s="1749">
        <f t="shared" si="105"/>
        <v>39722</v>
      </c>
      <c r="B464" s="1749" t="str">
        <f t="shared" si="106"/>
        <v>4Q08</v>
      </c>
      <c r="C464" s="1749" t="str">
        <f t="shared" si="107"/>
        <v>4Q08</v>
      </c>
      <c r="D464" s="1750">
        <f t="shared" si="109"/>
        <v>39748</v>
      </c>
      <c r="E464" s="1750">
        <f t="shared" si="109"/>
        <v>39741</v>
      </c>
      <c r="F464" s="1735">
        <v>3.4820000000000002</v>
      </c>
      <c r="G464" s="1752"/>
      <c r="H464" s="1784">
        <v>0.51400000000000001</v>
      </c>
      <c r="I464" s="1763">
        <f t="shared" si="101"/>
        <v>0.47399999999999998</v>
      </c>
      <c r="J464" s="1784">
        <v>0.25700000000000001</v>
      </c>
      <c r="K464" s="1763">
        <f t="shared" si="102"/>
        <v>0.23699999999999999</v>
      </c>
      <c r="L464" s="1764">
        <f t="shared" si="110"/>
        <v>0.48000000000000026</v>
      </c>
      <c r="M464" s="1765">
        <f t="shared" si="108"/>
        <v>0.44000000000000022</v>
      </c>
    </row>
    <row r="465" spans="1:13" outlineLevel="1">
      <c r="A465" s="1749">
        <f t="shared" si="105"/>
        <v>39753</v>
      </c>
      <c r="B465" s="1749" t="str">
        <f t="shared" si="106"/>
        <v>4Q08</v>
      </c>
      <c r="C465" s="1749" t="str">
        <f t="shared" si="107"/>
        <v>4Q08</v>
      </c>
      <c r="D465" s="1750">
        <f t="shared" si="109"/>
        <v>39755</v>
      </c>
      <c r="E465" s="1750">
        <f t="shared" si="109"/>
        <v>39748</v>
      </c>
      <c r="F465" s="1735">
        <v>3.2879999999999998</v>
      </c>
      <c r="G465" s="1752"/>
      <c r="H465" s="1784">
        <v>0.47399999999999998</v>
      </c>
      <c r="I465" s="1763">
        <f t="shared" si="101"/>
        <v>0.434</v>
      </c>
      <c r="J465" s="1784">
        <v>0.23699999999999999</v>
      </c>
      <c r="K465" s="1763">
        <f t="shared" si="102"/>
        <v>0.217</v>
      </c>
      <c r="L465" s="1764">
        <f t="shared" si="110"/>
        <v>0.44000000000000022</v>
      </c>
      <c r="M465" s="1765">
        <f t="shared" si="108"/>
        <v>0.40000000000000019</v>
      </c>
    </row>
    <row r="466" spans="1:13" outlineLevel="1">
      <c r="A466" s="1749">
        <f t="shared" si="105"/>
        <v>39753</v>
      </c>
      <c r="B466" s="1749" t="str">
        <f t="shared" si="106"/>
        <v>4Q08</v>
      </c>
      <c r="C466" s="1749" t="str">
        <f t="shared" si="107"/>
        <v>4Q08</v>
      </c>
      <c r="D466" s="1750">
        <f t="shared" si="109"/>
        <v>39762</v>
      </c>
      <c r="E466" s="1750">
        <f t="shared" si="109"/>
        <v>39755</v>
      </c>
      <c r="F466" s="1735">
        <v>3.0880000000000001</v>
      </c>
      <c r="G466" s="1752"/>
      <c r="H466" s="1784">
        <v>0.434</v>
      </c>
      <c r="I466" s="1763">
        <f t="shared" si="101"/>
        <v>0.40600000000000003</v>
      </c>
      <c r="J466" s="1784">
        <v>0.217</v>
      </c>
      <c r="K466" s="1763">
        <f t="shared" si="102"/>
        <v>0.20300000000000001</v>
      </c>
      <c r="L466" s="1764">
        <f t="shared" si="110"/>
        <v>0.40000000000000019</v>
      </c>
      <c r="M466" s="1765">
        <f t="shared" si="108"/>
        <v>0.37000000000000016</v>
      </c>
    </row>
    <row r="467" spans="1:13" outlineLevel="1">
      <c r="A467" s="1749">
        <f t="shared" si="105"/>
        <v>39753</v>
      </c>
      <c r="B467" s="1749" t="str">
        <f t="shared" si="106"/>
        <v>4Q08</v>
      </c>
      <c r="C467" s="1749" t="str">
        <f t="shared" si="107"/>
        <v>4Q08</v>
      </c>
      <c r="D467" s="1750">
        <f t="shared" si="109"/>
        <v>39769</v>
      </c>
      <c r="E467" s="1750">
        <f t="shared" si="109"/>
        <v>39762</v>
      </c>
      <c r="F467" s="1735">
        <v>2.944</v>
      </c>
      <c r="G467" s="1752"/>
      <c r="H467" s="1784">
        <v>0.40600000000000003</v>
      </c>
      <c r="I467" s="1763">
        <f t="shared" si="101"/>
        <v>0.378</v>
      </c>
      <c r="J467" s="1784">
        <v>0.20300000000000001</v>
      </c>
      <c r="K467" s="1763">
        <f t="shared" si="102"/>
        <v>0.189</v>
      </c>
      <c r="L467" s="1764">
        <f t="shared" si="110"/>
        <v>0.37000000000000016</v>
      </c>
      <c r="M467" s="1765">
        <f t="shared" si="108"/>
        <v>0.35000000000000014</v>
      </c>
    </row>
    <row r="468" spans="1:13" outlineLevel="1">
      <c r="A468" s="1749">
        <f t="shared" si="105"/>
        <v>39753</v>
      </c>
      <c r="B468" s="1749" t="str">
        <f t="shared" si="106"/>
        <v>4Q08</v>
      </c>
      <c r="C468" s="1749" t="str">
        <f t="shared" si="107"/>
        <v>4Q08</v>
      </c>
      <c r="D468" s="1750">
        <f t="shared" si="109"/>
        <v>39776</v>
      </c>
      <c r="E468" s="1750">
        <f t="shared" si="109"/>
        <v>39769</v>
      </c>
      <c r="F468" s="1735">
        <v>2.8090000000000002</v>
      </c>
      <c r="G468" s="1752"/>
      <c r="H468" s="1784">
        <v>0.378</v>
      </c>
      <c r="I468" s="1763">
        <f t="shared" si="101"/>
        <v>0.35</v>
      </c>
      <c r="J468" s="1784">
        <v>0.189</v>
      </c>
      <c r="K468" s="1763">
        <f t="shared" si="102"/>
        <v>0.17499999999999999</v>
      </c>
      <c r="L468" s="1764">
        <f t="shared" si="110"/>
        <v>0.35000000000000014</v>
      </c>
      <c r="M468" s="1765">
        <f t="shared" si="108"/>
        <v>0.32000000000000012</v>
      </c>
    </row>
    <row r="469" spans="1:13" outlineLevel="1">
      <c r="A469" s="1749">
        <f t="shared" si="105"/>
        <v>39783</v>
      </c>
      <c r="B469" s="1749" t="str">
        <f t="shared" si="106"/>
        <v>4Q08</v>
      </c>
      <c r="C469" s="1749" t="str">
        <f t="shared" si="107"/>
        <v>4Q08</v>
      </c>
      <c r="D469" s="1750">
        <f t="shared" ref="D469:E484" si="111">D468+7</f>
        <v>39783</v>
      </c>
      <c r="E469" s="1750">
        <f t="shared" si="111"/>
        <v>39776</v>
      </c>
      <c r="F469" s="1735">
        <v>2.6640000000000001</v>
      </c>
      <c r="G469" s="1752"/>
      <c r="H469" s="1784">
        <v>0.35</v>
      </c>
      <c r="I469" s="1763">
        <f t="shared" si="101"/>
        <v>0.34</v>
      </c>
      <c r="J469" s="1784">
        <v>0.17499999999999999</v>
      </c>
      <c r="K469" s="1763">
        <f t="shared" si="102"/>
        <v>0.17</v>
      </c>
      <c r="L469" s="1764">
        <f t="shared" si="110"/>
        <v>0.32000000000000012</v>
      </c>
      <c r="M469" s="1765">
        <f t="shared" si="108"/>
        <v>0.31000000000000011</v>
      </c>
    </row>
    <row r="470" spans="1:13" outlineLevel="1">
      <c r="A470" s="1749">
        <f t="shared" si="105"/>
        <v>39783</v>
      </c>
      <c r="B470" s="1749" t="str">
        <f t="shared" si="106"/>
        <v>4Q08</v>
      </c>
      <c r="C470" s="1749" t="str">
        <f t="shared" si="107"/>
        <v>4Q08</v>
      </c>
      <c r="D470" s="1750">
        <f t="shared" si="111"/>
        <v>39790</v>
      </c>
      <c r="E470" s="1750">
        <f t="shared" si="111"/>
        <v>39783</v>
      </c>
      <c r="F470" s="1735">
        <v>2.6150000000000002</v>
      </c>
      <c r="G470" s="1752"/>
      <c r="H470" s="1784">
        <v>0.34</v>
      </c>
      <c r="I470" s="1763">
        <f t="shared" si="101"/>
        <v>0.32</v>
      </c>
      <c r="J470" s="1784">
        <v>0.17</v>
      </c>
      <c r="K470" s="1763">
        <f t="shared" si="102"/>
        <v>0.16</v>
      </c>
      <c r="L470" s="1764">
        <f t="shared" si="110"/>
        <v>0.31000000000000011</v>
      </c>
      <c r="M470" s="1765">
        <f t="shared" si="108"/>
        <v>0.29000000000000009</v>
      </c>
    </row>
    <row r="471" spans="1:13" outlineLevel="1">
      <c r="A471" s="1749">
        <f t="shared" si="105"/>
        <v>39783</v>
      </c>
      <c r="B471" s="1749" t="str">
        <f t="shared" si="106"/>
        <v>4Q08</v>
      </c>
      <c r="C471" s="1749" t="str">
        <f t="shared" si="107"/>
        <v>4Q08</v>
      </c>
      <c r="D471" s="1750">
        <f t="shared" si="111"/>
        <v>39797</v>
      </c>
      <c r="E471" s="1750">
        <f t="shared" si="111"/>
        <v>39790</v>
      </c>
      <c r="F471" s="1735">
        <v>2.5150000000000001</v>
      </c>
      <c r="G471" s="1752"/>
      <c r="H471" s="1784">
        <v>0.32</v>
      </c>
      <c r="I471" s="1763">
        <f t="shared" si="101"/>
        <v>0.30199999999999999</v>
      </c>
      <c r="J471" s="1784">
        <v>0.16</v>
      </c>
      <c r="K471" s="1763">
        <f t="shared" si="102"/>
        <v>0.151</v>
      </c>
      <c r="L471" s="1764">
        <f t="shared" si="110"/>
        <v>0.29000000000000009</v>
      </c>
      <c r="M471" s="1765">
        <f t="shared" si="108"/>
        <v>0.27000000000000007</v>
      </c>
    </row>
    <row r="472" spans="1:13" outlineLevel="1">
      <c r="A472" s="1749">
        <f t="shared" si="105"/>
        <v>39783</v>
      </c>
      <c r="B472" s="1749" t="str">
        <f t="shared" si="106"/>
        <v>4Q08</v>
      </c>
      <c r="C472" s="1749" t="str">
        <f t="shared" si="107"/>
        <v>4Q08</v>
      </c>
      <c r="D472" s="1750">
        <f t="shared" si="111"/>
        <v>39804</v>
      </c>
      <c r="E472" s="1750">
        <f t="shared" si="111"/>
        <v>39797</v>
      </c>
      <c r="F472" s="1735">
        <v>2.4220000000000002</v>
      </c>
      <c r="G472" s="1752"/>
      <c r="H472" s="1784">
        <v>0.30199999999999999</v>
      </c>
      <c r="I472" s="1763">
        <f t="shared" si="101"/>
        <v>0.28999999999999998</v>
      </c>
      <c r="J472" s="1784">
        <v>0.151</v>
      </c>
      <c r="K472" s="1763">
        <f t="shared" si="102"/>
        <v>0.14499999999999999</v>
      </c>
      <c r="L472" s="1764">
        <f t="shared" si="110"/>
        <v>0.27000000000000007</v>
      </c>
      <c r="M472" s="1765">
        <f t="shared" si="108"/>
        <v>0.26000000000000006</v>
      </c>
    </row>
    <row r="473" spans="1:13" outlineLevel="1">
      <c r="A473" s="1749">
        <f t="shared" si="105"/>
        <v>39783</v>
      </c>
      <c r="B473" s="1749" t="str">
        <f t="shared" si="106"/>
        <v>4Q08</v>
      </c>
      <c r="C473" s="1749" t="str">
        <f t="shared" si="107"/>
        <v>4Q08</v>
      </c>
      <c r="D473" s="1750">
        <f t="shared" si="111"/>
        <v>39811</v>
      </c>
      <c r="E473" s="1750">
        <f t="shared" si="111"/>
        <v>39804</v>
      </c>
      <c r="F473" s="1735">
        <v>2.3660000000000001</v>
      </c>
      <c r="G473" s="1752"/>
      <c r="H473" s="1784">
        <v>0.28999999999999998</v>
      </c>
      <c r="I473" s="1763">
        <f t="shared" ref="I473:I536" si="112">H474</f>
        <v>0.28199999999999997</v>
      </c>
      <c r="J473" s="1784">
        <v>0.14499999999999999</v>
      </c>
      <c r="K473" s="1763">
        <f t="shared" ref="K473:K536" si="113">J474</f>
        <v>0.14099999999999999</v>
      </c>
      <c r="L473" s="1764">
        <f t="shared" si="110"/>
        <v>0.26000000000000006</v>
      </c>
      <c r="M473" s="1765">
        <f t="shared" si="108"/>
        <v>0.25000000000000006</v>
      </c>
    </row>
    <row r="474" spans="1:13" s="537" customFormat="1" outlineLevel="1">
      <c r="A474" s="1774">
        <f t="shared" si="105"/>
        <v>39814</v>
      </c>
      <c r="B474" s="1774" t="str">
        <f t="shared" si="106"/>
        <v>1Q09</v>
      </c>
      <c r="C474" s="1774" t="str">
        <f t="shared" si="107"/>
        <v>4Q08</v>
      </c>
      <c r="D474" s="1775">
        <f t="shared" si="111"/>
        <v>39818</v>
      </c>
      <c r="E474" s="1775">
        <f t="shared" si="111"/>
        <v>39811</v>
      </c>
      <c r="F474" s="1776">
        <v>2.327</v>
      </c>
      <c r="G474" s="1777"/>
      <c r="H474" s="1778">
        <v>0.28199999999999997</v>
      </c>
      <c r="I474" s="1779">
        <f t="shared" si="112"/>
        <v>0.27600000000000002</v>
      </c>
      <c r="J474" s="1778">
        <v>0.14099999999999999</v>
      </c>
      <c r="K474" s="1779">
        <f t="shared" si="113"/>
        <v>0.13800000000000001</v>
      </c>
      <c r="L474" s="1780">
        <f t="shared" si="110"/>
        <v>0.25000000000000006</v>
      </c>
      <c r="M474" s="1781">
        <f t="shared" si="108"/>
        <v>0.24000000000000007</v>
      </c>
    </row>
    <row r="475" spans="1:13" outlineLevel="1">
      <c r="A475" s="1749">
        <f t="shared" si="105"/>
        <v>39814</v>
      </c>
      <c r="B475" s="1749" t="str">
        <f t="shared" si="106"/>
        <v>1Q09</v>
      </c>
      <c r="C475" s="1749" t="str">
        <f t="shared" si="107"/>
        <v>1Q09</v>
      </c>
      <c r="D475" s="1750">
        <f t="shared" si="111"/>
        <v>39825</v>
      </c>
      <c r="E475" s="1750">
        <f t="shared" si="111"/>
        <v>39818</v>
      </c>
      <c r="F475" s="1735">
        <v>2.2909999999999999</v>
      </c>
      <c r="G475" s="1752"/>
      <c r="H475" s="1784">
        <v>0.27600000000000002</v>
      </c>
      <c r="I475" s="1763">
        <f t="shared" si="112"/>
        <v>0.28000000000000003</v>
      </c>
      <c r="J475" s="1784">
        <v>0.13800000000000001</v>
      </c>
      <c r="K475" s="1763">
        <f t="shared" si="113"/>
        <v>0.14000000000000001</v>
      </c>
      <c r="L475" s="1764">
        <f t="shared" si="110"/>
        <v>0.24000000000000007</v>
      </c>
      <c r="M475" s="1765">
        <f t="shared" si="108"/>
        <v>0.25000000000000006</v>
      </c>
    </row>
    <row r="476" spans="1:13" outlineLevel="1">
      <c r="A476" s="1749">
        <f t="shared" si="105"/>
        <v>39814</v>
      </c>
      <c r="B476" s="1749" t="str">
        <f t="shared" si="106"/>
        <v>1Q09</v>
      </c>
      <c r="C476" s="1749" t="str">
        <f t="shared" si="107"/>
        <v>1Q09</v>
      </c>
      <c r="D476" s="1750">
        <f t="shared" si="111"/>
        <v>39832</v>
      </c>
      <c r="E476" s="1750">
        <f t="shared" si="111"/>
        <v>39825</v>
      </c>
      <c r="F476" s="1735">
        <v>2.3140000000000001</v>
      </c>
      <c r="G476" s="1752"/>
      <c r="H476" s="1784">
        <v>0.28000000000000003</v>
      </c>
      <c r="I476" s="1763">
        <f t="shared" si="112"/>
        <v>0.27600000000000002</v>
      </c>
      <c r="J476" s="1784">
        <v>0.14000000000000001</v>
      </c>
      <c r="K476" s="1763">
        <f t="shared" si="113"/>
        <v>0.13800000000000001</v>
      </c>
      <c r="L476" s="1764">
        <f t="shared" si="110"/>
        <v>0.25000000000000006</v>
      </c>
      <c r="M476" s="1765">
        <f t="shared" si="108"/>
        <v>0.24000000000000007</v>
      </c>
    </row>
    <row r="477" spans="1:13" outlineLevel="1">
      <c r="A477" s="1749">
        <f t="shared" si="105"/>
        <v>39814</v>
      </c>
      <c r="B477" s="1749" t="str">
        <f t="shared" si="106"/>
        <v>1Q09</v>
      </c>
      <c r="C477" s="1749" t="str">
        <f t="shared" si="107"/>
        <v>1Q09</v>
      </c>
      <c r="D477" s="1750">
        <f t="shared" si="111"/>
        <v>39839</v>
      </c>
      <c r="E477" s="1750">
        <f t="shared" si="111"/>
        <v>39832</v>
      </c>
      <c r="F477" s="1735">
        <v>2.2959999999999998</v>
      </c>
      <c r="G477" s="1752"/>
      <c r="H477" s="1784">
        <v>0.27600000000000002</v>
      </c>
      <c r="I477" s="1763">
        <f t="shared" si="112"/>
        <v>0.27</v>
      </c>
      <c r="J477" s="1784">
        <v>0.13800000000000001</v>
      </c>
      <c r="K477" s="1763">
        <f t="shared" si="113"/>
        <v>0.13500000000000001</v>
      </c>
      <c r="L477" s="1764">
        <f t="shared" si="110"/>
        <v>0.24000000000000007</v>
      </c>
      <c r="M477" s="1765">
        <f t="shared" si="108"/>
        <v>0.24000000000000007</v>
      </c>
    </row>
    <row r="478" spans="1:13" outlineLevel="1">
      <c r="A478" s="1749">
        <f t="shared" si="105"/>
        <v>39845</v>
      </c>
      <c r="B478" s="1749" t="str">
        <f t="shared" si="106"/>
        <v>1Q09</v>
      </c>
      <c r="C478" s="1749" t="str">
        <f t="shared" si="107"/>
        <v>1Q09</v>
      </c>
      <c r="D478" s="1750">
        <f t="shared" si="111"/>
        <v>39846</v>
      </c>
      <c r="E478" s="1750">
        <f t="shared" si="111"/>
        <v>39839</v>
      </c>
      <c r="F478" s="1735">
        <v>2.2679999999999998</v>
      </c>
      <c r="G478" s="1752"/>
      <c r="H478" s="1784">
        <v>0.27</v>
      </c>
      <c r="I478" s="1763">
        <f t="shared" si="112"/>
        <v>0.26600000000000001</v>
      </c>
      <c r="J478" s="1784">
        <v>0.13500000000000001</v>
      </c>
      <c r="K478" s="1763">
        <f t="shared" si="113"/>
        <v>0.13300000000000001</v>
      </c>
      <c r="L478" s="1764">
        <f t="shared" si="110"/>
        <v>0.24000000000000007</v>
      </c>
      <c r="M478" s="1765">
        <f t="shared" si="108"/>
        <v>0.23000000000000007</v>
      </c>
    </row>
    <row r="479" spans="1:13" outlineLevel="1">
      <c r="A479" s="1749">
        <f t="shared" si="105"/>
        <v>39845</v>
      </c>
      <c r="B479" s="1749" t="str">
        <f t="shared" si="106"/>
        <v>1Q09</v>
      </c>
      <c r="C479" s="1749" t="str">
        <f t="shared" si="107"/>
        <v>1Q09</v>
      </c>
      <c r="D479" s="1750">
        <f t="shared" si="111"/>
        <v>39853</v>
      </c>
      <c r="E479" s="1750">
        <f t="shared" si="111"/>
        <v>39846</v>
      </c>
      <c r="F479" s="1735">
        <v>2.246</v>
      </c>
      <c r="G479" s="1752"/>
      <c r="H479" s="1784">
        <v>0.26600000000000001</v>
      </c>
      <c r="I479" s="1763">
        <f t="shared" si="112"/>
        <v>0.26</v>
      </c>
      <c r="J479" s="1784">
        <v>0.13300000000000001</v>
      </c>
      <c r="K479" s="1763">
        <f t="shared" si="113"/>
        <v>0.13</v>
      </c>
      <c r="L479" s="1764">
        <f t="shared" si="110"/>
        <v>0.23000000000000007</v>
      </c>
      <c r="M479" s="1765">
        <f t="shared" si="108"/>
        <v>0.23000000000000007</v>
      </c>
    </row>
    <row r="480" spans="1:13" outlineLevel="1">
      <c r="A480" s="1749">
        <f t="shared" si="105"/>
        <v>39845</v>
      </c>
      <c r="B480" s="1749" t="str">
        <f t="shared" si="106"/>
        <v>1Q09</v>
      </c>
      <c r="C480" s="1749" t="str">
        <f t="shared" si="107"/>
        <v>1Q09</v>
      </c>
      <c r="D480" s="1750">
        <f t="shared" si="111"/>
        <v>39860</v>
      </c>
      <c r="E480" s="1750">
        <f t="shared" si="111"/>
        <v>39853</v>
      </c>
      <c r="F480" s="1735">
        <v>2.2189999999999999</v>
      </c>
      <c r="G480" s="1752"/>
      <c r="H480" s="1784">
        <v>0.26</v>
      </c>
      <c r="I480" s="1763">
        <f t="shared" si="112"/>
        <v>0.254</v>
      </c>
      <c r="J480" s="1784">
        <v>0.13</v>
      </c>
      <c r="K480" s="1763">
        <f t="shared" si="113"/>
        <v>0.127</v>
      </c>
      <c r="L480" s="1764">
        <f t="shared" si="110"/>
        <v>0.23000000000000007</v>
      </c>
      <c r="M480" s="1765">
        <f t="shared" si="108"/>
        <v>0.22000000000000006</v>
      </c>
    </row>
    <row r="481" spans="1:13" outlineLevel="1">
      <c r="A481" s="1749">
        <f t="shared" si="105"/>
        <v>39845</v>
      </c>
      <c r="B481" s="1749" t="str">
        <f t="shared" si="106"/>
        <v>1Q09</v>
      </c>
      <c r="C481" s="1749" t="str">
        <f t="shared" si="107"/>
        <v>1Q09</v>
      </c>
      <c r="D481" s="1750">
        <f t="shared" si="111"/>
        <v>39867</v>
      </c>
      <c r="E481" s="1750">
        <f t="shared" si="111"/>
        <v>39860</v>
      </c>
      <c r="F481" s="1735">
        <v>2.1859999999999999</v>
      </c>
      <c r="G481" s="1752"/>
      <c r="H481" s="1784">
        <v>0.254</v>
      </c>
      <c r="I481" s="1763">
        <f t="shared" si="112"/>
        <v>0.24399999999999999</v>
      </c>
      <c r="J481" s="1784">
        <v>0.127</v>
      </c>
      <c r="K481" s="1763">
        <f t="shared" si="113"/>
        <v>0.122</v>
      </c>
      <c r="L481" s="1764">
        <f t="shared" si="110"/>
        <v>0.22000000000000006</v>
      </c>
      <c r="M481" s="1765">
        <f t="shared" si="108"/>
        <v>0.21000000000000005</v>
      </c>
    </row>
    <row r="482" spans="1:13" outlineLevel="1">
      <c r="A482" s="1749">
        <f t="shared" si="105"/>
        <v>39873</v>
      </c>
      <c r="B482" s="1749" t="str">
        <f t="shared" si="106"/>
        <v>1Q09</v>
      </c>
      <c r="C482" s="1749" t="str">
        <f t="shared" si="107"/>
        <v>1Q09</v>
      </c>
      <c r="D482" s="1750">
        <f t="shared" si="111"/>
        <v>39874</v>
      </c>
      <c r="E482" s="1750">
        <f t="shared" si="111"/>
        <v>39867</v>
      </c>
      <c r="F482" s="1735">
        <v>2.13</v>
      </c>
      <c r="G482" s="1752"/>
      <c r="H482" s="1784">
        <v>0.24399999999999999</v>
      </c>
      <c r="I482" s="1763">
        <f t="shared" si="112"/>
        <v>0.23400000000000001</v>
      </c>
      <c r="J482" s="1784">
        <v>0.122</v>
      </c>
      <c r="K482" s="1763">
        <f t="shared" si="113"/>
        <v>0.11700000000000001</v>
      </c>
      <c r="L482" s="1764">
        <f t="shared" si="110"/>
        <v>0.21000000000000005</v>
      </c>
      <c r="M482" s="1765">
        <f t="shared" si="108"/>
        <v>0.20000000000000004</v>
      </c>
    </row>
    <row r="483" spans="1:13" outlineLevel="1">
      <c r="A483" s="1749">
        <f t="shared" si="105"/>
        <v>39873</v>
      </c>
      <c r="B483" s="1749" t="str">
        <f t="shared" si="106"/>
        <v>1Q09</v>
      </c>
      <c r="C483" s="1749" t="str">
        <f t="shared" si="107"/>
        <v>1Q09</v>
      </c>
      <c r="D483" s="1750">
        <f t="shared" si="111"/>
        <v>39881</v>
      </c>
      <c r="E483" s="1750">
        <f t="shared" si="111"/>
        <v>39874</v>
      </c>
      <c r="F483" s="1735">
        <v>2.0870000000000002</v>
      </c>
      <c r="G483" s="1752"/>
      <c r="H483" s="1784">
        <v>0.23400000000000001</v>
      </c>
      <c r="I483" s="1763">
        <f t="shared" si="112"/>
        <v>0.22600000000000001</v>
      </c>
      <c r="J483" s="1784">
        <v>0.11700000000000001</v>
      </c>
      <c r="K483" s="1763">
        <f t="shared" si="113"/>
        <v>0.113</v>
      </c>
      <c r="L483" s="1764">
        <f t="shared" si="110"/>
        <v>0.20000000000000004</v>
      </c>
      <c r="M483" s="1765">
        <f t="shared" si="108"/>
        <v>0.19000000000000003</v>
      </c>
    </row>
    <row r="484" spans="1:13" outlineLevel="1">
      <c r="A484" s="1749">
        <f t="shared" si="105"/>
        <v>39873</v>
      </c>
      <c r="B484" s="1749" t="str">
        <f t="shared" si="106"/>
        <v>1Q09</v>
      </c>
      <c r="C484" s="1749" t="str">
        <f t="shared" si="107"/>
        <v>1Q09</v>
      </c>
      <c r="D484" s="1750">
        <f t="shared" si="111"/>
        <v>39888</v>
      </c>
      <c r="E484" s="1750">
        <f t="shared" si="111"/>
        <v>39881</v>
      </c>
      <c r="F484" s="1735">
        <v>2.0449999999999999</v>
      </c>
      <c r="G484" s="1752"/>
      <c r="H484" s="1784">
        <v>0.22600000000000001</v>
      </c>
      <c r="I484" s="1763">
        <f t="shared" si="112"/>
        <v>0.22</v>
      </c>
      <c r="J484" s="1784">
        <v>0.113</v>
      </c>
      <c r="K484" s="1763">
        <f t="shared" si="113"/>
        <v>0.11</v>
      </c>
      <c r="L484" s="1764">
        <f t="shared" si="110"/>
        <v>0.19000000000000003</v>
      </c>
      <c r="M484" s="1765">
        <f t="shared" si="108"/>
        <v>0.19000000000000003</v>
      </c>
    </row>
    <row r="485" spans="1:13" outlineLevel="1">
      <c r="A485" s="1749">
        <f t="shared" si="105"/>
        <v>39873</v>
      </c>
      <c r="B485" s="1749" t="str">
        <f t="shared" si="106"/>
        <v>1Q09</v>
      </c>
      <c r="C485" s="1749" t="str">
        <f t="shared" si="107"/>
        <v>1Q09</v>
      </c>
      <c r="D485" s="1750">
        <f t="shared" ref="D485:E500" si="114">D484+7</f>
        <v>39895</v>
      </c>
      <c r="E485" s="1750">
        <f t="shared" si="114"/>
        <v>39888</v>
      </c>
      <c r="F485" s="1735">
        <v>2.0169999999999999</v>
      </c>
      <c r="G485" s="1752"/>
      <c r="H485" s="1784">
        <v>0.22</v>
      </c>
      <c r="I485" s="1763">
        <f t="shared" si="112"/>
        <v>0.23599999999999999</v>
      </c>
      <c r="J485" s="1784">
        <v>0.11</v>
      </c>
      <c r="K485" s="1763">
        <f t="shared" si="113"/>
        <v>0.11799999999999999</v>
      </c>
      <c r="L485" s="1764">
        <f t="shared" si="110"/>
        <v>0.19000000000000003</v>
      </c>
      <c r="M485" s="1765">
        <f t="shared" si="108"/>
        <v>0.20000000000000004</v>
      </c>
    </row>
    <row r="486" spans="1:13" outlineLevel="1">
      <c r="A486" s="1749">
        <f t="shared" si="105"/>
        <v>39873</v>
      </c>
      <c r="B486" s="1749" t="str">
        <f t="shared" si="106"/>
        <v>1Q09</v>
      </c>
      <c r="C486" s="1749" t="str">
        <f t="shared" si="107"/>
        <v>1Q09</v>
      </c>
      <c r="D486" s="1750">
        <f t="shared" si="114"/>
        <v>39902</v>
      </c>
      <c r="E486" s="1750">
        <f t="shared" si="114"/>
        <v>39895</v>
      </c>
      <c r="F486" s="1735">
        <v>2.09</v>
      </c>
      <c r="G486" s="1752"/>
      <c r="H486" s="1784">
        <v>0.23599999999999999</v>
      </c>
      <c r="I486" s="1763">
        <f t="shared" si="112"/>
        <v>0.26200000000000001</v>
      </c>
      <c r="J486" s="1784">
        <v>0.11799999999999999</v>
      </c>
      <c r="K486" s="1763">
        <f t="shared" si="113"/>
        <v>0.13100000000000001</v>
      </c>
      <c r="L486" s="1764">
        <f t="shared" si="110"/>
        <v>0.20000000000000004</v>
      </c>
      <c r="M486" s="1765">
        <f t="shared" si="108"/>
        <v>0.23000000000000007</v>
      </c>
    </row>
    <row r="487" spans="1:13" outlineLevel="1">
      <c r="A487" s="1749">
        <f t="shared" si="105"/>
        <v>39904</v>
      </c>
      <c r="B487" s="1749" t="str">
        <f t="shared" si="106"/>
        <v>2Q09</v>
      </c>
      <c r="C487" s="1749" t="str">
        <f t="shared" si="107"/>
        <v>1Q09</v>
      </c>
      <c r="D487" s="1750">
        <f t="shared" si="114"/>
        <v>39909</v>
      </c>
      <c r="E487" s="1750">
        <f t="shared" si="114"/>
        <v>39902</v>
      </c>
      <c r="F487" s="1735">
        <v>2.2210000000000001</v>
      </c>
      <c r="G487" s="1752"/>
      <c r="H487" s="1784">
        <v>0.26200000000000001</v>
      </c>
      <c r="I487" s="1763">
        <f t="shared" si="112"/>
        <v>0.26200000000000001</v>
      </c>
      <c r="J487" s="1784">
        <v>0.13100000000000001</v>
      </c>
      <c r="K487" s="1763">
        <f t="shared" si="113"/>
        <v>0.13100000000000001</v>
      </c>
      <c r="L487" s="1764">
        <f t="shared" si="110"/>
        <v>0.23000000000000007</v>
      </c>
      <c r="M487" s="1765">
        <f t="shared" si="108"/>
        <v>0.23000000000000007</v>
      </c>
    </row>
    <row r="488" spans="1:13" outlineLevel="1">
      <c r="A488" s="1749">
        <f t="shared" si="105"/>
        <v>39904</v>
      </c>
      <c r="B488" s="1749" t="str">
        <f t="shared" si="106"/>
        <v>2Q09</v>
      </c>
      <c r="C488" s="1749" t="str">
        <f t="shared" si="107"/>
        <v>2Q09</v>
      </c>
      <c r="D488" s="1750">
        <f t="shared" si="114"/>
        <v>39916</v>
      </c>
      <c r="E488" s="1750">
        <f t="shared" si="114"/>
        <v>39909</v>
      </c>
      <c r="F488" s="1735">
        <v>2.2280000000000002</v>
      </c>
      <c r="G488" s="1752"/>
      <c r="H488" s="1784">
        <v>0.26200000000000001</v>
      </c>
      <c r="I488" s="1763">
        <f t="shared" si="112"/>
        <v>0.26200000000000001</v>
      </c>
      <c r="J488" s="1784">
        <v>0.13100000000000001</v>
      </c>
      <c r="K488" s="1763">
        <f t="shared" si="113"/>
        <v>0.13100000000000001</v>
      </c>
      <c r="L488" s="1764">
        <f t="shared" si="110"/>
        <v>0.23000000000000007</v>
      </c>
      <c r="M488" s="1765">
        <f t="shared" si="108"/>
        <v>0.23000000000000007</v>
      </c>
    </row>
    <row r="489" spans="1:13" outlineLevel="1">
      <c r="A489" s="1749">
        <f t="shared" si="105"/>
        <v>39904</v>
      </c>
      <c r="B489" s="1749" t="str">
        <f t="shared" si="106"/>
        <v>2Q09</v>
      </c>
      <c r="C489" s="1749" t="str">
        <f t="shared" si="107"/>
        <v>2Q09</v>
      </c>
      <c r="D489" s="1750">
        <f t="shared" si="114"/>
        <v>39923</v>
      </c>
      <c r="E489" s="1750">
        <f t="shared" si="114"/>
        <v>39916</v>
      </c>
      <c r="F489" s="1735">
        <v>2.2290000000000001</v>
      </c>
      <c r="G489" s="1752"/>
      <c r="H489" s="1784">
        <v>0.26200000000000001</v>
      </c>
      <c r="I489" s="1763">
        <f t="shared" si="112"/>
        <v>0.26200000000000001</v>
      </c>
      <c r="J489" s="1784">
        <v>0.13100000000000001</v>
      </c>
      <c r="K489" s="1763">
        <f t="shared" si="113"/>
        <v>0.13100000000000001</v>
      </c>
      <c r="L489" s="1764">
        <f t="shared" si="110"/>
        <v>0.23000000000000007</v>
      </c>
      <c r="M489" s="1765">
        <f t="shared" si="108"/>
        <v>0.23000000000000007</v>
      </c>
    </row>
    <row r="490" spans="1:13" outlineLevel="1">
      <c r="A490" s="1749">
        <f t="shared" si="105"/>
        <v>39904</v>
      </c>
      <c r="B490" s="1749" t="str">
        <f t="shared" si="106"/>
        <v>2Q09</v>
      </c>
      <c r="C490" s="1749" t="str">
        <f t="shared" si="107"/>
        <v>2Q09</v>
      </c>
      <c r="D490" s="1750">
        <f t="shared" si="114"/>
        <v>39930</v>
      </c>
      <c r="E490" s="1750">
        <f t="shared" si="114"/>
        <v>39923</v>
      </c>
      <c r="F490" s="1735">
        <v>2.2210000000000001</v>
      </c>
      <c r="G490" s="1752"/>
      <c r="H490" s="1784">
        <v>0.26200000000000001</v>
      </c>
      <c r="I490" s="1763">
        <f t="shared" si="112"/>
        <v>0.25800000000000001</v>
      </c>
      <c r="J490" s="1784">
        <v>0.13100000000000001</v>
      </c>
      <c r="K490" s="1763">
        <f t="shared" si="113"/>
        <v>0.129</v>
      </c>
      <c r="L490" s="1764">
        <f t="shared" si="110"/>
        <v>0.23000000000000007</v>
      </c>
      <c r="M490" s="1765">
        <f t="shared" si="108"/>
        <v>0.23000000000000007</v>
      </c>
    </row>
    <row r="491" spans="1:13" outlineLevel="1">
      <c r="A491" s="1749">
        <f t="shared" si="105"/>
        <v>39934</v>
      </c>
      <c r="B491" s="1749" t="str">
        <f t="shared" si="106"/>
        <v>2Q09</v>
      </c>
      <c r="C491" s="1749" t="str">
        <f t="shared" si="107"/>
        <v>2Q09</v>
      </c>
      <c r="D491" s="1750">
        <f t="shared" si="114"/>
        <v>39937</v>
      </c>
      <c r="E491" s="1750">
        <f t="shared" si="114"/>
        <v>39930</v>
      </c>
      <c r="F491" s="1735">
        <v>2.2010000000000001</v>
      </c>
      <c r="G491" s="1752"/>
      <c r="H491" s="1784">
        <v>0.25800000000000001</v>
      </c>
      <c r="I491" s="1763">
        <f t="shared" si="112"/>
        <v>0.254</v>
      </c>
      <c r="J491" s="1784">
        <v>0.129</v>
      </c>
      <c r="K491" s="1763">
        <f t="shared" si="113"/>
        <v>0.127</v>
      </c>
      <c r="L491" s="1764">
        <f t="shared" si="110"/>
        <v>0.23000000000000007</v>
      </c>
      <c r="M491" s="1765">
        <f t="shared" si="108"/>
        <v>0.22000000000000006</v>
      </c>
    </row>
    <row r="492" spans="1:13" outlineLevel="1">
      <c r="A492" s="1749">
        <f t="shared" si="105"/>
        <v>39934</v>
      </c>
      <c r="B492" s="1749" t="str">
        <f t="shared" si="106"/>
        <v>2Q09</v>
      </c>
      <c r="C492" s="1749" t="str">
        <f t="shared" si="107"/>
        <v>2Q09</v>
      </c>
      <c r="D492" s="1750">
        <f t="shared" si="114"/>
        <v>39944</v>
      </c>
      <c r="E492" s="1750">
        <f t="shared" si="114"/>
        <v>39937</v>
      </c>
      <c r="F492" s="1735">
        <v>2.1850000000000001</v>
      </c>
      <c r="G492" s="1752"/>
      <c r="H492" s="1784">
        <v>0.254</v>
      </c>
      <c r="I492" s="1763">
        <f t="shared" si="112"/>
        <v>0.26</v>
      </c>
      <c r="J492" s="1784">
        <v>0.127</v>
      </c>
      <c r="K492" s="1763">
        <f t="shared" si="113"/>
        <v>0.13</v>
      </c>
      <c r="L492" s="1764">
        <f t="shared" si="110"/>
        <v>0.22000000000000006</v>
      </c>
      <c r="M492" s="1765">
        <f t="shared" si="108"/>
        <v>0.23000000000000007</v>
      </c>
    </row>
    <row r="493" spans="1:13" outlineLevel="1">
      <c r="A493" s="1749">
        <f t="shared" si="105"/>
        <v>39934</v>
      </c>
      <c r="B493" s="1749" t="str">
        <f t="shared" si="106"/>
        <v>2Q09</v>
      </c>
      <c r="C493" s="1749" t="str">
        <f t="shared" si="107"/>
        <v>2Q09</v>
      </c>
      <c r="D493" s="1750">
        <f t="shared" si="114"/>
        <v>39951</v>
      </c>
      <c r="E493" s="1750">
        <f t="shared" si="114"/>
        <v>39944</v>
      </c>
      <c r="F493" s="1735">
        <v>2.2160000000000002</v>
      </c>
      <c r="G493" s="1752"/>
      <c r="H493" s="1784">
        <v>0.26</v>
      </c>
      <c r="I493" s="1763">
        <f t="shared" si="112"/>
        <v>0.26400000000000001</v>
      </c>
      <c r="J493" s="1784">
        <v>0.13</v>
      </c>
      <c r="K493" s="1763">
        <f t="shared" si="113"/>
        <v>0.13200000000000001</v>
      </c>
      <c r="L493" s="1764">
        <f t="shared" si="110"/>
        <v>0.23000000000000007</v>
      </c>
      <c r="M493" s="1765">
        <f t="shared" si="108"/>
        <v>0.23000000000000007</v>
      </c>
    </row>
    <row r="494" spans="1:13" outlineLevel="1">
      <c r="A494" s="1749">
        <f t="shared" si="105"/>
        <v>39934</v>
      </c>
      <c r="B494" s="1749" t="str">
        <f t="shared" si="106"/>
        <v>2Q09</v>
      </c>
      <c r="C494" s="1749" t="str">
        <f t="shared" si="107"/>
        <v>2Q09</v>
      </c>
      <c r="D494" s="1750">
        <f t="shared" si="114"/>
        <v>39958</v>
      </c>
      <c r="E494" s="1750">
        <f t="shared" si="114"/>
        <v>39951</v>
      </c>
      <c r="F494" s="1735">
        <v>2.2309999999999999</v>
      </c>
      <c r="G494" s="1752"/>
      <c r="H494" s="1784">
        <v>0.26400000000000001</v>
      </c>
      <c r="I494" s="1763">
        <f t="shared" si="112"/>
        <v>0.27200000000000002</v>
      </c>
      <c r="J494" s="1784">
        <v>0.13200000000000001</v>
      </c>
      <c r="K494" s="1763">
        <f t="shared" si="113"/>
        <v>0.13600000000000001</v>
      </c>
      <c r="L494" s="1764">
        <f t="shared" si="110"/>
        <v>0.23000000000000007</v>
      </c>
      <c r="M494" s="1765">
        <f t="shared" si="108"/>
        <v>0.24000000000000007</v>
      </c>
    </row>
    <row r="495" spans="1:13" outlineLevel="1">
      <c r="A495" s="1749">
        <f t="shared" si="105"/>
        <v>39965</v>
      </c>
      <c r="B495" s="1749" t="str">
        <f t="shared" si="106"/>
        <v>2Q09</v>
      </c>
      <c r="C495" s="1749" t="str">
        <f t="shared" si="107"/>
        <v>2Q09</v>
      </c>
      <c r="D495" s="1750">
        <f t="shared" si="114"/>
        <v>39965</v>
      </c>
      <c r="E495" s="1750">
        <f t="shared" si="114"/>
        <v>39958</v>
      </c>
      <c r="F495" s="1735">
        <v>2.274</v>
      </c>
      <c r="G495" s="1752"/>
      <c r="H495" s="1784">
        <v>0.27200000000000002</v>
      </c>
      <c r="I495" s="1763">
        <f t="shared" si="112"/>
        <v>0.28799999999999998</v>
      </c>
      <c r="J495" s="1784">
        <v>0.13600000000000001</v>
      </c>
      <c r="K495" s="1763">
        <f t="shared" si="113"/>
        <v>0.14399999999999999</v>
      </c>
      <c r="L495" s="1764">
        <f t="shared" si="110"/>
        <v>0.24000000000000007</v>
      </c>
      <c r="M495" s="1765">
        <f t="shared" si="108"/>
        <v>0.26000000000000006</v>
      </c>
    </row>
    <row r="496" spans="1:13" outlineLevel="1">
      <c r="A496" s="1749">
        <f t="shared" si="105"/>
        <v>39965</v>
      </c>
      <c r="B496" s="1749" t="str">
        <f t="shared" si="106"/>
        <v>2Q09</v>
      </c>
      <c r="C496" s="1749" t="str">
        <f t="shared" si="107"/>
        <v>2Q09</v>
      </c>
      <c r="D496" s="1750">
        <f t="shared" si="114"/>
        <v>39972</v>
      </c>
      <c r="E496" s="1750">
        <f t="shared" si="114"/>
        <v>39965</v>
      </c>
      <c r="F496" s="1735">
        <v>2.3519999999999999</v>
      </c>
      <c r="G496" s="1752"/>
      <c r="H496" s="1784">
        <v>0.28799999999999998</v>
      </c>
      <c r="I496" s="1763">
        <f t="shared" si="112"/>
        <v>0.41899999999999998</v>
      </c>
      <c r="J496" s="1784">
        <v>0.14399999999999999</v>
      </c>
      <c r="K496" s="1763">
        <f t="shared" si="113"/>
        <v>0.158</v>
      </c>
      <c r="L496" s="1764">
        <f t="shared" si="110"/>
        <v>0.26000000000000006</v>
      </c>
      <c r="M496" s="1765">
        <f t="shared" si="108"/>
        <v>0.28000000000000008</v>
      </c>
    </row>
    <row r="497" spans="1:13" outlineLevel="1">
      <c r="A497" s="1749">
        <f t="shared" si="105"/>
        <v>39965</v>
      </c>
      <c r="B497" s="1749" t="str">
        <f t="shared" si="106"/>
        <v>2Q09</v>
      </c>
      <c r="C497" s="1749" t="str">
        <f t="shared" si="107"/>
        <v>2Q09</v>
      </c>
      <c r="D497" s="1750">
        <f t="shared" si="114"/>
        <v>39979</v>
      </c>
      <c r="E497" s="1750">
        <f t="shared" si="114"/>
        <v>39972</v>
      </c>
      <c r="F497" s="1735">
        <v>2.4980000000000002</v>
      </c>
      <c r="G497" s="1752"/>
      <c r="H497" s="1762">
        <f t="shared" ref="H497:H560" si="115">INDEX($O$4:$R$440,MATCH(F497,$O$4:$O$440,1),3)</f>
        <v>0.41899999999999998</v>
      </c>
      <c r="I497" s="1763">
        <f t="shared" si="112"/>
        <v>0.42899999999999999</v>
      </c>
      <c r="J497" s="1784">
        <v>0.158</v>
      </c>
      <c r="K497" s="1763">
        <f t="shared" si="113"/>
        <v>0.16600000000000001</v>
      </c>
      <c r="L497" s="1764">
        <f t="shared" si="110"/>
        <v>0.28000000000000008</v>
      </c>
      <c r="M497" s="1765">
        <f t="shared" si="108"/>
        <v>0.3000000000000001</v>
      </c>
    </row>
    <row r="498" spans="1:13" outlineLevel="1">
      <c r="A498" s="1749">
        <f t="shared" si="105"/>
        <v>39965</v>
      </c>
      <c r="B498" s="1749" t="str">
        <f t="shared" si="106"/>
        <v>2Q09</v>
      </c>
      <c r="C498" s="1749" t="str">
        <f t="shared" si="107"/>
        <v>2Q09</v>
      </c>
      <c r="D498" s="1750">
        <f t="shared" si="114"/>
        <v>39986</v>
      </c>
      <c r="E498" s="1750">
        <f t="shared" si="114"/>
        <v>39979</v>
      </c>
      <c r="F498" s="1735">
        <v>2.5720000000000001</v>
      </c>
      <c r="G498" s="1752"/>
      <c r="H498" s="1762">
        <f t="shared" si="115"/>
        <v>0.42899999999999999</v>
      </c>
      <c r="I498" s="1763">
        <f t="shared" si="112"/>
        <v>0.434</v>
      </c>
      <c r="J498" s="1784">
        <v>0.16600000000000001</v>
      </c>
      <c r="K498" s="1763">
        <f t="shared" si="113"/>
        <v>0.17</v>
      </c>
      <c r="L498" s="1764">
        <f t="shared" si="110"/>
        <v>0.3000000000000001</v>
      </c>
      <c r="M498" s="1765">
        <f t="shared" si="108"/>
        <v>0.31000000000000011</v>
      </c>
    </row>
    <row r="499" spans="1:13" outlineLevel="1">
      <c r="A499" s="1749">
        <f t="shared" si="105"/>
        <v>39965</v>
      </c>
      <c r="B499" s="1749" t="str">
        <f t="shared" si="106"/>
        <v>2Q09</v>
      </c>
      <c r="C499" s="1749" t="str">
        <f t="shared" si="107"/>
        <v>2Q09</v>
      </c>
      <c r="D499" s="1750">
        <f t="shared" si="114"/>
        <v>39993</v>
      </c>
      <c r="E499" s="1750">
        <f t="shared" si="114"/>
        <v>39986</v>
      </c>
      <c r="F499" s="1735">
        <v>2.6160000000000001</v>
      </c>
      <c r="G499" s="1752"/>
      <c r="H499" s="1762">
        <f t="shared" si="115"/>
        <v>0.434</v>
      </c>
      <c r="I499" s="1763">
        <f t="shared" si="112"/>
        <v>0.434</v>
      </c>
      <c r="J499" s="1784">
        <v>0.17</v>
      </c>
      <c r="K499" s="1763">
        <f t="shared" si="113"/>
        <v>0.16900000000000001</v>
      </c>
      <c r="L499" s="1764">
        <f t="shared" si="110"/>
        <v>0.31000000000000011</v>
      </c>
      <c r="M499" s="1765">
        <f t="shared" si="108"/>
        <v>0.31000000000000011</v>
      </c>
    </row>
    <row r="500" spans="1:13" outlineLevel="1">
      <c r="A500" s="1749">
        <f t="shared" si="105"/>
        <v>39995</v>
      </c>
      <c r="B500" s="1749" t="str">
        <f t="shared" si="106"/>
        <v>3Q09</v>
      </c>
      <c r="C500" s="1749" t="str">
        <f t="shared" si="107"/>
        <v>2Q09</v>
      </c>
      <c r="D500" s="1750">
        <f t="shared" si="114"/>
        <v>40000</v>
      </c>
      <c r="E500" s="1750">
        <f t="shared" si="114"/>
        <v>39993</v>
      </c>
      <c r="F500" s="1735">
        <v>2.6080000000000001</v>
      </c>
      <c r="G500" s="1752"/>
      <c r="H500" s="1762">
        <f t="shared" si="115"/>
        <v>0.434</v>
      </c>
      <c r="I500" s="1763">
        <f t="shared" si="112"/>
        <v>0.42899999999999999</v>
      </c>
      <c r="J500" s="1784">
        <v>0.16900000000000001</v>
      </c>
      <c r="K500" s="1763">
        <f t="shared" si="113"/>
        <v>0.16800000000000001</v>
      </c>
      <c r="L500" s="1764">
        <f t="shared" si="110"/>
        <v>0.31000000000000011</v>
      </c>
      <c r="M500" s="1765">
        <f t="shared" si="108"/>
        <v>0.3000000000000001</v>
      </c>
    </row>
    <row r="501" spans="1:13" outlineLevel="1">
      <c r="A501" s="1749">
        <f t="shared" si="105"/>
        <v>39995</v>
      </c>
      <c r="B501" s="1749" t="str">
        <f t="shared" si="106"/>
        <v>3Q09</v>
      </c>
      <c r="C501" s="1749" t="str">
        <f t="shared" si="107"/>
        <v>3Q09</v>
      </c>
      <c r="D501" s="1750">
        <f t="shared" ref="D501:E516" si="116">D500+7</f>
        <v>40007</v>
      </c>
      <c r="E501" s="1750">
        <f t="shared" si="116"/>
        <v>40000</v>
      </c>
      <c r="F501" s="1735">
        <v>2.5939999999999999</v>
      </c>
      <c r="G501" s="1752"/>
      <c r="H501" s="1762">
        <f t="shared" si="115"/>
        <v>0.42899999999999999</v>
      </c>
      <c r="I501" s="1763">
        <f t="shared" si="112"/>
        <v>0.42399999999999999</v>
      </c>
      <c r="J501" s="1784">
        <v>0.16800000000000001</v>
      </c>
      <c r="K501" s="1763">
        <f t="shared" si="113"/>
        <v>0.16300000000000001</v>
      </c>
      <c r="L501" s="1764">
        <f t="shared" si="110"/>
        <v>0.3000000000000001</v>
      </c>
      <c r="M501" s="1765">
        <f t="shared" si="108"/>
        <v>0.29000000000000009</v>
      </c>
    </row>
    <row r="502" spans="1:13" outlineLevel="1">
      <c r="A502" s="1749">
        <f t="shared" si="105"/>
        <v>39995</v>
      </c>
      <c r="B502" s="1749" t="str">
        <f t="shared" si="106"/>
        <v>3Q09</v>
      </c>
      <c r="C502" s="1749" t="str">
        <f t="shared" si="107"/>
        <v>3Q09</v>
      </c>
      <c r="D502" s="1750">
        <f t="shared" si="116"/>
        <v>40014</v>
      </c>
      <c r="E502" s="1750">
        <f t="shared" si="116"/>
        <v>40007</v>
      </c>
      <c r="F502" s="1735">
        <v>2.5419999999999998</v>
      </c>
      <c r="G502" s="1752"/>
      <c r="H502" s="1762">
        <f t="shared" si="115"/>
        <v>0.42399999999999999</v>
      </c>
      <c r="I502" s="1763">
        <f t="shared" si="112"/>
        <v>0.41899999999999998</v>
      </c>
      <c r="J502" s="1784">
        <v>0.16300000000000001</v>
      </c>
      <c r="K502" s="1763">
        <f t="shared" si="113"/>
        <v>0.158</v>
      </c>
      <c r="L502" s="1764">
        <f t="shared" si="110"/>
        <v>0.29000000000000009</v>
      </c>
      <c r="M502" s="1765">
        <f t="shared" si="108"/>
        <v>0.28000000000000008</v>
      </c>
    </row>
    <row r="503" spans="1:13" outlineLevel="1">
      <c r="A503" s="1749">
        <f t="shared" si="105"/>
        <v>39995</v>
      </c>
      <c r="B503" s="1749" t="str">
        <f t="shared" si="106"/>
        <v>3Q09</v>
      </c>
      <c r="C503" s="1749" t="str">
        <f t="shared" si="107"/>
        <v>3Q09</v>
      </c>
      <c r="D503" s="1750">
        <f t="shared" si="116"/>
        <v>40021</v>
      </c>
      <c r="E503" s="1750">
        <f t="shared" si="116"/>
        <v>40014</v>
      </c>
      <c r="F503" s="1735">
        <v>2.496</v>
      </c>
      <c r="G503" s="1752"/>
      <c r="H503" s="1762">
        <f t="shared" si="115"/>
        <v>0.41899999999999998</v>
      </c>
      <c r="I503" s="1763">
        <f t="shared" si="112"/>
        <v>0.42399999999999999</v>
      </c>
      <c r="J503" s="1784">
        <v>0.158</v>
      </c>
      <c r="K503" s="1763">
        <f t="shared" si="113"/>
        <v>0.161</v>
      </c>
      <c r="L503" s="1764">
        <f t="shared" si="110"/>
        <v>0.28000000000000008</v>
      </c>
      <c r="M503" s="1765">
        <f t="shared" si="108"/>
        <v>0.29000000000000009</v>
      </c>
    </row>
    <row r="504" spans="1:13" outlineLevel="1">
      <c r="A504" s="1749">
        <f t="shared" si="105"/>
        <v>40026</v>
      </c>
      <c r="B504" s="1749" t="str">
        <f t="shared" si="106"/>
        <v>3Q09</v>
      </c>
      <c r="C504" s="1749" t="str">
        <f t="shared" si="107"/>
        <v>3Q09</v>
      </c>
      <c r="D504" s="1750">
        <f t="shared" si="116"/>
        <v>40028</v>
      </c>
      <c r="E504" s="1750">
        <f t="shared" si="116"/>
        <v>40021</v>
      </c>
      <c r="F504" s="1735">
        <v>2.528</v>
      </c>
      <c r="G504" s="1752"/>
      <c r="H504" s="1762">
        <f t="shared" si="115"/>
        <v>0.42399999999999999</v>
      </c>
      <c r="I504" s="1763">
        <f t="shared" si="112"/>
        <v>0.42899999999999999</v>
      </c>
      <c r="J504" s="1784">
        <v>0.161</v>
      </c>
      <c r="K504" s="1763">
        <f t="shared" si="113"/>
        <v>0.16400000000000001</v>
      </c>
      <c r="L504" s="1764">
        <f t="shared" si="110"/>
        <v>0.29000000000000009</v>
      </c>
      <c r="M504" s="1765">
        <f t="shared" si="108"/>
        <v>0.3000000000000001</v>
      </c>
    </row>
    <row r="505" spans="1:13" outlineLevel="1">
      <c r="A505" s="1749">
        <f t="shared" si="105"/>
        <v>40026</v>
      </c>
      <c r="B505" s="1749" t="str">
        <f t="shared" si="106"/>
        <v>3Q09</v>
      </c>
      <c r="C505" s="1749" t="str">
        <f t="shared" si="107"/>
        <v>3Q09</v>
      </c>
      <c r="D505" s="1750">
        <f t="shared" si="116"/>
        <v>40035</v>
      </c>
      <c r="E505" s="1750">
        <f t="shared" si="116"/>
        <v>40028</v>
      </c>
      <c r="F505" s="1735">
        <v>2.5499999999999998</v>
      </c>
      <c r="G505" s="1752"/>
      <c r="H505" s="1762">
        <f t="shared" si="115"/>
        <v>0.42899999999999999</v>
      </c>
      <c r="I505" s="1763">
        <f t="shared" si="112"/>
        <v>0.434</v>
      </c>
      <c r="J505" s="1784">
        <v>0.16400000000000001</v>
      </c>
      <c r="K505" s="1763">
        <f t="shared" si="113"/>
        <v>0.17100000000000001</v>
      </c>
      <c r="L505" s="1764">
        <f t="shared" si="110"/>
        <v>0.3000000000000001</v>
      </c>
      <c r="M505" s="1765">
        <f t="shared" si="108"/>
        <v>0.31000000000000011</v>
      </c>
    </row>
    <row r="506" spans="1:13" outlineLevel="1">
      <c r="A506" s="1749">
        <f t="shared" si="105"/>
        <v>40026</v>
      </c>
      <c r="B506" s="1749" t="str">
        <f t="shared" si="106"/>
        <v>3Q09</v>
      </c>
      <c r="C506" s="1749" t="str">
        <f t="shared" si="107"/>
        <v>3Q09</v>
      </c>
      <c r="D506" s="1750">
        <f t="shared" si="116"/>
        <v>40042</v>
      </c>
      <c r="E506" s="1750">
        <f t="shared" si="116"/>
        <v>40035</v>
      </c>
      <c r="F506" s="1735">
        <v>2.625</v>
      </c>
      <c r="G506" s="1752"/>
      <c r="H506" s="1762">
        <f t="shared" si="115"/>
        <v>0.434</v>
      </c>
      <c r="I506" s="1763">
        <f t="shared" si="112"/>
        <v>0.439</v>
      </c>
      <c r="J506" s="1784">
        <v>0.17100000000000001</v>
      </c>
      <c r="K506" s="1763">
        <f t="shared" si="113"/>
        <v>0.17399999999999999</v>
      </c>
      <c r="L506" s="1764">
        <f t="shared" si="110"/>
        <v>0.31000000000000011</v>
      </c>
      <c r="M506" s="1765">
        <f t="shared" si="108"/>
        <v>0.32000000000000012</v>
      </c>
    </row>
    <row r="507" spans="1:13" outlineLevel="1">
      <c r="A507" s="1749">
        <f t="shared" si="105"/>
        <v>40026</v>
      </c>
      <c r="B507" s="1749" t="str">
        <f t="shared" si="106"/>
        <v>3Q09</v>
      </c>
      <c r="C507" s="1749" t="str">
        <f t="shared" si="107"/>
        <v>3Q09</v>
      </c>
      <c r="D507" s="1750">
        <f t="shared" si="116"/>
        <v>40049</v>
      </c>
      <c r="E507" s="1750">
        <f t="shared" si="116"/>
        <v>40042</v>
      </c>
      <c r="F507" s="1735">
        <v>2.6520000000000001</v>
      </c>
      <c r="G507" s="1752"/>
      <c r="H507" s="1762">
        <f t="shared" si="115"/>
        <v>0.439</v>
      </c>
      <c r="I507" s="1763">
        <f t="shared" si="112"/>
        <v>0.439</v>
      </c>
      <c r="J507" s="1784">
        <v>0.17399999999999999</v>
      </c>
      <c r="K507" s="1763">
        <f t="shared" si="113"/>
        <v>0.17499999999999999</v>
      </c>
      <c r="L507" s="1764">
        <f t="shared" si="110"/>
        <v>0.32000000000000012</v>
      </c>
      <c r="M507" s="1765">
        <f t="shared" si="108"/>
        <v>0.32000000000000012</v>
      </c>
    </row>
    <row r="508" spans="1:13" outlineLevel="1">
      <c r="A508" s="1749">
        <f t="shared" si="105"/>
        <v>40026</v>
      </c>
      <c r="B508" s="1749" t="str">
        <f t="shared" si="106"/>
        <v>3Q09</v>
      </c>
      <c r="C508" s="1749" t="str">
        <f t="shared" si="107"/>
        <v>3Q09</v>
      </c>
      <c r="D508" s="1750">
        <f t="shared" si="116"/>
        <v>40056</v>
      </c>
      <c r="E508" s="1750">
        <f t="shared" si="116"/>
        <v>40049</v>
      </c>
      <c r="F508" s="1735">
        <v>2.6680000000000001</v>
      </c>
      <c r="G508" s="1752"/>
      <c r="H508" s="1762">
        <f t="shared" si="115"/>
        <v>0.439</v>
      </c>
      <c r="I508" s="1763">
        <f t="shared" si="112"/>
        <v>0.439</v>
      </c>
      <c r="J508" s="1784">
        <v>0.17499999999999999</v>
      </c>
      <c r="K508" s="1763">
        <f t="shared" si="113"/>
        <v>0.17599999999999999</v>
      </c>
      <c r="L508" s="1764">
        <f t="shared" si="110"/>
        <v>0.32000000000000012</v>
      </c>
      <c r="M508" s="1765">
        <f t="shared" si="108"/>
        <v>0.32000000000000012</v>
      </c>
    </row>
    <row r="509" spans="1:13" outlineLevel="1">
      <c r="A509" s="1749">
        <f t="shared" si="105"/>
        <v>40057</v>
      </c>
      <c r="B509" s="1749" t="str">
        <f t="shared" si="106"/>
        <v>3Q09</v>
      </c>
      <c r="C509" s="1749" t="str">
        <f t="shared" si="107"/>
        <v>3Q09</v>
      </c>
      <c r="D509" s="1750">
        <f t="shared" si="116"/>
        <v>40063</v>
      </c>
      <c r="E509" s="1750">
        <f t="shared" si="116"/>
        <v>40056</v>
      </c>
      <c r="F509" s="1735">
        <v>2.6739999999999999</v>
      </c>
      <c r="G509" s="1752"/>
      <c r="H509" s="1762">
        <f t="shared" si="115"/>
        <v>0.439</v>
      </c>
      <c r="I509" s="1763">
        <f t="shared" si="112"/>
        <v>0.434</v>
      </c>
      <c r="J509" s="1784">
        <v>0.17599999999999999</v>
      </c>
      <c r="K509" s="1763">
        <f t="shared" si="113"/>
        <v>0.17299999999999999</v>
      </c>
      <c r="L509" s="1764">
        <f t="shared" si="110"/>
        <v>0.32000000000000012</v>
      </c>
      <c r="M509" s="1765">
        <f t="shared" si="108"/>
        <v>0.31000000000000011</v>
      </c>
    </row>
    <row r="510" spans="1:13" outlineLevel="1">
      <c r="A510" s="1749">
        <f t="shared" si="105"/>
        <v>40057</v>
      </c>
      <c r="B510" s="1749" t="str">
        <f t="shared" si="106"/>
        <v>3Q09</v>
      </c>
      <c r="C510" s="1749" t="str">
        <f t="shared" si="107"/>
        <v>3Q09</v>
      </c>
      <c r="D510" s="1750">
        <f t="shared" si="116"/>
        <v>40070</v>
      </c>
      <c r="E510" s="1750">
        <f t="shared" si="116"/>
        <v>40063</v>
      </c>
      <c r="F510" s="1735">
        <v>2.6469999999999998</v>
      </c>
      <c r="G510" s="1752"/>
      <c r="H510" s="1762">
        <f t="shared" si="115"/>
        <v>0.434</v>
      </c>
      <c r="I510" s="1763">
        <f t="shared" si="112"/>
        <v>0.434</v>
      </c>
      <c r="J510" s="1784">
        <v>0.17299999999999999</v>
      </c>
      <c r="K510" s="1763">
        <f t="shared" si="113"/>
        <v>0.17199999999999999</v>
      </c>
      <c r="L510" s="1764">
        <f t="shared" si="110"/>
        <v>0.31000000000000011</v>
      </c>
      <c r="M510" s="1765">
        <f t="shared" si="108"/>
        <v>0.31000000000000011</v>
      </c>
    </row>
    <row r="511" spans="1:13" outlineLevel="1">
      <c r="A511" s="1749">
        <f t="shared" si="105"/>
        <v>40057</v>
      </c>
      <c r="B511" s="1749" t="str">
        <f t="shared" si="106"/>
        <v>3Q09</v>
      </c>
      <c r="C511" s="1749" t="str">
        <f t="shared" si="107"/>
        <v>3Q09</v>
      </c>
      <c r="D511" s="1750">
        <f t="shared" si="116"/>
        <v>40077</v>
      </c>
      <c r="E511" s="1750">
        <f t="shared" si="116"/>
        <v>40070</v>
      </c>
      <c r="F511" s="1735">
        <v>2.6339999999999999</v>
      </c>
      <c r="G511" s="1752"/>
      <c r="H511" s="1762">
        <f t="shared" si="115"/>
        <v>0.434</v>
      </c>
      <c r="I511" s="1763">
        <f t="shared" si="112"/>
        <v>0.434</v>
      </c>
      <c r="J511" s="1784">
        <v>0.17199999999999999</v>
      </c>
      <c r="K511" s="1763">
        <f t="shared" si="113"/>
        <v>0.17100000000000001</v>
      </c>
      <c r="L511" s="1764">
        <f t="shared" si="110"/>
        <v>0.31000000000000011</v>
      </c>
      <c r="M511" s="1765">
        <f t="shared" si="108"/>
        <v>0.31000000000000011</v>
      </c>
    </row>
    <row r="512" spans="1:13" outlineLevel="1">
      <c r="A512" s="1749">
        <f t="shared" si="105"/>
        <v>40057</v>
      </c>
      <c r="B512" s="1749" t="str">
        <f t="shared" si="106"/>
        <v>3Q09</v>
      </c>
      <c r="C512" s="1749" t="str">
        <f t="shared" si="107"/>
        <v>3Q09</v>
      </c>
      <c r="D512" s="1750">
        <f t="shared" si="116"/>
        <v>40084</v>
      </c>
      <c r="E512" s="1750">
        <f t="shared" si="116"/>
        <v>40077</v>
      </c>
      <c r="F512" s="1735">
        <v>2.6219999999999999</v>
      </c>
      <c r="G512" s="1752"/>
      <c r="H512" s="1762">
        <f t="shared" si="115"/>
        <v>0.434</v>
      </c>
      <c r="I512" s="1763">
        <f t="shared" si="112"/>
        <v>0.434</v>
      </c>
      <c r="J512" s="1784">
        <v>0.17100000000000001</v>
      </c>
      <c r="K512" s="1763">
        <f t="shared" si="113"/>
        <v>0.16900000000000001</v>
      </c>
      <c r="L512" s="1764">
        <f t="shared" si="110"/>
        <v>0.31000000000000011</v>
      </c>
      <c r="M512" s="1765">
        <f t="shared" si="108"/>
        <v>0.31000000000000011</v>
      </c>
    </row>
    <row r="513" spans="1:13" outlineLevel="1">
      <c r="A513" s="1749">
        <f t="shared" si="105"/>
        <v>40087</v>
      </c>
      <c r="B513" s="1749" t="str">
        <f t="shared" si="106"/>
        <v>4Q09</v>
      </c>
      <c r="C513" s="1749" t="str">
        <f t="shared" si="107"/>
        <v>3Q09</v>
      </c>
      <c r="D513" s="1750">
        <f t="shared" si="116"/>
        <v>40091</v>
      </c>
      <c r="E513" s="1750">
        <f t="shared" si="116"/>
        <v>40084</v>
      </c>
      <c r="F513" s="1735">
        <v>2.601</v>
      </c>
      <c r="G513" s="1752"/>
      <c r="H513" s="1762">
        <f t="shared" si="115"/>
        <v>0.434</v>
      </c>
      <c r="I513" s="1763">
        <f t="shared" si="112"/>
        <v>0.42899999999999999</v>
      </c>
      <c r="J513" s="1784">
        <v>0.16900000000000001</v>
      </c>
      <c r="K513" s="1763">
        <f t="shared" si="113"/>
        <v>0.16700000000000001</v>
      </c>
      <c r="L513" s="1764">
        <f t="shared" si="110"/>
        <v>0.31000000000000011</v>
      </c>
      <c r="M513" s="1765">
        <f t="shared" si="108"/>
        <v>0.3000000000000001</v>
      </c>
    </row>
    <row r="514" spans="1:13" outlineLevel="1">
      <c r="A514" s="1749">
        <f t="shared" si="105"/>
        <v>40087</v>
      </c>
      <c r="B514" s="1749" t="str">
        <f t="shared" si="106"/>
        <v>4Q09</v>
      </c>
      <c r="C514" s="1749" t="str">
        <f t="shared" si="107"/>
        <v>4Q09</v>
      </c>
      <c r="D514" s="1750">
        <f t="shared" si="116"/>
        <v>40098</v>
      </c>
      <c r="E514" s="1750">
        <f t="shared" si="116"/>
        <v>40091</v>
      </c>
      <c r="F514" s="1735">
        <v>2.5819999999999999</v>
      </c>
      <c r="G514" s="1752"/>
      <c r="H514" s="1762">
        <f t="shared" si="115"/>
        <v>0.42899999999999999</v>
      </c>
      <c r="I514" s="1763">
        <f t="shared" si="112"/>
        <v>0.434</v>
      </c>
      <c r="J514" s="1784">
        <v>0.16700000000000001</v>
      </c>
      <c r="K514" s="1763">
        <f t="shared" si="113"/>
        <v>0.16900000000000001</v>
      </c>
      <c r="L514" s="1764">
        <f t="shared" si="110"/>
        <v>0.3000000000000001</v>
      </c>
      <c r="M514" s="1765">
        <f t="shared" si="108"/>
        <v>0.31000000000000011</v>
      </c>
    </row>
    <row r="515" spans="1:13" outlineLevel="1">
      <c r="A515" s="1749">
        <f t="shared" si="105"/>
        <v>40087</v>
      </c>
      <c r="B515" s="1749" t="str">
        <f t="shared" si="106"/>
        <v>4Q09</v>
      </c>
      <c r="C515" s="1749" t="str">
        <f t="shared" si="107"/>
        <v>4Q09</v>
      </c>
      <c r="D515" s="1750">
        <f t="shared" si="116"/>
        <v>40105</v>
      </c>
      <c r="E515" s="1750">
        <f t="shared" si="116"/>
        <v>40098</v>
      </c>
      <c r="F515" s="1735">
        <v>2.6</v>
      </c>
      <c r="G515" s="1752"/>
      <c r="H515" s="1762">
        <f t="shared" si="115"/>
        <v>0.434</v>
      </c>
      <c r="I515" s="1763">
        <f t="shared" si="112"/>
        <v>0.44400000000000001</v>
      </c>
      <c r="J515" s="1784">
        <v>0.16900000000000001</v>
      </c>
      <c r="K515" s="1763">
        <f t="shared" si="113"/>
        <v>0.17899999999999999</v>
      </c>
      <c r="L515" s="1764">
        <f t="shared" si="110"/>
        <v>0.31000000000000011</v>
      </c>
      <c r="M515" s="1765">
        <f t="shared" si="108"/>
        <v>0.33000000000000013</v>
      </c>
    </row>
    <row r="516" spans="1:13" outlineLevel="1">
      <c r="A516" s="1749">
        <f t="shared" ref="A516:A579" si="117">DATE(YEAR(D516),MONTH(D516),1)</f>
        <v>40087</v>
      </c>
      <c r="B516" s="1749" t="str">
        <f t="shared" ref="B516:B579" si="118">VLOOKUP(MONTH(A516),$AB$4:$AC$17,2,FALSE) &amp; "Q" &amp; RIGHT(YEAR(A516),2)</f>
        <v>4Q09</v>
      </c>
      <c r="C516" s="1749" t="str">
        <f t="shared" ref="C516:C579" si="119">VLOOKUP(MONTH(E516),$AB$4:$AC$17,2,FALSE) &amp; "Q" &amp; RIGHT(YEAR(E516),2)</f>
        <v>4Q09</v>
      </c>
      <c r="D516" s="1750">
        <f t="shared" si="116"/>
        <v>40112</v>
      </c>
      <c r="E516" s="1750">
        <f t="shared" si="116"/>
        <v>40105</v>
      </c>
      <c r="F516" s="1735">
        <v>2.7050000000000001</v>
      </c>
      <c r="G516" s="1752"/>
      <c r="H516" s="1762">
        <f t="shared" si="115"/>
        <v>0.44400000000000001</v>
      </c>
      <c r="I516" s="1763">
        <f t="shared" si="112"/>
        <v>0.45400000000000001</v>
      </c>
      <c r="J516" s="1784">
        <v>0.17899999999999999</v>
      </c>
      <c r="K516" s="1763">
        <f t="shared" si="113"/>
        <v>0.189</v>
      </c>
      <c r="L516" s="1764">
        <f t="shared" si="110"/>
        <v>0.33000000000000013</v>
      </c>
      <c r="M516" s="1765">
        <f t="shared" ref="M516:M579" si="120">L517</f>
        <v>0.35000000000000014</v>
      </c>
    </row>
    <row r="517" spans="1:13" outlineLevel="1">
      <c r="A517" s="1749">
        <f t="shared" si="117"/>
        <v>40118</v>
      </c>
      <c r="B517" s="1749" t="str">
        <f t="shared" si="118"/>
        <v>4Q09</v>
      </c>
      <c r="C517" s="1749" t="str">
        <f t="shared" si="119"/>
        <v>4Q09</v>
      </c>
      <c r="D517" s="1750">
        <f t="shared" ref="D517:E532" si="121">D516+7</f>
        <v>40119</v>
      </c>
      <c r="E517" s="1750">
        <f t="shared" si="121"/>
        <v>40112</v>
      </c>
      <c r="F517" s="1735">
        <v>2.8010000000000002</v>
      </c>
      <c r="G517" s="1752"/>
      <c r="H517" s="1762">
        <f t="shared" si="115"/>
        <v>0.45400000000000001</v>
      </c>
      <c r="I517" s="1763">
        <f t="shared" si="112"/>
        <v>0.45400000000000001</v>
      </c>
      <c r="J517" s="1784">
        <v>0.189</v>
      </c>
      <c r="K517" s="1763">
        <f t="shared" si="113"/>
        <v>0.189</v>
      </c>
      <c r="L517" s="1764">
        <f t="shared" ref="L517:L580" si="122">INDEX($T$4:$V$100,MATCH(F517,$T$4:$T$100,1),3)</f>
        <v>0.35000000000000014</v>
      </c>
      <c r="M517" s="1765">
        <f t="shared" si="120"/>
        <v>0.35000000000000014</v>
      </c>
    </row>
    <row r="518" spans="1:13" outlineLevel="1">
      <c r="A518" s="1749">
        <f t="shared" si="117"/>
        <v>40118</v>
      </c>
      <c r="B518" s="1749" t="str">
        <f t="shared" si="118"/>
        <v>4Q09</v>
      </c>
      <c r="C518" s="1749" t="str">
        <f t="shared" si="119"/>
        <v>4Q09</v>
      </c>
      <c r="D518" s="1750">
        <f t="shared" si="121"/>
        <v>40126</v>
      </c>
      <c r="E518" s="1750">
        <f t="shared" si="121"/>
        <v>40119</v>
      </c>
      <c r="F518" s="1735">
        <v>2.8079999999999998</v>
      </c>
      <c r="G518" s="1752"/>
      <c r="H518" s="1762">
        <f t="shared" si="115"/>
        <v>0.45400000000000001</v>
      </c>
      <c r="I518" s="1763">
        <f t="shared" si="112"/>
        <v>0.45400000000000001</v>
      </c>
      <c r="J518" s="1784">
        <v>0.189</v>
      </c>
      <c r="K518" s="1763">
        <f t="shared" si="113"/>
        <v>0.189</v>
      </c>
      <c r="L518" s="1764">
        <f t="shared" si="122"/>
        <v>0.35000000000000014</v>
      </c>
      <c r="M518" s="1765">
        <f t="shared" si="120"/>
        <v>0.35000000000000014</v>
      </c>
    </row>
    <row r="519" spans="1:13" outlineLevel="1">
      <c r="A519" s="1749">
        <f t="shared" si="117"/>
        <v>40118</v>
      </c>
      <c r="B519" s="1749" t="str">
        <f t="shared" si="118"/>
        <v>4Q09</v>
      </c>
      <c r="C519" s="1749" t="str">
        <f t="shared" si="119"/>
        <v>4Q09</v>
      </c>
      <c r="D519" s="1750">
        <f t="shared" si="121"/>
        <v>40133</v>
      </c>
      <c r="E519" s="1750">
        <f t="shared" si="121"/>
        <v>40126</v>
      </c>
      <c r="F519" s="1735">
        <v>2.8010000000000002</v>
      </c>
      <c r="G519" s="1752"/>
      <c r="H519" s="1762">
        <f t="shared" si="115"/>
        <v>0.45400000000000001</v>
      </c>
      <c r="I519" s="1763">
        <f t="shared" si="112"/>
        <v>0.44900000000000001</v>
      </c>
      <c r="J519" s="1784">
        <v>0.189</v>
      </c>
      <c r="K519" s="1763">
        <f t="shared" si="113"/>
        <v>0.188</v>
      </c>
      <c r="L519" s="1764">
        <f t="shared" si="122"/>
        <v>0.35000000000000014</v>
      </c>
      <c r="M519" s="1765">
        <f t="shared" si="120"/>
        <v>0.34000000000000014</v>
      </c>
    </row>
    <row r="520" spans="1:13" outlineLevel="1">
      <c r="A520" s="1749">
        <f t="shared" si="117"/>
        <v>40118</v>
      </c>
      <c r="B520" s="1749" t="str">
        <f t="shared" si="118"/>
        <v>4Q09</v>
      </c>
      <c r="C520" s="1749" t="str">
        <f t="shared" si="119"/>
        <v>4Q09</v>
      </c>
      <c r="D520" s="1750">
        <f t="shared" si="121"/>
        <v>40140</v>
      </c>
      <c r="E520" s="1750">
        <f t="shared" si="121"/>
        <v>40133</v>
      </c>
      <c r="F520" s="1735">
        <v>2.79</v>
      </c>
      <c r="G520" s="1752"/>
      <c r="H520" s="1762">
        <f t="shared" si="115"/>
        <v>0.44900000000000001</v>
      </c>
      <c r="I520" s="1763">
        <f t="shared" si="112"/>
        <v>0.44900000000000001</v>
      </c>
      <c r="J520" s="1784">
        <v>0.188</v>
      </c>
      <c r="K520" s="1763">
        <f t="shared" si="113"/>
        <v>0.187</v>
      </c>
      <c r="L520" s="1764">
        <f t="shared" si="122"/>
        <v>0.34000000000000014</v>
      </c>
      <c r="M520" s="1765">
        <f t="shared" si="120"/>
        <v>0.34000000000000014</v>
      </c>
    </row>
    <row r="521" spans="1:13" outlineLevel="1">
      <c r="A521" s="1749">
        <f t="shared" si="117"/>
        <v>40118</v>
      </c>
      <c r="B521" s="1749" t="str">
        <f t="shared" si="118"/>
        <v>4Q09</v>
      </c>
      <c r="C521" s="1749" t="str">
        <f t="shared" si="119"/>
        <v>4Q09</v>
      </c>
      <c r="D521" s="1750">
        <f t="shared" si="121"/>
        <v>40147</v>
      </c>
      <c r="E521" s="1750">
        <f t="shared" si="121"/>
        <v>40140</v>
      </c>
      <c r="F521" s="1735">
        <v>2.7869999999999999</v>
      </c>
      <c r="G521" s="1752"/>
      <c r="H521" s="1762">
        <f t="shared" si="115"/>
        <v>0.44900000000000001</v>
      </c>
      <c r="I521" s="1763">
        <f t="shared" si="112"/>
        <v>0.44900000000000001</v>
      </c>
      <c r="J521" s="1784">
        <v>0.187</v>
      </c>
      <c r="K521" s="1763">
        <f t="shared" si="113"/>
        <v>0.186</v>
      </c>
      <c r="L521" s="1764">
        <f t="shared" si="122"/>
        <v>0.34000000000000014</v>
      </c>
      <c r="M521" s="1765">
        <f t="shared" si="120"/>
        <v>0.34000000000000014</v>
      </c>
    </row>
    <row r="522" spans="1:13" outlineLevel="1">
      <c r="A522" s="1749">
        <f t="shared" si="117"/>
        <v>40148</v>
      </c>
      <c r="B522" s="1749" t="str">
        <f t="shared" si="118"/>
        <v>4Q09</v>
      </c>
      <c r="C522" s="1749" t="str">
        <f t="shared" si="119"/>
        <v>4Q09</v>
      </c>
      <c r="D522" s="1750">
        <f t="shared" si="121"/>
        <v>40154</v>
      </c>
      <c r="E522" s="1750">
        <f t="shared" si="121"/>
        <v>40147</v>
      </c>
      <c r="F522" s="1735">
        <v>2.7749999999999999</v>
      </c>
      <c r="G522" s="1752"/>
      <c r="H522" s="1762">
        <f t="shared" si="115"/>
        <v>0.44900000000000001</v>
      </c>
      <c r="I522" s="1763">
        <f t="shared" si="112"/>
        <v>0.44900000000000001</v>
      </c>
      <c r="J522" s="1784">
        <v>0.186</v>
      </c>
      <c r="K522" s="1763">
        <f t="shared" si="113"/>
        <v>0.186</v>
      </c>
      <c r="L522" s="1764">
        <f t="shared" si="122"/>
        <v>0.34000000000000014</v>
      </c>
      <c r="M522" s="1765">
        <f t="shared" si="120"/>
        <v>0.34000000000000014</v>
      </c>
    </row>
    <row r="523" spans="1:13" outlineLevel="1">
      <c r="A523" s="1749">
        <f t="shared" si="117"/>
        <v>40148</v>
      </c>
      <c r="B523" s="1749" t="str">
        <f t="shared" si="118"/>
        <v>4Q09</v>
      </c>
      <c r="C523" s="1749" t="str">
        <f t="shared" si="119"/>
        <v>4Q09</v>
      </c>
      <c r="D523" s="1750">
        <f t="shared" si="121"/>
        <v>40161</v>
      </c>
      <c r="E523" s="1750">
        <f t="shared" si="121"/>
        <v>40154</v>
      </c>
      <c r="F523" s="1735">
        <v>2.7719999999999998</v>
      </c>
      <c r="G523" s="1752"/>
      <c r="H523" s="1762">
        <f t="shared" si="115"/>
        <v>0.44900000000000001</v>
      </c>
      <c r="I523" s="1763">
        <f t="shared" si="112"/>
        <v>0.44400000000000001</v>
      </c>
      <c r="J523" s="1784">
        <v>0.186</v>
      </c>
      <c r="K523" s="1763">
        <f t="shared" si="113"/>
        <v>0.183</v>
      </c>
      <c r="L523" s="1764">
        <f t="shared" si="122"/>
        <v>0.34000000000000014</v>
      </c>
      <c r="M523" s="1765">
        <f t="shared" si="120"/>
        <v>0.33000000000000013</v>
      </c>
    </row>
    <row r="524" spans="1:13" outlineLevel="1">
      <c r="A524" s="1749">
        <f t="shared" si="117"/>
        <v>40148</v>
      </c>
      <c r="B524" s="1749" t="str">
        <f t="shared" si="118"/>
        <v>4Q09</v>
      </c>
      <c r="C524" s="1749" t="str">
        <f t="shared" si="119"/>
        <v>4Q09</v>
      </c>
      <c r="D524" s="1750">
        <f t="shared" si="121"/>
        <v>40168</v>
      </c>
      <c r="E524" s="1750">
        <f t="shared" si="121"/>
        <v>40161</v>
      </c>
      <c r="F524" s="1735">
        <v>2.7480000000000002</v>
      </c>
      <c r="G524" s="1752"/>
      <c r="H524" s="1762">
        <f t="shared" si="115"/>
        <v>0.44400000000000001</v>
      </c>
      <c r="I524" s="1763">
        <f t="shared" si="112"/>
        <v>0.44400000000000001</v>
      </c>
      <c r="J524" s="1784">
        <v>0.183</v>
      </c>
      <c r="K524" s="1763">
        <f t="shared" si="113"/>
        <v>0.18099999999999999</v>
      </c>
      <c r="L524" s="1764">
        <f t="shared" si="122"/>
        <v>0.33000000000000013</v>
      </c>
      <c r="M524" s="1765">
        <f t="shared" si="120"/>
        <v>0.33000000000000013</v>
      </c>
    </row>
    <row r="525" spans="1:13" outlineLevel="1">
      <c r="A525" s="1749">
        <f t="shared" si="117"/>
        <v>40148</v>
      </c>
      <c r="B525" s="1749" t="str">
        <f t="shared" si="118"/>
        <v>4Q09</v>
      </c>
      <c r="C525" s="1749" t="str">
        <f t="shared" si="119"/>
        <v>4Q09</v>
      </c>
      <c r="D525" s="1750">
        <f t="shared" si="121"/>
        <v>40175</v>
      </c>
      <c r="E525" s="1750">
        <f t="shared" si="121"/>
        <v>40168</v>
      </c>
      <c r="F525" s="1735">
        <v>2.726</v>
      </c>
      <c r="G525" s="1752"/>
      <c r="H525" s="1762">
        <f t="shared" si="115"/>
        <v>0.44400000000000001</v>
      </c>
      <c r="I525" s="1763">
        <f t="shared" si="112"/>
        <v>0.44400000000000001</v>
      </c>
      <c r="J525" s="1784">
        <v>0.18099999999999999</v>
      </c>
      <c r="K525" s="1763">
        <f t="shared" si="113"/>
        <v>0.182</v>
      </c>
      <c r="L525" s="1764">
        <f t="shared" si="122"/>
        <v>0.33000000000000013</v>
      </c>
      <c r="M525" s="1765">
        <f t="shared" si="120"/>
        <v>0.33000000000000013</v>
      </c>
    </row>
    <row r="526" spans="1:13" outlineLevel="1">
      <c r="A526" s="1749">
        <f t="shared" si="117"/>
        <v>40179</v>
      </c>
      <c r="B526" s="1749" t="str">
        <f t="shared" si="118"/>
        <v>1Q10</v>
      </c>
      <c r="C526" s="1749" t="str">
        <f t="shared" si="119"/>
        <v>4Q09</v>
      </c>
      <c r="D526" s="1750">
        <f t="shared" si="121"/>
        <v>40182</v>
      </c>
      <c r="E526" s="1750">
        <f t="shared" si="121"/>
        <v>40175</v>
      </c>
      <c r="F526" s="1735">
        <v>2.7320000000000002</v>
      </c>
      <c r="G526" s="1752"/>
      <c r="H526" s="1762">
        <f t="shared" si="115"/>
        <v>0.44400000000000001</v>
      </c>
      <c r="I526" s="1763">
        <f t="shared" si="112"/>
        <v>0.44900000000000001</v>
      </c>
      <c r="J526" s="1784">
        <v>0.182</v>
      </c>
      <c r="K526" s="1763">
        <f t="shared" si="113"/>
        <v>0.188</v>
      </c>
      <c r="L526" s="1764">
        <f t="shared" si="122"/>
        <v>0.33000000000000013</v>
      </c>
      <c r="M526" s="1765">
        <f t="shared" si="120"/>
        <v>0.34000000000000014</v>
      </c>
    </row>
    <row r="527" spans="1:13" outlineLevel="1">
      <c r="A527" s="1749">
        <f t="shared" si="117"/>
        <v>40179</v>
      </c>
      <c r="B527" s="1749" t="str">
        <f t="shared" si="118"/>
        <v>1Q10</v>
      </c>
      <c r="C527" s="1749" t="str">
        <f t="shared" si="119"/>
        <v>1Q10</v>
      </c>
      <c r="D527" s="1750">
        <f t="shared" si="121"/>
        <v>40189</v>
      </c>
      <c r="E527" s="1750">
        <f t="shared" si="121"/>
        <v>40182</v>
      </c>
      <c r="F527" s="1735">
        <v>2.7970000000000002</v>
      </c>
      <c r="G527" s="1752"/>
      <c r="H527" s="1762">
        <f t="shared" si="115"/>
        <v>0.44900000000000001</v>
      </c>
      <c r="I527" s="1763">
        <f t="shared" si="112"/>
        <v>0.45900000000000002</v>
      </c>
      <c r="J527" s="1784">
        <v>0.188</v>
      </c>
      <c r="K527" s="1763">
        <f t="shared" si="113"/>
        <v>0.19600000000000001</v>
      </c>
      <c r="L527" s="1764">
        <f t="shared" si="122"/>
        <v>0.34000000000000014</v>
      </c>
      <c r="M527" s="1765">
        <f t="shared" si="120"/>
        <v>0.36000000000000015</v>
      </c>
    </row>
    <row r="528" spans="1:13" outlineLevel="1">
      <c r="A528" s="1749">
        <f t="shared" si="117"/>
        <v>40179</v>
      </c>
      <c r="B528" s="1749" t="str">
        <f t="shared" si="118"/>
        <v>1Q10</v>
      </c>
      <c r="C528" s="1749" t="str">
        <f t="shared" si="119"/>
        <v>1Q10</v>
      </c>
      <c r="D528" s="1750">
        <f t="shared" si="121"/>
        <v>40196</v>
      </c>
      <c r="E528" s="1750">
        <f t="shared" si="121"/>
        <v>40189</v>
      </c>
      <c r="F528" s="1735">
        <v>2.879</v>
      </c>
      <c r="G528" s="1752"/>
      <c r="H528" s="1762">
        <f t="shared" si="115"/>
        <v>0.45900000000000002</v>
      </c>
      <c r="I528" s="1763">
        <f t="shared" si="112"/>
        <v>0.45900000000000002</v>
      </c>
      <c r="J528" s="1784">
        <v>0.19600000000000001</v>
      </c>
      <c r="K528" s="1763">
        <f t="shared" si="113"/>
        <v>0.19600000000000001</v>
      </c>
      <c r="L528" s="1764">
        <f t="shared" si="122"/>
        <v>0.36000000000000015</v>
      </c>
      <c r="M528" s="1765">
        <f t="shared" si="120"/>
        <v>0.36000000000000015</v>
      </c>
    </row>
    <row r="529" spans="1:13" outlineLevel="1">
      <c r="A529" s="1749">
        <f t="shared" si="117"/>
        <v>40179</v>
      </c>
      <c r="B529" s="1749" t="str">
        <f t="shared" si="118"/>
        <v>1Q10</v>
      </c>
      <c r="C529" s="1749" t="str">
        <f t="shared" si="119"/>
        <v>1Q10</v>
      </c>
      <c r="D529" s="1750">
        <f t="shared" si="121"/>
        <v>40203</v>
      </c>
      <c r="E529" s="1750">
        <f t="shared" si="121"/>
        <v>40196</v>
      </c>
      <c r="F529" s="1735">
        <v>2.87</v>
      </c>
      <c r="G529" s="1752"/>
      <c r="H529" s="1762">
        <f t="shared" si="115"/>
        <v>0.45900000000000002</v>
      </c>
      <c r="I529" s="1763">
        <f t="shared" si="112"/>
        <v>0.45400000000000001</v>
      </c>
      <c r="J529" s="1784">
        <v>0.19600000000000001</v>
      </c>
      <c r="K529" s="1763">
        <f t="shared" si="113"/>
        <v>0.192</v>
      </c>
      <c r="L529" s="1764">
        <f t="shared" si="122"/>
        <v>0.36000000000000015</v>
      </c>
      <c r="M529" s="1765">
        <f t="shared" si="120"/>
        <v>0.35000000000000014</v>
      </c>
    </row>
    <row r="530" spans="1:13" outlineLevel="1">
      <c r="A530" s="1749">
        <f t="shared" si="117"/>
        <v>40210</v>
      </c>
      <c r="B530" s="1749" t="str">
        <f t="shared" si="118"/>
        <v>1Q10</v>
      </c>
      <c r="C530" s="1749" t="str">
        <f t="shared" si="119"/>
        <v>1Q10</v>
      </c>
      <c r="D530" s="1750">
        <f t="shared" si="121"/>
        <v>40210</v>
      </c>
      <c r="E530" s="1750">
        <f t="shared" si="121"/>
        <v>40203</v>
      </c>
      <c r="F530" s="1735">
        <v>2.8330000000000002</v>
      </c>
      <c r="G530" s="1752"/>
      <c r="H530" s="1762">
        <f t="shared" si="115"/>
        <v>0.45400000000000001</v>
      </c>
      <c r="I530" s="1763">
        <f t="shared" si="112"/>
        <v>0.44900000000000001</v>
      </c>
      <c r="J530" s="1784">
        <v>0.192</v>
      </c>
      <c r="K530" s="1763">
        <f t="shared" si="113"/>
        <v>0.187</v>
      </c>
      <c r="L530" s="1764">
        <f t="shared" si="122"/>
        <v>0.35000000000000014</v>
      </c>
      <c r="M530" s="1765">
        <f t="shared" si="120"/>
        <v>0.34000000000000014</v>
      </c>
    </row>
    <row r="531" spans="1:13" outlineLevel="1">
      <c r="A531" s="1749">
        <f t="shared" si="117"/>
        <v>40210</v>
      </c>
      <c r="B531" s="1749" t="str">
        <f t="shared" si="118"/>
        <v>1Q10</v>
      </c>
      <c r="C531" s="1749" t="str">
        <f t="shared" si="119"/>
        <v>1Q10</v>
      </c>
      <c r="D531" s="1750">
        <f t="shared" si="121"/>
        <v>40217</v>
      </c>
      <c r="E531" s="1750">
        <f t="shared" si="121"/>
        <v>40210</v>
      </c>
      <c r="F531" s="1735">
        <v>2.7810000000000001</v>
      </c>
      <c r="G531" s="1752"/>
      <c r="H531" s="1762">
        <f t="shared" si="115"/>
        <v>0.44900000000000001</v>
      </c>
      <c r="I531" s="1763">
        <f t="shared" si="112"/>
        <v>0.44900000000000001</v>
      </c>
      <c r="J531" s="1784">
        <v>0.187</v>
      </c>
      <c r="K531" s="1763">
        <f t="shared" si="113"/>
        <v>0.185</v>
      </c>
      <c r="L531" s="1764">
        <f t="shared" si="122"/>
        <v>0.34000000000000014</v>
      </c>
      <c r="M531" s="1765">
        <f t="shared" si="120"/>
        <v>0.34000000000000014</v>
      </c>
    </row>
    <row r="532" spans="1:13" outlineLevel="1">
      <c r="A532" s="1749">
        <f t="shared" si="117"/>
        <v>40210</v>
      </c>
      <c r="B532" s="1749" t="str">
        <f t="shared" si="118"/>
        <v>1Q10</v>
      </c>
      <c r="C532" s="1749" t="str">
        <f t="shared" si="119"/>
        <v>1Q10</v>
      </c>
      <c r="D532" s="1750">
        <f t="shared" si="121"/>
        <v>40224</v>
      </c>
      <c r="E532" s="1750">
        <f t="shared" si="121"/>
        <v>40217</v>
      </c>
      <c r="F532" s="1735">
        <v>2.7690000000000001</v>
      </c>
      <c r="G532" s="1752"/>
      <c r="H532" s="1762">
        <f t="shared" si="115"/>
        <v>0.44900000000000001</v>
      </c>
      <c r="I532" s="1763">
        <f t="shared" si="112"/>
        <v>0.44900000000000001</v>
      </c>
      <c r="J532" s="1784">
        <v>0.185</v>
      </c>
      <c r="K532" s="1763">
        <f t="shared" si="113"/>
        <v>0.184</v>
      </c>
      <c r="L532" s="1764">
        <f t="shared" si="122"/>
        <v>0.34000000000000014</v>
      </c>
      <c r="M532" s="1765">
        <f t="shared" si="120"/>
        <v>0.34000000000000014</v>
      </c>
    </row>
    <row r="533" spans="1:13" outlineLevel="1">
      <c r="A533" s="1749">
        <f t="shared" si="117"/>
        <v>40210</v>
      </c>
      <c r="B533" s="1749" t="str">
        <f t="shared" si="118"/>
        <v>1Q10</v>
      </c>
      <c r="C533" s="1749" t="str">
        <f t="shared" si="119"/>
        <v>1Q10</v>
      </c>
      <c r="D533" s="1750">
        <f t="shared" ref="D533:E548" si="123">D532+7</f>
        <v>40231</v>
      </c>
      <c r="E533" s="1750">
        <f t="shared" si="123"/>
        <v>40224</v>
      </c>
      <c r="F533" s="1735">
        <v>2.7559999999999998</v>
      </c>
      <c r="G533" s="1752"/>
      <c r="H533" s="1762">
        <f t="shared" si="115"/>
        <v>0.44900000000000001</v>
      </c>
      <c r="I533" s="1763">
        <f t="shared" si="112"/>
        <v>0.45400000000000001</v>
      </c>
      <c r="J533" s="1784">
        <v>0.184</v>
      </c>
      <c r="K533" s="1763">
        <f t="shared" si="113"/>
        <v>0.192</v>
      </c>
      <c r="L533" s="1764">
        <f t="shared" si="122"/>
        <v>0.34000000000000014</v>
      </c>
      <c r="M533" s="1765">
        <f t="shared" si="120"/>
        <v>0.35000000000000014</v>
      </c>
    </row>
    <row r="534" spans="1:13" outlineLevel="1">
      <c r="A534" s="1749">
        <f t="shared" si="117"/>
        <v>40238</v>
      </c>
      <c r="B534" s="1749" t="str">
        <f t="shared" si="118"/>
        <v>1Q10</v>
      </c>
      <c r="C534" s="1749" t="str">
        <f t="shared" si="119"/>
        <v>1Q10</v>
      </c>
      <c r="D534" s="1750">
        <f t="shared" si="123"/>
        <v>40238</v>
      </c>
      <c r="E534" s="1750">
        <f t="shared" si="123"/>
        <v>40231</v>
      </c>
      <c r="F534" s="1735">
        <v>2.8319999999999999</v>
      </c>
      <c r="G534" s="1752"/>
      <c r="H534" s="1762">
        <f t="shared" si="115"/>
        <v>0.45400000000000001</v>
      </c>
      <c r="I534" s="1763">
        <f t="shared" si="112"/>
        <v>0.45900000000000002</v>
      </c>
      <c r="J534" s="1784">
        <v>0.192</v>
      </c>
      <c r="K534" s="1763">
        <f t="shared" si="113"/>
        <v>0.19500000000000001</v>
      </c>
      <c r="L534" s="1764">
        <f t="shared" si="122"/>
        <v>0.35000000000000014</v>
      </c>
      <c r="M534" s="1765">
        <f t="shared" si="120"/>
        <v>0.36000000000000015</v>
      </c>
    </row>
    <row r="535" spans="1:13" outlineLevel="1">
      <c r="A535" s="1749">
        <f t="shared" si="117"/>
        <v>40238</v>
      </c>
      <c r="B535" s="1749" t="str">
        <f t="shared" si="118"/>
        <v>1Q10</v>
      </c>
      <c r="C535" s="1749" t="str">
        <f t="shared" si="119"/>
        <v>1Q10</v>
      </c>
      <c r="D535" s="1750">
        <f t="shared" si="123"/>
        <v>40245</v>
      </c>
      <c r="E535" s="1750">
        <f t="shared" si="123"/>
        <v>40238</v>
      </c>
      <c r="F535" s="1735">
        <v>2.8610000000000002</v>
      </c>
      <c r="G535" s="1752"/>
      <c r="H535" s="1762">
        <f t="shared" si="115"/>
        <v>0.45900000000000002</v>
      </c>
      <c r="I535" s="1763">
        <f t="shared" si="112"/>
        <v>0.46400000000000002</v>
      </c>
      <c r="J535" s="1784">
        <v>0.19500000000000001</v>
      </c>
      <c r="K535" s="1763">
        <f t="shared" si="113"/>
        <v>0.19900000000000001</v>
      </c>
      <c r="L535" s="1764">
        <f t="shared" si="122"/>
        <v>0.36000000000000015</v>
      </c>
      <c r="M535" s="1765">
        <f t="shared" si="120"/>
        <v>0.37000000000000016</v>
      </c>
    </row>
    <row r="536" spans="1:13" outlineLevel="1">
      <c r="A536" s="1749">
        <f t="shared" si="117"/>
        <v>40238</v>
      </c>
      <c r="B536" s="1749" t="str">
        <f t="shared" si="118"/>
        <v>1Q10</v>
      </c>
      <c r="C536" s="1749" t="str">
        <f t="shared" si="119"/>
        <v>1Q10</v>
      </c>
      <c r="D536" s="1750">
        <f t="shared" si="123"/>
        <v>40252</v>
      </c>
      <c r="E536" s="1750">
        <f t="shared" si="123"/>
        <v>40245</v>
      </c>
      <c r="F536" s="1735">
        <v>2.9039999999999999</v>
      </c>
      <c r="G536" s="1752"/>
      <c r="H536" s="1762">
        <f t="shared" si="115"/>
        <v>0.46400000000000002</v>
      </c>
      <c r="I536" s="1763">
        <f t="shared" si="112"/>
        <v>0.46400000000000002</v>
      </c>
      <c r="J536" s="1784">
        <v>0.19900000000000001</v>
      </c>
      <c r="K536" s="1763">
        <f t="shared" si="113"/>
        <v>0.20100000000000001</v>
      </c>
      <c r="L536" s="1764">
        <f t="shared" si="122"/>
        <v>0.37000000000000016</v>
      </c>
      <c r="M536" s="1765">
        <f t="shared" si="120"/>
        <v>0.37000000000000016</v>
      </c>
    </row>
    <row r="537" spans="1:13" outlineLevel="1">
      <c r="A537" s="1749">
        <f t="shared" si="117"/>
        <v>40238</v>
      </c>
      <c r="B537" s="1749" t="str">
        <f t="shared" si="118"/>
        <v>1Q10</v>
      </c>
      <c r="C537" s="1749" t="str">
        <f t="shared" si="119"/>
        <v>1Q10</v>
      </c>
      <c r="D537" s="1750">
        <f t="shared" si="123"/>
        <v>40259</v>
      </c>
      <c r="E537" s="1750">
        <f t="shared" si="123"/>
        <v>40252</v>
      </c>
      <c r="F537" s="1735">
        <v>2.9239999999999999</v>
      </c>
      <c r="G537" s="1752"/>
      <c r="H537" s="1762">
        <f t="shared" si="115"/>
        <v>0.46400000000000002</v>
      </c>
      <c r="I537" s="1763">
        <f t="shared" ref="I537:I600" si="124">H538</f>
        <v>0.46400000000000002</v>
      </c>
      <c r="J537" s="1784">
        <v>0.20100000000000001</v>
      </c>
      <c r="K537" s="1763">
        <f t="shared" ref="K537:K600" si="125">J538</f>
        <v>0.20300000000000001</v>
      </c>
      <c r="L537" s="1764">
        <f t="shared" si="122"/>
        <v>0.37000000000000016</v>
      </c>
      <c r="M537" s="1765">
        <f t="shared" si="120"/>
        <v>0.37000000000000016</v>
      </c>
    </row>
    <row r="538" spans="1:13" outlineLevel="1">
      <c r="A538" s="1749">
        <f t="shared" si="117"/>
        <v>40238</v>
      </c>
      <c r="B538" s="1749" t="str">
        <f t="shared" si="118"/>
        <v>1Q10</v>
      </c>
      <c r="C538" s="1749" t="str">
        <f t="shared" si="119"/>
        <v>1Q10</v>
      </c>
      <c r="D538" s="1750">
        <f t="shared" si="123"/>
        <v>40266</v>
      </c>
      <c r="E538" s="1750">
        <f t="shared" si="123"/>
        <v>40259</v>
      </c>
      <c r="F538" s="1735">
        <v>2.9460000000000002</v>
      </c>
      <c r="G538" s="1752"/>
      <c r="H538" s="1762">
        <f t="shared" si="115"/>
        <v>0.46400000000000002</v>
      </c>
      <c r="I538" s="1763">
        <f t="shared" si="124"/>
        <v>0.46400000000000002</v>
      </c>
      <c r="J538" s="1784">
        <v>0.20300000000000001</v>
      </c>
      <c r="K538" s="1763">
        <f t="shared" si="125"/>
        <v>0.20200000000000001</v>
      </c>
      <c r="L538" s="1764">
        <f t="shared" si="122"/>
        <v>0.37000000000000016</v>
      </c>
      <c r="M538" s="1765">
        <f t="shared" si="120"/>
        <v>0.37000000000000016</v>
      </c>
    </row>
    <row r="539" spans="1:13" outlineLevel="1">
      <c r="A539" s="1749">
        <f t="shared" si="117"/>
        <v>40269</v>
      </c>
      <c r="B539" s="1749" t="str">
        <f t="shared" si="118"/>
        <v>2Q10</v>
      </c>
      <c r="C539" s="1749" t="str">
        <f t="shared" si="119"/>
        <v>1Q10</v>
      </c>
      <c r="D539" s="1750">
        <f t="shared" si="123"/>
        <v>40273</v>
      </c>
      <c r="E539" s="1750">
        <f t="shared" si="123"/>
        <v>40266</v>
      </c>
      <c r="F539" s="1735">
        <v>2.9390000000000001</v>
      </c>
      <c r="G539" s="1752"/>
      <c r="H539" s="1762">
        <f t="shared" si="115"/>
        <v>0.46400000000000002</v>
      </c>
      <c r="I539" s="1763">
        <f t="shared" si="124"/>
        <v>0.47399999999999998</v>
      </c>
      <c r="J539" s="1784">
        <v>0.20200000000000001</v>
      </c>
      <c r="K539" s="1763">
        <f t="shared" si="125"/>
        <v>0.21</v>
      </c>
      <c r="L539" s="1764">
        <f t="shared" si="122"/>
        <v>0.37000000000000016</v>
      </c>
      <c r="M539" s="1765">
        <f t="shared" si="120"/>
        <v>0.39000000000000018</v>
      </c>
    </row>
    <row r="540" spans="1:13" outlineLevel="1">
      <c r="A540" s="1749">
        <f t="shared" si="117"/>
        <v>40269</v>
      </c>
      <c r="B540" s="1749" t="str">
        <f t="shared" si="118"/>
        <v>2Q10</v>
      </c>
      <c r="C540" s="1749" t="str">
        <f t="shared" si="119"/>
        <v>2Q10</v>
      </c>
      <c r="D540" s="1750">
        <f t="shared" si="123"/>
        <v>40280</v>
      </c>
      <c r="E540" s="1750">
        <f t="shared" si="123"/>
        <v>40273</v>
      </c>
      <c r="F540" s="1735">
        <v>3.0150000000000001</v>
      </c>
      <c r="G540" s="1752"/>
      <c r="H540" s="1762">
        <f t="shared" si="115"/>
        <v>0.47399999999999998</v>
      </c>
      <c r="I540" s="1763">
        <f t="shared" si="124"/>
        <v>0.47899999999999998</v>
      </c>
      <c r="J540" s="1784">
        <v>0.21</v>
      </c>
      <c r="K540" s="1763">
        <f t="shared" si="125"/>
        <v>0.215</v>
      </c>
      <c r="L540" s="1764">
        <f t="shared" si="122"/>
        <v>0.39000000000000018</v>
      </c>
      <c r="M540" s="1765">
        <f t="shared" si="120"/>
        <v>0.40000000000000019</v>
      </c>
    </row>
    <row r="541" spans="1:13" outlineLevel="1">
      <c r="A541" s="1749">
        <f t="shared" si="117"/>
        <v>40269</v>
      </c>
      <c r="B541" s="1749" t="str">
        <f t="shared" si="118"/>
        <v>2Q10</v>
      </c>
      <c r="C541" s="1749" t="str">
        <f t="shared" si="119"/>
        <v>2Q10</v>
      </c>
      <c r="D541" s="1750">
        <f t="shared" si="123"/>
        <v>40287</v>
      </c>
      <c r="E541" s="1750">
        <f t="shared" si="123"/>
        <v>40280</v>
      </c>
      <c r="F541" s="1735">
        <v>3.069</v>
      </c>
      <c r="G541" s="1752"/>
      <c r="H541" s="1762">
        <f t="shared" si="115"/>
        <v>0.47899999999999998</v>
      </c>
      <c r="I541" s="1763">
        <f t="shared" si="124"/>
        <v>0.47899999999999998</v>
      </c>
      <c r="J541" s="1784">
        <v>0.215</v>
      </c>
      <c r="K541" s="1763">
        <f t="shared" si="125"/>
        <v>0.216</v>
      </c>
      <c r="L541" s="1764">
        <f t="shared" si="122"/>
        <v>0.40000000000000019</v>
      </c>
      <c r="M541" s="1765">
        <f t="shared" si="120"/>
        <v>0.40000000000000019</v>
      </c>
    </row>
    <row r="542" spans="1:13" outlineLevel="1">
      <c r="A542" s="1749">
        <f t="shared" si="117"/>
        <v>40269</v>
      </c>
      <c r="B542" s="1749" t="str">
        <f t="shared" si="118"/>
        <v>2Q10</v>
      </c>
      <c r="C542" s="1749" t="str">
        <f t="shared" si="119"/>
        <v>2Q10</v>
      </c>
      <c r="D542" s="1750">
        <f t="shared" si="123"/>
        <v>40294</v>
      </c>
      <c r="E542" s="1750">
        <f t="shared" si="123"/>
        <v>40287</v>
      </c>
      <c r="F542" s="1735">
        <v>3.0739999999999998</v>
      </c>
      <c r="G542" s="1752"/>
      <c r="H542" s="1762">
        <f t="shared" si="115"/>
        <v>0.47899999999999998</v>
      </c>
      <c r="I542" s="1763">
        <f t="shared" si="124"/>
        <v>0.47899999999999998</v>
      </c>
      <c r="J542" s="1784">
        <v>0.216</v>
      </c>
      <c r="K542" s="1763">
        <f t="shared" si="125"/>
        <v>0.216</v>
      </c>
      <c r="L542" s="1764">
        <f t="shared" si="122"/>
        <v>0.40000000000000019</v>
      </c>
      <c r="M542" s="1765">
        <f t="shared" si="120"/>
        <v>0.40000000000000019</v>
      </c>
    </row>
    <row r="543" spans="1:13" outlineLevel="1">
      <c r="A543" s="1749">
        <f t="shared" si="117"/>
        <v>40299</v>
      </c>
      <c r="B543" s="1749" t="str">
        <f t="shared" si="118"/>
        <v>2Q10</v>
      </c>
      <c r="C543" s="1749" t="str">
        <f t="shared" si="119"/>
        <v>2Q10</v>
      </c>
      <c r="D543" s="1750">
        <f t="shared" si="123"/>
        <v>40301</v>
      </c>
      <c r="E543" s="1750">
        <f t="shared" si="123"/>
        <v>40294</v>
      </c>
      <c r="F543" s="1735">
        <v>3.0779999999999998</v>
      </c>
      <c r="G543" s="1752"/>
      <c r="H543" s="1762">
        <f t="shared" si="115"/>
        <v>0.47899999999999998</v>
      </c>
      <c r="I543" s="1763">
        <f t="shared" si="124"/>
        <v>0.48399999999999999</v>
      </c>
      <c r="J543" s="1784">
        <v>0.216</v>
      </c>
      <c r="K543" s="1763">
        <f t="shared" si="125"/>
        <v>0.221</v>
      </c>
      <c r="L543" s="1764">
        <f t="shared" si="122"/>
        <v>0.40000000000000019</v>
      </c>
      <c r="M543" s="1765">
        <f t="shared" si="120"/>
        <v>0.4100000000000002</v>
      </c>
    </row>
    <row r="544" spans="1:13" outlineLevel="1">
      <c r="A544" s="1749">
        <f t="shared" si="117"/>
        <v>40299</v>
      </c>
      <c r="B544" s="1749" t="str">
        <f t="shared" si="118"/>
        <v>2Q10</v>
      </c>
      <c r="C544" s="1749" t="str">
        <f t="shared" si="119"/>
        <v>2Q10</v>
      </c>
      <c r="D544" s="1750">
        <f t="shared" si="123"/>
        <v>40308</v>
      </c>
      <c r="E544" s="1750">
        <f t="shared" si="123"/>
        <v>40301</v>
      </c>
      <c r="F544" s="1735">
        <v>3.1219999999999999</v>
      </c>
      <c r="G544" s="1752"/>
      <c r="H544" s="1762">
        <f t="shared" si="115"/>
        <v>0.48399999999999999</v>
      </c>
      <c r="I544" s="1763">
        <f t="shared" si="124"/>
        <v>0.48399999999999999</v>
      </c>
      <c r="J544" s="1784">
        <v>0.221</v>
      </c>
      <c r="K544" s="1763">
        <f t="shared" si="125"/>
        <v>0.221</v>
      </c>
      <c r="L544" s="1764">
        <f t="shared" si="122"/>
        <v>0.4100000000000002</v>
      </c>
      <c r="M544" s="1765">
        <f t="shared" si="120"/>
        <v>0.4100000000000002</v>
      </c>
    </row>
    <row r="545" spans="1:13" outlineLevel="1">
      <c r="A545" s="1749">
        <f t="shared" si="117"/>
        <v>40299</v>
      </c>
      <c r="B545" s="1749" t="str">
        <f t="shared" si="118"/>
        <v>2Q10</v>
      </c>
      <c r="C545" s="1749" t="str">
        <f t="shared" si="119"/>
        <v>2Q10</v>
      </c>
      <c r="D545" s="1750">
        <f t="shared" si="123"/>
        <v>40315</v>
      </c>
      <c r="E545" s="1750">
        <f t="shared" si="123"/>
        <v>40308</v>
      </c>
      <c r="F545" s="1735">
        <v>3.1269999999999998</v>
      </c>
      <c r="G545" s="1752"/>
      <c r="H545" s="1762">
        <f t="shared" si="115"/>
        <v>0.48399999999999999</v>
      </c>
      <c r="I545" s="1763">
        <f t="shared" si="124"/>
        <v>0.47899999999999998</v>
      </c>
      <c r="J545" s="1784">
        <v>0.221</v>
      </c>
      <c r="K545" s="1763">
        <f t="shared" si="125"/>
        <v>0.218</v>
      </c>
      <c r="L545" s="1764">
        <f t="shared" si="122"/>
        <v>0.4100000000000002</v>
      </c>
      <c r="M545" s="1765">
        <f t="shared" si="120"/>
        <v>0.40000000000000019</v>
      </c>
    </row>
    <row r="546" spans="1:13" outlineLevel="1">
      <c r="A546" s="1749">
        <f t="shared" si="117"/>
        <v>40299</v>
      </c>
      <c r="B546" s="1749" t="str">
        <f t="shared" si="118"/>
        <v>2Q10</v>
      </c>
      <c r="C546" s="1749" t="str">
        <f t="shared" si="119"/>
        <v>2Q10</v>
      </c>
      <c r="D546" s="1750">
        <f t="shared" si="123"/>
        <v>40322</v>
      </c>
      <c r="E546" s="1750">
        <f t="shared" si="123"/>
        <v>40315</v>
      </c>
      <c r="F546" s="1735">
        <v>3.0939999999999999</v>
      </c>
      <c r="G546" s="1752"/>
      <c r="H546" s="1762">
        <f t="shared" si="115"/>
        <v>0.47899999999999998</v>
      </c>
      <c r="I546" s="1763">
        <f t="shared" si="124"/>
        <v>0.47399999999999998</v>
      </c>
      <c r="J546" s="1784">
        <v>0.218</v>
      </c>
      <c r="K546" s="1763">
        <f t="shared" si="125"/>
        <v>0.21099999999999999</v>
      </c>
      <c r="L546" s="1764">
        <f t="shared" si="122"/>
        <v>0.40000000000000019</v>
      </c>
      <c r="M546" s="1765">
        <f t="shared" si="120"/>
        <v>0.39000000000000018</v>
      </c>
    </row>
    <row r="547" spans="1:13" outlineLevel="1">
      <c r="A547" s="1749">
        <f t="shared" si="117"/>
        <v>40299</v>
      </c>
      <c r="B547" s="1749" t="str">
        <f t="shared" si="118"/>
        <v>2Q10</v>
      </c>
      <c r="C547" s="1749" t="str">
        <f t="shared" si="119"/>
        <v>2Q10</v>
      </c>
      <c r="D547" s="1750">
        <f t="shared" si="123"/>
        <v>40329</v>
      </c>
      <c r="E547" s="1750">
        <f t="shared" si="123"/>
        <v>40322</v>
      </c>
      <c r="F547" s="1735">
        <v>3.0209999999999999</v>
      </c>
      <c r="G547" s="1752"/>
      <c r="H547" s="1762">
        <f t="shared" si="115"/>
        <v>0.47399999999999998</v>
      </c>
      <c r="I547" s="1763">
        <f t="shared" si="124"/>
        <v>0.46899999999999997</v>
      </c>
      <c r="J547" s="1784">
        <v>0.21099999999999999</v>
      </c>
      <c r="K547" s="1763">
        <f t="shared" si="125"/>
        <v>0.20699999999999999</v>
      </c>
      <c r="L547" s="1764">
        <f t="shared" si="122"/>
        <v>0.39000000000000018</v>
      </c>
      <c r="M547" s="1765">
        <f t="shared" si="120"/>
        <v>0.38000000000000017</v>
      </c>
    </row>
    <row r="548" spans="1:13" outlineLevel="1">
      <c r="A548" s="1749">
        <f t="shared" si="117"/>
        <v>40330</v>
      </c>
      <c r="B548" s="1749" t="str">
        <f t="shared" si="118"/>
        <v>2Q10</v>
      </c>
      <c r="C548" s="1749" t="str">
        <f t="shared" si="119"/>
        <v>2Q10</v>
      </c>
      <c r="D548" s="1750">
        <f t="shared" si="123"/>
        <v>40336</v>
      </c>
      <c r="E548" s="1750">
        <f t="shared" si="123"/>
        <v>40329</v>
      </c>
      <c r="F548" s="1735">
        <v>2.98</v>
      </c>
      <c r="G548" s="1752"/>
      <c r="H548" s="1762">
        <f t="shared" si="115"/>
        <v>0.46899999999999997</v>
      </c>
      <c r="I548" s="1763">
        <f t="shared" si="124"/>
        <v>0.46400000000000002</v>
      </c>
      <c r="J548" s="1784">
        <v>0.20699999999999999</v>
      </c>
      <c r="K548" s="1763">
        <f t="shared" si="125"/>
        <v>0.20300000000000001</v>
      </c>
      <c r="L548" s="1764">
        <f t="shared" si="122"/>
        <v>0.38000000000000017</v>
      </c>
      <c r="M548" s="1765">
        <f t="shared" si="120"/>
        <v>0.37000000000000016</v>
      </c>
    </row>
    <row r="549" spans="1:13" outlineLevel="1">
      <c r="A549" s="1749">
        <f t="shared" si="117"/>
        <v>40330</v>
      </c>
      <c r="B549" s="1749" t="str">
        <f t="shared" si="118"/>
        <v>2Q10</v>
      </c>
      <c r="C549" s="1749" t="str">
        <f t="shared" si="119"/>
        <v>2Q10</v>
      </c>
      <c r="D549" s="1750">
        <f t="shared" ref="D549:E564" si="126">D548+7</f>
        <v>40343</v>
      </c>
      <c r="E549" s="1750">
        <f t="shared" si="126"/>
        <v>40336</v>
      </c>
      <c r="F549" s="1735">
        <v>2.9460000000000002</v>
      </c>
      <c r="G549" s="1752"/>
      <c r="H549" s="1762">
        <f t="shared" si="115"/>
        <v>0.46400000000000002</v>
      </c>
      <c r="I549" s="1763">
        <f t="shared" si="124"/>
        <v>0.46400000000000002</v>
      </c>
      <c r="J549" s="1784">
        <v>0.20300000000000001</v>
      </c>
      <c r="K549" s="1763">
        <f t="shared" si="125"/>
        <v>0.20100000000000001</v>
      </c>
      <c r="L549" s="1764">
        <f t="shared" si="122"/>
        <v>0.37000000000000016</v>
      </c>
      <c r="M549" s="1765">
        <f t="shared" si="120"/>
        <v>0.37000000000000016</v>
      </c>
    </row>
    <row r="550" spans="1:13" outlineLevel="1">
      <c r="A550" s="1749">
        <f t="shared" si="117"/>
        <v>40330</v>
      </c>
      <c r="B550" s="1749" t="str">
        <f t="shared" si="118"/>
        <v>2Q10</v>
      </c>
      <c r="C550" s="1749" t="str">
        <f t="shared" si="119"/>
        <v>2Q10</v>
      </c>
      <c r="D550" s="1750">
        <f t="shared" si="126"/>
        <v>40350</v>
      </c>
      <c r="E550" s="1750">
        <f t="shared" si="126"/>
        <v>40343</v>
      </c>
      <c r="F550" s="1735">
        <v>2.9279999999999999</v>
      </c>
      <c r="G550" s="1752"/>
      <c r="H550" s="1762">
        <f t="shared" si="115"/>
        <v>0.46400000000000002</v>
      </c>
      <c r="I550" s="1763">
        <f t="shared" si="124"/>
        <v>0.46899999999999997</v>
      </c>
      <c r="J550" s="1784">
        <v>0.20100000000000001</v>
      </c>
      <c r="K550" s="1763">
        <f t="shared" si="125"/>
        <v>0.20499999999999999</v>
      </c>
      <c r="L550" s="1764">
        <f t="shared" si="122"/>
        <v>0.37000000000000016</v>
      </c>
      <c r="M550" s="1765">
        <f t="shared" si="120"/>
        <v>0.38000000000000017</v>
      </c>
    </row>
    <row r="551" spans="1:13" outlineLevel="1">
      <c r="A551" s="1749">
        <f t="shared" si="117"/>
        <v>40330</v>
      </c>
      <c r="B551" s="1749" t="str">
        <f t="shared" si="118"/>
        <v>2Q10</v>
      </c>
      <c r="C551" s="1749" t="str">
        <f t="shared" si="119"/>
        <v>2Q10</v>
      </c>
      <c r="D551" s="1750">
        <f t="shared" si="126"/>
        <v>40357</v>
      </c>
      <c r="E551" s="1750">
        <f t="shared" si="126"/>
        <v>40350</v>
      </c>
      <c r="F551" s="1735">
        <v>2.9609999999999999</v>
      </c>
      <c r="G551" s="1752"/>
      <c r="H551" s="1762">
        <f t="shared" si="115"/>
        <v>0.46899999999999997</v>
      </c>
      <c r="I551" s="1763">
        <f t="shared" si="124"/>
        <v>0.46899999999999997</v>
      </c>
      <c r="J551" s="1784">
        <v>0.20499999999999999</v>
      </c>
      <c r="K551" s="1763">
        <f t="shared" si="125"/>
        <v>0.20399999999999999</v>
      </c>
      <c r="L551" s="1764">
        <f t="shared" si="122"/>
        <v>0.38000000000000017</v>
      </c>
      <c r="M551" s="1765">
        <f t="shared" si="120"/>
        <v>0.38000000000000017</v>
      </c>
    </row>
    <row r="552" spans="1:13" outlineLevel="1">
      <c r="A552" s="1749">
        <f t="shared" si="117"/>
        <v>40360</v>
      </c>
      <c r="B552" s="1749" t="str">
        <f t="shared" si="118"/>
        <v>3Q10</v>
      </c>
      <c r="C552" s="1749" t="str">
        <f t="shared" si="119"/>
        <v>2Q10</v>
      </c>
      <c r="D552" s="1750">
        <f t="shared" si="126"/>
        <v>40364</v>
      </c>
      <c r="E552" s="1750">
        <f t="shared" si="126"/>
        <v>40357</v>
      </c>
      <c r="F552" s="1735">
        <v>2.956</v>
      </c>
      <c r="G552" s="1752"/>
      <c r="H552" s="1762">
        <f t="shared" si="115"/>
        <v>0.46899999999999997</v>
      </c>
      <c r="I552" s="1763">
        <f t="shared" si="124"/>
        <v>0.46400000000000002</v>
      </c>
      <c r="J552" s="1784">
        <v>0.20399999999999999</v>
      </c>
      <c r="K552" s="1763">
        <f t="shared" si="125"/>
        <v>0.20100000000000001</v>
      </c>
      <c r="L552" s="1764">
        <f t="shared" si="122"/>
        <v>0.38000000000000017</v>
      </c>
      <c r="M552" s="1765">
        <f t="shared" si="120"/>
        <v>0.37000000000000016</v>
      </c>
    </row>
    <row r="553" spans="1:13" outlineLevel="1">
      <c r="A553" s="1749">
        <f t="shared" si="117"/>
        <v>40360</v>
      </c>
      <c r="B553" s="1749" t="str">
        <f t="shared" si="118"/>
        <v>3Q10</v>
      </c>
      <c r="C553" s="1749" t="str">
        <f t="shared" si="119"/>
        <v>3Q10</v>
      </c>
      <c r="D553" s="1750">
        <f t="shared" si="126"/>
        <v>40371</v>
      </c>
      <c r="E553" s="1750">
        <f t="shared" si="126"/>
        <v>40364</v>
      </c>
      <c r="F553" s="1735">
        <v>2.9239999999999999</v>
      </c>
      <c r="G553" s="1752"/>
      <c r="H553" s="1762">
        <f t="shared" si="115"/>
        <v>0.46400000000000002</v>
      </c>
      <c r="I553" s="1763">
        <f t="shared" si="124"/>
        <v>0.46400000000000002</v>
      </c>
      <c r="J553" s="1784">
        <v>0.20100000000000001</v>
      </c>
      <c r="K553" s="1763">
        <f t="shared" si="125"/>
        <v>0.19900000000000001</v>
      </c>
      <c r="L553" s="1764">
        <f t="shared" si="122"/>
        <v>0.37000000000000016</v>
      </c>
      <c r="M553" s="1765">
        <f t="shared" si="120"/>
        <v>0.37000000000000016</v>
      </c>
    </row>
    <row r="554" spans="1:13" outlineLevel="1">
      <c r="A554" s="1749">
        <f t="shared" si="117"/>
        <v>40360</v>
      </c>
      <c r="B554" s="1749" t="str">
        <f t="shared" si="118"/>
        <v>3Q10</v>
      </c>
      <c r="C554" s="1749" t="str">
        <f t="shared" si="119"/>
        <v>3Q10</v>
      </c>
      <c r="D554" s="1750">
        <f t="shared" si="126"/>
        <v>40378</v>
      </c>
      <c r="E554" s="1750">
        <f t="shared" si="126"/>
        <v>40371</v>
      </c>
      <c r="F554" s="1735">
        <v>2.903</v>
      </c>
      <c r="G554" s="1752"/>
      <c r="H554" s="1762">
        <f t="shared" si="115"/>
        <v>0.46400000000000002</v>
      </c>
      <c r="I554" s="1763">
        <f t="shared" si="124"/>
        <v>0.45900000000000002</v>
      </c>
      <c r="J554" s="1784">
        <v>0.19900000000000001</v>
      </c>
      <c r="K554" s="1763">
        <f t="shared" si="125"/>
        <v>0.19800000000000001</v>
      </c>
      <c r="L554" s="1764">
        <f t="shared" si="122"/>
        <v>0.37000000000000016</v>
      </c>
      <c r="M554" s="1765">
        <f t="shared" si="120"/>
        <v>0.36000000000000015</v>
      </c>
    </row>
    <row r="555" spans="1:13" outlineLevel="1">
      <c r="A555" s="1749">
        <f t="shared" si="117"/>
        <v>40360</v>
      </c>
      <c r="B555" s="1749" t="str">
        <f t="shared" si="118"/>
        <v>3Q10</v>
      </c>
      <c r="C555" s="1749" t="str">
        <f t="shared" si="119"/>
        <v>3Q10</v>
      </c>
      <c r="D555" s="1750">
        <f t="shared" si="126"/>
        <v>40385</v>
      </c>
      <c r="E555" s="1750">
        <f t="shared" si="126"/>
        <v>40378</v>
      </c>
      <c r="F555" s="1735">
        <v>2.899</v>
      </c>
      <c r="G555" s="1752"/>
      <c r="H555" s="1762">
        <f t="shared" si="115"/>
        <v>0.45900000000000002</v>
      </c>
      <c r="I555" s="1763">
        <f t="shared" si="124"/>
        <v>0.46400000000000002</v>
      </c>
      <c r="J555" s="1784">
        <v>0.19800000000000001</v>
      </c>
      <c r="K555" s="1763">
        <f t="shared" si="125"/>
        <v>0.2</v>
      </c>
      <c r="L555" s="1764">
        <f t="shared" si="122"/>
        <v>0.36000000000000015</v>
      </c>
      <c r="M555" s="1765">
        <f t="shared" si="120"/>
        <v>0.37000000000000016</v>
      </c>
    </row>
    <row r="556" spans="1:13" outlineLevel="1">
      <c r="A556" s="1749">
        <f t="shared" si="117"/>
        <v>40391</v>
      </c>
      <c r="B556" s="1749" t="str">
        <f t="shared" si="118"/>
        <v>3Q10</v>
      </c>
      <c r="C556" s="1749" t="str">
        <f t="shared" si="119"/>
        <v>3Q10</v>
      </c>
      <c r="D556" s="1750">
        <f t="shared" si="126"/>
        <v>40392</v>
      </c>
      <c r="E556" s="1750">
        <f t="shared" si="126"/>
        <v>40385</v>
      </c>
      <c r="F556" s="1735">
        <v>2.919</v>
      </c>
      <c r="G556" s="1752"/>
      <c r="H556" s="1762">
        <f t="shared" si="115"/>
        <v>0.46400000000000002</v>
      </c>
      <c r="I556" s="1763">
        <f t="shared" si="124"/>
        <v>0.46400000000000002</v>
      </c>
      <c r="J556" s="1784">
        <v>0.2</v>
      </c>
      <c r="K556" s="1763">
        <f t="shared" si="125"/>
        <v>0.20100000000000001</v>
      </c>
      <c r="L556" s="1764">
        <f t="shared" si="122"/>
        <v>0.37000000000000016</v>
      </c>
      <c r="M556" s="1765">
        <f t="shared" si="120"/>
        <v>0.37000000000000016</v>
      </c>
    </row>
    <row r="557" spans="1:13" outlineLevel="1">
      <c r="A557" s="1749">
        <f t="shared" si="117"/>
        <v>40391</v>
      </c>
      <c r="B557" s="1749" t="str">
        <f t="shared" si="118"/>
        <v>3Q10</v>
      </c>
      <c r="C557" s="1749" t="str">
        <f t="shared" si="119"/>
        <v>3Q10</v>
      </c>
      <c r="D557" s="1750">
        <f t="shared" si="126"/>
        <v>40399</v>
      </c>
      <c r="E557" s="1750">
        <f t="shared" si="126"/>
        <v>40392</v>
      </c>
      <c r="F557" s="1735">
        <v>2.9279999999999999</v>
      </c>
      <c r="G557" s="1752"/>
      <c r="H557" s="1762">
        <f t="shared" si="115"/>
        <v>0.46400000000000002</v>
      </c>
      <c r="I557" s="1763">
        <f t="shared" si="124"/>
        <v>0.46899999999999997</v>
      </c>
      <c r="J557" s="1784">
        <v>0.20100000000000001</v>
      </c>
      <c r="K557" s="1763">
        <f t="shared" si="125"/>
        <v>0.20799999999999999</v>
      </c>
      <c r="L557" s="1764">
        <f t="shared" si="122"/>
        <v>0.37000000000000016</v>
      </c>
      <c r="M557" s="1765">
        <f t="shared" si="120"/>
        <v>0.38000000000000017</v>
      </c>
    </row>
    <row r="558" spans="1:13" outlineLevel="1">
      <c r="A558" s="1749">
        <f t="shared" si="117"/>
        <v>40391</v>
      </c>
      <c r="B558" s="1749" t="str">
        <f t="shared" si="118"/>
        <v>3Q10</v>
      </c>
      <c r="C558" s="1749" t="str">
        <f t="shared" si="119"/>
        <v>3Q10</v>
      </c>
      <c r="D558" s="1750">
        <f t="shared" si="126"/>
        <v>40406</v>
      </c>
      <c r="E558" s="1750">
        <f t="shared" si="126"/>
        <v>40399</v>
      </c>
      <c r="F558" s="1735">
        <v>2.9910000000000001</v>
      </c>
      <c r="G558" s="1752"/>
      <c r="H558" s="1762">
        <f t="shared" si="115"/>
        <v>0.46899999999999997</v>
      </c>
      <c r="I558" s="1763">
        <f t="shared" si="124"/>
        <v>0.46899999999999997</v>
      </c>
      <c r="J558" s="1784">
        <v>0.20799999999999999</v>
      </c>
      <c r="K558" s="1763">
        <f t="shared" si="125"/>
        <v>0.20599999999999999</v>
      </c>
      <c r="L558" s="1764">
        <f t="shared" si="122"/>
        <v>0.38000000000000017</v>
      </c>
      <c r="M558" s="1765">
        <f t="shared" si="120"/>
        <v>0.38000000000000017</v>
      </c>
    </row>
    <row r="559" spans="1:13" outlineLevel="1">
      <c r="A559" s="1749">
        <f t="shared" si="117"/>
        <v>40391</v>
      </c>
      <c r="B559" s="1749" t="str">
        <f t="shared" si="118"/>
        <v>3Q10</v>
      </c>
      <c r="C559" s="1749" t="str">
        <f t="shared" si="119"/>
        <v>3Q10</v>
      </c>
      <c r="D559" s="1750">
        <f t="shared" si="126"/>
        <v>40413</v>
      </c>
      <c r="E559" s="1750">
        <f t="shared" si="126"/>
        <v>40406</v>
      </c>
      <c r="F559" s="1735">
        <v>2.9790000000000001</v>
      </c>
      <c r="G559" s="1752"/>
      <c r="H559" s="1762">
        <f t="shared" si="115"/>
        <v>0.46899999999999997</v>
      </c>
      <c r="I559" s="1763">
        <f t="shared" si="124"/>
        <v>0.46899999999999997</v>
      </c>
      <c r="J559" s="1784">
        <v>0.20599999999999999</v>
      </c>
      <c r="K559" s="1763">
        <f t="shared" si="125"/>
        <v>0.20399999999999999</v>
      </c>
      <c r="L559" s="1764">
        <f t="shared" si="122"/>
        <v>0.38000000000000017</v>
      </c>
      <c r="M559" s="1765">
        <f t="shared" si="120"/>
        <v>0.38000000000000017</v>
      </c>
    </row>
    <row r="560" spans="1:13" outlineLevel="1">
      <c r="A560" s="1749">
        <f t="shared" si="117"/>
        <v>40391</v>
      </c>
      <c r="B560" s="1749" t="str">
        <f t="shared" si="118"/>
        <v>3Q10</v>
      </c>
      <c r="C560" s="1749" t="str">
        <f t="shared" si="119"/>
        <v>3Q10</v>
      </c>
      <c r="D560" s="1750">
        <f t="shared" si="126"/>
        <v>40420</v>
      </c>
      <c r="E560" s="1750">
        <f t="shared" si="126"/>
        <v>40413</v>
      </c>
      <c r="F560" s="1735">
        <v>2.9569999999999999</v>
      </c>
      <c r="G560" s="1752"/>
      <c r="H560" s="1762">
        <f t="shared" si="115"/>
        <v>0.46899999999999997</v>
      </c>
      <c r="I560" s="1763">
        <f t="shared" si="124"/>
        <v>0.46400000000000002</v>
      </c>
      <c r="J560" s="1784">
        <v>0.20399999999999999</v>
      </c>
      <c r="K560" s="1763">
        <f t="shared" si="125"/>
        <v>0.20200000000000001</v>
      </c>
      <c r="L560" s="1764">
        <f t="shared" si="122"/>
        <v>0.38000000000000017</v>
      </c>
      <c r="M560" s="1765">
        <f t="shared" si="120"/>
        <v>0.37000000000000016</v>
      </c>
    </row>
    <row r="561" spans="1:13" outlineLevel="1">
      <c r="A561" s="1749">
        <f t="shared" si="117"/>
        <v>40422</v>
      </c>
      <c r="B561" s="1749" t="str">
        <f t="shared" si="118"/>
        <v>3Q10</v>
      </c>
      <c r="C561" s="1749" t="str">
        <f t="shared" si="119"/>
        <v>3Q10</v>
      </c>
      <c r="D561" s="1750">
        <f t="shared" si="126"/>
        <v>40427</v>
      </c>
      <c r="E561" s="1750">
        <f t="shared" si="126"/>
        <v>40420</v>
      </c>
      <c r="F561" s="1735">
        <v>2.9380000000000002</v>
      </c>
      <c r="G561" s="1752"/>
      <c r="H561" s="1762">
        <f t="shared" ref="H561:H624" si="127">INDEX($O$4:$R$440,MATCH(F561,$O$4:$O$440,1),3)</f>
        <v>0.46400000000000002</v>
      </c>
      <c r="I561" s="1763">
        <f t="shared" si="124"/>
        <v>0.46400000000000002</v>
      </c>
      <c r="J561" s="1784">
        <v>0.20200000000000001</v>
      </c>
      <c r="K561" s="1763">
        <f t="shared" si="125"/>
        <v>0.20200000000000001</v>
      </c>
      <c r="L561" s="1764">
        <f t="shared" si="122"/>
        <v>0.37000000000000016</v>
      </c>
      <c r="M561" s="1765">
        <f t="shared" si="120"/>
        <v>0.37000000000000016</v>
      </c>
    </row>
    <row r="562" spans="1:13" outlineLevel="1">
      <c r="A562" s="1749">
        <f t="shared" si="117"/>
        <v>40422</v>
      </c>
      <c r="B562" s="1749" t="str">
        <f t="shared" si="118"/>
        <v>3Q10</v>
      </c>
      <c r="C562" s="1749" t="str">
        <f t="shared" si="119"/>
        <v>3Q10</v>
      </c>
      <c r="D562" s="1750">
        <f t="shared" si="126"/>
        <v>40434</v>
      </c>
      <c r="E562" s="1750">
        <f t="shared" si="126"/>
        <v>40427</v>
      </c>
      <c r="F562" s="1735">
        <v>2.931</v>
      </c>
      <c r="G562" s="1752"/>
      <c r="H562" s="1762">
        <f t="shared" si="127"/>
        <v>0.46400000000000002</v>
      </c>
      <c r="I562" s="1763">
        <f t="shared" si="124"/>
        <v>0.46400000000000002</v>
      </c>
      <c r="J562" s="1784">
        <v>0.20200000000000001</v>
      </c>
      <c r="K562" s="1763">
        <f t="shared" si="125"/>
        <v>0.20300000000000001</v>
      </c>
      <c r="L562" s="1764">
        <f t="shared" si="122"/>
        <v>0.37000000000000016</v>
      </c>
      <c r="M562" s="1765">
        <f t="shared" si="120"/>
        <v>0.37000000000000016</v>
      </c>
    </row>
    <row r="563" spans="1:13" outlineLevel="1">
      <c r="A563" s="1749">
        <f t="shared" si="117"/>
        <v>40422</v>
      </c>
      <c r="B563" s="1749" t="str">
        <f t="shared" si="118"/>
        <v>3Q10</v>
      </c>
      <c r="C563" s="1749" t="str">
        <f t="shared" si="119"/>
        <v>3Q10</v>
      </c>
      <c r="D563" s="1750">
        <f t="shared" si="126"/>
        <v>40441</v>
      </c>
      <c r="E563" s="1750">
        <f t="shared" si="126"/>
        <v>40434</v>
      </c>
      <c r="F563" s="1735">
        <v>2.9430000000000001</v>
      </c>
      <c r="G563" s="1752"/>
      <c r="H563" s="1762">
        <f t="shared" si="127"/>
        <v>0.46400000000000002</v>
      </c>
      <c r="I563" s="1763">
        <f t="shared" si="124"/>
        <v>0.46899999999999997</v>
      </c>
      <c r="J563" s="1784">
        <v>0.20300000000000001</v>
      </c>
      <c r="K563" s="1763">
        <f t="shared" si="125"/>
        <v>0.20499999999999999</v>
      </c>
      <c r="L563" s="1764">
        <f t="shared" si="122"/>
        <v>0.37000000000000016</v>
      </c>
      <c r="M563" s="1765">
        <f t="shared" si="120"/>
        <v>0.38000000000000017</v>
      </c>
    </row>
    <row r="564" spans="1:13" outlineLevel="1">
      <c r="A564" s="1749">
        <f t="shared" si="117"/>
        <v>40422</v>
      </c>
      <c r="B564" s="1749" t="str">
        <f t="shared" si="118"/>
        <v>3Q10</v>
      </c>
      <c r="C564" s="1749" t="str">
        <f t="shared" si="119"/>
        <v>3Q10</v>
      </c>
      <c r="D564" s="1750">
        <f t="shared" si="126"/>
        <v>40448</v>
      </c>
      <c r="E564" s="1750">
        <f t="shared" si="126"/>
        <v>40441</v>
      </c>
      <c r="F564" s="1735">
        <v>2.96</v>
      </c>
      <c r="G564" s="1752"/>
      <c r="H564" s="1762">
        <f t="shared" si="127"/>
        <v>0.46899999999999997</v>
      </c>
      <c r="I564" s="1763">
        <f t="shared" si="124"/>
        <v>0.46899999999999997</v>
      </c>
      <c r="J564" s="1784">
        <v>0.20499999999999999</v>
      </c>
      <c r="K564" s="1763">
        <f t="shared" si="125"/>
        <v>0.20399999999999999</v>
      </c>
      <c r="L564" s="1764">
        <f t="shared" si="122"/>
        <v>0.38000000000000017</v>
      </c>
      <c r="M564" s="1765">
        <f t="shared" si="120"/>
        <v>0.38000000000000017</v>
      </c>
    </row>
    <row r="565" spans="1:13" outlineLevel="1">
      <c r="A565" s="1749">
        <f t="shared" si="117"/>
        <v>40452</v>
      </c>
      <c r="B565" s="1749" t="str">
        <f t="shared" si="118"/>
        <v>4Q10</v>
      </c>
      <c r="C565" s="1749" t="str">
        <f t="shared" si="119"/>
        <v>3Q10</v>
      </c>
      <c r="D565" s="1750">
        <f t="shared" ref="D565:E580" si="128">D564+7</f>
        <v>40455</v>
      </c>
      <c r="E565" s="1750">
        <f t="shared" si="128"/>
        <v>40448</v>
      </c>
      <c r="F565" s="1735">
        <v>2.9510000000000001</v>
      </c>
      <c r="G565" s="1752"/>
      <c r="H565" s="1762">
        <f t="shared" si="127"/>
        <v>0.46899999999999997</v>
      </c>
      <c r="I565" s="1763">
        <f t="shared" si="124"/>
        <v>0.47399999999999998</v>
      </c>
      <c r="J565" s="1784">
        <v>0.20399999999999999</v>
      </c>
      <c r="K565" s="1763">
        <f t="shared" si="125"/>
        <v>0.20899999999999999</v>
      </c>
      <c r="L565" s="1764">
        <f t="shared" si="122"/>
        <v>0.38000000000000017</v>
      </c>
      <c r="M565" s="1765">
        <f t="shared" si="120"/>
        <v>0.39000000000000018</v>
      </c>
    </row>
    <row r="566" spans="1:13" outlineLevel="1">
      <c r="A566" s="1749">
        <f t="shared" si="117"/>
        <v>40452</v>
      </c>
      <c r="B566" s="1749" t="str">
        <f t="shared" si="118"/>
        <v>4Q10</v>
      </c>
      <c r="C566" s="1749" t="str">
        <f t="shared" si="119"/>
        <v>4Q10</v>
      </c>
      <c r="D566" s="1750">
        <f t="shared" si="128"/>
        <v>40462</v>
      </c>
      <c r="E566" s="1750">
        <f t="shared" si="128"/>
        <v>40455</v>
      </c>
      <c r="F566" s="1735">
        <v>3</v>
      </c>
      <c r="G566" s="1752"/>
      <c r="H566" s="1762">
        <f t="shared" si="127"/>
        <v>0.47399999999999998</v>
      </c>
      <c r="I566" s="1763">
        <f t="shared" si="124"/>
        <v>0.47899999999999998</v>
      </c>
      <c r="J566" s="1784">
        <v>0.20899999999999999</v>
      </c>
      <c r="K566" s="1763">
        <f t="shared" si="125"/>
        <v>0.215</v>
      </c>
      <c r="L566" s="1764">
        <f t="shared" si="122"/>
        <v>0.39000000000000018</v>
      </c>
      <c r="M566" s="1765">
        <f t="shared" si="120"/>
        <v>0.40000000000000019</v>
      </c>
    </row>
    <row r="567" spans="1:13" outlineLevel="1">
      <c r="A567" s="1749">
        <f t="shared" si="117"/>
        <v>40452</v>
      </c>
      <c r="B567" s="1749" t="str">
        <f t="shared" si="118"/>
        <v>4Q10</v>
      </c>
      <c r="C567" s="1749" t="str">
        <f t="shared" si="119"/>
        <v>4Q10</v>
      </c>
      <c r="D567" s="1750">
        <f t="shared" si="128"/>
        <v>40469</v>
      </c>
      <c r="E567" s="1750">
        <f t="shared" si="128"/>
        <v>40462</v>
      </c>
      <c r="F567" s="1735">
        <v>3.0659999999999998</v>
      </c>
      <c r="G567" s="1752"/>
      <c r="H567" s="1762">
        <f t="shared" si="127"/>
        <v>0.47899999999999998</v>
      </c>
      <c r="I567" s="1763">
        <f t="shared" si="124"/>
        <v>0.47899999999999998</v>
      </c>
      <c r="J567" s="1784">
        <v>0.215</v>
      </c>
      <c r="K567" s="1763">
        <f t="shared" si="125"/>
        <v>0.216</v>
      </c>
      <c r="L567" s="1764">
        <f t="shared" si="122"/>
        <v>0.40000000000000019</v>
      </c>
      <c r="M567" s="1765">
        <f t="shared" si="120"/>
        <v>0.40000000000000019</v>
      </c>
    </row>
    <row r="568" spans="1:13" outlineLevel="1">
      <c r="A568" s="1749">
        <f t="shared" si="117"/>
        <v>40452</v>
      </c>
      <c r="B568" s="1749" t="str">
        <f t="shared" si="118"/>
        <v>4Q10</v>
      </c>
      <c r="C568" s="1749" t="str">
        <f t="shared" si="119"/>
        <v>4Q10</v>
      </c>
      <c r="D568" s="1750">
        <f t="shared" si="128"/>
        <v>40476</v>
      </c>
      <c r="E568" s="1750">
        <f t="shared" si="128"/>
        <v>40469</v>
      </c>
      <c r="F568" s="1735">
        <v>3.073</v>
      </c>
      <c r="G568" s="1752"/>
      <c r="H568" s="1762">
        <f t="shared" si="127"/>
        <v>0.47899999999999998</v>
      </c>
      <c r="I568" s="1763">
        <f t="shared" si="124"/>
        <v>0.47899999999999998</v>
      </c>
      <c r="J568" s="1784">
        <v>0.216</v>
      </c>
      <c r="K568" s="1763">
        <f t="shared" si="125"/>
        <v>0.215</v>
      </c>
      <c r="L568" s="1764">
        <f t="shared" si="122"/>
        <v>0.40000000000000019</v>
      </c>
      <c r="M568" s="1765">
        <f t="shared" si="120"/>
        <v>0.40000000000000019</v>
      </c>
    </row>
    <row r="569" spans="1:13" outlineLevel="1">
      <c r="A569" s="1749">
        <f t="shared" si="117"/>
        <v>40483</v>
      </c>
      <c r="B569" s="1749" t="str">
        <f t="shared" si="118"/>
        <v>4Q10</v>
      </c>
      <c r="C569" s="1749" t="str">
        <f t="shared" si="119"/>
        <v>4Q10</v>
      </c>
      <c r="D569" s="1750">
        <f t="shared" si="128"/>
        <v>40483</v>
      </c>
      <c r="E569" s="1750">
        <f t="shared" si="128"/>
        <v>40476</v>
      </c>
      <c r="F569" s="1735">
        <v>3.0670000000000002</v>
      </c>
      <c r="G569" s="1752"/>
      <c r="H569" s="1762">
        <f t="shared" si="127"/>
        <v>0.47899999999999998</v>
      </c>
      <c r="I569" s="1763">
        <f t="shared" si="124"/>
        <v>0.47899999999999998</v>
      </c>
      <c r="J569" s="1784">
        <v>0.215</v>
      </c>
      <c r="K569" s="1763">
        <f t="shared" si="125"/>
        <v>0.215</v>
      </c>
      <c r="L569" s="1764">
        <f t="shared" si="122"/>
        <v>0.40000000000000019</v>
      </c>
      <c r="M569" s="1765">
        <f t="shared" si="120"/>
        <v>0.40000000000000019</v>
      </c>
    </row>
    <row r="570" spans="1:13" outlineLevel="1">
      <c r="A570" s="1749">
        <f t="shared" si="117"/>
        <v>40483</v>
      </c>
      <c r="B570" s="1749" t="str">
        <f t="shared" si="118"/>
        <v>4Q10</v>
      </c>
      <c r="C570" s="1749" t="str">
        <f t="shared" si="119"/>
        <v>4Q10</v>
      </c>
      <c r="D570" s="1750">
        <f t="shared" si="128"/>
        <v>40490</v>
      </c>
      <c r="E570" s="1750">
        <f t="shared" si="128"/>
        <v>40483</v>
      </c>
      <c r="F570" s="1735">
        <v>3.0670000000000002</v>
      </c>
      <c r="G570" s="1752"/>
      <c r="H570" s="1762">
        <f t="shared" si="127"/>
        <v>0.47899999999999998</v>
      </c>
      <c r="I570" s="1763">
        <f t="shared" si="124"/>
        <v>0.48399999999999999</v>
      </c>
      <c r="J570" s="1784">
        <v>0.215</v>
      </c>
      <c r="K570" s="1763">
        <f t="shared" si="125"/>
        <v>0.22</v>
      </c>
      <c r="L570" s="1764">
        <f t="shared" si="122"/>
        <v>0.40000000000000019</v>
      </c>
      <c r="M570" s="1765">
        <f t="shared" si="120"/>
        <v>0.4100000000000002</v>
      </c>
    </row>
    <row r="571" spans="1:13" outlineLevel="1">
      <c r="A571" s="1749">
        <f t="shared" si="117"/>
        <v>40483</v>
      </c>
      <c r="B571" s="1749" t="str">
        <f t="shared" si="118"/>
        <v>4Q10</v>
      </c>
      <c r="C571" s="1749" t="str">
        <f t="shared" si="119"/>
        <v>4Q10</v>
      </c>
      <c r="D571" s="1750">
        <f t="shared" si="128"/>
        <v>40497</v>
      </c>
      <c r="E571" s="1750">
        <f t="shared" si="128"/>
        <v>40490</v>
      </c>
      <c r="F571" s="1735">
        <v>3.1160000000000001</v>
      </c>
      <c r="G571" s="1752"/>
      <c r="H571" s="1762">
        <f t="shared" si="127"/>
        <v>0.48399999999999999</v>
      </c>
      <c r="I571" s="1763">
        <f t="shared" si="124"/>
        <v>0.48899999999999999</v>
      </c>
      <c r="J571" s="1784">
        <v>0.22</v>
      </c>
      <c r="K571" s="1763">
        <f t="shared" si="125"/>
        <v>0.22700000000000001</v>
      </c>
      <c r="L571" s="1764">
        <f t="shared" si="122"/>
        <v>0.4100000000000002</v>
      </c>
      <c r="M571" s="1765">
        <f t="shared" si="120"/>
        <v>0.42000000000000021</v>
      </c>
    </row>
    <row r="572" spans="1:13" outlineLevel="1">
      <c r="A572" s="1749">
        <f t="shared" si="117"/>
        <v>40483</v>
      </c>
      <c r="B572" s="1749" t="str">
        <f t="shared" si="118"/>
        <v>4Q10</v>
      </c>
      <c r="C572" s="1749" t="str">
        <f t="shared" si="119"/>
        <v>4Q10</v>
      </c>
      <c r="D572" s="1750">
        <f t="shared" si="128"/>
        <v>40504</v>
      </c>
      <c r="E572" s="1750">
        <f t="shared" si="128"/>
        <v>40497</v>
      </c>
      <c r="F572" s="1735">
        <v>3.1840000000000002</v>
      </c>
      <c r="G572" s="1752"/>
      <c r="H572" s="1762">
        <f t="shared" si="127"/>
        <v>0.48899999999999999</v>
      </c>
      <c r="I572" s="1763">
        <f t="shared" si="124"/>
        <v>0.48899999999999999</v>
      </c>
      <c r="J572" s="1784">
        <v>0.22700000000000001</v>
      </c>
      <c r="K572" s="1763">
        <f t="shared" si="125"/>
        <v>0.22600000000000001</v>
      </c>
      <c r="L572" s="1764">
        <f t="shared" si="122"/>
        <v>0.42000000000000021</v>
      </c>
      <c r="M572" s="1765">
        <f t="shared" si="120"/>
        <v>0.42000000000000021</v>
      </c>
    </row>
    <row r="573" spans="1:13" outlineLevel="1">
      <c r="A573" s="1749">
        <f t="shared" si="117"/>
        <v>40483</v>
      </c>
      <c r="B573" s="1749" t="str">
        <f t="shared" si="118"/>
        <v>4Q10</v>
      </c>
      <c r="C573" s="1749" t="str">
        <f t="shared" si="119"/>
        <v>4Q10</v>
      </c>
      <c r="D573" s="1750">
        <f t="shared" si="128"/>
        <v>40511</v>
      </c>
      <c r="E573" s="1750">
        <f t="shared" si="128"/>
        <v>40504</v>
      </c>
      <c r="F573" s="1735">
        <v>3.1709999999999998</v>
      </c>
      <c r="G573" s="1752"/>
      <c r="H573" s="1762">
        <f t="shared" si="127"/>
        <v>0.48899999999999999</v>
      </c>
      <c r="I573" s="1763">
        <f t="shared" si="124"/>
        <v>0.48899999999999999</v>
      </c>
      <c r="J573" s="1784">
        <v>0.22600000000000001</v>
      </c>
      <c r="K573" s="1763">
        <f t="shared" si="125"/>
        <v>0.22500000000000001</v>
      </c>
      <c r="L573" s="1764">
        <f t="shared" si="122"/>
        <v>0.42000000000000021</v>
      </c>
      <c r="M573" s="1765">
        <f t="shared" si="120"/>
        <v>0.42000000000000021</v>
      </c>
    </row>
    <row r="574" spans="1:13" outlineLevel="1">
      <c r="A574" s="1749">
        <f t="shared" si="117"/>
        <v>40513</v>
      </c>
      <c r="B574" s="1749" t="str">
        <f t="shared" si="118"/>
        <v>4Q10</v>
      </c>
      <c r="C574" s="1749" t="str">
        <f t="shared" si="119"/>
        <v>4Q10</v>
      </c>
      <c r="D574" s="1750">
        <f t="shared" si="128"/>
        <v>40518</v>
      </c>
      <c r="E574" s="1750">
        <f t="shared" si="128"/>
        <v>40511</v>
      </c>
      <c r="F574" s="1735">
        <v>3.1619999999999999</v>
      </c>
      <c r="G574" s="1752"/>
      <c r="H574" s="1762">
        <f t="shared" si="127"/>
        <v>0.48899999999999999</v>
      </c>
      <c r="I574" s="1763">
        <f t="shared" si="124"/>
        <v>0.48899999999999999</v>
      </c>
      <c r="J574" s="1784">
        <v>0.22500000000000001</v>
      </c>
      <c r="K574" s="1763">
        <f t="shared" si="125"/>
        <v>0.22800000000000001</v>
      </c>
      <c r="L574" s="1764">
        <f t="shared" si="122"/>
        <v>0.42000000000000021</v>
      </c>
      <c r="M574" s="1765">
        <f t="shared" si="120"/>
        <v>0.42000000000000021</v>
      </c>
    </row>
    <row r="575" spans="1:13" outlineLevel="1">
      <c r="A575" s="1749">
        <f t="shared" si="117"/>
        <v>40513</v>
      </c>
      <c r="B575" s="1749" t="str">
        <f t="shared" si="118"/>
        <v>4Q10</v>
      </c>
      <c r="C575" s="1749" t="str">
        <f t="shared" si="119"/>
        <v>4Q10</v>
      </c>
      <c r="D575" s="1750">
        <f t="shared" si="128"/>
        <v>40525</v>
      </c>
      <c r="E575" s="1750">
        <f t="shared" si="128"/>
        <v>40518</v>
      </c>
      <c r="F575" s="1735">
        <v>3.1970000000000001</v>
      </c>
      <c r="G575" s="1752"/>
      <c r="H575" s="1762">
        <f t="shared" si="127"/>
        <v>0.48899999999999999</v>
      </c>
      <c r="I575" s="1763">
        <f t="shared" si="124"/>
        <v>0.49399999999999999</v>
      </c>
      <c r="J575" s="1784">
        <v>0.22800000000000001</v>
      </c>
      <c r="K575" s="1763">
        <f t="shared" si="125"/>
        <v>0.23200000000000001</v>
      </c>
      <c r="L575" s="1764">
        <f t="shared" si="122"/>
        <v>0.42000000000000021</v>
      </c>
      <c r="M575" s="1765">
        <f t="shared" si="120"/>
        <v>0.43000000000000022</v>
      </c>
    </row>
    <row r="576" spans="1:13" outlineLevel="1">
      <c r="A576" s="1749">
        <f t="shared" si="117"/>
        <v>40513</v>
      </c>
      <c r="B576" s="1749" t="str">
        <f t="shared" si="118"/>
        <v>4Q10</v>
      </c>
      <c r="C576" s="1749" t="str">
        <f t="shared" si="119"/>
        <v>4Q10</v>
      </c>
      <c r="D576" s="1750">
        <f t="shared" si="128"/>
        <v>40532</v>
      </c>
      <c r="E576" s="1750">
        <f t="shared" si="128"/>
        <v>40525</v>
      </c>
      <c r="F576" s="1735">
        <v>3.2309999999999999</v>
      </c>
      <c r="G576" s="1752"/>
      <c r="H576" s="1762">
        <f t="shared" si="127"/>
        <v>0.49399999999999999</v>
      </c>
      <c r="I576" s="1763">
        <f t="shared" si="124"/>
        <v>0.49399999999999999</v>
      </c>
      <c r="J576" s="1784">
        <v>0.23200000000000001</v>
      </c>
      <c r="K576" s="1763">
        <f t="shared" si="125"/>
        <v>0.23300000000000001</v>
      </c>
      <c r="L576" s="1764">
        <f t="shared" si="122"/>
        <v>0.43000000000000022</v>
      </c>
      <c r="M576" s="1765">
        <f t="shared" si="120"/>
        <v>0.43000000000000022</v>
      </c>
    </row>
    <row r="577" spans="1:13" outlineLevel="1">
      <c r="A577" s="1749">
        <f t="shared" si="117"/>
        <v>40513</v>
      </c>
      <c r="B577" s="1749" t="str">
        <f t="shared" si="118"/>
        <v>4Q10</v>
      </c>
      <c r="C577" s="1749" t="str">
        <f t="shared" si="119"/>
        <v>4Q10</v>
      </c>
      <c r="D577" s="1750">
        <f t="shared" si="128"/>
        <v>40539</v>
      </c>
      <c r="E577" s="1750">
        <f t="shared" si="128"/>
        <v>40532</v>
      </c>
      <c r="F577" s="1735">
        <v>3.2480000000000002</v>
      </c>
      <c r="G577" s="1752"/>
      <c r="H577" s="1762">
        <f t="shared" si="127"/>
        <v>0.49399999999999999</v>
      </c>
      <c r="I577" s="1763">
        <f t="shared" si="124"/>
        <v>0.499</v>
      </c>
      <c r="J577" s="1784">
        <v>0.23300000000000001</v>
      </c>
      <c r="K577" s="1763">
        <f t="shared" si="125"/>
        <v>0.23799999999999999</v>
      </c>
      <c r="L577" s="1764">
        <f t="shared" si="122"/>
        <v>0.43000000000000022</v>
      </c>
      <c r="M577" s="1765">
        <f t="shared" si="120"/>
        <v>0.44000000000000022</v>
      </c>
    </row>
    <row r="578" spans="1:13" outlineLevel="1">
      <c r="A578" s="1749">
        <f t="shared" si="117"/>
        <v>40544</v>
      </c>
      <c r="B578" s="1749" t="str">
        <f t="shared" si="118"/>
        <v>1Q11</v>
      </c>
      <c r="C578" s="1749" t="str">
        <f t="shared" si="119"/>
        <v>4Q10</v>
      </c>
      <c r="D578" s="1750">
        <f t="shared" si="128"/>
        <v>40546</v>
      </c>
      <c r="E578" s="1750">
        <f t="shared" si="128"/>
        <v>40539</v>
      </c>
      <c r="F578" s="1735">
        <v>3.294</v>
      </c>
      <c r="G578" s="1752"/>
      <c r="H578" s="1762">
        <f t="shared" si="127"/>
        <v>0.499</v>
      </c>
      <c r="I578" s="1763">
        <f t="shared" si="124"/>
        <v>0.504</v>
      </c>
      <c r="J578" s="1784">
        <v>0.23799999999999999</v>
      </c>
      <c r="K578" s="1763">
        <f t="shared" si="125"/>
        <v>0.24199999999999999</v>
      </c>
      <c r="L578" s="1764">
        <f t="shared" si="122"/>
        <v>0.44000000000000022</v>
      </c>
      <c r="M578" s="1765">
        <f t="shared" si="120"/>
        <v>0.45000000000000023</v>
      </c>
    </row>
    <row r="579" spans="1:13">
      <c r="A579" s="1749">
        <f t="shared" si="117"/>
        <v>40544</v>
      </c>
      <c r="B579" s="1749" t="str">
        <f t="shared" si="118"/>
        <v>1Q11</v>
      </c>
      <c r="C579" s="1749" t="str">
        <f t="shared" si="119"/>
        <v>1Q11</v>
      </c>
      <c r="D579" s="1750">
        <f t="shared" si="128"/>
        <v>40553</v>
      </c>
      <c r="E579" s="1750">
        <f t="shared" si="128"/>
        <v>40546</v>
      </c>
      <c r="F579" s="1735">
        <v>3.331</v>
      </c>
      <c r="G579" s="1752"/>
      <c r="H579" s="1762">
        <f t="shared" si="127"/>
        <v>0.504</v>
      </c>
      <c r="I579" s="1763">
        <f t="shared" si="124"/>
        <v>0.504</v>
      </c>
      <c r="J579" s="1784">
        <v>0.24199999999999999</v>
      </c>
      <c r="K579" s="1763">
        <f t="shared" si="125"/>
        <v>0.24199999999999999</v>
      </c>
      <c r="L579" s="1764">
        <f t="shared" si="122"/>
        <v>0.45000000000000023</v>
      </c>
      <c r="M579" s="1765">
        <f t="shared" si="120"/>
        <v>0.45000000000000023</v>
      </c>
    </row>
    <row r="580" spans="1:13">
      <c r="A580" s="1749">
        <f t="shared" ref="A580:A643" si="129">DATE(YEAR(D580),MONTH(D580),1)</f>
        <v>40544</v>
      </c>
      <c r="B580" s="1749" t="str">
        <f t="shared" ref="B580:B643" si="130">VLOOKUP(MONTH(A580),$AB$4:$AC$17,2,FALSE) &amp; "Q" &amp; RIGHT(YEAR(A580),2)</f>
        <v>1Q11</v>
      </c>
      <c r="C580" s="1749" t="str">
        <f t="shared" ref="C580:C643" si="131">VLOOKUP(MONTH(E580),$AB$4:$AC$17,2,FALSE) &amp; "Q" &amp; RIGHT(YEAR(E580),2)</f>
        <v>1Q11</v>
      </c>
      <c r="D580" s="1750">
        <f t="shared" si="128"/>
        <v>40560</v>
      </c>
      <c r="E580" s="1750">
        <f t="shared" si="128"/>
        <v>40553</v>
      </c>
      <c r="F580" s="1735">
        <v>3.3330000000000002</v>
      </c>
      <c r="G580" s="1752"/>
      <c r="H580" s="1762">
        <f t="shared" si="127"/>
        <v>0.504</v>
      </c>
      <c r="I580" s="1763">
        <f t="shared" si="124"/>
        <v>0.51400000000000001</v>
      </c>
      <c r="J580" s="1784">
        <v>0.24199999999999999</v>
      </c>
      <c r="K580" s="1763">
        <f t="shared" si="125"/>
        <v>0.249</v>
      </c>
      <c r="L580" s="1764">
        <f t="shared" si="122"/>
        <v>0.45000000000000023</v>
      </c>
      <c r="M580" s="1765">
        <f t="shared" ref="M580:M643" si="132">L581</f>
        <v>0.47000000000000025</v>
      </c>
    </row>
    <row r="581" spans="1:13">
      <c r="A581" s="1749">
        <f t="shared" si="129"/>
        <v>40544</v>
      </c>
      <c r="B581" s="1749" t="str">
        <f t="shared" si="130"/>
        <v>1Q11</v>
      </c>
      <c r="C581" s="1749" t="str">
        <f t="shared" si="131"/>
        <v>1Q11</v>
      </c>
      <c r="D581" s="1750">
        <f t="shared" ref="D581:E596" si="133">D580+7</f>
        <v>40567</v>
      </c>
      <c r="E581" s="1750">
        <f t="shared" si="133"/>
        <v>40560</v>
      </c>
      <c r="F581" s="1735">
        <v>3.407</v>
      </c>
      <c r="G581" s="1752"/>
      <c r="H581" s="1762">
        <f t="shared" si="127"/>
        <v>0.51400000000000001</v>
      </c>
      <c r="I581" s="1763">
        <f t="shared" si="124"/>
        <v>0.51400000000000001</v>
      </c>
      <c r="J581" s="1784">
        <v>0.249</v>
      </c>
      <c r="K581" s="1763">
        <f t="shared" si="125"/>
        <v>0.252</v>
      </c>
      <c r="L581" s="1764">
        <f t="shared" ref="L581:L644" si="134">INDEX($T$4:$V$100,MATCH(F581,$T$4:$T$100,1),3)</f>
        <v>0.47000000000000025</v>
      </c>
      <c r="M581" s="1765">
        <f t="shared" si="132"/>
        <v>0.47000000000000025</v>
      </c>
    </row>
    <row r="582" spans="1:13">
      <c r="A582" s="1749">
        <f t="shared" si="129"/>
        <v>40544</v>
      </c>
      <c r="B582" s="1749" t="str">
        <f t="shared" si="130"/>
        <v>1Q11</v>
      </c>
      <c r="C582" s="1749" t="str">
        <f t="shared" si="131"/>
        <v>1Q11</v>
      </c>
      <c r="D582" s="1750">
        <f t="shared" si="133"/>
        <v>40574</v>
      </c>
      <c r="E582" s="1750">
        <f t="shared" si="133"/>
        <v>40567</v>
      </c>
      <c r="F582" s="1735">
        <v>3.43</v>
      </c>
      <c r="G582" s="1752"/>
      <c r="H582" s="1762">
        <f t="shared" si="127"/>
        <v>0.51400000000000001</v>
      </c>
      <c r="I582" s="1763">
        <f t="shared" si="124"/>
        <v>0.51400000000000001</v>
      </c>
      <c r="J582" s="1784">
        <v>0.252</v>
      </c>
      <c r="K582" s="1763">
        <f t="shared" si="125"/>
        <v>0.252</v>
      </c>
      <c r="L582" s="1764">
        <f t="shared" si="134"/>
        <v>0.47000000000000025</v>
      </c>
      <c r="M582" s="1765">
        <f t="shared" si="132"/>
        <v>0.47000000000000025</v>
      </c>
    </row>
    <row r="583" spans="1:13">
      <c r="A583" s="1749">
        <f t="shared" si="129"/>
        <v>40575</v>
      </c>
      <c r="B583" s="1749" t="str">
        <f t="shared" si="130"/>
        <v>1Q11</v>
      </c>
      <c r="C583" s="1749" t="str">
        <f t="shared" si="131"/>
        <v>1Q11</v>
      </c>
      <c r="D583" s="1750">
        <f t="shared" si="133"/>
        <v>40581</v>
      </c>
      <c r="E583" s="1750">
        <f t="shared" si="133"/>
        <v>40574</v>
      </c>
      <c r="F583" s="1735">
        <v>3.4380000000000002</v>
      </c>
      <c r="G583" s="1752"/>
      <c r="H583" s="1762">
        <f t="shared" si="127"/>
        <v>0.51400000000000001</v>
      </c>
      <c r="I583" s="1763">
        <f t="shared" si="124"/>
        <v>0.52400000000000002</v>
      </c>
      <c r="J583" s="1784">
        <v>0.252</v>
      </c>
      <c r="K583" s="1763">
        <f t="shared" si="125"/>
        <v>0.26</v>
      </c>
      <c r="L583" s="1764">
        <f t="shared" si="134"/>
        <v>0.47000000000000025</v>
      </c>
      <c r="M583" s="1765">
        <f t="shared" si="132"/>
        <v>0.49000000000000027</v>
      </c>
    </row>
    <row r="584" spans="1:13">
      <c r="A584" s="1749">
        <f t="shared" si="129"/>
        <v>40575</v>
      </c>
      <c r="B584" s="1749" t="str">
        <f t="shared" si="130"/>
        <v>1Q11</v>
      </c>
      <c r="C584" s="1749" t="str">
        <f t="shared" si="131"/>
        <v>1Q11</v>
      </c>
      <c r="D584" s="1750">
        <f t="shared" si="133"/>
        <v>40588</v>
      </c>
      <c r="E584" s="1750">
        <f t="shared" si="133"/>
        <v>40581</v>
      </c>
      <c r="F584" s="1735">
        <v>3.5129999999999999</v>
      </c>
      <c r="G584" s="1752"/>
      <c r="H584" s="1762">
        <f t="shared" si="127"/>
        <v>0.52400000000000002</v>
      </c>
      <c r="I584" s="1763">
        <f t="shared" si="124"/>
        <v>0.52400000000000002</v>
      </c>
      <c r="J584" s="1784">
        <v>0.26</v>
      </c>
      <c r="K584" s="1763">
        <f t="shared" si="125"/>
        <v>0.26200000000000001</v>
      </c>
      <c r="L584" s="1764">
        <f t="shared" si="134"/>
        <v>0.49000000000000027</v>
      </c>
      <c r="M584" s="1765">
        <f t="shared" si="132"/>
        <v>0.49000000000000027</v>
      </c>
    </row>
    <row r="585" spans="1:13">
      <c r="A585" s="1749">
        <f t="shared" si="129"/>
        <v>40575</v>
      </c>
      <c r="B585" s="1749" t="str">
        <f t="shared" si="130"/>
        <v>1Q11</v>
      </c>
      <c r="C585" s="1749" t="str">
        <f t="shared" si="131"/>
        <v>1Q11</v>
      </c>
      <c r="D585" s="1750">
        <f t="shared" si="133"/>
        <v>40595</v>
      </c>
      <c r="E585" s="1750">
        <f t="shared" si="133"/>
        <v>40588</v>
      </c>
      <c r="F585" s="1735">
        <v>3.5339999999999998</v>
      </c>
      <c r="G585" s="1752"/>
      <c r="H585" s="1762">
        <f t="shared" si="127"/>
        <v>0.52400000000000002</v>
      </c>
      <c r="I585" s="1763">
        <f t="shared" si="124"/>
        <v>0.52900000000000003</v>
      </c>
      <c r="J585" s="1784">
        <v>0.26200000000000001</v>
      </c>
      <c r="K585" s="1763">
        <f t="shared" si="125"/>
        <v>0.26600000000000001</v>
      </c>
      <c r="L585" s="1764">
        <f t="shared" si="134"/>
        <v>0.49000000000000027</v>
      </c>
      <c r="M585" s="1765">
        <f t="shared" si="132"/>
        <v>0.50000000000000022</v>
      </c>
    </row>
    <row r="586" spans="1:13">
      <c r="A586" s="1749">
        <f t="shared" si="129"/>
        <v>40575</v>
      </c>
      <c r="B586" s="1749" t="str">
        <f t="shared" si="130"/>
        <v>1Q11</v>
      </c>
      <c r="C586" s="1749" t="str">
        <f t="shared" si="131"/>
        <v>1Q11</v>
      </c>
      <c r="D586" s="1750">
        <f t="shared" si="133"/>
        <v>40602</v>
      </c>
      <c r="E586" s="1750">
        <f t="shared" si="133"/>
        <v>40595</v>
      </c>
      <c r="F586" s="1735">
        <v>3.573</v>
      </c>
      <c r="G586" s="1752"/>
      <c r="H586" s="1762">
        <f t="shared" si="127"/>
        <v>0.52900000000000003</v>
      </c>
      <c r="I586" s="1763">
        <f t="shared" si="124"/>
        <v>0.54400000000000004</v>
      </c>
      <c r="J586" s="1784">
        <v>0.26600000000000001</v>
      </c>
      <c r="K586" s="1763">
        <f t="shared" si="125"/>
        <v>0.28000000000000003</v>
      </c>
      <c r="L586" s="1764">
        <f t="shared" si="134"/>
        <v>0.50000000000000022</v>
      </c>
      <c r="M586" s="1765">
        <f t="shared" si="132"/>
        <v>0.53000000000000025</v>
      </c>
    </row>
    <row r="587" spans="1:13">
      <c r="A587" s="1749">
        <f t="shared" si="129"/>
        <v>40603</v>
      </c>
      <c r="B587" s="1749" t="str">
        <f t="shared" si="130"/>
        <v>1Q11</v>
      </c>
      <c r="C587" s="1749" t="str">
        <f t="shared" si="131"/>
        <v>1Q11</v>
      </c>
      <c r="D587" s="1750">
        <f t="shared" si="133"/>
        <v>40609</v>
      </c>
      <c r="E587" s="1750">
        <f t="shared" si="133"/>
        <v>40602</v>
      </c>
      <c r="F587" s="1735">
        <v>3.7160000000000002</v>
      </c>
      <c r="G587" s="1752"/>
      <c r="H587" s="1762">
        <f t="shared" si="127"/>
        <v>0.54400000000000004</v>
      </c>
      <c r="I587" s="1763">
        <f t="shared" si="124"/>
        <v>0.55900000000000005</v>
      </c>
      <c r="J587" s="1784">
        <v>0.28000000000000003</v>
      </c>
      <c r="K587" s="1763">
        <f t="shared" si="125"/>
        <v>0.29599999999999999</v>
      </c>
      <c r="L587" s="1764">
        <f t="shared" si="134"/>
        <v>0.53000000000000025</v>
      </c>
      <c r="M587" s="1765">
        <f t="shared" si="132"/>
        <v>0.56000000000000028</v>
      </c>
    </row>
    <row r="588" spans="1:13">
      <c r="A588" s="1749">
        <f t="shared" si="129"/>
        <v>40603</v>
      </c>
      <c r="B588" s="1749" t="str">
        <f t="shared" si="130"/>
        <v>1Q11</v>
      </c>
      <c r="C588" s="1749" t="str">
        <f t="shared" si="131"/>
        <v>1Q11</v>
      </c>
      <c r="D588" s="1750">
        <f t="shared" si="133"/>
        <v>40616</v>
      </c>
      <c r="E588" s="1750">
        <f t="shared" si="133"/>
        <v>40609</v>
      </c>
      <c r="F588" s="1735">
        <v>3.871</v>
      </c>
      <c r="G588" s="1752"/>
      <c r="H588" s="1762">
        <f t="shared" si="127"/>
        <v>0.55900000000000005</v>
      </c>
      <c r="I588" s="1763">
        <f t="shared" si="124"/>
        <v>0.56399999999999995</v>
      </c>
      <c r="J588" s="1784">
        <v>0.29599999999999999</v>
      </c>
      <c r="K588" s="1763">
        <f t="shared" si="125"/>
        <v>0.29899999999999999</v>
      </c>
      <c r="L588" s="1764">
        <f t="shared" si="134"/>
        <v>0.56000000000000028</v>
      </c>
      <c r="M588" s="1765">
        <f t="shared" si="132"/>
        <v>0.57000000000000028</v>
      </c>
    </row>
    <row r="589" spans="1:13">
      <c r="A589" s="1749">
        <f t="shared" si="129"/>
        <v>40603</v>
      </c>
      <c r="B589" s="1749" t="str">
        <f t="shared" si="130"/>
        <v>1Q11</v>
      </c>
      <c r="C589" s="1749" t="str">
        <f t="shared" si="131"/>
        <v>1Q11</v>
      </c>
      <c r="D589" s="1750">
        <f t="shared" si="133"/>
        <v>40623</v>
      </c>
      <c r="E589" s="1750">
        <f t="shared" si="133"/>
        <v>40616</v>
      </c>
      <c r="F589" s="1735">
        <v>3.9079999999999999</v>
      </c>
      <c r="G589" s="1752"/>
      <c r="H589" s="1762">
        <f t="shared" si="127"/>
        <v>0.56399999999999995</v>
      </c>
      <c r="I589" s="1763">
        <f t="shared" si="124"/>
        <v>0.56399999999999995</v>
      </c>
      <c r="J589" s="1784">
        <v>0.29899999999999999</v>
      </c>
      <c r="K589" s="1763">
        <f t="shared" si="125"/>
        <v>0.29899999999999999</v>
      </c>
      <c r="L589" s="1764">
        <f t="shared" si="134"/>
        <v>0.57000000000000028</v>
      </c>
      <c r="M589" s="1765">
        <f t="shared" si="132"/>
        <v>0.57000000000000028</v>
      </c>
    </row>
    <row r="590" spans="1:13">
      <c r="A590" s="1749">
        <f t="shared" si="129"/>
        <v>40603</v>
      </c>
      <c r="B590" s="1749" t="str">
        <f t="shared" si="130"/>
        <v>1Q11</v>
      </c>
      <c r="C590" s="1749" t="str">
        <f t="shared" si="131"/>
        <v>1Q11</v>
      </c>
      <c r="D590" s="1750">
        <f t="shared" si="133"/>
        <v>40630</v>
      </c>
      <c r="E590" s="1750">
        <f t="shared" si="133"/>
        <v>40623</v>
      </c>
      <c r="F590" s="1735">
        <v>3.907</v>
      </c>
      <c r="G590" s="1752"/>
      <c r="H590" s="1762">
        <f t="shared" si="127"/>
        <v>0.56399999999999995</v>
      </c>
      <c r="I590" s="1763">
        <f t="shared" si="124"/>
        <v>0.56399999999999995</v>
      </c>
      <c r="J590" s="1784">
        <v>0.29899999999999999</v>
      </c>
      <c r="K590" s="1763">
        <f t="shared" si="125"/>
        <v>0.30199999999999999</v>
      </c>
      <c r="L590" s="1764">
        <f t="shared" si="134"/>
        <v>0.57000000000000028</v>
      </c>
      <c r="M590" s="1765">
        <f t="shared" si="132"/>
        <v>0.57000000000000028</v>
      </c>
    </row>
    <row r="591" spans="1:13">
      <c r="A591" s="1749">
        <f t="shared" si="129"/>
        <v>40634</v>
      </c>
      <c r="B591" s="1749" t="str">
        <f t="shared" si="130"/>
        <v>2Q11</v>
      </c>
      <c r="C591" s="1749" t="str">
        <f t="shared" si="131"/>
        <v>1Q11</v>
      </c>
      <c r="D591" s="1750">
        <f t="shared" si="133"/>
        <v>40637</v>
      </c>
      <c r="E591" s="1750">
        <f t="shared" si="133"/>
        <v>40630</v>
      </c>
      <c r="F591" s="1735">
        <v>3.9319999999999999</v>
      </c>
      <c r="G591" s="1752"/>
      <c r="H591" s="1762">
        <f t="shared" si="127"/>
        <v>0.56399999999999995</v>
      </c>
      <c r="I591" s="1763">
        <f t="shared" si="124"/>
        <v>0.56899999999999995</v>
      </c>
      <c r="J591" s="1784">
        <v>0.30199999999999999</v>
      </c>
      <c r="K591" s="1763">
        <f t="shared" si="125"/>
        <v>0.30599999999999999</v>
      </c>
      <c r="L591" s="1764">
        <f t="shared" si="134"/>
        <v>0.57000000000000028</v>
      </c>
      <c r="M591" s="1765">
        <f t="shared" si="132"/>
        <v>0.58000000000000029</v>
      </c>
    </row>
    <row r="592" spans="1:13">
      <c r="A592" s="1749">
        <f t="shared" si="129"/>
        <v>40634</v>
      </c>
      <c r="B592" s="1749" t="str">
        <f t="shared" si="130"/>
        <v>2Q11</v>
      </c>
      <c r="C592" s="1749" t="str">
        <f t="shared" si="131"/>
        <v>2Q11</v>
      </c>
      <c r="D592" s="1750">
        <f t="shared" si="133"/>
        <v>40644</v>
      </c>
      <c r="E592" s="1750">
        <f t="shared" si="133"/>
        <v>40637</v>
      </c>
      <c r="F592" s="1735">
        <v>3.976</v>
      </c>
      <c r="G592" s="1752"/>
      <c r="H592" s="1762">
        <f t="shared" si="127"/>
        <v>0.56899999999999995</v>
      </c>
      <c r="I592" s="1763">
        <f t="shared" si="124"/>
        <v>0.57899999999999996</v>
      </c>
      <c r="J592" s="1784">
        <v>0.30599999999999999</v>
      </c>
      <c r="K592" s="1763">
        <f t="shared" si="125"/>
        <v>0.316</v>
      </c>
      <c r="L592" s="1764">
        <f t="shared" si="134"/>
        <v>0.58000000000000029</v>
      </c>
      <c r="M592" s="1765">
        <f t="shared" si="132"/>
        <v>0.60000000000000031</v>
      </c>
    </row>
    <row r="593" spans="1:13">
      <c r="A593" s="1749">
        <f t="shared" si="129"/>
        <v>40634</v>
      </c>
      <c r="B593" s="1749" t="str">
        <f t="shared" si="130"/>
        <v>2Q11</v>
      </c>
      <c r="C593" s="1749" t="str">
        <f t="shared" si="131"/>
        <v>2Q11</v>
      </c>
      <c r="D593" s="1750">
        <f t="shared" si="133"/>
        <v>40651</v>
      </c>
      <c r="E593" s="1750">
        <f t="shared" si="133"/>
        <v>40644</v>
      </c>
      <c r="F593" s="1735">
        <v>4.0780000000000003</v>
      </c>
      <c r="G593" s="1752"/>
      <c r="H593" s="1762">
        <f t="shared" si="127"/>
        <v>0.57899999999999996</v>
      </c>
      <c r="I593" s="1763">
        <f t="shared" si="124"/>
        <v>0.58399999999999996</v>
      </c>
      <c r="J593" s="1784">
        <v>0.316</v>
      </c>
      <c r="K593" s="1763">
        <f t="shared" si="125"/>
        <v>0.31900000000000001</v>
      </c>
      <c r="L593" s="1764">
        <f t="shared" si="134"/>
        <v>0.60000000000000031</v>
      </c>
      <c r="M593" s="1765">
        <f t="shared" si="132"/>
        <v>0.61000000000000032</v>
      </c>
    </row>
    <row r="594" spans="1:13">
      <c r="A594" s="1749">
        <f t="shared" si="129"/>
        <v>40634</v>
      </c>
      <c r="B594" s="1749" t="str">
        <f t="shared" si="130"/>
        <v>2Q11</v>
      </c>
      <c r="C594" s="1749" t="str">
        <f t="shared" si="131"/>
        <v>2Q11</v>
      </c>
      <c r="D594" s="1750">
        <f t="shared" si="133"/>
        <v>40658</v>
      </c>
      <c r="E594" s="1750">
        <f t="shared" si="133"/>
        <v>40651</v>
      </c>
      <c r="F594" s="1735">
        <v>4.1050000000000004</v>
      </c>
      <c r="G594" s="1752"/>
      <c r="H594" s="1762">
        <f t="shared" si="127"/>
        <v>0.58399999999999996</v>
      </c>
      <c r="I594" s="1763">
        <f t="shared" si="124"/>
        <v>0.57899999999999996</v>
      </c>
      <c r="J594" s="1784">
        <v>0.31900000000000001</v>
      </c>
      <c r="K594" s="1763">
        <f t="shared" si="125"/>
        <v>0.318</v>
      </c>
      <c r="L594" s="1764">
        <f t="shared" si="134"/>
        <v>0.61000000000000032</v>
      </c>
      <c r="M594" s="1765">
        <f t="shared" si="132"/>
        <v>0.60000000000000031</v>
      </c>
    </row>
    <row r="595" spans="1:13">
      <c r="A595" s="1749">
        <f t="shared" si="129"/>
        <v>40664</v>
      </c>
      <c r="B595" s="1749" t="str">
        <f t="shared" si="130"/>
        <v>2Q11</v>
      </c>
      <c r="C595" s="1749" t="str">
        <f t="shared" si="131"/>
        <v>2Q11</v>
      </c>
      <c r="D595" s="1750">
        <f t="shared" si="133"/>
        <v>40665</v>
      </c>
      <c r="E595" s="1750">
        <f t="shared" si="133"/>
        <v>40658</v>
      </c>
      <c r="F595" s="1735">
        <v>4.0979999999999999</v>
      </c>
      <c r="G595" s="1752"/>
      <c r="H595" s="1762">
        <f t="shared" si="127"/>
        <v>0.57899999999999996</v>
      </c>
      <c r="I595" s="1763">
        <f t="shared" si="124"/>
        <v>0.58399999999999996</v>
      </c>
      <c r="J595" s="1784">
        <v>0.318</v>
      </c>
      <c r="K595" s="1763">
        <f t="shared" si="125"/>
        <v>0.32100000000000001</v>
      </c>
      <c r="L595" s="1764">
        <f t="shared" si="134"/>
        <v>0.60000000000000031</v>
      </c>
      <c r="M595" s="1765">
        <f t="shared" si="132"/>
        <v>0.61000000000000032</v>
      </c>
    </row>
    <row r="596" spans="1:13">
      <c r="A596" s="1749">
        <f t="shared" si="129"/>
        <v>40664</v>
      </c>
      <c r="B596" s="1749" t="str">
        <f t="shared" si="130"/>
        <v>2Q11</v>
      </c>
      <c r="C596" s="1749" t="str">
        <f t="shared" si="131"/>
        <v>2Q11</v>
      </c>
      <c r="D596" s="1750">
        <f t="shared" si="133"/>
        <v>40672</v>
      </c>
      <c r="E596" s="1750">
        <f t="shared" si="133"/>
        <v>40665</v>
      </c>
      <c r="F596" s="1735">
        <v>4.1239999999999997</v>
      </c>
      <c r="G596" s="1752"/>
      <c r="H596" s="1762">
        <f t="shared" si="127"/>
        <v>0.58399999999999996</v>
      </c>
      <c r="I596" s="1763">
        <f t="shared" si="124"/>
        <v>0.58399999999999996</v>
      </c>
      <c r="J596" s="1784">
        <v>0.32100000000000001</v>
      </c>
      <c r="K596" s="1763">
        <f t="shared" si="125"/>
        <v>0.31900000000000001</v>
      </c>
      <c r="L596" s="1764">
        <f t="shared" si="134"/>
        <v>0.61000000000000032</v>
      </c>
      <c r="M596" s="1765">
        <f t="shared" si="132"/>
        <v>0.61000000000000032</v>
      </c>
    </row>
    <row r="597" spans="1:13">
      <c r="A597" s="1749">
        <f t="shared" si="129"/>
        <v>40664</v>
      </c>
      <c r="B597" s="1749" t="str">
        <f t="shared" si="130"/>
        <v>2Q11</v>
      </c>
      <c r="C597" s="1749" t="str">
        <f t="shared" si="131"/>
        <v>2Q11</v>
      </c>
      <c r="D597" s="1750">
        <f t="shared" ref="D597:E612" si="135">D596+7</f>
        <v>40679</v>
      </c>
      <c r="E597" s="1750">
        <f t="shared" si="135"/>
        <v>40672</v>
      </c>
      <c r="F597" s="1735">
        <v>4.1040000000000001</v>
      </c>
      <c r="G597" s="1752"/>
      <c r="H597" s="1762">
        <f t="shared" si="127"/>
        <v>0.58399999999999996</v>
      </c>
      <c r="I597" s="1763">
        <f t="shared" si="124"/>
        <v>0.57899999999999996</v>
      </c>
      <c r="J597" s="1784">
        <v>0.31900000000000001</v>
      </c>
      <c r="K597" s="1763">
        <f t="shared" si="125"/>
        <v>0.315</v>
      </c>
      <c r="L597" s="1764">
        <f t="shared" si="134"/>
        <v>0.61000000000000032</v>
      </c>
      <c r="M597" s="1765">
        <f t="shared" si="132"/>
        <v>0.60000000000000031</v>
      </c>
    </row>
    <row r="598" spans="1:13">
      <c r="A598" s="1749">
        <f t="shared" si="129"/>
        <v>40664</v>
      </c>
      <c r="B598" s="1749" t="str">
        <f t="shared" si="130"/>
        <v>2Q11</v>
      </c>
      <c r="C598" s="1749" t="str">
        <f t="shared" si="131"/>
        <v>2Q11</v>
      </c>
      <c r="D598" s="1750">
        <f t="shared" si="135"/>
        <v>40686</v>
      </c>
      <c r="E598" s="1750">
        <f t="shared" si="135"/>
        <v>40679</v>
      </c>
      <c r="F598" s="1735">
        <v>4.0609999999999999</v>
      </c>
      <c r="G598" s="1752"/>
      <c r="H598" s="1762">
        <f t="shared" si="127"/>
        <v>0.57899999999999996</v>
      </c>
      <c r="I598" s="1763">
        <f t="shared" si="124"/>
        <v>0.56899999999999995</v>
      </c>
      <c r="J598" s="1784">
        <v>0.315</v>
      </c>
      <c r="K598" s="1763">
        <f t="shared" si="125"/>
        <v>0.308</v>
      </c>
      <c r="L598" s="1764">
        <f t="shared" si="134"/>
        <v>0.60000000000000031</v>
      </c>
      <c r="M598" s="1765">
        <f t="shared" si="132"/>
        <v>0.58000000000000029</v>
      </c>
    </row>
    <row r="599" spans="1:13">
      <c r="A599" s="1749">
        <f t="shared" si="129"/>
        <v>40664</v>
      </c>
      <c r="B599" s="1749" t="str">
        <f t="shared" si="130"/>
        <v>2Q11</v>
      </c>
      <c r="C599" s="1749" t="str">
        <f t="shared" si="131"/>
        <v>2Q11</v>
      </c>
      <c r="D599" s="1750">
        <f t="shared" si="135"/>
        <v>40693</v>
      </c>
      <c r="E599" s="1750">
        <f t="shared" si="135"/>
        <v>40686</v>
      </c>
      <c r="F599" s="1735">
        <v>3.9969999999999999</v>
      </c>
      <c r="G599" s="1752"/>
      <c r="H599" s="1762">
        <f t="shared" si="127"/>
        <v>0.56899999999999995</v>
      </c>
      <c r="I599" s="1763">
        <f t="shared" si="124"/>
        <v>0.56399999999999995</v>
      </c>
      <c r="J599" s="1784">
        <v>0.308</v>
      </c>
      <c r="K599" s="1763">
        <f t="shared" si="125"/>
        <v>0.30299999999999999</v>
      </c>
      <c r="L599" s="1764">
        <f t="shared" si="134"/>
        <v>0.58000000000000029</v>
      </c>
      <c r="M599" s="1765">
        <f t="shared" si="132"/>
        <v>0.57000000000000028</v>
      </c>
    </row>
    <row r="600" spans="1:13">
      <c r="A600" s="1749">
        <f t="shared" si="129"/>
        <v>40695</v>
      </c>
      <c r="B600" s="1749" t="str">
        <f t="shared" si="130"/>
        <v>2Q11</v>
      </c>
      <c r="C600" s="1749" t="str">
        <f t="shared" si="131"/>
        <v>2Q11</v>
      </c>
      <c r="D600" s="1750">
        <f t="shared" si="135"/>
        <v>40700</v>
      </c>
      <c r="E600" s="1750">
        <f t="shared" si="135"/>
        <v>40693</v>
      </c>
      <c r="F600" s="1735">
        <v>3.948</v>
      </c>
      <c r="G600" s="1752"/>
      <c r="H600" s="1762">
        <f t="shared" si="127"/>
        <v>0.56399999999999995</v>
      </c>
      <c r="I600" s="1763">
        <f t="shared" si="124"/>
        <v>0.56399999999999995</v>
      </c>
      <c r="J600" s="1784">
        <v>0.30299999999999999</v>
      </c>
      <c r="K600" s="1763">
        <f t="shared" si="125"/>
        <v>0.30299999999999999</v>
      </c>
      <c r="L600" s="1764">
        <f t="shared" si="134"/>
        <v>0.57000000000000028</v>
      </c>
      <c r="M600" s="1765">
        <f t="shared" si="132"/>
        <v>0.57000000000000028</v>
      </c>
    </row>
    <row r="601" spans="1:13">
      <c r="A601" s="1749">
        <f t="shared" si="129"/>
        <v>40695</v>
      </c>
      <c r="B601" s="1749" t="str">
        <f t="shared" si="130"/>
        <v>2Q11</v>
      </c>
      <c r="C601" s="1749" t="str">
        <f t="shared" si="131"/>
        <v>2Q11</v>
      </c>
      <c r="D601" s="1750">
        <f t="shared" si="135"/>
        <v>40707</v>
      </c>
      <c r="E601" s="1750">
        <f t="shared" si="135"/>
        <v>40700</v>
      </c>
      <c r="F601" s="1735">
        <v>3.94</v>
      </c>
      <c r="G601" s="1752"/>
      <c r="H601" s="1762">
        <f t="shared" si="127"/>
        <v>0.56399999999999995</v>
      </c>
      <c r="I601" s="1763">
        <f t="shared" ref="I601:I664" si="136">H602</f>
        <v>0.56899999999999995</v>
      </c>
      <c r="J601" s="1784">
        <v>0.30299999999999999</v>
      </c>
      <c r="K601" s="1763">
        <f t="shared" ref="K601:K664" si="137">J602</f>
        <v>0.30399999999999999</v>
      </c>
      <c r="L601" s="1764">
        <f t="shared" si="134"/>
        <v>0.57000000000000028</v>
      </c>
      <c r="M601" s="1765">
        <f t="shared" si="132"/>
        <v>0.58000000000000029</v>
      </c>
    </row>
    <row r="602" spans="1:13">
      <c r="A602" s="1749">
        <f t="shared" si="129"/>
        <v>40695</v>
      </c>
      <c r="B602" s="1749" t="str">
        <f t="shared" si="130"/>
        <v>2Q11</v>
      </c>
      <c r="C602" s="1749" t="str">
        <f t="shared" si="131"/>
        <v>2Q11</v>
      </c>
      <c r="D602" s="1750">
        <f t="shared" si="135"/>
        <v>40714</v>
      </c>
      <c r="E602" s="1750">
        <f t="shared" si="135"/>
        <v>40707</v>
      </c>
      <c r="F602" s="1735">
        <v>3.9540000000000002</v>
      </c>
      <c r="G602" s="1752"/>
      <c r="H602" s="1762">
        <f t="shared" si="127"/>
        <v>0.56899999999999995</v>
      </c>
      <c r="I602" s="1763">
        <f t="shared" si="136"/>
        <v>0.56899999999999995</v>
      </c>
      <c r="J602" s="1784">
        <v>0.30399999999999999</v>
      </c>
      <c r="K602" s="1763">
        <f t="shared" si="137"/>
        <v>0.30399999999999999</v>
      </c>
      <c r="L602" s="1764">
        <f t="shared" si="134"/>
        <v>0.58000000000000029</v>
      </c>
      <c r="M602" s="1765">
        <f t="shared" si="132"/>
        <v>0.58000000000000029</v>
      </c>
    </row>
    <row r="603" spans="1:13">
      <c r="A603" s="1749">
        <f t="shared" si="129"/>
        <v>40695</v>
      </c>
      <c r="B603" s="1749" t="str">
        <f t="shared" si="130"/>
        <v>2Q11</v>
      </c>
      <c r="C603" s="1749" t="str">
        <f t="shared" si="131"/>
        <v>2Q11</v>
      </c>
      <c r="D603" s="1750">
        <f t="shared" si="135"/>
        <v>40721</v>
      </c>
      <c r="E603" s="1750">
        <f t="shared" si="135"/>
        <v>40714</v>
      </c>
      <c r="F603" s="1735">
        <v>3.95</v>
      </c>
      <c r="G603" s="1752"/>
      <c r="H603" s="1762">
        <f t="shared" si="127"/>
        <v>0.56899999999999995</v>
      </c>
      <c r="I603" s="1763">
        <f t="shared" si="136"/>
        <v>0.55900000000000005</v>
      </c>
      <c r="J603" s="1784">
        <v>0.30399999999999999</v>
      </c>
      <c r="K603" s="1763">
        <f t="shared" si="137"/>
        <v>0.29699999999999999</v>
      </c>
      <c r="L603" s="1764">
        <f t="shared" si="134"/>
        <v>0.58000000000000029</v>
      </c>
      <c r="M603" s="1765">
        <f t="shared" si="132"/>
        <v>0.56000000000000028</v>
      </c>
    </row>
    <row r="604" spans="1:13">
      <c r="A604" s="1749">
        <f t="shared" si="129"/>
        <v>40725</v>
      </c>
      <c r="B604" s="1749" t="str">
        <f t="shared" si="130"/>
        <v>3Q11</v>
      </c>
      <c r="C604" s="1749" t="str">
        <f t="shared" si="131"/>
        <v>2Q11</v>
      </c>
      <c r="D604" s="1750">
        <f t="shared" si="135"/>
        <v>40728</v>
      </c>
      <c r="E604" s="1750">
        <f t="shared" si="135"/>
        <v>40721</v>
      </c>
      <c r="F604" s="1735">
        <v>3.8879999999999999</v>
      </c>
      <c r="G604" s="1752"/>
      <c r="H604" s="1762">
        <f t="shared" si="127"/>
        <v>0.55900000000000005</v>
      </c>
      <c r="I604" s="1763">
        <f t="shared" si="136"/>
        <v>0.55900000000000005</v>
      </c>
      <c r="J604" s="1784">
        <v>0.29699999999999999</v>
      </c>
      <c r="K604" s="1763">
        <f t="shared" si="137"/>
        <v>0.29399999999999998</v>
      </c>
      <c r="L604" s="1764">
        <f t="shared" si="134"/>
        <v>0.56000000000000028</v>
      </c>
      <c r="M604" s="1765">
        <f t="shared" si="132"/>
        <v>0.56000000000000028</v>
      </c>
    </row>
    <row r="605" spans="1:13">
      <c r="A605" s="1749">
        <f t="shared" si="129"/>
        <v>40725</v>
      </c>
      <c r="B605" s="1749" t="str">
        <f t="shared" si="130"/>
        <v>3Q11</v>
      </c>
      <c r="C605" s="1749" t="str">
        <f t="shared" si="131"/>
        <v>3Q11</v>
      </c>
      <c r="D605" s="1750">
        <f t="shared" si="135"/>
        <v>40735</v>
      </c>
      <c r="E605" s="1750">
        <f t="shared" si="135"/>
        <v>40728</v>
      </c>
      <c r="F605" s="1735">
        <v>3.85</v>
      </c>
      <c r="G605" s="1752"/>
      <c r="H605" s="1762">
        <f t="shared" si="127"/>
        <v>0.55900000000000005</v>
      </c>
      <c r="I605" s="1763">
        <f t="shared" si="136"/>
        <v>0.55900000000000005</v>
      </c>
      <c r="J605" s="1784">
        <v>0.29399999999999998</v>
      </c>
      <c r="K605" s="1763">
        <f t="shared" si="137"/>
        <v>0.29799999999999999</v>
      </c>
      <c r="L605" s="1764">
        <f t="shared" si="134"/>
        <v>0.56000000000000028</v>
      </c>
      <c r="M605" s="1765">
        <f t="shared" si="132"/>
        <v>0.56000000000000028</v>
      </c>
    </row>
    <row r="606" spans="1:13">
      <c r="A606" s="1749">
        <f t="shared" si="129"/>
        <v>40725</v>
      </c>
      <c r="B606" s="1749" t="str">
        <f t="shared" si="130"/>
        <v>3Q11</v>
      </c>
      <c r="C606" s="1749" t="str">
        <f t="shared" si="131"/>
        <v>3Q11</v>
      </c>
      <c r="D606" s="1750">
        <f t="shared" si="135"/>
        <v>40742</v>
      </c>
      <c r="E606" s="1750">
        <f t="shared" si="135"/>
        <v>40735</v>
      </c>
      <c r="F606" s="1735">
        <v>3.899</v>
      </c>
      <c r="G606" s="1752"/>
      <c r="H606" s="1762">
        <f t="shared" si="127"/>
        <v>0.55900000000000005</v>
      </c>
      <c r="I606" s="1763">
        <f t="shared" si="136"/>
        <v>0.56399999999999995</v>
      </c>
      <c r="J606" s="1784">
        <v>0.29799999999999999</v>
      </c>
      <c r="K606" s="1763">
        <f t="shared" si="137"/>
        <v>0.30099999999999999</v>
      </c>
      <c r="L606" s="1764">
        <f t="shared" si="134"/>
        <v>0.56000000000000028</v>
      </c>
      <c r="M606" s="1765">
        <f t="shared" si="132"/>
        <v>0.57000000000000028</v>
      </c>
    </row>
    <row r="607" spans="1:13">
      <c r="A607" s="1749">
        <f t="shared" si="129"/>
        <v>40725</v>
      </c>
      <c r="B607" s="1749" t="str">
        <f t="shared" si="130"/>
        <v>3Q11</v>
      </c>
      <c r="C607" s="1749" t="str">
        <f t="shared" si="131"/>
        <v>3Q11</v>
      </c>
      <c r="D607" s="1750">
        <f t="shared" si="135"/>
        <v>40749</v>
      </c>
      <c r="E607" s="1750">
        <f t="shared" si="135"/>
        <v>40742</v>
      </c>
      <c r="F607" s="1735">
        <v>3.923</v>
      </c>
      <c r="G607" s="1752"/>
      <c r="H607" s="1762">
        <f t="shared" si="127"/>
        <v>0.56399999999999995</v>
      </c>
      <c r="I607" s="1763">
        <f t="shared" si="136"/>
        <v>0.56399999999999995</v>
      </c>
      <c r="J607" s="1784">
        <v>0.30099999999999999</v>
      </c>
      <c r="K607" s="1763">
        <f t="shared" si="137"/>
        <v>0.30299999999999999</v>
      </c>
      <c r="L607" s="1764">
        <f t="shared" si="134"/>
        <v>0.57000000000000028</v>
      </c>
      <c r="M607" s="1765">
        <f t="shared" si="132"/>
        <v>0.57000000000000028</v>
      </c>
    </row>
    <row r="608" spans="1:13">
      <c r="A608" s="1749">
        <f t="shared" si="129"/>
        <v>40756</v>
      </c>
      <c r="B608" s="1749" t="str">
        <f t="shared" si="130"/>
        <v>3Q11</v>
      </c>
      <c r="C608" s="1749" t="str">
        <f t="shared" si="131"/>
        <v>3Q11</v>
      </c>
      <c r="D608" s="1750">
        <f t="shared" si="135"/>
        <v>40756</v>
      </c>
      <c r="E608" s="1750">
        <f t="shared" si="135"/>
        <v>40749</v>
      </c>
      <c r="F608" s="1735">
        <v>3.9489999999999998</v>
      </c>
      <c r="G608" s="1752"/>
      <c r="H608" s="1762">
        <f t="shared" si="127"/>
        <v>0.56399999999999995</v>
      </c>
      <c r="I608" s="1763">
        <f t="shared" si="136"/>
        <v>0.56399999999999995</v>
      </c>
      <c r="J608" s="1784">
        <v>0.30299999999999999</v>
      </c>
      <c r="K608" s="1763">
        <f t="shared" si="137"/>
        <v>0.30199999999999999</v>
      </c>
      <c r="L608" s="1764">
        <f t="shared" si="134"/>
        <v>0.57000000000000028</v>
      </c>
      <c r="M608" s="1765">
        <f t="shared" si="132"/>
        <v>0.57000000000000028</v>
      </c>
    </row>
    <row r="609" spans="1:13">
      <c r="A609" s="1749">
        <f t="shared" si="129"/>
        <v>40756</v>
      </c>
      <c r="B609" s="1749" t="str">
        <f t="shared" si="130"/>
        <v>3Q11</v>
      </c>
      <c r="C609" s="1749" t="str">
        <f t="shared" si="131"/>
        <v>3Q11</v>
      </c>
      <c r="D609" s="1750">
        <f t="shared" si="135"/>
        <v>40763</v>
      </c>
      <c r="E609" s="1750">
        <f t="shared" si="135"/>
        <v>40756</v>
      </c>
      <c r="F609" s="1735">
        <v>3.9369999999999998</v>
      </c>
      <c r="G609" s="1752"/>
      <c r="H609" s="1762">
        <f t="shared" si="127"/>
        <v>0.56399999999999995</v>
      </c>
      <c r="I609" s="1763">
        <f t="shared" si="136"/>
        <v>0.55900000000000005</v>
      </c>
      <c r="J609" s="1784">
        <v>0.30199999999999999</v>
      </c>
      <c r="K609" s="1763">
        <f t="shared" si="137"/>
        <v>0.29799999999999999</v>
      </c>
      <c r="L609" s="1764">
        <f t="shared" si="134"/>
        <v>0.57000000000000028</v>
      </c>
      <c r="M609" s="1765">
        <f t="shared" si="132"/>
        <v>0.56000000000000028</v>
      </c>
    </row>
    <row r="610" spans="1:13">
      <c r="A610" s="1749">
        <f t="shared" si="129"/>
        <v>40756</v>
      </c>
      <c r="B610" s="1749" t="str">
        <f t="shared" si="130"/>
        <v>3Q11</v>
      </c>
      <c r="C610" s="1749" t="str">
        <f t="shared" si="131"/>
        <v>3Q11</v>
      </c>
      <c r="D610" s="1750">
        <f t="shared" si="135"/>
        <v>40770</v>
      </c>
      <c r="E610" s="1750">
        <f t="shared" si="135"/>
        <v>40763</v>
      </c>
      <c r="F610" s="1735">
        <v>3.8969999999999998</v>
      </c>
      <c r="G610" s="1752"/>
      <c r="H610" s="1762">
        <f t="shared" si="127"/>
        <v>0.55900000000000005</v>
      </c>
      <c r="I610" s="1763">
        <f t="shared" si="136"/>
        <v>0.55400000000000005</v>
      </c>
      <c r="J610" s="1784">
        <v>0.29799999999999999</v>
      </c>
      <c r="K610" s="1763">
        <f t="shared" si="137"/>
        <v>0.29199999999999998</v>
      </c>
      <c r="L610" s="1764">
        <f t="shared" si="134"/>
        <v>0.56000000000000028</v>
      </c>
      <c r="M610" s="1765">
        <f t="shared" si="132"/>
        <v>0.55000000000000027</v>
      </c>
    </row>
    <row r="611" spans="1:13">
      <c r="A611" s="1749">
        <f t="shared" si="129"/>
        <v>40756</v>
      </c>
      <c r="B611" s="1749" t="str">
        <f t="shared" si="130"/>
        <v>3Q11</v>
      </c>
      <c r="C611" s="1749" t="str">
        <f t="shared" si="131"/>
        <v>3Q11</v>
      </c>
      <c r="D611" s="1750">
        <f t="shared" si="135"/>
        <v>40777</v>
      </c>
      <c r="E611" s="1750">
        <f t="shared" si="135"/>
        <v>40770</v>
      </c>
      <c r="F611" s="1735">
        <v>3.835</v>
      </c>
      <c r="G611" s="1788"/>
      <c r="H611" s="1762">
        <f t="shared" si="127"/>
        <v>0.55400000000000005</v>
      </c>
      <c r="I611" s="1763">
        <f t="shared" si="136"/>
        <v>0.55400000000000005</v>
      </c>
      <c r="J611" s="1784">
        <v>0.29199999999999998</v>
      </c>
      <c r="K611" s="1763">
        <f t="shared" si="137"/>
        <v>0.28999999999999998</v>
      </c>
      <c r="L611" s="1764">
        <f t="shared" si="134"/>
        <v>0.55000000000000027</v>
      </c>
      <c r="M611" s="1765">
        <f t="shared" si="132"/>
        <v>0.55000000000000027</v>
      </c>
    </row>
    <row r="612" spans="1:13">
      <c r="A612" s="1749">
        <f t="shared" si="129"/>
        <v>40756</v>
      </c>
      <c r="B612" s="1749" t="str">
        <f t="shared" si="130"/>
        <v>3Q11</v>
      </c>
      <c r="C612" s="1749" t="str">
        <f t="shared" si="131"/>
        <v>3Q11</v>
      </c>
      <c r="D612" s="1750">
        <f t="shared" si="135"/>
        <v>40784</v>
      </c>
      <c r="E612" s="1750">
        <f t="shared" si="135"/>
        <v>40777</v>
      </c>
      <c r="F612" s="1735">
        <v>3.81</v>
      </c>
      <c r="G612" s="1788"/>
      <c r="H612" s="1762">
        <f t="shared" si="127"/>
        <v>0.55400000000000005</v>
      </c>
      <c r="I612" s="1763">
        <f t="shared" si="136"/>
        <v>0.55400000000000005</v>
      </c>
      <c r="J612" s="1784">
        <v>0.28999999999999998</v>
      </c>
      <c r="K612" s="1763">
        <f t="shared" si="137"/>
        <v>0.29099999999999998</v>
      </c>
      <c r="L612" s="1764">
        <f t="shared" si="134"/>
        <v>0.55000000000000027</v>
      </c>
      <c r="M612" s="1765">
        <f t="shared" si="132"/>
        <v>0.55000000000000027</v>
      </c>
    </row>
    <row r="613" spans="1:13">
      <c r="A613" s="1749">
        <f t="shared" si="129"/>
        <v>40787</v>
      </c>
      <c r="B613" s="1749" t="str">
        <f t="shared" si="130"/>
        <v>3Q11</v>
      </c>
      <c r="C613" s="1749" t="str">
        <f t="shared" si="131"/>
        <v>3Q11</v>
      </c>
      <c r="D613" s="1750">
        <f t="shared" ref="D613:E628" si="138">D612+7</f>
        <v>40791</v>
      </c>
      <c r="E613" s="1750">
        <f t="shared" si="138"/>
        <v>40784</v>
      </c>
      <c r="F613" s="1735">
        <v>3.82</v>
      </c>
      <c r="G613" s="1788"/>
      <c r="H613" s="1762">
        <f t="shared" si="127"/>
        <v>0.55400000000000005</v>
      </c>
      <c r="I613" s="1763">
        <f t="shared" si="136"/>
        <v>0.55900000000000005</v>
      </c>
      <c r="J613" s="1784">
        <v>0.29099999999999998</v>
      </c>
      <c r="K613" s="1763">
        <f t="shared" si="137"/>
        <v>0.29499999999999998</v>
      </c>
      <c r="L613" s="1764">
        <f t="shared" si="134"/>
        <v>0.55000000000000027</v>
      </c>
      <c r="M613" s="1765">
        <f t="shared" si="132"/>
        <v>0.56000000000000028</v>
      </c>
    </row>
    <row r="614" spans="1:13">
      <c r="A614" s="1749">
        <f t="shared" si="129"/>
        <v>40787</v>
      </c>
      <c r="B614" s="1749" t="str">
        <f t="shared" si="130"/>
        <v>3Q11</v>
      </c>
      <c r="C614" s="1749" t="str">
        <f t="shared" si="131"/>
        <v>3Q11</v>
      </c>
      <c r="D614" s="1750">
        <f t="shared" si="138"/>
        <v>40798</v>
      </c>
      <c r="E614" s="1750">
        <f t="shared" si="138"/>
        <v>40791</v>
      </c>
      <c r="F614" s="1735">
        <v>3.8679999999999999</v>
      </c>
      <c r="G614" s="1788"/>
      <c r="H614" s="1762">
        <f t="shared" si="127"/>
        <v>0.55900000000000005</v>
      </c>
      <c r="I614" s="1763">
        <f t="shared" si="136"/>
        <v>0.55900000000000005</v>
      </c>
      <c r="J614" s="1784">
        <v>0.29499999999999998</v>
      </c>
      <c r="K614" s="1763">
        <f t="shared" si="137"/>
        <v>0.29499999999999998</v>
      </c>
      <c r="L614" s="1764">
        <f t="shared" si="134"/>
        <v>0.56000000000000028</v>
      </c>
      <c r="M614" s="1765">
        <f t="shared" si="132"/>
        <v>0.56000000000000028</v>
      </c>
    </row>
    <row r="615" spans="1:13">
      <c r="A615" s="1749">
        <f t="shared" si="129"/>
        <v>40787</v>
      </c>
      <c r="B615" s="1749" t="str">
        <f t="shared" si="130"/>
        <v>3Q11</v>
      </c>
      <c r="C615" s="1749" t="str">
        <f t="shared" si="131"/>
        <v>3Q11</v>
      </c>
      <c r="D615" s="1750">
        <f t="shared" si="138"/>
        <v>40805</v>
      </c>
      <c r="E615" s="1750">
        <f t="shared" si="138"/>
        <v>40798</v>
      </c>
      <c r="F615" s="1735">
        <v>3.8620000000000001</v>
      </c>
      <c r="G615" s="1788"/>
      <c r="H615" s="1762">
        <f t="shared" si="127"/>
        <v>0.55900000000000005</v>
      </c>
      <c r="I615" s="1763">
        <f t="shared" si="136"/>
        <v>0.55400000000000005</v>
      </c>
      <c r="J615" s="1784">
        <v>0.29499999999999998</v>
      </c>
      <c r="K615" s="1763">
        <f t="shared" si="137"/>
        <v>0.29199999999999998</v>
      </c>
      <c r="L615" s="1764">
        <f t="shared" si="134"/>
        <v>0.56000000000000028</v>
      </c>
      <c r="M615" s="1765">
        <f t="shared" si="132"/>
        <v>0.55000000000000027</v>
      </c>
    </row>
    <row r="616" spans="1:13">
      <c r="A616" s="1749">
        <f t="shared" si="129"/>
        <v>40787</v>
      </c>
      <c r="B616" s="1749" t="str">
        <f t="shared" si="130"/>
        <v>3Q11</v>
      </c>
      <c r="C616" s="1749" t="str">
        <f t="shared" si="131"/>
        <v>3Q11</v>
      </c>
      <c r="D616" s="1750">
        <f t="shared" si="138"/>
        <v>40812</v>
      </c>
      <c r="E616" s="1750">
        <f t="shared" si="138"/>
        <v>40805</v>
      </c>
      <c r="F616" s="1735">
        <v>3.8330000000000002</v>
      </c>
      <c r="G616" s="1788"/>
      <c r="H616" s="1762">
        <f t="shared" si="127"/>
        <v>0.55400000000000005</v>
      </c>
      <c r="I616" s="1763">
        <f t="shared" si="136"/>
        <v>0.54900000000000004</v>
      </c>
      <c r="J616" s="1784">
        <v>0.29199999999999998</v>
      </c>
      <c r="K616" s="1763">
        <f t="shared" si="137"/>
        <v>0.28699999999999998</v>
      </c>
      <c r="L616" s="1764">
        <f t="shared" si="134"/>
        <v>0.55000000000000027</v>
      </c>
      <c r="M616" s="1765">
        <f t="shared" si="132"/>
        <v>0.54000000000000026</v>
      </c>
    </row>
    <row r="617" spans="1:13">
      <c r="A617" s="1749">
        <f t="shared" si="129"/>
        <v>40817</v>
      </c>
      <c r="B617" s="1749" t="str">
        <f t="shared" si="130"/>
        <v>4Q11</v>
      </c>
      <c r="C617" s="1749" t="str">
        <f t="shared" si="131"/>
        <v>3Q11</v>
      </c>
      <c r="D617" s="1750">
        <f t="shared" si="138"/>
        <v>40819</v>
      </c>
      <c r="E617" s="1750">
        <f t="shared" si="138"/>
        <v>40812</v>
      </c>
      <c r="F617" s="1735">
        <v>3.786</v>
      </c>
      <c r="G617" s="1788"/>
      <c r="H617" s="1762">
        <f t="shared" si="127"/>
        <v>0.54900000000000004</v>
      </c>
      <c r="I617" s="1763">
        <f t="shared" si="136"/>
        <v>0.54400000000000004</v>
      </c>
      <c r="J617" s="1784">
        <v>0.28699999999999998</v>
      </c>
      <c r="K617" s="1763">
        <f t="shared" si="137"/>
        <v>0.28299999999999997</v>
      </c>
      <c r="L617" s="1764">
        <f t="shared" si="134"/>
        <v>0.54000000000000026</v>
      </c>
      <c r="M617" s="1765">
        <f t="shared" si="132"/>
        <v>0.53000000000000025</v>
      </c>
    </row>
    <row r="618" spans="1:13">
      <c r="A618" s="1749">
        <f t="shared" si="129"/>
        <v>40817</v>
      </c>
      <c r="B618" s="1749" t="str">
        <f t="shared" si="130"/>
        <v>4Q11</v>
      </c>
      <c r="C618" s="1749" t="str">
        <f t="shared" si="131"/>
        <v>4Q11</v>
      </c>
      <c r="D618" s="1750">
        <f t="shared" si="138"/>
        <v>40826</v>
      </c>
      <c r="E618" s="1750">
        <f t="shared" si="138"/>
        <v>40819</v>
      </c>
      <c r="F618" s="1735">
        <v>3.7490000000000001</v>
      </c>
      <c r="G618" s="1788"/>
      <c r="H618" s="1762">
        <f t="shared" si="127"/>
        <v>0.54400000000000004</v>
      </c>
      <c r="I618" s="1763">
        <f t="shared" si="136"/>
        <v>0.54400000000000004</v>
      </c>
      <c r="J618" s="1784">
        <v>0.28299999999999997</v>
      </c>
      <c r="K618" s="1763">
        <f t="shared" si="137"/>
        <v>0.28100000000000003</v>
      </c>
      <c r="L618" s="1764">
        <f t="shared" si="134"/>
        <v>0.53000000000000025</v>
      </c>
      <c r="M618" s="1765">
        <f t="shared" si="132"/>
        <v>0.53000000000000025</v>
      </c>
    </row>
    <row r="619" spans="1:13">
      <c r="A619" s="1749">
        <f t="shared" si="129"/>
        <v>40817</v>
      </c>
      <c r="B619" s="1749" t="str">
        <f t="shared" si="130"/>
        <v>4Q11</v>
      </c>
      <c r="C619" s="1749" t="str">
        <f t="shared" si="131"/>
        <v>4Q11</v>
      </c>
      <c r="D619" s="1750">
        <f t="shared" si="138"/>
        <v>40833</v>
      </c>
      <c r="E619" s="1750">
        <f t="shared" si="138"/>
        <v>40826</v>
      </c>
      <c r="F619" s="1735">
        <v>3.7210000000000001</v>
      </c>
      <c r="G619" s="1788"/>
      <c r="H619" s="1762">
        <f t="shared" si="127"/>
        <v>0.54400000000000004</v>
      </c>
      <c r="I619" s="1763">
        <f t="shared" si="136"/>
        <v>0.55400000000000005</v>
      </c>
      <c r="J619" s="1784">
        <v>0.28100000000000003</v>
      </c>
      <c r="K619" s="1763">
        <f t="shared" si="137"/>
        <v>0.28899999999999998</v>
      </c>
      <c r="L619" s="1764">
        <f t="shared" si="134"/>
        <v>0.53000000000000025</v>
      </c>
      <c r="M619" s="1765">
        <f t="shared" si="132"/>
        <v>0.55000000000000027</v>
      </c>
    </row>
    <row r="620" spans="1:13">
      <c r="A620" s="1749">
        <f t="shared" si="129"/>
        <v>40817</v>
      </c>
      <c r="B620" s="1749" t="str">
        <f t="shared" si="130"/>
        <v>4Q11</v>
      </c>
      <c r="C620" s="1749" t="str">
        <f t="shared" si="131"/>
        <v>4Q11</v>
      </c>
      <c r="D620" s="1750">
        <f t="shared" si="138"/>
        <v>40840</v>
      </c>
      <c r="E620" s="1750">
        <f t="shared" si="138"/>
        <v>40833</v>
      </c>
      <c r="F620" s="1735">
        <v>3.8010000000000002</v>
      </c>
      <c r="G620" s="1788"/>
      <c r="H620" s="1762">
        <f t="shared" si="127"/>
        <v>0.55400000000000005</v>
      </c>
      <c r="I620" s="1763">
        <f t="shared" si="136"/>
        <v>0.55400000000000005</v>
      </c>
      <c r="J620" s="1784">
        <v>0.28899999999999998</v>
      </c>
      <c r="K620" s="1763">
        <f t="shared" si="137"/>
        <v>0.29099999999999998</v>
      </c>
      <c r="L620" s="1764">
        <f t="shared" si="134"/>
        <v>0.55000000000000027</v>
      </c>
      <c r="M620" s="1765">
        <f t="shared" si="132"/>
        <v>0.55000000000000027</v>
      </c>
    </row>
    <row r="621" spans="1:13">
      <c r="A621" s="1749">
        <f t="shared" si="129"/>
        <v>40817</v>
      </c>
      <c r="B621" s="1749" t="str">
        <f t="shared" si="130"/>
        <v>4Q11</v>
      </c>
      <c r="C621" s="1749" t="str">
        <f t="shared" si="131"/>
        <v>4Q11</v>
      </c>
      <c r="D621" s="1750">
        <f t="shared" si="138"/>
        <v>40847</v>
      </c>
      <c r="E621" s="1750">
        <f t="shared" si="138"/>
        <v>40840</v>
      </c>
      <c r="F621" s="1735">
        <v>3.8250000000000002</v>
      </c>
      <c r="G621" s="1788"/>
      <c r="H621" s="1762">
        <f t="shared" si="127"/>
        <v>0.55400000000000005</v>
      </c>
      <c r="I621" s="1763">
        <f t="shared" si="136"/>
        <v>0.55900000000000005</v>
      </c>
      <c r="J621" s="1784">
        <v>0.29099999999999998</v>
      </c>
      <c r="K621" s="1763">
        <f t="shared" si="137"/>
        <v>0.29799999999999999</v>
      </c>
      <c r="L621" s="1764">
        <f t="shared" si="134"/>
        <v>0.55000000000000027</v>
      </c>
      <c r="M621" s="1765">
        <f t="shared" si="132"/>
        <v>0.56000000000000028</v>
      </c>
    </row>
    <row r="622" spans="1:13">
      <c r="A622" s="1749">
        <f t="shared" si="129"/>
        <v>40848</v>
      </c>
      <c r="B622" s="1749" t="str">
        <f t="shared" si="130"/>
        <v>4Q11</v>
      </c>
      <c r="C622" s="1749" t="str">
        <f t="shared" si="131"/>
        <v>4Q11</v>
      </c>
      <c r="D622" s="1750">
        <f t="shared" si="138"/>
        <v>40854</v>
      </c>
      <c r="E622" s="1750">
        <f t="shared" si="138"/>
        <v>40847</v>
      </c>
      <c r="F622" s="1735">
        <v>3.8919999999999999</v>
      </c>
      <c r="G622" s="1788"/>
      <c r="H622" s="1762">
        <f t="shared" si="127"/>
        <v>0.55900000000000005</v>
      </c>
      <c r="I622" s="1763">
        <f t="shared" si="136"/>
        <v>0.55900000000000005</v>
      </c>
      <c r="J622" s="1784">
        <v>0.29799999999999999</v>
      </c>
      <c r="K622" s="1763">
        <f t="shared" si="137"/>
        <v>0.29699999999999999</v>
      </c>
      <c r="L622" s="1764">
        <f t="shared" si="134"/>
        <v>0.56000000000000028</v>
      </c>
      <c r="M622" s="1765">
        <f t="shared" si="132"/>
        <v>0.56000000000000028</v>
      </c>
    </row>
    <row r="623" spans="1:13">
      <c r="A623" s="1749">
        <f t="shared" si="129"/>
        <v>40848</v>
      </c>
      <c r="B623" s="1749" t="str">
        <f t="shared" si="130"/>
        <v>4Q11</v>
      </c>
      <c r="C623" s="1749" t="str">
        <f t="shared" si="131"/>
        <v>4Q11</v>
      </c>
      <c r="D623" s="1750">
        <f t="shared" si="138"/>
        <v>40861</v>
      </c>
      <c r="E623" s="1750">
        <f t="shared" si="138"/>
        <v>40854</v>
      </c>
      <c r="F623" s="1735">
        <v>3.887</v>
      </c>
      <c r="G623" s="1788"/>
      <c r="H623" s="1762">
        <f t="shared" si="127"/>
        <v>0.55900000000000005</v>
      </c>
      <c r="I623" s="1763">
        <f t="shared" si="136"/>
        <v>0.56899999999999995</v>
      </c>
      <c r="J623" s="1784">
        <v>0.29699999999999999</v>
      </c>
      <c r="K623" s="1763">
        <f t="shared" si="137"/>
        <v>0.307</v>
      </c>
      <c r="L623" s="1764">
        <f t="shared" si="134"/>
        <v>0.56000000000000028</v>
      </c>
      <c r="M623" s="1765">
        <f t="shared" si="132"/>
        <v>0.58000000000000029</v>
      </c>
    </row>
    <row r="624" spans="1:13">
      <c r="A624" s="1749">
        <f t="shared" si="129"/>
        <v>40848</v>
      </c>
      <c r="B624" s="1749" t="str">
        <f t="shared" si="130"/>
        <v>4Q11</v>
      </c>
      <c r="C624" s="1749" t="str">
        <f t="shared" si="131"/>
        <v>4Q11</v>
      </c>
      <c r="D624" s="1750">
        <f t="shared" si="138"/>
        <v>40868</v>
      </c>
      <c r="E624" s="1750">
        <f t="shared" si="138"/>
        <v>40861</v>
      </c>
      <c r="F624" s="1735">
        <v>3.9870000000000001</v>
      </c>
      <c r="G624" s="1788"/>
      <c r="H624" s="1762">
        <f t="shared" si="127"/>
        <v>0.56899999999999995</v>
      </c>
      <c r="I624" s="1763">
        <f t="shared" si="136"/>
        <v>0.57399999999999995</v>
      </c>
      <c r="J624" s="1784">
        <v>0.307</v>
      </c>
      <c r="K624" s="1763">
        <f t="shared" si="137"/>
        <v>0.31</v>
      </c>
      <c r="L624" s="1764">
        <f t="shared" si="134"/>
        <v>0.58000000000000029</v>
      </c>
      <c r="M624" s="1765">
        <f t="shared" si="132"/>
        <v>0.5900000000000003</v>
      </c>
    </row>
    <row r="625" spans="1:13">
      <c r="A625" s="1749">
        <f t="shared" si="129"/>
        <v>40848</v>
      </c>
      <c r="B625" s="1749" t="str">
        <f t="shared" si="130"/>
        <v>4Q11</v>
      </c>
      <c r="C625" s="1749" t="str">
        <f t="shared" si="131"/>
        <v>4Q11</v>
      </c>
      <c r="D625" s="1750">
        <f t="shared" si="138"/>
        <v>40875</v>
      </c>
      <c r="E625" s="1750">
        <f t="shared" si="138"/>
        <v>40868</v>
      </c>
      <c r="F625" s="1735">
        <v>4.01</v>
      </c>
      <c r="G625" s="1788"/>
      <c r="H625" s="1762">
        <f t="shared" ref="H625:H688" si="139">INDEX($O$4:$R$440,MATCH(F625,$O$4:$O$440,1),3)</f>
        <v>0.57399999999999995</v>
      </c>
      <c r="I625" s="1763">
        <f t="shared" si="136"/>
        <v>0.56899999999999995</v>
      </c>
      <c r="J625" s="1784">
        <v>0.31</v>
      </c>
      <c r="K625" s="1763">
        <f t="shared" si="137"/>
        <v>0.30499999999999999</v>
      </c>
      <c r="L625" s="1764">
        <f t="shared" si="134"/>
        <v>0.5900000000000003</v>
      </c>
      <c r="M625" s="1765">
        <f t="shared" si="132"/>
        <v>0.58000000000000029</v>
      </c>
    </row>
    <row r="626" spans="1:13">
      <c r="A626" s="1749">
        <f t="shared" si="129"/>
        <v>40878</v>
      </c>
      <c r="B626" s="1749" t="str">
        <f t="shared" si="130"/>
        <v>4Q11</v>
      </c>
      <c r="C626" s="1749" t="str">
        <f t="shared" si="131"/>
        <v>4Q11</v>
      </c>
      <c r="D626" s="1750">
        <f t="shared" si="138"/>
        <v>40882</v>
      </c>
      <c r="E626" s="1750">
        <f t="shared" si="138"/>
        <v>40875</v>
      </c>
      <c r="F626" s="1735">
        <v>3.964</v>
      </c>
      <c r="G626" s="1788"/>
      <c r="H626" s="1762">
        <f t="shared" si="139"/>
        <v>0.56899999999999995</v>
      </c>
      <c r="I626" s="1763">
        <f t="shared" si="136"/>
        <v>0.56399999999999995</v>
      </c>
      <c r="J626" s="1784">
        <v>0.30499999999999999</v>
      </c>
      <c r="K626" s="1763">
        <f t="shared" si="137"/>
        <v>0.30199999999999999</v>
      </c>
      <c r="L626" s="1764">
        <f t="shared" si="134"/>
        <v>0.58000000000000029</v>
      </c>
      <c r="M626" s="1765">
        <f t="shared" si="132"/>
        <v>0.57000000000000028</v>
      </c>
    </row>
    <row r="627" spans="1:13">
      <c r="A627" s="1749">
        <f t="shared" si="129"/>
        <v>40878</v>
      </c>
      <c r="B627" s="1749" t="str">
        <f t="shared" si="130"/>
        <v>4Q11</v>
      </c>
      <c r="C627" s="1749" t="str">
        <f t="shared" si="131"/>
        <v>4Q11</v>
      </c>
      <c r="D627" s="1750">
        <f t="shared" si="138"/>
        <v>40889</v>
      </c>
      <c r="E627" s="1750">
        <f t="shared" si="138"/>
        <v>40882</v>
      </c>
      <c r="F627" s="1735">
        <v>3.931</v>
      </c>
      <c r="G627" s="1788"/>
      <c r="H627" s="1762">
        <f t="shared" si="139"/>
        <v>0.56399999999999995</v>
      </c>
      <c r="I627" s="1763">
        <f t="shared" si="136"/>
        <v>0.55900000000000005</v>
      </c>
      <c r="J627" s="1784">
        <v>0.30199999999999999</v>
      </c>
      <c r="K627" s="1763">
        <f t="shared" si="137"/>
        <v>0.29799999999999999</v>
      </c>
      <c r="L627" s="1764">
        <f t="shared" si="134"/>
        <v>0.57000000000000028</v>
      </c>
      <c r="M627" s="1765">
        <f t="shared" si="132"/>
        <v>0.56000000000000028</v>
      </c>
    </row>
    <row r="628" spans="1:13">
      <c r="A628" s="1749">
        <f t="shared" si="129"/>
        <v>40878</v>
      </c>
      <c r="B628" s="1749" t="str">
        <f t="shared" si="130"/>
        <v>4Q11</v>
      </c>
      <c r="C628" s="1749" t="str">
        <f t="shared" si="131"/>
        <v>4Q11</v>
      </c>
      <c r="D628" s="1750">
        <f t="shared" si="138"/>
        <v>40896</v>
      </c>
      <c r="E628" s="1750">
        <f t="shared" si="138"/>
        <v>40889</v>
      </c>
      <c r="F628" s="1735">
        <v>3.8940000000000001</v>
      </c>
      <c r="G628" s="1788"/>
      <c r="H628" s="1762">
        <f t="shared" si="139"/>
        <v>0.55900000000000005</v>
      </c>
      <c r="I628" s="1763">
        <f t="shared" si="136"/>
        <v>0.55400000000000005</v>
      </c>
      <c r="J628" s="1784">
        <v>0.29799999999999999</v>
      </c>
      <c r="K628" s="1763">
        <f t="shared" si="137"/>
        <v>0.29099999999999998</v>
      </c>
      <c r="L628" s="1764">
        <f t="shared" si="134"/>
        <v>0.56000000000000028</v>
      </c>
      <c r="M628" s="1765">
        <f t="shared" si="132"/>
        <v>0.55000000000000027</v>
      </c>
    </row>
    <row r="629" spans="1:13">
      <c r="A629" s="1749">
        <f t="shared" si="129"/>
        <v>40878</v>
      </c>
      <c r="B629" s="1749" t="str">
        <f t="shared" si="130"/>
        <v>4Q11</v>
      </c>
      <c r="C629" s="1749" t="str">
        <f t="shared" si="131"/>
        <v>4Q11</v>
      </c>
      <c r="D629" s="1750">
        <f t="shared" ref="D629:E644" si="140">D628+7</f>
        <v>40903</v>
      </c>
      <c r="E629" s="1750">
        <f t="shared" si="140"/>
        <v>40896</v>
      </c>
      <c r="F629" s="1735">
        <v>3.8279999999999998</v>
      </c>
      <c r="G629" s="1788"/>
      <c r="H629" s="1762">
        <f t="shared" si="139"/>
        <v>0.55400000000000005</v>
      </c>
      <c r="I629" s="1763">
        <f t="shared" si="136"/>
        <v>0.54900000000000004</v>
      </c>
      <c r="J629" s="1784">
        <v>0.29099999999999998</v>
      </c>
      <c r="K629" s="1763">
        <f t="shared" si="137"/>
        <v>0.28799999999999998</v>
      </c>
      <c r="L629" s="1764">
        <f t="shared" si="134"/>
        <v>0.55000000000000027</v>
      </c>
      <c r="M629" s="1765">
        <f t="shared" si="132"/>
        <v>0.54000000000000026</v>
      </c>
    </row>
    <row r="630" spans="1:13">
      <c r="A630" s="1749">
        <f t="shared" si="129"/>
        <v>40909</v>
      </c>
      <c r="B630" s="1749" t="str">
        <f t="shared" si="130"/>
        <v>1Q12</v>
      </c>
      <c r="C630" s="1749" t="str">
        <f t="shared" si="131"/>
        <v>4Q11</v>
      </c>
      <c r="D630" s="1750">
        <f t="shared" si="140"/>
        <v>40910</v>
      </c>
      <c r="E630" s="1750">
        <f t="shared" si="140"/>
        <v>40903</v>
      </c>
      <c r="F630" s="1735">
        <v>3.7909999999999999</v>
      </c>
      <c r="G630" s="1788"/>
      <c r="H630" s="1762">
        <f t="shared" si="139"/>
        <v>0.54900000000000004</v>
      </c>
      <c r="I630" s="1763">
        <f t="shared" si="136"/>
        <v>0.54900000000000004</v>
      </c>
      <c r="J630" s="1784">
        <v>0.28799999999999998</v>
      </c>
      <c r="K630" s="1763">
        <f t="shared" si="137"/>
        <v>0.28699999999999998</v>
      </c>
      <c r="L630" s="1764">
        <f t="shared" si="134"/>
        <v>0.54000000000000026</v>
      </c>
      <c r="M630" s="1765">
        <f t="shared" si="132"/>
        <v>0.54000000000000026</v>
      </c>
    </row>
    <row r="631" spans="1:13">
      <c r="A631" s="1749">
        <f t="shared" si="129"/>
        <v>40909</v>
      </c>
      <c r="B631" s="1749" t="str">
        <f t="shared" si="130"/>
        <v>1Q12</v>
      </c>
      <c r="C631" s="1749" t="str">
        <f t="shared" si="131"/>
        <v>1Q12</v>
      </c>
      <c r="D631" s="1750">
        <f t="shared" si="140"/>
        <v>40917</v>
      </c>
      <c r="E631" s="1750">
        <f t="shared" si="140"/>
        <v>40910</v>
      </c>
      <c r="F631" s="1735">
        <v>3.7829999999999999</v>
      </c>
      <c r="G631" s="1788"/>
      <c r="H631" s="1762">
        <f t="shared" si="139"/>
        <v>0.54900000000000004</v>
      </c>
      <c r="I631" s="1763">
        <f t="shared" si="136"/>
        <v>0.55400000000000005</v>
      </c>
      <c r="J631" s="1784">
        <v>0.28699999999999998</v>
      </c>
      <c r="K631" s="1763">
        <f t="shared" si="137"/>
        <v>0.29099999999999998</v>
      </c>
      <c r="L631" s="1764">
        <f t="shared" si="134"/>
        <v>0.54000000000000026</v>
      </c>
      <c r="M631" s="1765">
        <f t="shared" si="132"/>
        <v>0.55000000000000027</v>
      </c>
    </row>
    <row r="632" spans="1:13">
      <c r="A632" s="1749">
        <f t="shared" si="129"/>
        <v>40909</v>
      </c>
      <c r="B632" s="1749" t="str">
        <f t="shared" si="130"/>
        <v>1Q12</v>
      </c>
      <c r="C632" s="1749" t="str">
        <f t="shared" si="131"/>
        <v>1Q12</v>
      </c>
      <c r="D632" s="1750">
        <f t="shared" si="140"/>
        <v>40924</v>
      </c>
      <c r="E632" s="1750">
        <f t="shared" si="140"/>
        <v>40917</v>
      </c>
      <c r="F632" s="1735">
        <v>3.8279999999999998</v>
      </c>
      <c r="G632" s="1788"/>
      <c r="H632" s="1762">
        <f t="shared" si="139"/>
        <v>0.55400000000000005</v>
      </c>
      <c r="I632" s="1763">
        <f t="shared" si="136"/>
        <v>0.55900000000000005</v>
      </c>
      <c r="J632" s="1784">
        <v>0.29099999999999998</v>
      </c>
      <c r="K632" s="1763">
        <f t="shared" si="137"/>
        <v>0.29399999999999998</v>
      </c>
      <c r="L632" s="1764">
        <f t="shared" si="134"/>
        <v>0.55000000000000027</v>
      </c>
      <c r="M632" s="1765">
        <f t="shared" si="132"/>
        <v>0.56000000000000028</v>
      </c>
    </row>
    <row r="633" spans="1:13">
      <c r="A633" s="1749">
        <f t="shared" si="129"/>
        <v>40909</v>
      </c>
      <c r="B633" s="1749" t="str">
        <f t="shared" si="130"/>
        <v>1Q12</v>
      </c>
      <c r="C633" s="1749" t="str">
        <f t="shared" si="131"/>
        <v>1Q12</v>
      </c>
      <c r="D633" s="1750">
        <f t="shared" si="140"/>
        <v>40931</v>
      </c>
      <c r="E633" s="1750">
        <f t="shared" si="140"/>
        <v>40924</v>
      </c>
      <c r="F633" s="1735">
        <v>3.8540000000000001</v>
      </c>
      <c r="G633" s="1788"/>
      <c r="H633" s="1762">
        <f t="shared" si="139"/>
        <v>0.55900000000000005</v>
      </c>
      <c r="I633" s="1763">
        <f t="shared" si="136"/>
        <v>0.55400000000000005</v>
      </c>
      <c r="J633" s="1784">
        <v>0.29399999999999998</v>
      </c>
      <c r="K633" s="1763">
        <f t="shared" si="137"/>
        <v>0.29299999999999998</v>
      </c>
      <c r="L633" s="1764">
        <f t="shared" si="134"/>
        <v>0.56000000000000028</v>
      </c>
      <c r="M633" s="1765">
        <f t="shared" si="132"/>
        <v>0.55000000000000027</v>
      </c>
    </row>
    <row r="634" spans="1:13">
      <c r="A634" s="1749">
        <f t="shared" si="129"/>
        <v>40909</v>
      </c>
      <c r="B634" s="1749" t="str">
        <f t="shared" si="130"/>
        <v>1Q12</v>
      </c>
      <c r="C634" s="1749" t="str">
        <f t="shared" si="131"/>
        <v>1Q12</v>
      </c>
      <c r="D634" s="1750">
        <f t="shared" si="140"/>
        <v>40938</v>
      </c>
      <c r="E634" s="1750">
        <f t="shared" si="140"/>
        <v>40931</v>
      </c>
      <c r="F634" s="1735">
        <v>3.8479999999999999</v>
      </c>
      <c r="G634" s="1788"/>
      <c r="H634" s="1762">
        <f t="shared" si="139"/>
        <v>0.55400000000000005</v>
      </c>
      <c r="I634" s="1763">
        <f t="shared" si="136"/>
        <v>0.55900000000000005</v>
      </c>
      <c r="J634" s="1784">
        <v>0.29299999999999998</v>
      </c>
      <c r="K634" s="1763">
        <f t="shared" si="137"/>
        <v>0.29399999999999998</v>
      </c>
      <c r="L634" s="1764">
        <f t="shared" si="134"/>
        <v>0.55000000000000027</v>
      </c>
      <c r="M634" s="1765">
        <f t="shared" si="132"/>
        <v>0.56000000000000028</v>
      </c>
    </row>
    <row r="635" spans="1:13">
      <c r="A635" s="1749">
        <f t="shared" si="129"/>
        <v>40940</v>
      </c>
      <c r="B635" s="1749" t="str">
        <f t="shared" si="130"/>
        <v>1Q12</v>
      </c>
      <c r="C635" s="1749" t="str">
        <f t="shared" si="131"/>
        <v>1Q12</v>
      </c>
      <c r="D635" s="1750">
        <f t="shared" si="140"/>
        <v>40945</v>
      </c>
      <c r="E635" s="1750">
        <f t="shared" si="140"/>
        <v>40938</v>
      </c>
      <c r="F635" s="1735">
        <v>3.85</v>
      </c>
      <c r="G635" s="1788"/>
      <c r="H635" s="1762">
        <f t="shared" si="139"/>
        <v>0.55900000000000005</v>
      </c>
      <c r="I635" s="1763">
        <f t="shared" si="136"/>
        <v>0.55900000000000005</v>
      </c>
      <c r="J635" s="1784">
        <v>0.29399999999999998</v>
      </c>
      <c r="K635" s="1763">
        <f t="shared" si="137"/>
        <v>0.29399999999999998</v>
      </c>
      <c r="L635" s="1764">
        <f t="shared" si="134"/>
        <v>0.56000000000000028</v>
      </c>
      <c r="M635" s="1765">
        <f t="shared" si="132"/>
        <v>0.56000000000000028</v>
      </c>
    </row>
    <row r="636" spans="1:13">
      <c r="A636" s="1749">
        <f t="shared" si="129"/>
        <v>40940</v>
      </c>
      <c r="B636" s="1749" t="str">
        <f t="shared" si="130"/>
        <v>1Q12</v>
      </c>
      <c r="C636" s="1749" t="str">
        <f t="shared" si="131"/>
        <v>1Q12</v>
      </c>
      <c r="D636" s="1750">
        <f t="shared" si="140"/>
        <v>40952</v>
      </c>
      <c r="E636" s="1750">
        <f t="shared" si="140"/>
        <v>40945</v>
      </c>
      <c r="F636" s="1735">
        <v>3.8559999999999999</v>
      </c>
      <c r="G636" s="1788"/>
      <c r="H636" s="1762">
        <f t="shared" si="139"/>
        <v>0.55900000000000005</v>
      </c>
      <c r="I636" s="1763">
        <f t="shared" si="136"/>
        <v>0.56399999999999995</v>
      </c>
      <c r="J636" s="1784">
        <v>0.29399999999999998</v>
      </c>
      <c r="K636" s="1763">
        <f t="shared" si="137"/>
        <v>0.30299999999999999</v>
      </c>
      <c r="L636" s="1764">
        <f t="shared" si="134"/>
        <v>0.56000000000000028</v>
      </c>
      <c r="M636" s="1765">
        <f t="shared" si="132"/>
        <v>0.57000000000000028</v>
      </c>
    </row>
    <row r="637" spans="1:13">
      <c r="A637" s="1749">
        <f t="shared" si="129"/>
        <v>40940</v>
      </c>
      <c r="B637" s="1749" t="str">
        <f t="shared" si="130"/>
        <v>1Q12</v>
      </c>
      <c r="C637" s="1749" t="str">
        <f t="shared" si="131"/>
        <v>1Q12</v>
      </c>
      <c r="D637" s="1750">
        <f t="shared" si="140"/>
        <v>40959</v>
      </c>
      <c r="E637" s="1750">
        <f t="shared" si="140"/>
        <v>40952</v>
      </c>
      <c r="F637" s="1735">
        <v>3.9430000000000001</v>
      </c>
      <c r="G637" s="1788"/>
      <c r="H637" s="1762">
        <f t="shared" si="139"/>
        <v>0.56399999999999995</v>
      </c>
      <c r="I637" s="1763">
        <f t="shared" si="136"/>
        <v>0.56899999999999995</v>
      </c>
      <c r="J637" s="1784">
        <v>0.30299999999999999</v>
      </c>
      <c r="K637" s="1763">
        <f t="shared" si="137"/>
        <v>0.30499999999999999</v>
      </c>
      <c r="L637" s="1764">
        <f t="shared" si="134"/>
        <v>0.57000000000000028</v>
      </c>
      <c r="M637" s="1765">
        <f t="shared" si="132"/>
        <v>0.58000000000000029</v>
      </c>
    </row>
    <row r="638" spans="1:13">
      <c r="A638" s="1749">
        <f t="shared" si="129"/>
        <v>40940</v>
      </c>
      <c r="B638" s="1749" t="str">
        <f t="shared" si="130"/>
        <v>1Q12</v>
      </c>
      <c r="C638" s="1749" t="str">
        <f t="shared" si="131"/>
        <v>1Q12</v>
      </c>
      <c r="D638" s="1750">
        <f t="shared" si="140"/>
        <v>40966</v>
      </c>
      <c r="E638" s="1750">
        <f t="shared" si="140"/>
        <v>40959</v>
      </c>
      <c r="F638" s="1735">
        <v>3.96</v>
      </c>
      <c r="G638" s="1788"/>
      <c r="H638" s="1762">
        <f t="shared" si="139"/>
        <v>0.56899999999999995</v>
      </c>
      <c r="I638" s="1763">
        <f t="shared" si="136"/>
        <v>0.57899999999999996</v>
      </c>
      <c r="J638" s="1784">
        <v>0.30499999999999999</v>
      </c>
      <c r="K638" s="1763">
        <f t="shared" si="137"/>
        <v>0.314</v>
      </c>
      <c r="L638" s="1764">
        <f t="shared" si="134"/>
        <v>0.58000000000000029</v>
      </c>
      <c r="M638" s="1765">
        <f t="shared" si="132"/>
        <v>0.60000000000000031</v>
      </c>
    </row>
    <row r="639" spans="1:13">
      <c r="A639" s="1749">
        <f t="shared" si="129"/>
        <v>40969</v>
      </c>
      <c r="B639" s="1749" t="str">
        <f t="shared" si="130"/>
        <v>1Q12</v>
      </c>
      <c r="C639" s="1749" t="str">
        <f t="shared" si="131"/>
        <v>1Q12</v>
      </c>
      <c r="D639" s="1750">
        <f t="shared" si="140"/>
        <v>40973</v>
      </c>
      <c r="E639" s="1750">
        <f t="shared" si="140"/>
        <v>40966</v>
      </c>
      <c r="F639" s="1735">
        <v>4.0510000000000002</v>
      </c>
      <c r="G639" s="1788"/>
      <c r="H639" s="1762">
        <f t="shared" si="139"/>
        <v>0.57899999999999996</v>
      </c>
      <c r="I639" s="1763">
        <f t="shared" si="136"/>
        <v>0.57899999999999996</v>
      </c>
      <c r="J639" s="1784">
        <v>0.314</v>
      </c>
      <c r="K639" s="1763">
        <f t="shared" si="137"/>
        <v>0.318</v>
      </c>
      <c r="L639" s="1764">
        <f t="shared" si="134"/>
        <v>0.60000000000000031</v>
      </c>
      <c r="M639" s="1765">
        <f t="shared" si="132"/>
        <v>0.60000000000000031</v>
      </c>
    </row>
    <row r="640" spans="1:13">
      <c r="A640" s="1749">
        <f t="shared" si="129"/>
        <v>40969</v>
      </c>
      <c r="B640" s="1749" t="str">
        <f t="shared" si="130"/>
        <v>1Q12</v>
      </c>
      <c r="C640" s="1749" t="str">
        <f t="shared" si="131"/>
        <v>1Q12</v>
      </c>
      <c r="D640" s="1750">
        <f t="shared" si="140"/>
        <v>40980</v>
      </c>
      <c r="E640" s="1750">
        <f t="shared" si="140"/>
        <v>40973</v>
      </c>
      <c r="F640" s="1735">
        <v>4.0940000000000003</v>
      </c>
      <c r="G640" s="1788"/>
      <c r="H640" s="1762">
        <f t="shared" si="139"/>
        <v>0.57899999999999996</v>
      </c>
      <c r="I640" s="1763">
        <f t="shared" si="136"/>
        <v>0.58399999999999996</v>
      </c>
      <c r="J640" s="1784">
        <v>0.318</v>
      </c>
      <c r="K640" s="1763">
        <f t="shared" si="137"/>
        <v>0.32100000000000001</v>
      </c>
      <c r="L640" s="1764">
        <f t="shared" si="134"/>
        <v>0.60000000000000031</v>
      </c>
      <c r="M640" s="1765">
        <f t="shared" si="132"/>
        <v>0.61000000000000032</v>
      </c>
    </row>
    <row r="641" spans="1:13">
      <c r="A641" s="1749">
        <f t="shared" si="129"/>
        <v>40969</v>
      </c>
      <c r="B641" s="1749" t="str">
        <f t="shared" si="130"/>
        <v>1Q12</v>
      </c>
      <c r="C641" s="1749" t="str">
        <f t="shared" si="131"/>
        <v>1Q12</v>
      </c>
      <c r="D641" s="1750">
        <f t="shared" si="140"/>
        <v>40987</v>
      </c>
      <c r="E641" s="1750">
        <f t="shared" si="140"/>
        <v>40980</v>
      </c>
      <c r="F641" s="1735">
        <v>4.1230000000000002</v>
      </c>
      <c r="G641" s="1788"/>
      <c r="H641" s="1762">
        <f t="shared" si="139"/>
        <v>0.58399999999999996</v>
      </c>
      <c r="I641" s="1763">
        <f t="shared" si="136"/>
        <v>0.58399999999999996</v>
      </c>
      <c r="J641" s="1784">
        <v>0.32100000000000001</v>
      </c>
      <c r="K641" s="1763">
        <f t="shared" si="137"/>
        <v>0.32300000000000001</v>
      </c>
      <c r="L641" s="1764">
        <f t="shared" si="134"/>
        <v>0.61000000000000032</v>
      </c>
      <c r="M641" s="1765">
        <f t="shared" si="132"/>
        <v>0.61000000000000032</v>
      </c>
    </row>
    <row r="642" spans="1:13">
      <c r="A642" s="1749">
        <f t="shared" si="129"/>
        <v>40969</v>
      </c>
      <c r="B642" s="1749" t="str">
        <f t="shared" si="130"/>
        <v>1Q12</v>
      </c>
      <c r="C642" s="1749" t="str">
        <f t="shared" si="131"/>
        <v>1Q12</v>
      </c>
      <c r="D642" s="1750">
        <f t="shared" si="140"/>
        <v>40994</v>
      </c>
      <c r="E642" s="1750">
        <f t="shared" si="140"/>
        <v>40987</v>
      </c>
      <c r="F642" s="1735">
        <v>4.1420000000000003</v>
      </c>
      <c r="G642" s="1788"/>
      <c r="H642" s="1762">
        <f t="shared" si="139"/>
        <v>0.58399999999999996</v>
      </c>
      <c r="I642" s="1763">
        <f t="shared" si="136"/>
        <v>0.58399999999999996</v>
      </c>
      <c r="J642" s="1784">
        <v>0.32300000000000001</v>
      </c>
      <c r="K642" s="1763">
        <f t="shared" si="137"/>
        <v>0.32300000000000001</v>
      </c>
      <c r="L642" s="1764">
        <f t="shared" si="134"/>
        <v>0.61000000000000032</v>
      </c>
      <c r="M642" s="1765">
        <f t="shared" si="132"/>
        <v>0.61000000000000032</v>
      </c>
    </row>
    <row r="643" spans="1:13">
      <c r="A643" s="1749">
        <f t="shared" si="129"/>
        <v>41000</v>
      </c>
      <c r="B643" s="1749" t="str">
        <f t="shared" si="130"/>
        <v>2Q12</v>
      </c>
      <c r="C643" s="1749" t="str">
        <f t="shared" si="131"/>
        <v>1Q12</v>
      </c>
      <c r="D643" s="1750">
        <f t="shared" si="140"/>
        <v>41001</v>
      </c>
      <c r="E643" s="1750">
        <f t="shared" si="140"/>
        <v>40994</v>
      </c>
      <c r="F643" s="1735">
        <v>4.1470000000000002</v>
      </c>
      <c r="G643" s="1788"/>
      <c r="H643" s="1762">
        <f t="shared" si="139"/>
        <v>0.58399999999999996</v>
      </c>
      <c r="I643" s="1763">
        <f t="shared" si="136"/>
        <v>0.58399999999999996</v>
      </c>
      <c r="J643" s="1784">
        <v>0.32300000000000001</v>
      </c>
      <c r="K643" s="1763">
        <f t="shared" si="137"/>
        <v>0.32300000000000001</v>
      </c>
      <c r="L643" s="1764">
        <f t="shared" si="134"/>
        <v>0.61000000000000032</v>
      </c>
      <c r="M643" s="1765">
        <f t="shared" si="132"/>
        <v>0.61000000000000032</v>
      </c>
    </row>
    <row r="644" spans="1:13">
      <c r="A644" s="1749">
        <f t="shared" ref="A644:A707" si="141">DATE(YEAR(D644),MONTH(D644),1)</f>
        <v>41000</v>
      </c>
      <c r="B644" s="1749" t="str">
        <f t="shared" ref="B644:B707" si="142">VLOOKUP(MONTH(A644),$AB$4:$AC$17,2,FALSE) &amp; "Q" &amp; RIGHT(YEAR(A644),2)</f>
        <v>2Q12</v>
      </c>
      <c r="C644" s="1749" t="str">
        <f t="shared" ref="C644:C707" si="143">VLOOKUP(MONTH(E644),$AB$4:$AC$17,2,FALSE) &amp; "Q" &amp; RIGHT(YEAR(E644),2)</f>
        <v>2Q12</v>
      </c>
      <c r="D644" s="1750">
        <f t="shared" si="140"/>
        <v>41008</v>
      </c>
      <c r="E644" s="1750">
        <f t="shared" si="140"/>
        <v>41001</v>
      </c>
      <c r="F644" s="1735">
        <v>4.1420000000000003</v>
      </c>
      <c r="G644" s="1788"/>
      <c r="H644" s="1762">
        <f t="shared" si="139"/>
        <v>0.58399999999999996</v>
      </c>
      <c r="I644" s="1763">
        <f t="shared" si="136"/>
        <v>0.58399999999999996</v>
      </c>
      <c r="J644" s="1784">
        <v>0.32300000000000001</v>
      </c>
      <c r="K644" s="1763">
        <f t="shared" si="137"/>
        <v>0.32300000000000001</v>
      </c>
      <c r="L644" s="1764">
        <f t="shared" si="134"/>
        <v>0.61000000000000032</v>
      </c>
      <c r="M644" s="1765">
        <f t="shared" ref="M644:M707" si="144">L645</f>
        <v>0.61000000000000032</v>
      </c>
    </row>
    <row r="645" spans="1:13">
      <c r="A645" s="1749">
        <f t="shared" si="141"/>
        <v>41000</v>
      </c>
      <c r="B645" s="1749" t="str">
        <f t="shared" si="142"/>
        <v>2Q12</v>
      </c>
      <c r="C645" s="1749" t="str">
        <f t="shared" si="143"/>
        <v>2Q12</v>
      </c>
      <c r="D645" s="1750">
        <f t="shared" ref="D645:E660" si="145">D644+7</f>
        <v>41015</v>
      </c>
      <c r="E645" s="1750">
        <f t="shared" si="145"/>
        <v>41008</v>
      </c>
      <c r="F645" s="1735">
        <v>4.1479999999999997</v>
      </c>
      <c r="G645" s="1788"/>
      <c r="H645" s="1762">
        <f t="shared" si="139"/>
        <v>0.58399999999999996</v>
      </c>
      <c r="I645" s="1763">
        <f t="shared" si="136"/>
        <v>0.58399999999999996</v>
      </c>
      <c r="J645" s="1784">
        <v>0.32300000000000001</v>
      </c>
      <c r="K645" s="1763">
        <f t="shared" si="137"/>
        <v>0.32100000000000001</v>
      </c>
      <c r="L645" s="1764">
        <f t="shared" ref="L645:L708" si="146">INDEX($T$4:$V$100,MATCH(F645,$T$4:$T$100,1),3)</f>
        <v>0.61000000000000032</v>
      </c>
      <c r="M645" s="1765">
        <f t="shared" si="144"/>
        <v>0.61000000000000032</v>
      </c>
    </row>
    <row r="646" spans="1:13">
      <c r="A646" s="1749">
        <f t="shared" si="141"/>
        <v>41000</v>
      </c>
      <c r="B646" s="1749" t="str">
        <f t="shared" si="142"/>
        <v>2Q12</v>
      </c>
      <c r="C646" s="1749" t="str">
        <f t="shared" si="143"/>
        <v>2Q12</v>
      </c>
      <c r="D646" s="1750">
        <f t="shared" si="145"/>
        <v>41022</v>
      </c>
      <c r="E646" s="1750">
        <f t="shared" si="145"/>
        <v>41015</v>
      </c>
      <c r="F646" s="1735">
        <v>4.1269999999999998</v>
      </c>
      <c r="G646" s="1788"/>
      <c r="H646" s="1762">
        <f t="shared" si="139"/>
        <v>0.58399999999999996</v>
      </c>
      <c r="I646" s="1763">
        <f t="shared" si="136"/>
        <v>0.57899999999999996</v>
      </c>
      <c r="J646" s="1784">
        <v>0.32100000000000001</v>
      </c>
      <c r="K646" s="1763">
        <f t="shared" si="137"/>
        <v>0.317</v>
      </c>
      <c r="L646" s="1764">
        <f t="shared" si="146"/>
        <v>0.61000000000000032</v>
      </c>
      <c r="M646" s="1765">
        <f t="shared" si="144"/>
        <v>0.60000000000000031</v>
      </c>
    </row>
    <row r="647" spans="1:13">
      <c r="A647" s="1749">
        <f t="shared" si="141"/>
        <v>41000</v>
      </c>
      <c r="B647" s="1749" t="str">
        <f t="shared" si="142"/>
        <v>2Q12</v>
      </c>
      <c r="C647" s="1749" t="str">
        <f t="shared" si="143"/>
        <v>2Q12</v>
      </c>
      <c r="D647" s="1750">
        <f t="shared" si="145"/>
        <v>41029</v>
      </c>
      <c r="E647" s="1750">
        <f t="shared" si="145"/>
        <v>41022</v>
      </c>
      <c r="F647" s="1735">
        <v>4.085</v>
      </c>
      <c r="G647" s="1788"/>
      <c r="H647" s="1762">
        <f t="shared" si="139"/>
        <v>0.57899999999999996</v>
      </c>
      <c r="I647" s="1763">
        <f t="shared" si="136"/>
        <v>0.57899999999999996</v>
      </c>
      <c r="J647" s="1784">
        <v>0.317</v>
      </c>
      <c r="K647" s="1763">
        <f t="shared" si="137"/>
        <v>0.316</v>
      </c>
      <c r="L647" s="1764">
        <f t="shared" si="146"/>
        <v>0.60000000000000031</v>
      </c>
      <c r="M647" s="1765">
        <f t="shared" si="144"/>
        <v>0.60000000000000031</v>
      </c>
    </row>
    <row r="648" spans="1:13">
      <c r="A648" s="1749">
        <f t="shared" si="141"/>
        <v>41030</v>
      </c>
      <c r="B648" s="1749" t="str">
        <f t="shared" si="142"/>
        <v>2Q12</v>
      </c>
      <c r="C648" s="1749" t="str">
        <f t="shared" si="143"/>
        <v>2Q12</v>
      </c>
      <c r="D648" s="1750">
        <f t="shared" si="145"/>
        <v>41036</v>
      </c>
      <c r="E648" s="1750">
        <f t="shared" si="145"/>
        <v>41029</v>
      </c>
      <c r="F648" s="1735">
        <v>4.0730000000000004</v>
      </c>
      <c r="G648" s="1788"/>
      <c r="H648" s="1762">
        <f t="shared" si="139"/>
        <v>0.57899999999999996</v>
      </c>
      <c r="I648" s="1763">
        <f t="shared" si="136"/>
        <v>0.57899999999999996</v>
      </c>
      <c r="J648" s="1784">
        <v>0.316</v>
      </c>
      <c r="K648" s="1763">
        <f t="shared" si="137"/>
        <v>0.314</v>
      </c>
      <c r="L648" s="1764">
        <f t="shared" si="146"/>
        <v>0.60000000000000031</v>
      </c>
      <c r="M648" s="1765">
        <f t="shared" si="144"/>
        <v>0.60000000000000031</v>
      </c>
    </row>
    <row r="649" spans="1:13">
      <c r="A649" s="1749">
        <f t="shared" si="141"/>
        <v>41030</v>
      </c>
      <c r="B649" s="1749" t="str">
        <f t="shared" si="142"/>
        <v>2Q12</v>
      </c>
      <c r="C649" s="1749" t="str">
        <f t="shared" si="143"/>
        <v>2Q12</v>
      </c>
      <c r="D649" s="1750">
        <f t="shared" si="145"/>
        <v>41043</v>
      </c>
      <c r="E649" s="1750">
        <f t="shared" si="145"/>
        <v>41036</v>
      </c>
      <c r="F649" s="1735">
        <v>4.0570000000000004</v>
      </c>
      <c r="G649" s="1788"/>
      <c r="H649" s="1762">
        <f t="shared" si="139"/>
        <v>0.57899999999999996</v>
      </c>
      <c r="I649" s="1763">
        <f t="shared" si="136"/>
        <v>0.57399999999999995</v>
      </c>
      <c r="J649" s="1784">
        <v>0.314</v>
      </c>
      <c r="K649" s="1763">
        <f t="shared" si="137"/>
        <v>0.309</v>
      </c>
      <c r="L649" s="1764">
        <f t="shared" si="146"/>
        <v>0.60000000000000031</v>
      </c>
      <c r="M649" s="1765">
        <f t="shared" si="144"/>
        <v>0.5900000000000003</v>
      </c>
    </row>
    <row r="650" spans="1:13">
      <c r="A650" s="1749">
        <f t="shared" si="141"/>
        <v>41030</v>
      </c>
      <c r="B650" s="1749" t="str">
        <f t="shared" si="142"/>
        <v>2Q12</v>
      </c>
      <c r="C650" s="1749" t="str">
        <f t="shared" si="143"/>
        <v>2Q12</v>
      </c>
      <c r="D650" s="1750">
        <f t="shared" si="145"/>
        <v>41050</v>
      </c>
      <c r="E650" s="1750">
        <f t="shared" si="145"/>
        <v>41043</v>
      </c>
      <c r="F650" s="1735">
        <v>4.0039999999999996</v>
      </c>
      <c r="G650" s="1788"/>
      <c r="H650" s="1762">
        <f t="shared" si="139"/>
        <v>0.57399999999999995</v>
      </c>
      <c r="I650" s="1763">
        <f t="shared" si="136"/>
        <v>0.56899999999999995</v>
      </c>
      <c r="J650" s="1784">
        <v>0.309</v>
      </c>
      <c r="K650" s="1763">
        <f t="shared" si="137"/>
        <v>0.30399999999999999</v>
      </c>
      <c r="L650" s="1764">
        <f t="shared" si="146"/>
        <v>0.5900000000000003</v>
      </c>
      <c r="M650" s="1765">
        <f t="shared" si="144"/>
        <v>0.58000000000000029</v>
      </c>
    </row>
    <row r="651" spans="1:13">
      <c r="A651" s="1749">
        <f t="shared" si="141"/>
        <v>41030</v>
      </c>
      <c r="B651" s="1749" t="str">
        <f t="shared" si="142"/>
        <v>2Q12</v>
      </c>
      <c r="C651" s="1749" t="str">
        <f t="shared" si="143"/>
        <v>2Q12</v>
      </c>
      <c r="D651" s="1750">
        <f t="shared" si="145"/>
        <v>41057</v>
      </c>
      <c r="E651" s="1750">
        <f t="shared" si="145"/>
        <v>41050</v>
      </c>
      <c r="F651" s="1735">
        <v>3.956</v>
      </c>
      <c r="G651" s="1788"/>
      <c r="H651" s="1762">
        <f t="shared" si="139"/>
        <v>0.56899999999999995</v>
      </c>
      <c r="I651" s="1763">
        <f t="shared" si="136"/>
        <v>0.55900000000000005</v>
      </c>
      <c r="J651" s="1784">
        <v>0.30399999999999999</v>
      </c>
      <c r="K651" s="1763">
        <f t="shared" si="137"/>
        <v>0.29799999999999999</v>
      </c>
      <c r="L651" s="1764">
        <f t="shared" si="146"/>
        <v>0.58000000000000029</v>
      </c>
      <c r="M651" s="1765">
        <f t="shared" si="144"/>
        <v>0.56000000000000028</v>
      </c>
    </row>
    <row r="652" spans="1:13">
      <c r="A652" s="1749">
        <f t="shared" si="141"/>
        <v>41061</v>
      </c>
      <c r="B652" s="1749" t="str">
        <f t="shared" si="142"/>
        <v>2Q12</v>
      </c>
      <c r="C652" s="1749" t="str">
        <f t="shared" si="143"/>
        <v>2Q12</v>
      </c>
      <c r="D652" s="1750">
        <f t="shared" si="145"/>
        <v>41064</v>
      </c>
      <c r="E652" s="1750">
        <f t="shared" si="145"/>
        <v>41057</v>
      </c>
      <c r="F652" s="1735">
        <v>3.8969999999999998</v>
      </c>
      <c r="G652" s="1788"/>
      <c r="H652" s="1762">
        <f t="shared" si="139"/>
        <v>0.55900000000000005</v>
      </c>
      <c r="I652" s="1763">
        <f t="shared" si="136"/>
        <v>0.55400000000000005</v>
      </c>
      <c r="J652" s="1784">
        <v>0.29799999999999999</v>
      </c>
      <c r="K652" s="1763">
        <f t="shared" si="137"/>
        <v>0.29299999999999998</v>
      </c>
      <c r="L652" s="1764">
        <f t="shared" si="146"/>
        <v>0.56000000000000028</v>
      </c>
      <c r="M652" s="1765">
        <f t="shared" si="144"/>
        <v>0.55000000000000027</v>
      </c>
    </row>
    <row r="653" spans="1:13">
      <c r="A653" s="1749">
        <f t="shared" si="141"/>
        <v>41061</v>
      </c>
      <c r="B653" s="1749" t="str">
        <f t="shared" si="142"/>
        <v>2Q12</v>
      </c>
      <c r="C653" s="1749" t="str">
        <f t="shared" si="143"/>
        <v>2Q12</v>
      </c>
      <c r="D653" s="1750">
        <f t="shared" si="145"/>
        <v>41071</v>
      </c>
      <c r="E653" s="1750">
        <f t="shared" si="145"/>
        <v>41064</v>
      </c>
      <c r="F653" s="1735">
        <v>3.8460000000000001</v>
      </c>
      <c r="G653" s="1788"/>
      <c r="H653" s="1762">
        <f t="shared" si="139"/>
        <v>0.55400000000000005</v>
      </c>
      <c r="I653" s="1763">
        <f t="shared" si="136"/>
        <v>0.54900000000000004</v>
      </c>
      <c r="J653" s="1784">
        <v>0.29299999999999998</v>
      </c>
      <c r="K653" s="1763">
        <f t="shared" si="137"/>
        <v>0.28699999999999998</v>
      </c>
      <c r="L653" s="1764">
        <f t="shared" si="146"/>
        <v>0.55000000000000027</v>
      </c>
      <c r="M653" s="1765">
        <f t="shared" si="144"/>
        <v>0.54000000000000026</v>
      </c>
    </row>
    <row r="654" spans="1:13">
      <c r="A654" s="1749">
        <f t="shared" si="141"/>
        <v>41061</v>
      </c>
      <c r="B654" s="1749" t="str">
        <f t="shared" si="142"/>
        <v>2Q12</v>
      </c>
      <c r="C654" s="1749" t="str">
        <f t="shared" si="143"/>
        <v>2Q12</v>
      </c>
      <c r="D654" s="1750">
        <f t="shared" si="145"/>
        <v>41078</v>
      </c>
      <c r="E654" s="1750">
        <f t="shared" si="145"/>
        <v>41071</v>
      </c>
      <c r="F654" s="1735">
        <v>3.7810000000000001</v>
      </c>
      <c r="G654" s="1788"/>
      <c r="H654" s="1762">
        <f t="shared" si="139"/>
        <v>0.54900000000000004</v>
      </c>
      <c r="I654" s="1763">
        <f t="shared" si="136"/>
        <v>0.54400000000000004</v>
      </c>
      <c r="J654" s="1784">
        <v>0.28699999999999998</v>
      </c>
      <c r="K654" s="1763">
        <f t="shared" si="137"/>
        <v>0.28100000000000003</v>
      </c>
      <c r="L654" s="1764">
        <f t="shared" si="146"/>
        <v>0.54000000000000026</v>
      </c>
      <c r="M654" s="1765">
        <f t="shared" si="144"/>
        <v>0.53000000000000025</v>
      </c>
    </row>
    <row r="655" spans="1:13">
      <c r="A655" s="1749">
        <f t="shared" si="141"/>
        <v>41061</v>
      </c>
      <c r="B655" s="1749" t="str">
        <f t="shared" si="142"/>
        <v>2Q12</v>
      </c>
      <c r="C655" s="1749" t="str">
        <f t="shared" si="143"/>
        <v>2Q12</v>
      </c>
      <c r="D655" s="1750">
        <f t="shared" si="145"/>
        <v>41085</v>
      </c>
      <c r="E655" s="1750">
        <f t="shared" si="145"/>
        <v>41078</v>
      </c>
      <c r="F655" s="1735">
        <v>3.7290000000000001</v>
      </c>
      <c r="G655" s="1788"/>
      <c r="H655" s="1762">
        <f t="shared" si="139"/>
        <v>0.54400000000000004</v>
      </c>
      <c r="I655" s="1763">
        <f t="shared" si="136"/>
        <v>0.53900000000000003</v>
      </c>
      <c r="J655" s="1784">
        <v>0.28100000000000003</v>
      </c>
      <c r="K655" s="1763">
        <f t="shared" si="137"/>
        <v>0.27600000000000002</v>
      </c>
      <c r="L655" s="1764">
        <f t="shared" si="146"/>
        <v>0.53000000000000025</v>
      </c>
      <c r="M655" s="1765">
        <f t="shared" si="144"/>
        <v>0.52000000000000024</v>
      </c>
    </row>
    <row r="656" spans="1:13">
      <c r="A656" s="1749">
        <f t="shared" si="141"/>
        <v>41091</v>
      </c>
      <c r="B656" s="1749" t="str">
        <f t="shared" si="142"/>
        <v>3Q12</v>
      </c>
      <c r="C656" s="1749" t="str">
        <f t="shared" si="143"/>
        <v>2Q12</v>
      </c>
      <c r="D656" s="1750">
        <f t="shared" si="145"/>
        <v>41092</v>
      </c>
      <c r="E656" s="1750">
        <f t="shared" si="145"/>
        <v>41085</v>
      </c>
      <c r="F656" s="1735">
        <v>3.6779999999999999</v>
      </c>
      <c r="G656" s="1788"/>
      <c r="H656" s="1762">
        <f t="shared" si="139"/>
        <v>0.53900000000000003</v>
      </c>
      <c r="I656" s="1763">
        <f t="shared" si="136"/>
        <v>0.53400000000000003</v>
      </c>
      <c r="J656" s="1784">
        <v>0.27600000000000002</v>
      </c>
      <c r="K656" s="1763">
        <f t="shared" si="137"/>
        <v>0.27300000000000002</v>
      </c>
      <c r="L656" s="1764">
        <f t="shared" si="146"/>
        <v>0.52000000000000024</v>
      </c>
      <c r="M656" s="1765">
        <f t="shared" si="144"/>
        <v>0.51000000000000023</v>
      </c>
    </row>
    <row r="657" spans="1:13">
      <c r="A657" s="1749">
        <f t="shared" si="141"/>
        <v>41091</v>
      </c>
      <c r="B657" s="1749" t="str">
        <f t="shared" si="142"/>
        <v>3Q12</v>
      </c>
      <c r="C657" s="1749" t="str">
        <f t="shared" si="143"/>
        <v>3Q12</v>
      </c>
      <c r="D657" s="1750">
        <f t="shared" si="145"/>
        <v>41099</v>
      </c>
      <c r="E657" s="1750">
        <f t="shared" si="145"/>
        <v>41092</v>
      </c>
      <c r="F657" s="1735">
        <v>3.6480000000000001</v>
      </c>
      <c r="G657" s="1788"/>
      <c r="H657" s="1762">
        <f t="shared" si="139"/>
        <v>0.53400000000000003</v>
      </c>
      <c r="I657" s="1763">
        <f t="shared" si="136"/>
        <v>0.53900000000000003</v>
      </c>
      <c r="J657" s="1784">
        <v>0.27300000000000002</v>
      </c>
      <c r="K657" s="1763">
        <f t="shared" si="137"/>
        <v>0.27700000000000002</v>
      </c>
      <c r="L657" s="1764">
        <f t="shared" si="146"/>
        <v>0.51000000000000023</v>
      </c>
      <c r="M657" s="1765">
        <f t="shared" si="144"/>
        <v>0.52000000000000024</v>
      </c>
    </row>
    <row r="658" spans="1:13">
      <c r="A658" s="1749">
        <f t="shared" si="141"/>
        <v>41091</v>
      </c>
      <c r="B658" s="1749" t="str">
        <f t="shared" si="142"/>
        <v>3Q12</v>
      </c>
      <c r="C658" s="1749" t="str">
        <f t="shared" si="143"/>
        <v>3Q12</v>
      </c>
      <c r="D658" s="1750">
        <f t="shared" si="145"/>
        <v>41106</v>
      </c>
      <c r="E658" s="1750">
        <f t="shared" si="145"/>
        <v>41099</v>
      </c>
      <c r="F658" s="1735">
        <v>3.6829999999999998</v>
      </c>
      <c r="G658" s="1788"/>
      <c r="H658" s="1762">
        <f t="shared" si="139"/>
        <v>0.53900000000000003</v>
      </c>
      <c r="I658" s="1763">
        <f t="shared" si="136"/>
        <v>0.53900000000000003</v>
      </c>
      <c r="J658" s="1784">
        <v>0.27700000000000002</v>
      </c>
      <c r="K658" s="1763">
        <f t="shared" si="137"/>
        <v>0.27800000000000002</v>
      </c>
      <c r="L658" s="1764">
        <f t="shared" si="146"/>
        <v>0.52000000000000024</v>
      </c>
      <c r="M658" s="1765">
        <f t="shared" si="144"/>
        <v>0.52000000000000024</v>
      </c>
    </row>
    <row r="659" spans="1:13">
      <c r="A659" s="1749">
        <f t="shared" si="141"/>
        <v>41091</v>
      </c>
      <c r="B659" s="1749" t="str">
        <f t="shared" si="142"/>
        <v>3Q12</v>
      </c>
      <c r="C659" s="1749" t="str">
        <f t="shared" si="143"/>
        <v>3Q12</v>
      </c>
      <c r="D659" s="1750">
        <f t="shared" si="145"/>
        <v>41113</v>
      </c>
      <c r="E659" s="1750">
        <f t="shared" si="145"/>
        <v>41106</v>
      </c>
      <c r="F659" s="1735">
        <v>3.6949999999999998</v>
      </c>
      <c r="G659" s="1788"/>
      <c r="H659" s="1762">
        <f t="shared" si="139"/>
        <v>0.53900000000000003</v>
      </c>
      <c r="I659" s="1763">
        <f t="shared" si="136"/>
        <v>0.54900000000000004</v>
      </c>
      <c r="J659" s="1784">
        <v>0.27800000000000002</v>
      </c>
      <c r="K659" s="1763">
        <f t="shared" si="137"/>
        <v>0.28699999999999998</v>
      </c>
      <c r="L659" s="1764">
        <f t="shared" si="146"/>
        <v>0.52000000000000024</v>
      </c>
      <c r="M659" s="1765">
        <f t="shared" si="144"/>
        <v>0.54000000000000026</v>
      </c>
    </row>
    <row r="660" spans="1:13">
      <c r="A660" s="1749">
        <f t="shared" si="141"/>
        <v>41091</v>
      </c>
      <c r="B660" s="1749" t="str">
        <f t="shared" si="142"/>
        <v>3Q12</v>
      </c>
      <c r="C660" s="1749" t="str">
        <f t="shared" si="143"/>
        <v>3Q12</v>
      </c>
      <c r="D660" s="1750">
        <f t="shared" si="145"/>
        <v>41120</v>
      </c>
      <c r="E660" s="1750">
        <f t="shared" si="145"/>
        <v>41113</v>
      </c>
      <c r="F660" s="1735">
        <v>3.7829999999999999</v>
      </c>
      <c r="G660" s="1788"/>
      <c r="H660" s="1762">
        <f t="shared" si="139"/>
        <v>0.54900000000000004</v>
      </c>
      <c r="I660" s="1763">
        <f t="shared" si="136"/>
        <v>0.54900000000000004</v>
      </c>
      <c r="J660" s="1784">
        <v>0.28699999999999998</v>
      </c>
      <c r="K660" s="1763">
        <f t="shared" si="137"/>
        <v>0.28799999999999998</v>
      </c>
      <c r="L660" s="1764">
        <f t="shared" si="146"/>
        <v>0.54000000000000026</v>
      </c>
      <c r="M660" s="1765">
        <f t="shared" si="144"/>
        <v>0.54000000000000026</v>
      </c>
    </row>
    <row r="661" spans="1:13">
      <c r="A661" s="1749">
        <f t="shared" si="141"/>
        <v>41122</v>
      </c>
      <c r="B661" s="1749" t="str">
        <f t="shared" si="142"/>
        <v>3Q12</v>
      </c>
      <c r="C661" s="1749" t="str">
        <f t="shared" si="143"/>
        <v>3Q12</v>
      </c>
      <c r="D661" s="1750">
        <f t="shared" ref="D661:E676" si="147">D660+7</f>
        <v>41127</v>
      </c>
      <c r="E661" s="1750">
        <f t="shared" si="147"/>
        <v>41120</v>
      </c>
      <c r="F661" s="1735">
        <v>3.7959999999999998</v>
      </c>
      <c r="G661" s="1788"/>
      <c r="H661" s="1762">
        <f t="shared" si="139"/>
        <v>0.54900000000000004</v>
      </c>
      <c r="I661" s="1763">
        <f t="shared" si="136"/>
        <v>0.55900000000000005</v>
      </c>
      <c r="J661" s="1784">
        <v>0.28799999999999998</v>
      </c>
      <c r="K661" s="1763">
        <f t="shared" si="137"/>
        <v>0.29399999999999998</v>
      </c>
      <c r="L661" s="1764">
        <f t="shared" si="146"/>
        <v>0.54000000000000026</v>
      </c>
      <c r="M661" s="1765">
        <f t="shared" si="144"/>
        <v>0.56000000000000028</v>
      </c>
    </row>
    <row r="662" spans="1:13">
      <c r="A662" s="1749">
        <f t="shared" si="141"/>
        <v>41122</v>
      </c>
      <c r="B662" s="1749" t="str">
        <f t="shared" si="142"/>
        <v>3Q12</v>
      </c>
      <c r="C662" s="1749" t="str">
        <f t="shared" si="143"/>
        <v>3Q12</v>
      </c>
      <c r="D662" s="1750">
        <f t="shared" si="147"/>
        <v>41134</v>
      </c>
      <c r="E662" s="1750">
        <f t="shared" si="147"/>
        <v>41127</v>
      </c>
      <c r="F662" s="1735">
        <v>3.85</v>
      </c>
      <c r="G662" s="1788"/>
      <c r="H662" s="1762">
        <f t="shared" si="139"/>
        <v>0.55900000000000005</v>
      </c>
      <c r="I662" s="1763">
        <f t="shared" si="136"/>
        <v>0.56899999999999995</v>
      </c>
      <c r="J662" s="1784">
        <v>0.29399999999999998</v>
      </c>
      <c r="K662" s="1763">
        <f t="shared" si="137"/>
        <v>0.30499999999999999</v>
      </c>
      <c r="L662" s="1764">
        <f t="shared" si="146"/>
        <v>0.56000000000000028</v>
      </c>
      <c r="M662" s="1765">
        <f t="shared" si="144"/>
        <v>0.58000000000000029</v>
      </c>
    </row>
    <row r="663" spans="1:13">
      <c r="A663" s="1749">
        <f t="shared" si="141"/>
        <v>41122</v>
      </c>
      <c r="B663" s="1749" t="str">
        <f t="shared" si="142"/>
        <v>3Q12</v>
      </c>
      <c r="C663" s="1749" t="str">
        <f t="shared" si="143"/>
        <v>3Q12</v>
      </c>
      <c r="D663" s="1750">
        <f t="shared" si="147"/>
        <v>41141</v>
      </c>
      <c r="E663" s="1750">
        <f t="shared" si="147"/>
        <v>41134</v>
      </c>
      <c r="F663" s="1735">
        <v>3.9649999999999999</v>
      </c>
      <c r="G663" s="1788"/>
      <c r="H663" s="1762">
        <f t="shared" si="139"/>
        <v>0.56899999999999995</v>
      </c>
      <c r="I663" s="1763">
        <f t="shared" si="136"/>
        <v>0.57399999999999995</v>
      </c>
      <c r="J663" s="1784">
        <v>0.30499999999999999</v>
      </c>
      <c r="K663" s="1763">
        <f t="shared" si="137"/>
        <v>0.311</v>
      </c>
      <c r="L663" s="1764">
        <f t="shared" si="146"/>
        <v>0.58000000000000029</v>
      </c>
      <c r="M663" s="1765">
        <f t="shared" si="144"/>
        <v>0.5900000000000003</v>
      </c>
    </row>
    <row r="664" spans="1:13">
      <c r="A664" s="1749">
        <f t="shared" si="141"/>
        <v>41122</v>
      </c>
      <c r="B664" s="1749" t="str">
        <f t="shared" si="142"/>
        <v>3Q12</v>
      </c>
      <c r="C664" s="1749" t="str">
        <f t="shared" si="143"/>
        <v>3Q12</v>
      </c>
      <c r="D664" s="1750">
        <f t="shared" si="147"/>
        <v>41148</v>
      </c>
      <c r="E664" s="1750">
        <f t="shared" si="147"/>
        <v>41141</v>
      </c>
      <c r="F664" s="1735">
        <v>4.0259999999999998</v>
      </c>
      <c r="G664" s="1788"/>
      <c r="H664" s="1762">
        <f t="shared" si="139"/>
        <v>0.57399999999999995</v>
      </c>
      <c r="I664" s="1763">
        <f t="shared" si="136"/>
        <v>0.57899999999999996</v>
      </c>
      <c r="J664" s="1784">
        <v>0.311</v>
      </c>
      <c r="K664" s="1763">
        <f t="shared" si="137"/>
        <v>0.317</v>
      </c>
      <c r="L664" s="1764">
        <f t="shared" si="146"/>
        <v>0.5900000000000003</v>
      </c>
      <c r="M664" s="1765">
        <f t="shared" si="144"/>
        <v>0.60000000000000031</v>
      </c>
    </row>
    <row r="665" spans="1:13">
      <c r="A665" s="1749">
        <f t="shared" si="141"/>
        <v>41153</v>
      </c>
      <c r="B665" s="1749" t="str">
        <f t="shared" si="142"/>
        <v>3Q12</v>
      </c>
      <c r="C665" s="1749" t="str">
        <f t="shared" si="143"/>
        <v>3Q12</v>
      </c>
      <c r="D665" s="1750">
        <f t="shared" si="147"/>
        <v>41155</v>
      </c>
      <c r="E665" s="1750">
        <f t="shared" si="147"/>
        <v>41148</v>
      </c>
      <c r="F665" s="1735">
        <v>4.0890000000000004</v>
      </c>
      <c r="G665" s="1788"/>
      <c r="H665" s="1762">
        <f t="shared" si="139"/>
        <v>0.57899999999999996</v>
      </c>
      <c r="I665" s="1763">
        <f t="shared" ref="I665:I733" si="148">H666</f>
        <v>0.58399999999999996</v>
      </c>
      <c r="J665" s="1784">
        <v>0.317</v>
      </c>
      <c r="K665" s="1763">
        <f t="shared" ref="K665:K733" si="149">J666</f>
        <v>0.32100000000000001</v>
      </c>
      <c r="L665" s="1764">
        <f t="shared" si="146"/>
        <v>0.60000000000000031</v>
      </c>
      <c r="M665" s="1765">
        <f t="shared" si="144"/>
        <v>0.61000000000000032</v>
      </c>
    </row>
    <row r="666" spans="1:13">
      <c r="A666" s="1749">
        <f t="shared" si="141"/>
        <v>41153</v>
      </c>
      <c r="B666" s="1749" t="str">
        <f t="shared" si="142"/>
        <v>3Q12</v>
      </c>
      <c r="C666" s="1749" t="str">
        <f t="shared" si="143"/>
        <v>3Q12</v>
      </c>
      <c r="D666" s="1750">
        <f t="shared" si="147"/>
        <v>41162</v>
      </c>
      <c r="E666" s="1750">
        <f t="shared" si="147"/>
        <v>41155</v>
      </c>
      <c r="F666" s="1735">
        <v>4.1269999999999998</v>
      </c>
      <c r="G666" s="1788"/>
      <c r="H666" s="1762">
        <f t="shared" si="139"/>
        <v>0.58399999999999996</v>
      </c>
      <c r="I666" s="1763">
        <f t="shared" si="148"/>
        <v>0.58399999999999996</v>
      </c>
      <c r="J666" s="1784">
        <v>0.32100000000000001</v>
      </c>
      <c r="K666" s="1763">
        <f t="shared" si="149"/>
        <v>0.32200000000000001</v>
      </c>
      <c r="L666" s="1764">
        <f t="shared" si="146"/>
        <v>0.61000000000000032</v>
      </c>
      <c r="M666" s="1765">
        <f t="shared" si="144"/>
        <v>0.61000000000000032</v>
      </c>
    </row>
    <row r="667" spans="1:13">
      <c r="A667" s="1749">
        <f t="shared" si="141"/>
        <v>41153</v>
      </c>
      <c r="B667" s="1749" t="str">
        <f t="shared" si="142"/>
        <v>3Q12</v>
      </c>
      <c r="C667" s="1749" t="str">
        <f t="shared" si="143"/>
        <v>3Q12</v>
      </c>
      <c r="D667" s="1750">
        <f t="shared" si="147"/>
        <v>41169</v>
      </c>
      <c r="E667" s="1750">
        <f t="shared" si="147"/>
        <v>41162</v>
      </c>
      <c r="F667" s="1735">
        <v>4.1319999999999997</v>
      </c>
      <c r="G667" s="1788"/>
      <c r="H667" s="1762">
        <f t="shared" si="139"/>
        <v>0.58399999999999996</v>
      </c>
      <c r="I667" s="1763">
        <f t="shared" si="148"/>
        <v>0.58399999999999996</v>
      </c>
      <c r="J667" s="1784">
        <v>0.32200000000000001</v>
      </c>
      <c r="K667" s="1763">
        <f t="shared" si="149"/>
        <v>0.32200000000000001</v>
      </c>
      <c r="L667" s="1764">
        <f t="shared" si="146"/>
        <v>0.61000000000000032</v>
      </c>
      <c r="M667" s="1765">
        <f t="shared" si="144"/>
        <v>0.61000000000000032</v>
      </c>
    </row>
    <row r="668" spans="1:13">
      <c r="A668" s="1749">
        <f t="shared" si="141"/>
        <v>41153</v>
      </c>
      <c r="B668" s="1749" t="str">
        <f t="shared" si="142"/>
        <v>3Q12</v>
      </c>
      <c r="C668" s="1749" t="str">
        <f t="shared" si="143"/>
        <v>3Q12</v>
      </c>
      <c r="D668" s="1750">
        <f t="shared" si="147"/>
        <v>41176</v>
      </c>
      <c r="E668" s="1750">
        <f t="shared" si="147"/>
        <v>41169</v>
      </c>
      <c r="F668" s="1735">
        <v>4.1349999999999998</v>
      </c>
      <c r="G668" s="1788"/>
      <c r="H668" s="1762">
        <f t="shared" si="139"/>
        <v>0.58399999999999996</v>
      </c>
      <c r="I668" s="1763">
        <f t="shared" si="148"/>
        <v>0.57899999999999996</v>
      </c>
      <c r="J668" s="1784">
        <v>0.32200000000000001</v>
      </c>
      <c r="K668" s="1763">
        <f t="shared" si="149"/>
        <v>0.317</v>
      </c>
      <c r="L668" s="1764">
        <f t="shared" si="146"/>
        <v>0.61000000000000032</v>
      </c>
      <c r="M668" s="1765">
        <f t="shared" si="144"/>
        <v>0.60000000000000031</v>
      </c>
    </row>
    <row r="669" spans="1:13">
      <c r="A669" s="1749">
        <f t="shared" si="141"/>
        <v>41183</v>
      </c>
      <c r="B669" s="1749" t="str">
        <f t="shared" si="142"/>
        <v>4Q12</v>
      </c>
      <c r="C669" s="1749" t="str">
        <f t="shared" si="143"/>
        <v>3Q12</v>
      </c>
      <c r="D669" s="1750">
        <f t="shared" si="147"/>
        <v>41183</v>
      </c>
      <c r="E669" s="1750">
        <f t="shared" si="147"/>
        <v>41176</v>
      </c>
      <c r="F669" s="1735">
        <v>4.0860000000000003</v>
      </c>
      <c r="G669" s="1788"/>
      <c r="H669" s="1762">
        <f t="shared" si="139"/>
        <v>0.57899999999999996</v>
      </c>
      <c r="I669" s="1763">
        <f t="shared" si="148"/>
        <v>0.57899999999999996</v>
      </c>
      <c r="J669" s="1784">
        <v>0.317</v>
      </c>
      <c r="K669" s="1763">
        <f t="shared" si="149"/>
        <v>0.316</v>
      </c>
      <c r="L669" s="1764">
        <f t="shared" si="146"/>
        <v>0.60000000000000031</v>
      </c>
      <c r="M669" s="1765">
        <f t="shared" si="144"/>
        <v>0.60000000000000031</v>
      </c>
    </row>
    <row r="670" spans="1:13">
      <c r="A670" s="1749">
        <f t="shared" si="141"/>
        <v>41183</v>
      </c>
      <c r="B670" s="1749" t="str">
        <f t="shared" si="142"/>
        <v>4Q12</v>
      </c>
      <c r="C670" s="1749" t="str">
        <f t="shared" si="143"/>
        <v>4Q12</v>
      </c>
      <c r="D670" s="1750">
        <f t="shared" si="147"/>
        <v>41190</v>
      </c>
      <c r="E670" s="1750">
        <f t="shared" si="147"/>
        <v>41183</v>
      </c>
      <c r="F670" s="1735">
        <v>4.0789999999999997</v>
      </c>
      <c r="G670" s="1788"/>
      <c r="H670" s="1762">
        <f t="shared" si="139"/>
        <v>0.57899999999999996</v>
      </c>
      <c r="I670" s="1763">
        <f t="shared" si="148"/>
        <v>0.57899999999999996</v>
      </c>
      <c r="J670" s="1784">
        <v>0.316</v>
      </c>
      <c r="K670" s="1763">
        <f t="shared" si="149"/>
        <v>0.318</v>
      </c>
      <c r="L670" s="1764">
        <f t="shared" si="146"/>
        <v>0.60000000000000031</v>
      </c>
      <c r="M670" s="1765">
        <f t="shared" si="144"/>
        <v>0.60000000000000031</v>
      </c>
    </row>
    <row r="671" spans="1:13">
      <c r="A671" s="1749">
        <f t="shared" si="141"/>
        <v>41183</v>
      </c>
      <c r="B671" s="1749" t="str">
        <f t="shared" si="142"/>
        <v>4Q12</v>
      </c>
      <c r="C671" s="1749" t="str">
        <f t="shared" si="143"/>
        <v>4Q12</v>
      </c>
      <c r="D671" s="1750">
        <f t="shared" si="147"/>
        <v>41197</v>
      </c>
      <c r="E671" s="1750">
        <f t="shared" si="147"/>
        <v>41190</v>
      </c>
      <c r="F671" s="1735">
        <v>4.0940000000000003</v>
      </c>
      <c r="G671" s="1788"/>
      <c r="H671" s="1762">
        <f t="shared" si="139"/>
        <v>0.57899999999999996</v>
      </c>
      <c r="I671" s="1763">
        <f t="shared" si="148"/>
        <v>0.58899999999999997</v>
      </c>
      <c r="J671" s="1784">
        <v>0.318</v>
      </c>
      <c r="K671" s="1763">
        <f t="shared" si="149"/>
        <v>0.32400000000000001</v>
      </c>
      <c r="L671" s="1764">
        <f t="shared" si="146"/>
        <v>0.60000000000000031</v>
      </c>
      <c r="M671" s="1765">
        <f t="shared" si="144"/>
        <v>0.62000000000000033</v>
      </c>
    </row>
    <row r="672" spans="1:13">
      <c r="A672" s="1749">
        <f t="shared" si="141"/>
        <v>41183</v>
      </c>
      <c r="B672" s="1749" t="str">
        <f t="shared" si="142"/>
        <v>4Q12</v>
      </c>
      <c r="C672" s="1749" t="str">
        <f t="shared" si="143"/>
        <v>4Q12</v>
      </c>
      <c r="D672" s="1750">
        <f t="shared" si="147"/>
        <v>41204</v>
      </c>
      <c r="E672" s="1750">
        <f t="shared" si="147"/>
        <v>41197</v>
      </c>
      <c r="F672" s="1735">
        <v>4.1500000000000004</v>
      </c>
      <c r="G672" s="1788"/>
      <c r="H672" s="1762">
        <f t="shared" si="139"/>
        <v>0.58899999999999997</v>
      </c>
      <c r="I672" s="1763">
        <f t="shared" si="148"/>
        <v>0.58399999999999996</v>
      </c>
      <c r="J672" s="1784">
        <v>0.32400000000000001</v>
      </c>
      <c r="K672" s="1763">
        <f t="shared" si="149"/>
        <v>0.32</v>
      </c>
      <c r="L672" s="1764">
        <f t="shared" si="146"/>
        <v>0.62000000000000033</v>
      </c>
      <c r="M672" s="1765">
        <f t="shared" si="144"/>
        <v>0.61000000000000032</v>
      </c>
    </row>
    <row r="673" spans="1:13">
      <c r="A673" s="1749">
        <f t="shared" si="141"/>
        <v>41183</v>
      </c>
      <c r="B673" s="1749" t="str">
        <f t="shared" si="142"/>
        <v>4Q12</v>
      </c>
      <c r="C673" s="1749" t="str">
        <f t="shared" si="143"/>
        <v>4Q12</v>
      </c>
      <c r="D673" s="1750">
        <f t="shared" si="147"/>
        <v>41211</v>
      </c>
      <c r="E673" s="1750">
        <f t="shared" si="147"/>
        <v>41204</v>
      </c>
      <c r="F673" s="1735">
        <v>4.1159999999999997</v>
      </c>
      <c r="G673" s="1788"/>
      <c r="H673" s="1762">
        <f t="shared" si="139"/>
        <v>0.58399999999999996</v>
      </c>
      <c r="I673" s="1763">
        <f t="shared" si="148"/>
        <v>0.57399999999999995</v>
      </c>
      <c r="J673" s="1784">
        <v>0.32</v>
      </c>
      <c r="K673" s="1763">
        <f t="shared" si="149"/>
        <v>0.312</v>
      </c>
      <c r="L673" s="1764">
        <f t="shared" si="146"/>
        <v>0.61000000000000032</v>
      </c>
      <c r="M673" s="1765">
        <f t="shared" si="144"/>
        <v>0.5900000000000003</v>
      </c>
    </row>
    <row r="674" spans="1:13">
      <c r="A674" s="1749">
        <f t="shared" si="141"/>
        <v>41214</v>
      </c>
      <c r="B674" s="1749" t="str">
        <f t="shared" si="142"/>
        <v>4Q12</v>
      </c>
      <c r="C674" s="1749" t="str">
        <f t="shared" si="143"/>
        <v>4Q12</v>
      </c>
      <c r="D674" s="1750">
        <f t="shared" si="147"/>
        <v>41218</v>
      </c>
      <c r="E674" s="1750">
        <f t="shared" si="147"/>
        <v>41211</v>
      </c>
      <c r="F674" s="1735">
        <v>4.03</v>
      </c>
      <c r="G674" s="1788"/>
      <c r="H674" s="1762">
        <f t="shared" si="139"/>
        <v>0.57399999999999995</v>
      </c>
      <c r="I674" s="1763">
        <f t="shared" si="148"/>
        <v>0.57399999999999995</v>
      </c>
      <c r="J674" s="1784">
        <v>0.312</v>
      </c>
      <c r="K674" s="1763">
        <f t="shared" si="149"/>
        <v>0.31</v>
      </c>
      <c r="L674" s="1764">
        <f t="shared" si="146"/>
        <v>0.5900000000000003</v>
      </c>
      <c r="M674" s="1765">
        <f t="shared" si="144"/>
        <v>0.5900000000000003</v>
      </c>
    </row>
    <row r="675" spans="1:13">
      <c r="A675" s="1749">
        <f t="shared" si="141"/>
        <v>41214</v>
      </c>
      <c r="B675" s="1749" t="str">
        <f t="shared" si="142"/>
        <v>4Q12</v>
      </c>
      <c r="C675" s="1749" t="str">
        <f t="shared" si="143"/>
        <v>4Q12</v>
      </c>
      <c r="D675" s="1750">
        <f t="shared" si="147"/>
        <v>41225</v>
      </c>
      <c r="E675" s="1750">
        <f t="shared" si="147"/>
        <v>41218</v>
      </c>
      <c r="F675" s="1735">
        <v>4.01</v>
      </c>
      <c r="G675" s="1788"/>
      <c r="H675" s="1762">
        <f t="shared" si="139"/>
        <v>0.57399999999999995</v>
      </c>
      <c r="I675" s="1763">
        <f t="shared" si="148"/>
        <v>0.56899999999999995</v>
      </c>
      <c r="J675" s="1784">
        <v>0.31</v>
      </c>
      <c r="K675" s="1763">
        <f t="shared" si="149"/>
        <v>0.307</v>
      </c>
      <c r="L675" s="1764">
        <f t="shared" si="146"/>
        <v>0.5900000000000003</v>
      </c>
      <c r="M675" s="1765">
        <f t="shared" si="144"/>
        <v>0.58000000000000029</v>
      </c>
    </row>
    <row r="676" spans="1:13">
      <c r="A676" s="1749">
        <f t="shared" si="141"/>
        <v>41214</v>
      </c>
      <c r="B676" s="1749" t="str">
        <f t="shared" si="142"/>
        <v>4Q12</v>
      </c>
      <c r="C676" s="1749" t="str">
        <f t="shared" si="143"/>
        <v>4Q12</v>
      </c>
      <c r="D676" s="1750">
        <f t="shared" si="147"/>
        <v>41232</v>
      </c>
      <c r="E676" s="1750">
        <f t="shared" si="147"/>
        <v>41225</v>
      </c>
      <c r="F676" s="1735">
        <v>3.98</v>
      </c>
      <c r="G676" s="1788"/>
      <c r="H676" s="1762">
        <f t="shared" si="139"/>
        <v>0.56899999999999995</v>
      </c>
      <c r="I676" s="1763">
        <f t="shared" si="148"/>
        <v>0.56899999999999995</v>
      </c>
      <c r="J676" s="1784">
        <v>0.307</v>
      </c>
      <c r="K676" s="1763">
        <f t="shared" si="149"/>
        <v>0.30599999999999999</v>
      </c>
      <c r="L676" s="1764">
        <f t="shared" si="146"/>
        <v>0.58000000000000029</v>
      </c>
      <c r="M676" s="1765">
        <f t="shared" si="144"/>
        <v>0.58000000000000029</v>
      </c>
    </row>
    <row r="677" spans="1:13">
      <c r="A677" s="1749">
        <f t="shared" si="141"/>
        <v>41214</v>
      </c>
      <c r="B677" s="1749" t="str">
        <f t="shared" si="142"/>
        <v>4Q12</v>
      </c>
      <c r="C677" s="1749" t="str">
        <f t="shared" si="143"/>
        <v>4Q12</v>
      </c>
      <c r="D677" s="1750">
        <f t="shared" ref="D677:E692" si="150">D676+7</f>
        <v>41239</v>
      </c>
      <c r="E677" s="1750">
        <f t="shared" si="150"/>
        <v>41232</v>
      </c>
      <c r="F677" s="1735">
        <v>3.976</v>
      </c>
      <c r="G677" s="1788"/>
      <c r="H677" s="1762">
        <f t="shared" si="139"/>
        <v>0.56899999999999995</v>
      </c>
      <c r="I677" s="1763">
        <f t="shared" si="148"/>
        <v>0.57399999999999995</v>
      </c>
      <c r="J677" s="1784">
        <v>0.30599999999999999</v>
      </c>
      <c r="K677" s="1763">
        <f t="shared" si="149"/>
        <v>0.312</v>
      </c>
      <c r="L677" s="1764">
        <f t="shared" si="146"/>
        <v>0.58000000000000029</v>
      </c>
      <c r="M677" s="1765">
        <f t="shared" si="144"/>
        <v>0.5900000000000003</v>
      </c>
    </row>
    <row r="678" spans="1:13">
      <c r="A678" s="1749">
        <f t="shared" si="141"/>
        <v>41244</v>
      </c>
      <c r="B678" s="1749" t="str">
        <f t="shared" si="142"/>
        <v>4Q12</v>
      </c>
      <c r="C678" s="1749" t="str">
        <f t="shared" si="143"/>
        <v>4Q12</v>
      </c>
      <c r="D678" s="1750">
        <f t="shared" si="150"/>
        <v>41246</v>
      </c>
      <c r="E678" s="1750">
        <f t="shared" si="150"/>
        <v>41239</v>
      </c>
      <c r="F678" s="1735">
        <v>4.0339999999999998</v>
      </c>
      <c r="G678" s="1788"/>
      <c r="H678" s="1762">
        <f t="shared" si="139"/>
        <v>0.57399999999999995</v>
      </c>
      <c r="I678" s="1763">
        <f t="shared" si="148"/>
        <v>0.57399999999999995</v>
      </c>
      <c r="J678" s="1784">
        <v>0.312</v>
      </c>
      <c r="K678" s="1763">
        <f t="shared" si="149"/>
        <v>0.311</v>
      </c>
      <c r="L678" s="1764">
        <f t="shared" si="146"/>
        <v>0.5900000000000003</v>
      </c>
      <c r="M678" s="1765">
        <f t="shared" si="144"/>
        <v>0.5900000000000003</v>
      </c>
    </row>
    <row r="679" spans="1:13">
      <c r="A679" s="1749">
        <f t="shared" si="141"/>
        <v>41244</v>
      </c>
      <c r="B679" s="1749" t="str">
        <f t="shared" si="142"/>
        <v>4Q12</v>
      </c>
      <c r="C679" s="1749" t="str">
        <f t="shared" si="143"/>
        <v>4Q12</v>
      </c>
      <c r="D679" s="1750">
        <f t="shared" si="150"/>
        <v>41253</v>
      </c>
      <c r="E679" s="1750">
        <f t="shared" si="150"/>
        <v>41246</v>
      </c>
      <c r="F679" s="1735">
        <v>4.0270000000000001</v>
      </c>
      <c r="G679" s="1788"/>
      <c r="H679" s="1762">
        <f t="shared" si="139"/>
        <v>0.57399999999999995</v>
      </c>
      <c r="I679" s="1763">
        <f t="shared" si="148"/>
        <v>0.56899999999999995</v>
      </c>
      <c r="J679" s="1784">
        <v>0.311</v>
      </c>
      <c r="K679" s="1763">
        <f t="shared" si="149"/>
        <v>0.308</v>
      </c>
      <c r="L679" s="1764">
        <f t="shared" si="146"/>
        <v>0.5900000000000003</v>
      </c>
      <c r="M679" s="1765">
        <f t="shared" si="144"/>
        <v>0.58000000000000029</v>
      </c>
    </row>
    <row r="680" spans="1:13">
      <c r="A680" s="1749">
        <f t="shared" si="141"/>
        <v>41244</v>
      </c>
      <c r="B680" s="1749" t="str">
        <f t="shared" si="142"/>
        <v>4Q12</v>
      </c>
      <c r="C680" s="1749" t="str">
        <f t="shared" si="143"/>
        <v>4Q12</v>
      </c>
      <c r="D680" s="1750">
        <f t="shared" si="150"/>
        <v>41260</v>
      </c>
      <c r="E680" s="1750">
        <f t="shared" si="150"/>
        <v>41253</v>
      </c>
      <c r="F680" s="1735">
        <v>3.9910000000000001</v>
      </c>
      <c r="G680" s="1788"/>
      <c r="H680" s="1762">
        <f t="shared" si="139"/>
        <v>0.56899999999999995</v>
      </c>
      <c r="I680" s="1763">
        <f t="shared" si="148"/>
        <v>0.56399999999999995</v>
      </c>
      <c r="J680" s="1784">
        <v>0.308</v>
      </c>
      <c r="K680" s="1763">
        <f t="shared" si="149"/>
        <v>0.30299999999999999</v>
      </c>
      <c r="L680" s="1764">
        <f t="shared" si="146"/>
        <v>0.58000000000000029</v>
      </c>
      <c r="M680" s="1765">
        <f t="shared" si="144"/>
        <v>0.57000000000000028</v>
      </c>
    </row>
    <row r="681" spans="1:13">
      <c r="A681" s="1749">
        <f t="shared" si="141"/>
        <v>41244</v>
      </c>
      <c r="B681" s="1749" t="str">
        <f t="shared" si="142"/>
        <v>4Q12</v>
      </c>
      <c r="C681" s="1749" t="str">
        <f t="shared" si="143"/>
        <v>4Q12</v>
      </c>
      <c r="D681" s="1750">
        <f t="shared" si="150"/>
        <v>41267</v>
      </c>
      <c r="E681" s="1750">
        <f t="shared" si="150"/>
        <v>41260</v>
      </c>
      <c r="F681" s="1735">
        <v>3.9449999999999998</v>
      </c>
      <c r="G681" s="1788"/>
      <c r="H681" s="1762">
        <f t="shared" si="139"/>
        <v>0.56399999999999995</v>
      </c>
      <c r="I681" s="1763">
        <f t="shared" si="148"/>
        <v>0.56399999999999995</v>
      </c>
      <c r="J681" s="1784">
        <v>0.30299999999999999</v>
      </c>
      <c r="K681" s="1763">
        <f t="shared" si="149"/>
        <v>0.30099999999999999</v>
      </c>
      <c r="L681" s="1764">
        <f t="shared" si="146"/>
        <v>0.57000000000000028</v>
      </c>
      <c r="M681" s="1765">
        <f t="shared" si="144"/>
        <v>0.57000000000000028</v>
      </c>
    </row>
    <row r="682" spans="1:13">
      <c r="A682" s="1749">
        <f t="shared" si="141"/>
        <v>41244</v>
      </c>
      <c r="B682" s="1749" t="str">
        <f t="shared" si="142"/>
        <v>4Q12</v>
      </c>
      <c r="C682" s="1749" t="str">
        <f t="shared" si="143"/>
        <v>4Q12</v>
      </c>
      <c r="D682" s="1750">
        <f t="shared" si="150"/>
        <v>41274</v>
      </c>
      <c r="E682" s="1750">
        <f t="shared" si="150"/>
        <v>41267</v>
      </c>
      <c r="F682" s="1735">
        <v>3.923</v>
      </c>
      <c r="G682" s="1788"/>
      <c r="H682" s="1762">
        <f t="shared" si="139"/>
        <v>0.56399999999999995</v>
      </c>
      <c r="I682" s="1763">
        <f t="shared" si="148"/>
        <v>0.56399999999999995</v>
      </c>
      <c r="J682" s="1784">
        <v>0.30099999999999999</v>
      </c>
      <c r="K682" s="1763">
        <f t="shared" si="149"/>
        <v>0.3</v>
      </c>
      <c r="L682" s="1764">
        <f t="shared" si="146"/>
        <v>0.57000000000000028</v>
      </c>
      <c r="M682" s="1765">
        <f t="shared" si="144"/>
        <v>0.57000000000000028</v>
      </c>
    </row>
    <row r="683" spans="1:13">
      <c r="A683" s="1749">
        <f t="shared" si="141"/>
        <v>41275</v>
      </c>
      <c r="B683" s="1749" t="str">
        <f t="shared" si="142"/>
        <v>1Q13</v>
      </c>
      <c r="C683" s="1749" t="str">
        <f t="shared" si="143"/>
        <v>4Q12</v>
      </c>
      <c r="D683" s="1750">
        <f t="shared" si="150"/>
        <v>41281</v>
      </c>
      <c r="E683" s="1750">
        <f t="shared" si="150"/>
        <v>41274</v>
      </c>
      <c r="F683" s="1735">
        <v>3.9180000000000001</v>
      </c>
      <c r="G683" s="1788"/>
      <c r="H683" s="1762">
        <f t="shared" si="139"/>
        <v>0.56399999999999995</v>
      </c>
      <c r="I683" s="1763">
        <f t="shared" si="148"/>
        <v>0.56399999999999995</v>
      </c>
      <c r="J683" s="1784">
        <v>0.3</v>
      </c>
      <c r="K683" s="1763">
        <f t="shared" si="149"/>
        <v>0.3</v>
      </c>
      <c r="L683" s="1764">
        <f t="shared" si="146"/>
        <v>0.57000000000000028</v>
      </c>
      <c r="M683" s="1765">
        <f t="shared" si="144"/>
        <v>0.57000000000000028</v>
      </c>
    </row>
    <row r="684" spans="1:13">
      <c r="A684" s="1749">
        <f t="shared" si="141"/>
        <v>41275</v>
      </c>
      <c r="B684" s="1749" t="str">
        <f t="shared" si="142"/>
        <v>1Q13</v>
      </c>
      <c r="C684" s="1749" t="str">
        <f t="shared" si="143"/>
        <v>1Q13</v>
      </c>
      <c r="D684" s="1750">
        <f t="shared" si="150"/>
        <v>41288</v>
      </c>
      <c r="E684" s="1750">
        <f t="shared" si="150"/>
        <v>41281</v>
      </c>
      <c r="F684" s="1735">
        <v>3.911</v>
      </c>
      <c r="G684" s="1788"/>
      <c r="H684" s="1762">
        <f t="shared" si="139"/>
        <v>0.56399999999999995</v>
      </c>
      <c r="I684" s="1763">
        <f t="shared" si="148"/>
        <v>0.55900000000000005</v>
      </c>
      <c r="J684" s="1784">
        <v>0.3</v>
      </c>
      <c r="K684" s="1763">
        <f t="shared" si="149"/>
        <v>0.29799999999999999</v>
      </c>
      <c r="L684" s="1764">
        <f t="shared" si="146"/>
        <v>0.57000000000000028</v>
      </c>
      <c r="M684" s="1765">
        <f t="shared" si="144"/>
        <v>0.56000000000000028</v>
      </c>
    </row>
    <row r="685" spans="1:13">
      <c r="A685" s="1749">
        <f t="shared" si="141"/>
        <v>41275</v>
      </c>
      <c r="B685" s="1749" t="str">
        <f t="shared" si="142"/>
        <v>1Q13</v>
      </c>
      <c r="C685" s="1749" t="str">
        <f t="shared" si="143"/>
        <v>1Q13</v>
      </c>
      <c r="D685" s="1750">
        <f t="shared" si="150"/>
        <v>41295</v>
      </c>
      <c r="E685" s="1750">
        <f t="shared" si="150"/>
        <v>41288</v>
      </c>
      <c r="F685" s="1735">
        <v>3.8940000000000001</v>
      </c>
      <c r="G685" s="1788"/>
      <c r="H685" s="1762">
        <f t="shared" si="139"/>
        <v>0.55900000000000005</v>
      </c>
      <c r="I685" s="1763">
        <f t="shared" si="148"/>
        <v>0.56399999999999995</v>
      </c>
      <c r="J685" s="1784">
        <v>0.29799999999999999</v>
      </c>
      <c r="K685" s="1763">
        <f t="shared" si="149"/>
        <v>0.29899999999999999</v>
      </c>
      <c r="L685" s="1764">
        <f t="shared" si="146"/>
        <v>0.56000000000000028</v>
      </c>
      <c r="M685" s="1765">
        <f t="shared" si="144"/>
        <v>0.57000000000000028</v>
      </c>
    </row>
    <row r="686" spans="1:13">
      <c r="A686" s="1749">
        <f t="shared" si="141"/>
        <v>41275</v>
      </c>
      <c r="B686" s="1749" t="str">
        <f t="shared" si="142"/>
        <v>1Q13</v>
      </c>
      <c r="C686" s="1749" t="str">
        <f t="shared" si="143"/>
        <v>1Q13</v>
      </c>
      <c r="D686" s="1750">
        <f t="shared" si="150"/>
        <v>41302</v>
      </c>
      <c r="E686" s="1750">
        <f t="shared" si="150"/>
        <v>41295</v>
      </c>
      <c r="F686" s="1735">
        <v>3.9020000000000001</v>
      </c>
      <c r="G686" s="1788"/>
      <c r="H686" s="1762">
        <f t="shared" si="139"/>
        <v>0.56399999999999995</v>
      </c>
      <c r="I686" s="1763">
        <f t="shared" si="148"/>
        <v>0.56399999999999995</v>
      </c>
      <c r="J686" s="1784">
        <v>0.29899999999999999</v>
      </c>
      <c r="K686" s="1763">
        <f t="shared" si="149"/>
        <v>0.30099999999999999</v>
      </c>
      <c r="L686" s="1764">
        <f t="shared" si="146"/>
        <v>0.57000000000000028</v>
      </c>
      <c r="M686" s="1765">
        <f t="shared" si="144"/>
        <v>0.57000000000000028</v>
      </c>
    </row>
    <row r="687" spans="1:13">
      <c r="A687" s="1749">
        <f t="shared" si="141"/>
        <v>41306</v>
      </c>
      <c r="B687" s="1749" t="str">
        <f t="shared" si="142"/>
        <v>1Q13</v>
      </c>
      <c r="C687" s="1749" t="str">
        <f t="shared" si="143"/>
        <v>1Q13</v>
      </c>
      <c r="D687" s="1750">
        <f t="shared" si="150"/>
        <v>41309</v>
      </c>
      <c r="E687" s="1750">
        <f t="shared" si="150"/>
        <v>41302</v>
      </c>
      <c r="F687" s="1735">
        <v>3.927</v>
      </c>
      <c r="G687" s="1788"/>
      <c r="H687" s="1762">
        <f t="shared" si="139"/>
        <v>0.56399999999999995</v>
      </c>
      <c r="I687" s="1763">
        <f t="shared" si="148"/>
        <v>0.57399999999999995</v>
      </c>
      <c r="J687" s="1784">
        <v>0.30099999999999999</v>
      </c>
      <c r="K687" s="1763">
        <f t="shared" si="149"/>
        <v>0.311</v>
      </c>
      <c r="L687" s="1764">
        <f t="shared" si="146"/>
        <v>0.57000000000000028</v>
      </c>
      <c r="M687" s="1765">
        <f t="shared" si="144"/>
        <v>0.5900000000000003</v>
      </c>
    </row>
    <row r="688" spans="1:13">
      <c r="A688" s="1749">
        <f t="shared" si="141"/>
        <v>41306</v>
      </c>
      <c r="B688" s="1749" t="str">
        <f t="shared" si="142"/>
        <v>1Q13</v>
      </c>
      <c r="C688" s="1749" t="str">
        <f t="shared" si="143"/>
        <v>1Q13</v>
      </c>
      <c r="D688" s="1750">
        <f t="shared" si="150"/>
        <v>41316</v>
      </c>
      <c r="E688" s="1750">
        <f t="shared" si="150"/>
        <v>41309</v>
      </c>
      <c r="F688" s="1735">
        <v>4.0220000000000002</v>
      </c>
      <c r="G688" s="1788"/>
      <c r="H688" s="1762">
        <f t="shared" si="139"/>
        <v>0.57399999999999995</v>
      </c>
      <c r="I688" s="1763">
        <f t="shared" si="148"/>
        <v>0.58399999999999996</v>
      </c>
      <c r="J688" s="1784">
        <v>0.311</v>
      </c>
      <c r="K688" s="1763">
        <f t="shared" si="149"/>
        <v>0.31900000000000001</v>
      </c>
      <c r="L688" s="1764">
        <f t="shared" si="146"/>
        <v>0.5900000000000003</v>
      </c>
      <c r="M688" s="1765">
        <f t="shared" si="144"/>
        <v>0.61000000000000032</v>
      </c>
    </row>
    <row r="689" spans="1:13">
      <c r="A689" s="1749">
        <f t="shared" si="141"/>
        <v>41306</v>
      </c>
      <c r="B689" s="1749" t="str">
        <f t="shared" si="142"/>
        <v>1Q13</v>
      </c>
      <c r="C689" s="1749" t="str">
        <f t="shared" si="143"/>
        <v>1Q13</v>
      </c>
      <c r="D689" s="1750">
        <f t="shared" si="150"/>
        <v>41323</v>
      </c>
      <c r="E689" s="1750">
        <f t="shared" si="150"/>
        <v>41316</v>
      </c>
      <c r="F689" s="1735">
        <v>4.1040000000000001</v>
      </c>
      <c r="G689" s="1788"/>
      <c r="H689" s="1762">
        <f t="shared" ref="H689:H752" si="151">INDEX($O$4:$R$440,MATCH(F689,$O$4:$O$440,1),3)</f>
        <v>0.58399999999999996</v>
      </c>
      <c r="I689" s="1763">
        <f t="shared" si="148"/>
        <v>0.58899999999999997</v>
      </c>
      <c r="J689" s="1784">
        <v>0.31900000000000001</v>
      </c>
      <c r="K689" s="1763">
        <f t="shared" si="149"/>
        <v>0.32400000000000001</v>
      </c>
      <c r="L689" s="1764">
        <f t="shared" si="146"/>
        <v>0.61000000000000032</v>
      </c>
      <c r="M689" s="1765">
        <f t="shared" si="144"/>
        <v>0.62000000000000033</v>
      </c>
    </row>
    <row r="690" spans="1:13">
      <c r="A690" s="1749">
        <f t="shared" si="141"/>
        <v>41306</v>
      </c>
      <c r="B690" s="1749" t="str">
        <f t="shared" si="142"/>
        <v>1Q13</v>
      </c>
      <c r="C690" s="1749" t="str">
        <f t="shared" si="143"/>
        <v>1Q13</v>
      </c>
      <c r="D690" s="1750">
        <f t="shared" si="150"/>
        <v>41330</v>
      </c>
      <c r="E690" s="1750">
        <f t="shared" si="150"/>
        <v>41323</v>
      </c>
      <c r="F690" s="1735">
        <v>4.157</v>
      </c>
      <c r="G690" s="1788"/>
      <c r="H690" s="1762">
        <f t="shared" si="151"/>
        <v>0.58899999999999997</v>
      </c>
      <c r="I690" s="1763">
        <f t="shared" si="148"/>
        <v>0.58899999999999997</v>
      </c>
      <c r="J690" s="1784">
        <v>0.32400000000000001</v>
      </c>
      <c r="K690" s="1763">
        <f t="shared" si="149"/>
        <v>0.32400000000000001</v>
      </c>
      <c r="L690" s="1764">
        <f t="shared" si="146"/>
        <v>0.62000000000000033</v>
      </c>
      <c r="M690" s="1765">
        <f t="shared" si="144"/>
        <v>0.62000000000000033</v>
      </c>
    </row>
    <row r="691" spans="1:13">
      <c r="A691" s="1749">
        <f t="shared" si="141"/>
        <v>41334</v>
      </c>
      <c r="B691" s="1749" t="str">
        <f t="shared" si="142"/>
        <v>1Q13</v>
      </c>
      <c r="C691" s="1749" t="str">
        <f t="shared" si="143"/>
        <v>1Q13</v>
      </c>
      <c r="D691" s="1750">
        <f t="shared" si="150"/>
        <v>41337</v>
      </c>
      <c r="E691" s="1750">
        <f t="shared" si="150"/>
        <v>41330</v>
      </c>
      <c r="F691" s="1735">
        <v>4.1589999999999998</v>
      </c>
      <c r="G691" s="1788"/>
      <c r="H691" s="1762">
        <f t="shared" si="151"/>
        <v>0.58899999999999997</v>
      </c>
      <c r="I691" s="1763">
        <f t="shared" si="148"/>
        <v>0.58399999999999996</v>
      </c>
      <c r="J691" s="1784">
        <v>0.32400000000000001</v>
      </c>
      <c r="K691" s="1763">
        <f t="shared" si="149"/>
        <v>0.32200000000000001</v>
      </c>
      <c r="L691" s="1764">
        <f t="shared" si="146"/>
        <v>0.62000000000000033</v>
      </c>
      <c r="M691" s="1765">
        <f t="shared" si="144"/>
        <v>0.61000000000000032</v>
      </c>
    </row>
    <row r="692" spans="1:13">
      <c r="A692" s="1749">
        <f t="shared" si="141"/>
        <v>41334</v>
      </c>
      <c r="B692" s="1749" t="str">
        <f t="shared" si="142"/>
        <v>1Q13</v>
      </c>
      <c r="C692" s="1749" t="str">
        <f t="shared" si="143"/>
        <v>1Q13</v>
      </c>
      <c r="D692" s="1750">
        <f t="shared" si="150"/>
        <v>41344</v>
      </c>
      <c r="E692" s="1750">
        <f t="shared" si="150"/>
        <v>41337</v>
      </c>
      <c r="F692" s="1735">
        <v>4.13</v>
      </c>
      <c r="G692" s="1788"/>
      <c r="H692" s="1762">
        <f t="shared" si="151"/>
        <v>0.58399999999999996</v>
      </c>
      <c r="I692" s="1763">
        <f t="shared" si="148"/>
        <v>0.57899999999999996</v>
      </c>
      <c r="J692" s="1784">
        <v>0.32200000000000001</v>
      </c>
      <c r="K692" s="1763">
        <f t="shared" si="149"/>
        <v>0.317</v>
      </c>
      <c r="L692" s="1764">
        <f t="shared" si="146"/>
        <v>0.61000000000000032</v>
      </c>
      <c r="M692" s="1765">
        <f t="shared" si="144"/>
        <v>0.60000000000000031</v>
      </c>
    </row>
    <row r="693" spans="1:13">
      <c r="A693" s="1749">
        <f t="shared" si="141"/>
        <v>41334</v>
      </c>
      <c r="B693" s="1749" t="str">
        <f t="shared" si="142"/>
        <v>1Q13</v>
      </c>
      <c r="C693" s="1749" t="str">
        <f t="shared" si="143"/>
        <v>1Q13</v>
      </c>
      <c r="D693" s="1750">
        <f t="shared" ref="D693:E708" si="152">D692+7</f>
        <v>41351</v>
      </c>
      <c r="E693" s="1750">
        <f t="shared" si="152"/>
        <v>41344</v>
      </c>
      <c r="F693" s="1735">
        <v>4.0880000000000001</v>
      </c>
      <c r="G693" s="1788"/>
      <c r="H693" s="1762">
        <f t="shared" si="151"/>
        <v>0.57899999999999996</v>
      </c>
      <c r="I693" s="1763">
        <f t="shared" si="148"/>
        <v>0.57399999999999995</v>
      </c>
      <c r="J693" s="1784">
        <v>0.317</v>
      </c>
      <c r="K693" s="1763">
        <f t="shared" si="149"/>
        <v>0.313</v>
      </c>
      <c r="L693" s="1764">
        <f t="shared" si="146"/>
        <v>0.60000000000000031</v>
      </c>
      <c r="M693" s="1765">
        <f t="shared" si="144"/>
        <v>0.5900000000000003</v>
      </c>
    </row>
    <row r="694" spans="1:13">
      <c r="A694" s="1749">
        <f t="shared" si="141"/>
        <v>41334</v>
      </c>
      <c r="B694" s="1749" t="str">
        <f t="shared" si="142"/>
        <v>1Q13</v>
      </c>
      <c r="C694" s="1749" t="str">
        <f t="shared" si="143"/>
        <v>1Q13</v>
      </c>
      <c r="D694" s="1750">
        <f t="shared" si="152"/>
        <v>41358</v>
      </c>
      <c r="E694" s="1750">
        <f t="shared" si="152"/>
        <v>41351</v>
      </c>
      <c r="F694" s="1735">
        <v>4.0469999999999997</v>
      </c>
      <c r="G694" s="1788"/>
      <c r="H694" s="1762">
        <f t="shared" si="151"/>
        <v>0.57399999999999995</v>
      </c>
      <c r="I694" s="1763">
        <f t="shared" si="148"/>
        <v>0.57399999999999995</v>
      </c>
      <c r="J694" s="1784">
        <v>0.313</v>
      </c>
      <c r="K694" s="1763">
        <f t="shared" si="149"/>
        <v>0.309</v>
      </c>
      <c r="L694" s="1764">
        <f t="shared" si="146"/>
        <v>0.5900000000000003</v>
      </c>
      <c r="M694" s="1765">
        <f t="shared" si="144"/>
        <v>0.5900000000000003</v>
      </c>
    </row>
    <row r="695" spans="1:13">
      <c r="A695" s="1749">
        <f t="shared" si="141"/>
        <v>41365</v>
      </c>
      <c r="B695" s="1749" t="str">
        <f t="shared" si="142"/>
        <v>2Q13</v>
      </c>
      <c r="C695" s="1749" t="str">
        <f t="shared" si="143"/>
        <v>1Q13</v>
      </c>
      <c r="D695" s="1750">
        <f t="shared" si="152"/>
        <v>41365</v>
      </c>
      <c r="E695" s="1750">
        <f t="shared" si="152"/>
        <v>41358</v>
      </c>
      <c r="F695" s="1735">
        <v>4.0060000000000002</v>
      </c>
      <c r="G695" s="1788"/>
      <c r="H695" s="1762">
        <f t="shared" si="151"/>
        <v>0.57399999999999995</v>
      </c>
      <c r="I695" s="1763">
        <f t="shared" si="148"/>
        <v>0.56899999999999995</v>
      </c>
      <c r="J695" s="1784">
        <v>0.309</v>
      </c>
      <c r="K695" s="1763">
        <f t="shared" si="149"/>
        <v>0.308</v>
      </c>
      <c r="L695" s="1764">
        <f t="shared" si="146"/>
        <v>0.5900000000000003</v>
      </c>
      <c r="M695" s="1765">
        <f t="shared" si="144"/>
        <v>0.58000000000000029</v>
      </c>
    </row>
    <row r="696" spans="1:13">
      <c r="A696" s="1749">
        <f t="shared" si="141"/>
        <v>41365</v>
      </c>
      <c r="B696" s="1749" t="str">
        <f t="shared" si="142"/>
        <v>2Q13</v>
      </c>
      <c r="C696" s="1749" t="str">
        <f t="shared" si="143"/>
        <v>2Q13</v>
      </c>
      <c r="D696" s="1750">
        <f t="shared" si="152"/>
        <v>41372</v>
      </c>
      <c r="E696" s="1750">
        <f t="shared" si="152"/>
        <v>41365</v>
      </c>
      <c r="F696" s="1735">
        <v>3.9929999999999999</v>
      </c>
      <c r="G696" s="1788"/>
      <c r="H696" s="1762">
        <f t="shared" si="151"/>
        <v>0.56899999999999995</v>
      </c>
      <c r="I696" s="1763">
        <f t="shared" si="148"/>
        <v>0.56899999999999995</v>
      </c>
      <c r="J696" s="1784">
        <v>0.308</v>
      </c>
      <c r="K696" s="1763">
        <f t="shared" si="149"/>
        <v>0.30599999999999999</v>
      </c>
      <c r="L696" s="1764">
        <f t="shared" si="146"/>
        <v>0.58000000000000029</v>
      </c>
      <c r="M696" s="1765">
        <f t="shared" si="144"/>
        <v>0.58000000000000029</v>
      </c>
    </row>
    <row r="697" spans="1:13">
      <c r="A697" s="1749">
        <f t="shared" si="141"/>
        <v>41365</v>
      </c>
      <c r="B697" s="1749" t="str">
        <f t="shared" si="142"/>
        <v>2Q13</v>
      </c>
      <c r="C697" s="1749" t="str">
        <f t="shared" si="143"/>
        <v>2Q13</v>
      </c>
      <c r="D697" s="1750">
        <f t="shared" si="152"/>
        <v>41379</v>
      </c>
      <c r="E697" s="1750">
        <f t="shared" si="152"/>
        <v>41372</v>
      </c>
      <c r="F697" s="1735">
        <v>3.9769999999999999</v>
      </c>
      <c r="G697" s="1788"/>
      <c r="H697" s="1762">
        <f t="shared" si="151"/>
        <v>0.56899999999999995</v>
      </c>
      <c r="I697" s="1763">
        <f t="shared" si="148"/>
        <v>0.56399999999999995</v>
      </c>
      <c r="J697" s="1784">
        <v>0.30599999999999999</v>
      </c>
      <c r="K697" s="1763">
        <f t="shared" si="149"/>
        <v>0.30299999999999999</v>
      </c>
      <c r="L697" s="1764">
        <f t="shared" si="146"/>
        <v>0.58000000000000029</v>
      </c>
      <c r="M697" s="1765">
        <f t="shared" si="144"/>
        <v>0.57000000000000028</v>
      </c>
    </row>
    <row r="698" spans="1:13">
      <c r="A698" s="1749">
        <f t="shared" si="141"/>
        <v>41365</v>
      </c>
      <c r="B698" s="1749" t="str">
        <f t="shared" si="142"/>
        <v>2Q13</v>
      </c>
      <c r="C698" s="1749" t="str">
        <f t="shared" si="143"/>
        <v>2Q13</v>
      </c>
      <c r="D698" s="1750">
        <f t="shared" si="152"/>
        <v>41386</v>
      </c>
      <c r="E698" s="1750">
        <f t="shared" si="152"/>
        <v>41379</v>
      </c>
      <c r="F698" s="1735">
        <v>3.9420000000000002</v>
      </c>
      <c r="G698" s="1788"/>
      <c r="H698" s="1762">
        <f t="shared" si="151"/>
        <v>0.56399999999999995</v>
      </c>
      <c r="I698" s="1763">
        <f t="shared" si="148"/>
        <v>0.55900000000000005</v>
      </c>
      <c r="J698" s="1784">
        <v>0.30299999999999999</v>
      </c>
      <c r="K698" s="1763">
        <f t="shared" si="149"/>
        <v>0.29699999999999999</v>
      </c>
      <c r="L698" s="1764">
        <f t="shared" si="146"/>
        <v>0.57000000000000028</v>
      </c>
      <c r="M698" s="1765">
        <f t="shared" si="144"/>
        <v>0.56000000000000028</v>
      </c>
    </row>
    <row r="699" spans="1:13">
      <c r="A699" s="1749">
        <f t="shared" si="141"/>
        <v>41365</v>
      </c>
      <c r="B699" s="1749" t="str">
        <f t="shared" si="142"/>
        <v>2Q13</v>
      </c>
      <c r="C699" s="1749" t="str">
        <f t="shared" si="143"/>
        <v>2Q13</v>
      </c>
      <c r="D699" s="1750">
        <f t="shared" si="152"/>
        <v>41393</v>
      </c>
      <c r="E699" s="1750">
        <f t="shared" si="152"/>
        <v>41386</v>
      </c>
      <c r="F699" s="1735">
        <v>3.887</v>
      </c>
      <c r="G699" s="1788"/>
      <c r="H699" s="1762">
        <f t="shared" si="151"/>
        <v>0.55900000000000005</v>
      </c>
      <c r="I699" s="1763">
        <f t="shared" si="148"/>
        <v>0.55900000000000005</v>
      </c>
      <c r="J699" s="1784">
        <v>0.29699999999999999</v>
      </c>
      <c r="K699" s="1763">
        <f t="shared" si="149"/>
        <v>0.29399999999999998</v>
      </c>
      <c r="L699" s="1764">
        <f t="shared" si="146"/>
        <v>0.56000000000000028</v>
      </c>
      <c r="M699" s="1765">
        <f t="shared" si="144"/>
        <v>0.56000000000000028</v>
      </c>
    </row>
    <row r="700" spans="1:13">
      <c r="A700" s="1749">
        <f t="shared" si="141"/>
        <v>41395</v>
      </c>
      <c r="B700" s="1749" t="str">
        <f t="shared" si="142"/>
        <v>2Q13</v>
      </c>
      <c r="C700" s="1749" t="str">
        <f t="shared" si="143"/>
        <v>2Q13</v>
      </c>
      <c r="D700" s="1750">
        <f t="shared" si="152"/>
        <v>41400</v>
      </c>
      <c r="E700" s="1750">
        <f t="shared" si="152"/>
        <v>41393</v>
      </c>
      <c r="F700" s="1735">
        <v>3.851</v>
      </c>
      <c r="G700" s="1788"/>
      <c r="H700" s="1762">
        <f t="shared" si="151"/>
        <v>0.55900000000000005</v>
      </c>
      <c r="I700" s="1763">
        <f t="shared" si="148"/>
        <v>0.55400000000000005</v>
      </c>
      <c r="J700" s="1784">
        <v>0.29399999999999998</v>
      </c>
      <c r="K700" s="1763">
        <f t="shared" si="149"/>
        <v>0.29299999999999998</v>
      </c>
      <c r="L700" s="1764">
        <f t="shared" si="146"/>
        <v>0.56000000000000028</v>
      </c>
      <c r="M700" s="1765">
        <f t="shared" si="144"/>
        <v>0.55000000000000027</v>
      </c>
    </row>
    <row r="701" spans="1:13">
      <c r="A701" s="1749">
        <f t="shared" si="141"/>
        <v>41395</v>
      </c>
      <c r="B701" s="1749" t="str">
        <f t="shared" si="142"/>
        <v>2Q13</v>
      </c>
      <c r="C701" s="1749" t="str">
        <f t="shared" si="143"/>
        <v>2Q13</v>
      </c>
      <c r="D701" s="1750">
        <f t="shared" si="152"/>
        <v>41407</v>
      </c>
      <c r="E701" s="1750">
        <f t="shared" si="152"/>
        <v>41400</v>
      </c>
      <c r="F701" s="1735">
        <v>3.8450000000000002</v>
      </c>
      <c r="G701" s="1788"/>
      <c r="H701" s="1762">
        <f t="shared" si="151"/>
        <v>0.55400000000000005</v>
      </c>
      <c r="I701" s="1763">
        <f t="shared" si="148"/>
        <v>0.55900000000000005</v>
      </c>
      <c r="J701" s="1784">
        <v>0.29299999999999998</v>
      </c>
      <c r="K701" s="1763">
        <f t="shared" si="149"/>
        <v>0.29499999999999998</v>
      </c>
      <c r="L701" s="1764">
        <f t="shared" si="146"/>
        <v>0.55000000000000027</v>
      </c>
      <c r="M701" s="1765">
        <f t="shared" si="144"/>
        <v>0.56000000000000028</v>
      </c>
    </row>
    <row r="702" spans="1:13">
      <c r="A702" s="1749">
        <f t="shared" si="141"/>
        <v>41395</v>
      </c>
      <c r="B702" s="1749" t="str">
        <f t="shared" si="142"/>
        <v>2Q13</v>
      </c>
      <c r="C702" s="1749" t="str">
        <f t="shared" si="143"/>
        <v>2Q13</v>
      </c>
      <c r="D702" s="1750">
        <f t="shared" si="152"/>
        <v>41414</v>
      </c>
      <c r="E702" s="1750">
        <f t="shared" si="152"/>
        <v>41407</v>
      </c>
      <c r="F702" s="1735">
        <v>3.8660000000000001</v>
      </c>
      <c r="G702" s="1788"/>
      <c r="H702" s="1762">
        <f t="shared" si="151"/>
        <v>0.55900000000000005</v>
      </c>
      <c r="I702" s="1763">
        <f t="shared" si="148"/>
        <v>0.55900000000000005</v>
      </c>
      <c r="J702" s="1784">
        <v>0.29499999999999998</v>
      </c>
      <c r="K702" s="1763">
        <f t="shared" si="149"/>
        <v>0.29799999999999999</v>
      </c>
      <c r="L702" s="1764">
        <f t="shared" si="146"/>
        <v>0.56000000000000028</v>
      </c>
      <c r="M702" s="1765">
        <f t="shared" si="144"/>
        <v>0.56000000000000028</v>
      </c>
    </row>
    <row r="703" spans="1:13">
      <c r="A703" s="1749">
        <f t="shared" si="141"/>
        <v>41395</v>
      </c>
      <c r="B703" s="1749" t="str">
        <f t="shared" si="142"/>
        <v>2Q13</v>
      </c>
      <c r="C703" s="1749" t="str">
        <f t="shared" si="143"/>
        <v>2Q13</v>
      </c>
      <c r="D703" s="1750">
        <f t="shared" si="152"/>
        <v>41421</v>
      </c>
      <c r="E703" s="1750">
        <f t="shared" si="152"/>
        <v>41414</v>
      </c>
      <c r="F703" s="1735">
        <v>3.89</v>
      </c>
      <c r="G703" s="1788"/>
      <c r="H703" s="1762">
        <f t="shared" si="151"/>
        <v>0.55900000000000005</v>
      </c>
      <c r="I703" s="1763">
        <f t="shared" si="148"/>
        <v>0.55900000000000005</v>
      </c>
      <c r="J703" s="1784">
        <v>0.29799999999999999</v>
      </c>
      <c r="K703" s="1763">
        <f t="shared" si="149"/>
        <v>0.29699999999999999</v>
      </c>
      <c r="L703" s="1764">
        <f t="shared" si="146"/>
        <v>0.56000000000000028</v>
      </c>
      <c r="M703" s="1765">
        <f t="shared" si="144"/>
        <v>0.56000000000000028</v>
      </c>
    </row>
    <row r="704" spans="1:13">
      <c r="A704" s="1749">
        <f t="shared" si="141"/>
        <v>41426</v>
      </c>
      <c r="B704" s="1749" t="str">
        <f t="shared" si="142"/>
        <v>2Q13</v>
      </c>
      <c r="C704" s="1749" t="str">
        <f t="shared" si="143"/>
        <v>2Q13</v>
      </c>
      <c r="D704" s="1750">
        <f t="shared" si="152"/>
        <v>41428</v>
      </c>
      <c r="E704" s="1750">
        <f t="shared" si="152"/>
        <v>41421</v>
      </c>
      <c r="F704" s="1735">
        <v>3.88</v>
      </c>
      <c r="G704" s="1788"/>
      <c r="H704" s="1762">
        <f t="shared" si="151"/>
        <v>0.55900000000000005</v>
      </c>
      <c r="I704" s="1763">
        <f t="shared" si="148"/>
        <v>0.55900000000000005</v>
      </c>
      <c r="J704" s="1784">
        <v>0.29699999999999999</v>
      </c>
      <c r="K704" s="1763">
        <f t="shared" si="149"/>
        <v>0.29499999999999998</v>
      </c>
      <c r="L704" s="1764">
        <f t="shared" si="146"/>
        <v>0.56000000000000028</v>
      </c>
      <c r="M704" s="1765">
        <f t="shared" si="144"/>
        <v>0.56000000000000028</v>
      </c>
    </row>
    <row r="705" spans="1:13">
      <c r="A705" s="1749">
        <f t="shared" si="141"/>
        <v>41426</v>
      </c>
      <c r="B705" s="1749" t="str">
        <f t="shared" si="142"/>
        <v>2Q13</v>
      </c>
      <c r="C705" s="1749" t="str">
        <f t="shared" si="143"/>
        <v>2Q13</v>
      </c>
      <c r="D705" s="1750">
        <f t="shared" si="152"/>
        <v>41435</v>
      </c>
      <c r="E705" s="1750">
        <f t="shared" si="152"/>
        <v>41428</v>
      </c>
      <c r="F705" s="1735">
        <v>3.8690000000000002</v>
      </c>
      <c r="G705" s="1788"/>
      <c r="H705" s="1762">
        <f t="shared" si="151"/>
        <v>0.55900000000000005</v>
      </c>
      <c r="I705" s="1763">
        <f t="shared" si="148"/>
        <v>0.55400000000000005</v>
      </c>
      <c r="J705" s="1784">
        <v>0.29499999999999998</v>
      </c>
      <c r="K705" s="1763">
        <f t="shared" si="149"/>
        <v>0.29299999999999998</v>
      </c>
      <c r="L705" s="1764">
        <f t="shared" si="146"/>
        <v>0.56000000000000028</v>
      </c>
      <c r="M705" s="1765">
        <f t="shared" si="144"/>
        <v>0.55000000000000027</v>
      </c>
    </row>
    <row r="706" spans="1:13">
      <c r="A706" s="1749">
        <f t="shared" si="141"/>
        <v>41426</v>
      </c>
      <c r="B706" s="1749" t="str">
        <f t="shared" si="142"/>
        <v>2Q13</v>
      </c>
      <c r="C706" s="1749" t="str">
        <f t="shared" si="143"/>
        <v>2Q13</v>
      </c>
      <c r="D706" s="1750">
        <f t="shared" si="152"/>
        <v>41442</v>
      </c>
      <c r="E706" s="1750">
        <f t="shared" si="152"/>
        <v>41435</v>
      </c>
      <c r="F706" s="1735">
        <v>3.8490000000000002</v>
      </c>
      <c r="G706" s="1788"/>
      <c r="H706" s="1762">
        <f t="shared" si="151"/>
        <v>0.55400000000000005</v>
      </c>
      <c r="I706" s="1763">
        <f t="shared" si="148"/>
        <v>0.55400000000000005</v>
      </c>
      <c r="J706" s="1784">
        <v>0.29299999999999998</v>
      </c>
      <c r="K706" s="1763">
        <f t="shared" si="149"/>
        <v>0.29299999999999998</v>
      </c>
      <c r="L706" s="1764">
        <f t="shared" si="146"/>
        <v>0.55000000000000027</v>
      </c>
      <c r="M706" s="1765">
        <f t="shared" si="144"/>
        <v>0.55000000000000027</v>
      </c>
    </row>
    <row r="707" spans="1:13">
      <c r="A707" s="1749">
        <f t="shared" si="141"/>
        <v>41426</v>
      </c>
      <c r="B707" s="1749" t="str">
        <f t="shared" si="142"/>
        <v>2Q13</v>
      </c>
      <c r="C707" s="1749" t="str">
        <f t="shared" si="143"/>
        <v>2Q13</v>
      </c>
      <c r="D707" s="1750">
        <f t="shared" si="152"/>
        <v>41449</v>
      </c>
      <c r="E707" s="1750">
        <f t="shared" si="152"/>
        <v>41442</v>
      </c>
      <c r="F707" s="1735">
        <v>3.8410000000000002</v>
      </c>
      <c r="G707" s="1788"/>
      <c r="H707" s="1762">
        <f t="shared" si="151"/>
        <v>0.55400000000000005</v>
      </c>
      <c r="I707" s="1763">
        <f t="shared" si="148"/>
        <v>0.55400000000000005</v>
      </c>
      <c r="J707" s="1784">
        <v>0.29299999999999998</v>
      </c>
      <c r="K707" s="1763">
        <f t="shared" si="149"/>
        <v>0.29199999999999998</v>
      </c>
      <c r="L707" s="1764">
        <f t="shared" si="146"/>
        <v>0.55000000000000027</v>
      </c>
      <c r="M707" s="1765">
        <f t="shared" si="144"/>
        <v>0.55000000000000027</v>
      </c>
    </row>
    <row r="708" spans="1:13">
      <c r="A708" s="1749">
        <f t="shared" ref="A708:A771" si="153">DATE(YEAR(D708),MONTH(D708),1)</f>
        <v>41456</v>
      </c>
      <c r="B708" s="1749" t="str">
        <f t="shared" ref="B708:B771" si="154">VLOOKUP(MONTH(A708),$AB$4:$AC$17,2,FALSE) &amp; "Q" &amp; RIGHT(YEAR(A708),2)</f>
        <v>3Q13</v>
      </c>
      <c r="C708" s="1749" t="str">
        <f t="shared" ref="C708:C771" si="155">VLOOKUP(MONTH(E708),$AB$4:$AC$17,2,FALSE) &amp; "Q" &amp; RIGHT(YEAR(E708),2)</f>
        <v>2Q13</v>
      </c>
      <c r="D708" s="1750">
        <f t="shared" si="152"/>
        <v>41456</v>
      </c>
      <c r="E708" s="1750">
        <f t="shared" si="152"/>
        <v>41449</v>
      </c>
      <c r="F708" s="1735">
        <v>3.8380000000000001</v>
      </c>
      <c r="G708" s="1788"/>
      <c r="H708" s="1762">
        <f t="shared" si="151"/>
        <v>0.55400000000000005</v>
      </c>
      <c r="I708" s="1763">
        <f t="shared" si="148"/>
        <v>0.55400000000000005</v>
      </c>
      <c r="J708" s="1784">
        <v>0.29199999999999998</v>
      </c>
      <c r="K708" s="1763">
        <f t="shared" si="149"/>
        <v>0.28999999999999998</v>
      </c>
      <c r="L708" s="1764">
        <f t="shared" si="146"/>
        <v>0.55000000000000027</v>
      </c>
      <c r="M708" s="1765">
        <f t="shared" ref="M708:M771" si="156">L709</f>
        <v>0.55000000000000027</v>
      </c>
    </row>
    <row r="709" spans="1:13">
      <c r="A709" s="1749">
        <f t="shared" si="153"/>
        <v>41456</v>
      </c>
      <c r="B709" s="1749" t="str">
        <f t="shared" si="154"/>
        <v>3Q13</v>
      </c>
      <c r="C709" s="1749" t="str">
        <f t="shared" si="155"/>
        <v>3Q13</v>
      </c>
      <c r="D709" s="1750">
        <f t="shared" ref="D709:E724" si="157">D708+7</f>
        <v>41463</v>
      </c>
      <c r="E709" s="1750">
        <f t="shared" si="157"/>
        <v>41456</v>
      </c>
      <c r="F709" s="1735">
        <v>3.8170000000000002</v>
      </c>
      <c r="G709" s="1788"/>
      <c r="H709" s="1762">
        <f t="shared" si="151"/>
        <v>0.55400000000000005</v>
      </c>
      <c r="I709" s="1763">
        <f t="shared" si="148"/>
        <v>0.55400000000000005</v>
      </c>
      <c r="J709" s="1784">
        <v>0.28999999999999998</v>
      </c>
      <c r="K709" s="1763">
        <f t="shared" si="149"/>
        <v>0.29099999999999998</v>
      </c>
      <c r="L709" s="1764">
        <f t="shared" ref="L709:L772" si="158">INDEX($T$4:$V$100,MATCH(F709,$T$4:$T$100,1),3)</f>
        <v>0.55000000000000027</v>
      </c>
      <c r="M709" s="1765">
        <f t="shared" si="156"/>
        <v>0.55000000000000027</v>
      </c>
    </row>
    <row r="710" spans="1:13">
      <c r="A710" s="1749">
        <f t="shared" si="153"/>
        <v>41456</v>
      </c>
      <c r="B710" s="1749" t="str">
        <f t="shared" si="154"/>
        <v>3Q13</v>
      </c>
      <c r="C710" s="1749" t="str">
        <f t="shared" si="155"/>
        <v>3Q13</v>
      </c>
      <c r="D710" s="1750">
        <f t="shared" si="157"/>
        <v>41470</v>
      </c>
      <c r="E710" s="1750">
        <f t="shared" si="157"/>
        <v>41463</v>
      </c>
      <c r="F710" s="1735">
        <v>3.8279999999999998</v>
      </c>
      <c r="G710" s="1788"/>
      <c r="H710" s="1762">
        <f t="shared" si="151"/>
        <v>0.55400000000000005</v>
      </c>
      <c r="I710" s="1763">
        <f t="shared" si="148"/>
        <v>0.55900000000000005</v>
      </c>
      <c r="J710" s="1784">
        <v>0.29099999999999998</v>
      </c>
      <c r="K710" s="1763">
        <f t="shared" si="149"/>
        <v>0.29499999999999998</v>
      </c>
      <c r="L710" s="1764">
        <f t="shared" si="158"/>
        <v>0.55000000000000027</v>
      </c>
      <c r="M710" s="1765">
        <f t="shared" si="156"/>
        <v>0.56000000000000028</v>
      </c>
    </row>
    <row r="711" spans="1:13">
      <c r="A711" s="1749">
        <f t="shared" si="153"/>
        <v>41456</v>
      </c>
      <c r="B711" s="1749" t="str">
        <f t="shared" si="154"/>
        <v>3Q13</v>
      </c>
      <c r="C711" s="1749" t="str">
        <f t="shared" si="155"/>
        <v>3Q13</v>
      </c>
      <c r="D711" s="1750">
        <f t="shared" si="157"/>
        <v>41477</v>
      </c>
      <c r="E711" s="1750">
        <f t="shared" si="157"/>
        <v>41470</v>
      </c>
      <c r="F711" s="1735">
        <v>3.867</v>
      </c>
      <c r="G711" s="1788"/>
      <c r="H711" s="1762">
        <f t="shared" si="151"/>
        <v>0.55900000000000005</v>
      </c>
      <c r="I711" s="1763">
        <f t="shared" si="148"/>
        <v>0.56399999999999995</v>
      </c>
      <c r="J711" s="1784">
        <v>0.29499999999999998</v>
      </c>
      <c r="K711" s="1763">
        <f t="shared" si="149"/>
        <v>0.29899999999999999</v>
      </c>
      <c r="L711" s="1764">
        <f t="shared" si="158"/>
        <v>0.56000000000000028</v>
      </c>
      <c r="M711" s="1765">
        <f t="shared" si="156"/>
        <v>0.57000000000000028</v>
      </c>
    </row>
    <row r="712" spans="1:13">
      <c r="A712" s="1749">
        <f t="shared" si="153"/>
        <v>41456</v>
      </c>
      <c r="B712" s="1749" t="str">
        <f t="shared" si="154"/>
        <v>3Q13</v>
      </c>
      <c r="C712" s="1749" t="str">
        <f t="shared" si="155"/>
        <v>3Q13</v>
      </c>
      <c r="D712" s="1750">
        <f t="shared" si="157"/>
        <v>41484</v>
      </c>
      <c r="E712" s="1750">
        <f t="shared" si="157"/>
        <v>41477</v>
      </c>
      <c r="F712" s="1735">
        <v>3.903</v>
      </c>
      <c r="G712" s="1788"/>
      <c r="H712" s="1762">
        <f t="shared" si="151"/>
        <v>0.56399999999999995</v>
      </c>
      <c r="I712" s="1763">
        <f t="shared" si="148"/>
        <v>0.56399999999999995</v>
      </c>
      <c r="J712" s="1784">
        <v>0.29899999999999999</v>
      </c>
      <c r="K712" s="1763">
        <f t="shared" si="149"/>
        <v>0.3</v>
      </c>
      <c r="L712" s="1764">
        <f t="shared" si="158"/>
        <v>0.57000000000000028</v>
      </c>
      <c r="M712" s="1765">
        <f t="shared" si="156"/>
        <v>0.57000000000000028</v>
      </c>
    </row>
    <row r="713" spans="1:13">
      <c r="A713" s="1749">
        <f t="shared" si="153"/>
        <v>41487</v>
      </c>
      <c r="B713" s="1749" t="str">
        <f t="shared" si="154"/>
        <v>3Q13</v>
      </c>
      <c r="C713" s="1749" t="str">
        <f t="shared" si="155"/>
        <v>3Q13</v>
      </c>
      <c r="D713" s="1750">
        <f t="shared" si="157"/>
        <v>41491</v>
      </c>
      <c r="E713" s="1750">
        <f t="shared" si="157"/>
        <v>41484</v>
      </c>
      <c r="F713" s="1735">
        <v>3.915</v>
      </c>
      <c r="G713" s="1788"/>
      <c r="H713" s="1762">
        <f t="shared" si="151"/>
        <v>0.56399999999999995</v>
      </c>
      <c r="I713" s="1763">
        <f t="shared" si="148"/>
        <v>0.56399999999999995</v>
      </c>
      <c r="J713" s="1784">
        <v>0.3</v>
      </c>
      <c r="K713" s="1763">
        <f t="shared" si="149"/>
        <v>0.29899999999999999</v>
      </c>
      <c r="L713" s="1764">
        <f t="shared" si="158"/>
        <v>0.57000000000000028</v>
      </c>
      <c r="M713" s="1765">
        <f t="shared" si="156"/>
        <v>0.57000000000000028</v>
      </c>
    </row>
    <row r="714" spans="1:13">
      <c r="A714" s="1749">
        <f t="shared" si="153"/>
        <v>41487</v>
      </c>
      <c r="B714" s="1749" t="str">
        <f t="shared" si="154"/>
        <v>3Q13</v>
      </c>
      <c r="C714" s="1749" t="str">
        <f t="shared" si="155"/>
        <v>3Q13</v>
      </c>
      <c r="D714" s="1750">
        <f t="shared" si="157"/>
        <v>41498</v>
      </c>
      <c r="E714" s="1750">
        <f t="shared" si="157"/>
        <v>41491</v>
      </c>
      <c r="F714" s="1735">
        <v>3.9089999999999998</v>
      </c>
      <c r="G714" s="1788"/>
      <c r="H714" s="1762">
        <f t="shared" si="151"/>
        <v>0.56399999999999995</v>
      </c>
      <c r="I714" s="1763">
        <f t="shared" si="148"/>
        <v>0.55900000000000005</v>
      </c>
      <c r="J714" s="1784">
        <v>0.29899999999999999</v>
      </c>
      <c r="K714" s="1763">
        <f t="shared" si="149"/>
        <v>0.29799999999999999</v>
      </c>
      <c r="L714" s="1764">
        <f t="shared" si="158"/>
        <v>0.57000000000000028</v>
      </c>
      <c r="M714" s="1765">
        <f t="shared" si="156"/>
        <v>0.56000000000000028</v>
      </c>
    </row>
    <row r="715" spans="1:13">
      <c r="A715" s="1749">
        <f t="shared" si="153"/>
        <v>41487</v>
      </c>
      <c r="B715" s="1749" t="str">
        <f t="shared" si="154"/>
        <v>3Q13</v>
      </c>
      <c r="C715" s="1749" t="str">
        <f t="shared" si="155"/>
        <v>3Q13</v>
      </c>
      <c r="D715" s="1750">
        <f t="shared" si="157"/>
        <v>41505</v>
      </c>
      <c r="E715" s="1750">
        <f t="shared" si="157"/>
        <v>41498</v>
      </c>
      <c r="F715" s="1735">
        <v>3.8959999999999999</v>
      </c>
      <c r="G715" s="1788"/>
      <c r="H715" s="1762">
        <f t="shared" si="151"/>
        <v>0.55900000000000005</v>
      </c>
      <c r="I715" s="1763">
        <f t="shared" si="148"/>
        <v>0.56399999999999995</v>
      </c>
      <c r="J715" s="1784">
        <v>0.29799999999999999</v>
      </c>
      <c r="K715" s="1763">
        <f t="shared" si="149"/>
        <v>0.29899999999999999</v>
      </c>
      <c r="L715" s="1764">
        <f t="shared" si="158"/>
        <v>0.56000000000000028</v>
      </c>
      <c r="M715" s="1765">
        <f t="shared" si="156"/>
        <v>0.57000000000000028</v>
      </c>
    </row>
    <row r="716" spans="1:13">
      <c r="A716" s="1749">
        <f t="shared" si="153"/>
        <v>41487</v>
      </c>
      <c r="B716" s="1749" t="str">
        <f t="shared" si="154"/>
        <v>3Q13</v>
      </c>
      <c r="C716" s="1749" t="str">
        <f t="shared" si="155"/>
        <v>3Q13</v>
      </c>
      <c r="D716" s="1750">
        <f t="shared" si="157"/>
        <v>41512</v>
      </c>
      <c r="E716" s="1750">
        <f t="shared" si="157"/>
        <v>41505</v>
      </c>
      <c r="F716" s="1735">
        <v>3.9</v>
      </c>
      <c r="G716" s="1788"/>
      <c r="H716" s="1762">
        <f t="shared" si="151"/>
        <v>0.56399999999999995</v>
      </c>
      <c r="I716" s="1763">
        <f t="shared" si="148"/>
        <v>0.56399999999999995</v>
      </c>
      <c r="J716" s="1784">
        <v>0.29899999999999999</v>
      </c>
      <c r="K716" s="1763">
        <f t="shared" si="149"/>
        <v>0.3</v>
      </c>
      <c r="L716" s="1764">
        <f t="shared" si="158"/>
        <v>0.57000000000000028</v>
      </c>
      <c r="M716" s="1765">
        <f t="shared" si="156"/>
        <v>0.57000000000000028</v>
      </c>
    </row>
    <row r="717" spans="1:13">
      <c r="A717" s="1749">
        <f t="shared" si="153"/>
        <v>41518</v>
      </c>
      <c r="B717" s="1749" t="str">
        <f t="shared" si="154"/>
        <v>3Q13</v>
      </c>
      <c r="C717" s="1749" t="str">
        <f t="shared" si="155"/>
        <v>3Q13</v>
      </c>
      <c r="D717" s="1750">
        <f t="shared" si="157"/>
        <v>41519</v>
      </c>
      <c r="E717" s="1750">
        <f t="shared" si="157"/>
        <v>41512</v>
      </c>
      <c r="F717" s="1735">
        <v>3.9129999999999998</v>
      </c>
      <c r="G717" s="1788"/>
      <c r="H717" s="1762">
        <f t="shared" si="151"/>
        <v>0.56399999999999995</v>
      </c>
      <c r="I717" s="1763">
        <f t="shared" si="148"/>
        <v>0.56899999999999995</v>
      </c>
      <c r="J717" s="1784">
        <v>0.3</v>
      </c>
      <c r="K717" s="1763">
        <f t="shared" si="149"/>
        <v>0.307</v>
      </c>
      <c r="L717" s="1764">
        <f t="shared" si="158"/>
        <v>0.57000000000000028</v>
      </c>
      <c r="M717" s="1765">
        <f t="shared" si="156"/>
        <v>0.58000000000000029</v>
      </c>
    </row>
    <row r="718" spans="1:13">
      <c r="A718" s="1749">
        <f t="shared" si="153"/>
        <v>41518</v>
      </c>
      <c r="B718" s="1749" t="str">
        <f t="shared" si="154"/>
        <v>3Q13</v>
      </c>
      <c r="C718" s="1749" t="str">
        <f t="shared" si="155"/>
        <v>3Q13</v>
      </c>
      <c r="D718" s="1750">
        <f t="shared" si="157"/>
        <v>41526</v>
      </c>
      <c r="E718" s="1750">
        <f t="shared" si="157"/>
        <v>41519</v>
      </c>
      <c r="F718" s="1735">
        <v>3.9809999999999999</v>
      </c>
      <c r="G718" s="1788"/>
      <c r="H718" s="1762">
        <f t="shared" si="151"/>
        <v>0.56899999999999995</v>
      </c>
      <c r="I718" s="1763">
        <f t="shared" si="148"/>
        <v>0.56899999999999995</v>
      </c>
      <c r="J718" s="1784">
        <v>0.307</v>
      </c>
      <c r="K718" s="1763">
        <f t="shared" si="149"/>
        <v>0.307</v>
      </c>
      <c r="L718" s="1764">
        <f t="shared" si="158"/>
        <v>0.58000000000000029</v>
      </c>
      <c r="M718" s="1765">
        <f t="shared" si="156"/>
        <v>0.58000000000000029</v>
      </c>
    </row>
    <row r="719" spans="1:13">
      <c r="A719" s="1749">
        <f t="shared" si="153"/>
        <v>41518</v>
      </c>
      <c r="B719" s="1749" t="str">
        <f t="shared" si="154"/>
        <v>3Q13</v>
      </c>
      <c r="C719" s="1749" t="str">
        <f t="shared" si="155"/>
        <v>3Q13</v>
      </c>
      <c r="D719" s="1750">
        <f t="shared" si="157"/>
        <v>41533</v>
      </c>
      <c r="E719" s="1750">
        <f t="shared" si="157"/>
        <v>41526</v>
      </c>
      <c r="F719" s="1735">
        <v>3.9809999999999999</v>
      </c>
      <c r="G719" s="1788"/>
      <c r="H719" s="1762">
        <f t="shared" si="151"/>
        <v>0.56899999999999995</v>
      </c>
      <c r="I719" s="1763">
        <f t="shared" si="148"/>
        <v>0.56899999999999995</v>
      </c>
      <c r="J719" s="1784">
        <v>0.307</v>
      </c>
      <c r="K719" s="1763">
        <f t="shared" si="149"/>
        <v>0.30599999999999999</v>
      </c>
      <c r="L719" s="1764">
        <f t="shared" si="158"/>
        <v>0.58000000000000029</v>
      </c>
      <c r="M719" s="1765">
        <f t="shared" si="156"/>
        <v>0.58000000000000029</v>
      </c>
    </row>
    <row r="720" spans="1:13">
      <c r="A720" s="1749">
        <f t="shared" si="153"/>
        <v>41518</v>
      </c>
      <c r="B720" s="1749" t="str">
        <f t="shared" si="154"/>
        <v>3Q13</v>
      </c>
      <c r="C720" s="1749" t="str">
        <f t="shared" si="155"/>
        <v>3Q13</v>
      </c>
      <c r="D720" s="1750">
        <f t="shared" si="157"/>
        <v>41540</v>
      </c>
      <c r="E720" s="1750">
        <f t="shared" si="157"/>
        <v>41533</v>
      </c>
      <c r="F720" s="1735">
        <v>3.9740000000000002</v>
      </c>
      <c r="G720" s="1788"/>
      <c r="H720" s="1762">
        <f t="shared" si="151"/>
        <v>0.56899999999999995</v>
      </c>
      <c r="I720" s="1763">
        <f t="shared" si="148"/>
        <v>0.56399999999999995</v>
      </c>
      <c r="J720" s="1784">
        <v>0.30599999999999999</v>
      </c>
      <c r="K720" s="1763">
        <f t="shared" si="149"/>
        <v>0.30299999999999999</v>
      </c>
      <c r="L720" s="1764">
        <f t="shared" si="158"/>
        <v>0.58000000000000029</v>
      </c>
      <c r="M720" s="1765">
        <f t="shared" si="156"/>
        <v>0.57000000000000028</v>
      </c>
    </row>
    <row r="721" spans="1:13">
      <c r="A721" s="1749">
        <f t="shared" si="153"/>
        <v>41518</v>
      </c>
      <c r="B721" s="1749" t="str">
        <f t="shared" si="154"/>
        <v>3Q13</v>
      </c>
      <c r="C721" s="1749" t="str">
        <f t="shared" si="155"/>
        <v>3Q13</v>
      </c>
      <c r="D721" s="1750">
        <f t="shared" si="157"/>
        <v>41547</v>
      </c>
      <c r="E721" s="1750">
        <f t="shared" si="157"/>
        <v>41540</v>
      </c>
      <c r="F721" s="1735">
        <v>3.9489999999999998</v>
      </c>
      <c r="G721" s="1788"/>
      <c r="H721" s="1762">
        <f t="shared" si="151"/>
        <v>0.56399999999999995</v>
      </c>
      <c r="I721" s="1763">
        <f t="shared" si="148"/>
        <v>0.56399999999999995</v>
      </c>
      <c r="J721" s="1784">
        <v>0.30299999999999999</v>
      </c>
      <c r="K721" s="1763">
        <f t="shared" si="149"/>
        <v>0.3</v>
      </c>
      <c r="L721" s="1764">
        <f t="shared" si="158"/>
        <v>0.57000000000000028</v>
      </c>
      <c r="M721" s="1765">
        <f t="shared" si="156"/>
        <v>0.57000000000000028</v>
      </c>
    </row>
    <row r="722" spans="1:13">
      <c r="A722" s="1749">
        <f t="shared" si="153"/>
        <v>41548</v>
      </c>
      <c r="B722" s="1749" t="str">
        <f t="shared" si="154"/>
        <v>4Q13</v>
      </c>
      <c r="C722" s="1749" t="str">
        <f t="shared" si="155"/>
        <v>3Q13</v>
      </c>
      <c r="D722" s="1750">
        <f t="shared" si="157"/>
        <v>41554</v>
      </c>
      <c r="E722" s="1750">
        <f t="shared" si="157"/>
        <v>41547</v>
      </c>
      <c r="F722" s="1735">
        <v>3.919</v>
      </c>
      <c r="G722" s="1788"/>
      <c r="H722" s="1762">
        <f t="shared" si="151"/>
        <v>0.56399999999999995</v>
      </c>
      <c r="I722" s="1763">
        <f t="shared" si="148"/>
        <v>0.55900000000000005</v>
      </c>
      <c r="J722" s="1784">
        <v>0.3</v>
      </c>
      <c r="K722" s="1763">
        <f t="shared" si="149"/>
        <v>0.29799999999999999</v>
      </c>
      <c r="L722" s="1764">
        <f t="shared" si="158"/>
        <v>0.57000000000000028</v>
      </c>
      <c r="M722" s="1765">
        <f t="shared" si="156"/>
        <v>0.56000000000000028</v>
      </c>
    </row>
    <row r="723" spans="1:13">
      <c r="A723" s="1749">
        <f t="shared" si="153"/>
        <v>41548</v>
      </c>
      <c r="B723" s="1749" t="str">
        <f t="shared" si="154"/>
        <v>4Q13</v>
      </c>
      <c r="C723" s="1749" t="str">
        <f t="shared" si="155"/>
        <v>4Q13</v>
      </c>
      <c r="D723" s="1750">
        <f t="shared" si="157"/>
        <v>41561</v>
      </c>
      <c r="E723" s="1750">
        <f t="shared" si="157"/>
        <v>41554</v>
      </c>
      <c r="F723" s="1735">
        <v>3.8969999999999998</v>
      </c>
      <c r="G723" s="1788"/>
      <c r="H723" s="1762">
        <f t="shared" si="151"/>
        <v>0.55900000000000005</v>
      </c>
      <c r="I723" s="1763">
        <f t="shared" si="148"/>
        <v>0.55900000000000005</v>
      </c>
      <c r="J723" s="1784">
        <v>0.29799999999999999</v>
      </c>
      <c r="K723" s="1763">
        <f t="shared" si="149"/>
        <v>0.29799999999999999</v>
      </c>
      <c r="L723" s="1764">
        <f t="shared" si="158"/>
        <v>0.56000000000000028</v>
      </c>
      <c r="M723" s="1765">
        <f t="shared" si="156"/>
        <v>0.56000000000000028</v>
      </c>
    </row>
    <row r="724" spans="1:13">
      <c r="A724" s="1749">
        <f t="shared" si="153"/>
        <v>41548</v>
      </c>
      <c r="B724" s="1749" t="str">
        <f t="shared" si="154"/>
        <v>4Q13</v>
      </c>
      <c r="C724" s="1749" t="str">
        <f t="shared" si="155"/>
        <v>4Q13</v>
      </c>
      <c r="D724" s="1750">
        <f t="shared" si="157"/>
        <v>41568</v>
      </c>
      <c r="E724" s="1750">
        <f t="shared" si="157"/>
        <v>41561</v>
      </c>
      <c r="F724" s="1735">
        <v>3.8860000000000001</v>
      </c>
      <c r="G724" s="1788"/>
      <c r="H724" s="1762">
        <f t="shared" si="151"/>
        <v>0.55900000000000005</v>
      </c>
      <c r="I724" s="1763">
        <f t="shared" si="148"/>
        <v>0.55900000000000005</v>
      </c>
      <c r="J724" s="1784">
        <v>0.29799999999999999</v>
      </c>
      <c r="K724" s="1763">
        <f t="shared" si="149"/>
        <v>0.29699999999999999</v>
      </c>
      <c r="L724" s="1764">
        <f t="shared" si="158"/>
        <v>0.56000000000000028</v>
      </c>
      <c r="M724" s="1765">
        <f t="shared" si="156"/>
        <v>0.56000000000000028</v>
      </c>
    </row>
    <row r="725" spans="1:13">
      <c r="A725" s="1749">
        <f t="shared" si="153"/>
        <v>41548</v>
      </c>
      <c r="B725" s="1749" t="str">
        <f t="shared" si="154"/>
        <v>4Q13</v>
      </c>
      <c r="C725" s="1749" t="str">
        <f t="shared" si="155"/>
        <v>4Q13</v>
      </c>
      <c r="D725" s="1750">
        <f t="shared" ref="D725:E740" si="159">D724+7</f>
        <v>41575</v>
      </c>
      <c r="E725" s="1750">
        <f t="shared" si="159"/>
        <v>41568</v>
      </c>
      <c r="F725" s="1735">
        <v>3.8860000000000001</v>
      </c>
      <c r="G725" s="1788"/>
      <c r="H725" s="1762">
        <f t="shared" si="151"/>
        <v>0.55900000000000005</v>
      </c>
      <c r="I725" s="1763">
        <f t="shared" si="148"/>
        <v>0.55900000000000005</v>
      </c>
      <c r="J725" s="1784">
        <v>0.29699999999999999</v>
      </c>
      <c r="K725" s="1763">
        <f t="shared" si="149"/>
        <v>0.29599999999999999</v>
      </c>
      <c r="L725" s="1764">
        <f t="shared" si="158"/>
        <v>0.56000000000000028</v>
      </c>
      <c r="M725" s="1765">
        <f t="shared" si="156"/>
        <v>0.56000000000000028</v>
      </c>
    </row>
    <row r="726" spans="1:13">
      <c r="A726" s="1749">
        <f t="shared" si="153"/>
        <v>41579</v>
      </c>
      <c r="B726" s="1749" t="str">
        <f t="shared" si="154"/>
        <v>4Q13</v>
      </c>
      <c r="C726" s="1749" t="str">
        <f t="shared" si="155"/>
        <v>4Q13</v>
      </c>
      <c r="D726" s="1750">
        <f t="shared" si="159"/>
        <v>41582</v>
      </c>
      <c r="E726" s="1750">
        <f t="shared" si="159"/>
        <v>41575</v>
      </c>
      <c r="F726" s="1735">
        <v>3.87</v>
      </c>
      <c r="G726" s="1788"/>
      <c r="H726" s="1762">
        <f t="shared" si="151"/>
        <v>0.55900000000000005</v>
      </c>
      <c r="I726" s="1763">
        <f t="shared" si="148"/>
        <v>0.55900000000000005</v>
      </c>
      <c r="J726" s="1784">
        <v>0.29599999999999999</v>
      </c>
      <c r="K726" s="1763">
        <f t="shared" si="149"/>
        <v>0.29399999999999998</v>
      </c>
      <c r="L726" s="1764">
        <f t="shared" si="158"/>
        <v>0.56000000000000028</v>
      </c>
      <c r="M726" s="1765">
        <f t="shared" si="156"/>
        <v>0.56000000000000028</v>
      </c>
    </row>
    <row r="727" spans="1:13">
      <c r="A727" s="1749">
        <f t="shared" si="153"/>
        <v>41579</v>
      </c>
      <c r="B727" s="1749" t="str">
        <f t="shared" si="154"/>
        <v>4Q13</v>
      </c>
      <c r="C727" s="1749" t="str">
        <f t="shared" si="155"/>
        <v>4Q13</v>
      </c>
      <c r="D727" s="1750">
        <f t="shared" si="159"/>
        <v>41589</v>
      </c>
      <c r="E727" s="1750">
        <f t="shared" si="159"/>
        <v>41582</v>
      </c>
      <c r="F727" s="1735">
        <v>3.8570000000000002</v>
      </c>
      <c r="G727" s="1788"/>
      <c r="H727" s="1762">
        <f t="shared" si="151"/>
        <v>0.55900000000000005</v>
      </c>
      <c r="I727" s="1763">
        <f t="shared" si="148"/>
        <v>0.55400000000000005</v>
      </c>
      <c r="J727" s="1784">
        <v>0.29399999999999998</v>
      </c>
      <c r="K727" s="1763">
        <f t="shared" si="149"/>
        <v>0.29199999999999998</v>
      </c>
      <c r="L727" s="1764">
        <f t="shared" si="158"/>
        <v>0.56000000000000028</v>
      </c>
      <c r="M727" s="1765">
        <f t="shared" si="156"/>
        <v>0.55000000000000027</v>
      </c>
    </row>
    <row r="728" spans="1:13">
      <c r="A728" s="1749">
        <f t="shared" si="153"/>
        <v>41579</v>
      </c>
      <c r="B728" s="1749" t="str">
        <f t="shared" si="154"/>
        <v>4Q13</v>
      </c>
      <c r="C728" s="1749" t="str">
        <f t="shared" si="155"/>
        <v>4Q13</v>
      </c>
      <c r="D728" s="1750">
        <f t="shared" si="159"/>
        <v>41596</v>
      </c>
      <c r="E728" s="1750">
        <f t="shared" si="159"/>
        <v>41589</v>
      </c>
      <c r="F728" s="1735">
        <v>3.8319999999999999</v>
      </c>
      <c r="G728" s="1788"/>
      <c r="H728" s="1762">
        <f t="shared" si="151"/>
        <v>0.55400000000000005</v>
      </c>
      <c r="I728" s="1763">
        <f t="shared" si="148"/>
        <v>0.55400000000000005</v>
      </c>
      <c r="J728" s="1784">
        <v>0.29199999999999998</v>
      </c>
      <c r="K728" s="1763">
        <f t="shared" si="149"/>
        <v>0.29099999999999998</v>
      </c>
      <c r="L728" s="1764">
        <f t="shared" si="158"/>
        <v>0.55000000000000027</v>
      </c>
      <c r="M728" s="1765">
        <f t="shared" si="156"/>
        <v>0.55000000000000027</v>
      </c>
    </row>
    <row r="729" spans="1:13">
      <c r="A729" s="1749">
        <f t="shared" si="153"/>
        <v>41579</v>
      </c>
      <c r="B729" s="1749" t="str">
        <f t="shared" si="154"/>
        <v>4Q13</v>
      </c>
      <c r="C729" s="1749" t="str">
        <f t="shared" si="155"/>
        <v>4Q13</v>
      </c>
      <c r="D729" s="1750">
        <f t="shared" si="159"/>
        <v>41603</v>
      </c>
      <c r="E729" s="1750">
        <f t="shared" si="159"/>
        <v>41596</v>
      </c>
      <c r="F729" s="1735">
        <v>3.8220000000000001</v>
      </c>
      <c r="G729" s="1788"/>
      <c r="H729" s="1762">
        <f t="shared" si="151"/>
        <v>0.55400000000000005</v>
      </c>
      <c r="I729" s="1763">
        <f t="shared" si="148"/>
        <v>0.55400000000000005</v>
      </c>
      <c r="J729" s="1784">
        <v>0.29099999999999998</v>
      </c>
      <c r="K729" s="1763">
        <f t="shared" si="149"/>
        <v>0.29299999999999998</v>
      </c>
      <c r="L729" s="1764">
        <f t="shared" si="158"/>
        <v>0.55000000000000027</v>
      </c>
      <c r="M729" s="1765">
        <f t="shared" si="156"/>
        <v>0.55000000000000027</v>
      </c>
    </row>
    <row r="730" spans="1:13">
      <c r="A730" s="1749">
        <f t="shared" si="153"/>
        <v>41609</v>
      </c>
      <c r="B730" s="1749" t="str">
        <f t="shared" si="154"/>
        <v>4Q13</v>
      </c>
      <c r="C730" s="1749" t="str">
        <f t="shared" si="155"/>
        <v>4Q13</v>
      </c>
      <c r="D730" s="1750">
        <f t="shared" si="159"/>
        <v>41610</v>
      </c>
      <c r="E730" s="1750">
        <f t="shared" si="159"/>
        <v>41603</v>
      </c>
      <c r="F730" s="1735">
        <v>3.8439999999999999</v>
      </c>
      <c r="G730" s="1788"/>
      <c r="H730" s="1762">
        <f t="shared" si="151"/>
        <v>0.55400000000000005</v>
      </c>
      <c r="I730" s="1763">
        <f t="shared" si="148"/>
        <v>0.55900000000000005</v>
      </c>
      <c r="J730" s="1784">
        <v>0.29299999999999998</v>
      </c>
      <c r="K730" s="1763">
        <f t="shared" si="149"/>
        <v>0.29699999999999999</v>
      </c>
      <c r="L730" s="1764">
        <f t="shared" si="158"/>
        <v>0.55000000000000027</v>
      </c>
      <c r="M730" s="1765">
        <f t="shared" si="156"/>
        <v>0.56000000000000028</v>
      </c>
    </row>
    <row r="731" spans="1:13">
      <c r="A731" s="1749">
        <f t="shared" si="153"/>
        <v>41609</v>
      </c>
      <c r="B731" s="1749" t="str">
        <f t="shared" si="154"/>
        <v>4Q13</v>
      </c>
      <c r="C731" s="1749" t="str">
        <f t="shared" si="155"/>
        <v>4Q13</v>
      </c>
      <c r="D731" s="1750">
        <f t="shared" si="159"/>
        <v>41617</v>
      </c>
      <c r="E731" s="1750">
        <f t="shared" si="159"/>
        <v>41610</v>
      </c>
      <c r="F731" s="1735">
        <v>3.883</v>
      </c>
      <c r="G731" s="1788"/>
      <c r="H731" s="1762">
        <f t="shared" si="151"/>
        <v>0.55900000000000005</v>
      </c>
      <c r="I731" s="1763">
        <f t="shared" si="148"/>
        <v>0.55900000000000005</v>
      </c>
      <c r="J731" s="1784">
        <v>0.29699999999999999</v>
      </c>
      <c r="K731" s="1763">
        <f t="shared" si="149"/>
        <v>0.29599999999999999</v>
      </c>
      <c r="L731" s="1764">
        <f t="shared" si="158"/>
        <v>0.56000000000000028</v>
      </c>
      <c r="M731" s="1765">
        <f t="shared" si="156"/>
        <v>0.56000000000000028</v>
      </c>
    </row>
    <row r="732" spans="1:13">
      <c r="A732" s="1749">
        <f t="shared" si="153"/>
        <v>41609</v>
      </c>
      <c r="B732" s="1749" t="str">
        <f t="shared" si="154"/>
        <v>4Q13</v>
      </c>
      <c r="C732" s="1749" t="str">
        <f t="shared" si="155"/>
        <v>4Q13</v>
      </c>
      <c r="D732" s="1750">
        <f t="shared" si="159"/>
        <v>41624</v>
      </c>
      <c r="E732" s="1750">
        <f t="shared" si="159"/>
        <v>41617</v>
      </c>
      <c r="F732" s="1735">
        <v>3.879</v>
      </c>
      <c r="G732" s="1788"/>
      <c r="H732" s="1762">
        <f t="shared" si="151"/>
        <v>0.55900000000000005</v>
      </c>
      <c r="I732" s="1763">
        <f t="shared" si="148"/>
        <v>0.55900000000000005</v>
      </c>
      <c r="J732" s="1784">
        <v>0.29599999999999999</v>
      </c>
      <c r="K732" s="1763">
        <f t="shared" si="149"/>
        <v>0.29599999999999999</v>
      </c>
      <c r="L732" s="1764">
        <f t="shared" si="158"/>
        <v>0.56000000000000028</v>
      </c>
      <c r="M732" s="1765">
        <f t="shared" si="156"/>
        <v>0.56000000000000028</v>
      </c>
    </row>
    <row r="733" spans="1:13">
      <c r="A733" s="1749">
        <f t="shared" si="153"/>
        <v>41609</v>
      </c>
      <c r="B733" s="1749" t="str">
        <f t="shared" si="154"/>
        <v>4Q13</v>
      </c>
      <c r="C733" s="1749" t="str">
        <f t="shared" si="155"/>
        <v>4Q13</v>
      </c>
      <c r="D733" s="1750">
        <f t="shared" si="159"/>
        <v>41631</v>
      </c>
      <c r="E733" s="1750">
        <f t="shared" si="159"/>
        <v>41624</v>
      </c>
      <c r="F733" s="1735">
        <v>3.871</v>
      </c>
      <c r="G733" s="1788"/>
      <c r="H733" s="1762">
        <f t="shared" si="151"/>
        <v>0.55900000000000005</v>
      </c>
      <c r="I733" s="1763">
        <f t="shared" si="148"/>
        <v>0.55900000000000005</v>
      </c>
      <c r="J733" s="1784">
        <v>0.29599999999999999</v>
      </c>
      <c r="K733" s="1763">
        <f t="shared" si="149"/>
        <v>0.29599999999999999</v>
      </c>
      <c r="L733" s="1764">
        <f t="shared" si="158"/>
        <v>0.56000000000000028</v>
      </c>
      <c r="M733" s="1765">
        <f t="shared" si="156"/>
        <v>0.56000000000000028</v>
      </c>
    </row>
    <row r="734" spans="1:13">
      <c r="A734" s="1749">
        <f t="shared" si="153"/>
        <v>41609</v>
      </c>
      <c r="B734" s="1749" t="str">
        <f t="shared" si="154"/>
        <v>4Q13</v>
      </c>
      <c r="C734" s="1749" t="str">
        <f t="shared" si="155"/>
        <v>4Q13</v>
      </c>
      <c r="D734" s="1750">
        <f t="shared" si="159"/>
        <v>41638</v>
      </c>
      <c r="E734" s="1750">
        <f t="shared" si="159"/>
        <v>41631</v>
      </c>
      <c r="F734" s="1735">
        <v>3.8730000000000002</v>
      </c>
      <c r="G734" s="1788"/>
      <c r="H734" s="1762">
        <f t="shared" si="151"/>
        <v>0.55900000000000005</v>
      </c>
      <c r="I734" s="1763">
        <f t="shared" ref="I734:I797" si="160">H735</f>
        <v>0.56399999999999995</v>
      </c>
      <c r="J734" s="1784">
        <v>0.29599999999999999</v>
      </c>
      <c r="K734" s="1763">
        <f t="shared" ref="K734:K797" si="161">J735</f>
        <v>0.29899999999999999</v>
      </c>
      <c r="L734" s="1764">
        <f t="shared" si="158"/>
        <v>0.56000000000000028</v>
      </c>
      <c r="M734" s="1765">
        <f t="shared" si="156"/>
        <v>0.57000000000000028</v>
      </c>
    </row>
    <row r="735" spans="1:13">
      <c r="A735" s="1749">
        <f t="shared" si="153"/>
        <v>41640</v>
      </c>
      <c r="B735" s="1749" t="str">
        <f t="shared" si="154"/>
        <v>1Q14</v>
      </c>
      <c r="C735" s="1749" t="str">
        <f t="shared" si="155"/>
        <v>4Q13</v>
      </c>
      <c r="D735" s="1750">
        <f t="shared" si="159"/>
        <v>41645</v>
      </c>
      <c r="E735" s="1750">
        <f t="shared" si="159"/>
        <v>41638</v>
      </c>
      <c r="F735" s="1735">
        <v>3.903</v>
      </c>
      <c r="G735" s="1788"/>
      <c r="H735" s="1762">
        <f t="shared" si="151"/>
        <v>0.56399999999999995</v>
      </c>
      <c r="I735" s="1763">
        <f t="shared" si="160"/>
        <v>0.56399999999999995</v>
      </c>
      <c r="J735" s="1784">
        <v>0.29899999999999999</v>
      </c>
      <c r="K735" s="1763">
        <f t="shared" si="161"/>
        <v>0.3</v>
      </c>
      <c r="L735" s="1764">
        <f t="shared" si="158"/>
        <v>0.57000000000000028</v>
      </c>
      <c r="M735" s="1765">
        <f t="shared" si="156"/>
        <v>0.57000000000000028</v>
      </c>
    </row>
    <row r="736" spans="1:13">
      <c r="A736" s="1749">
        <f t="shared" si="153"/>
        <v>41640</v>
      </c>
      <c r="B736" s="1749" t="str">
        <f t="shared" si="154"/>
        <v>1Q14</v>
      </c>
      <c r="C736" s="1749" t="str">
        <f t="shared" si="155"/>
        <v>1Q14</v>
      </c>
      <c r="D736" s="1750">
        <f t="shared" si="159"/>
        <v>41652</v>
      </c>
      <c r="E736" s="1750">
        <f t="shared" si="159"/>
        <v>41645</v>
      </c>
      <c r="F736" s="1735">
        <v>3.91</v>
      </c>
      <c r="G736" s="1788"/>
      <c r="H736" s="1762">
        <f t="shared" si="151"/>
        <v>0.56399999999999995</v>
      </c>
      <c r="I736" s="1763">
        <f t="shared" si="160"/>
        <v>0.55900000000000005</v>
      </c>
      <c r="J736" s="1784">
        <v>0.3</v>
      </c>
      <c r="K736" s="1763">
        <f t="shared" si="161"/>
        <v>0.29699999999999999</v>
      </c>
      <c r="L736" s="1764">
        <f t="shared" si="158"/>
        <v>0.57000000000000028</v>
      </c>
      <c r="M736" s="1765">
        <f t="shared" si="156"/>
        <v>0.56000000000000028</v>
      </c>
    </row>
    <row r="737" spans="1:13">
      <c r="A737" s="1749">
        <f t="shared" si="153"/>
        <v>41640</v>
      </c>
      <c r="B737" s="1749" t="str">
        <f t="shared" si="154"/>
        <v>1Q14</v>
      </c>
      <c r="C737" s="1749" t="str">
        <f t="shared" si="155"/>
        <v>1Q14</v>
      </c>
      <c r="D737" s="1750">
        <f t="shared" si="159"/>
        <v>41659</v>
      </c>
      <c r="E737" s="1750">
        <f t="shared" si="159"/>
        <v>41652</v>
      </c>
      <c r="F737" s="1735">
        <v>3.8860000000000001</v>
      </c>
      <c r="G737" s="1788"/>
      <c r="H737" s="1762">
        <f t="shared" si="151"/>
        <v>0.55900000000000005</v>
      </c>
      <c r="I737" s="1763">
        <f t="shared" si="160"/>
        <v>0.55900000000000005</v>
      </c>
      <c r="J737" s="1784">
        <v>0.29699999999999999</v>
      </c>
      <c r="K737" s="1763">
        <f t="shared" si="161"/>
        <v>0.29599999999999999</v>
      </c>
      <c r="L737" s="1764">
        <f t="shared" si="158"/>
        <v>0.56000000000000028</v>
      </c>
      <c r="M737" s="1765">
        <f t="shared" si="156"/>
        <v>0.56000000000000028</v>
      </c>
    </row>
    <row r="738" spans="1:13">
      <c r="A738" s="1749">
        <f t="shared" si="153"/>
        <v>41640</v>
      </c>
      <c r="B738" s="1749" t="str">
        <f t="shared" si="154"/>
        <v>1Q14</v>
      </c>
      <c r="C738" s="1749" t="str">
        <f t="shared" si="155"/>
        <v>1Q14</v>
      </c>
      <c r="D738" s="1750">
        <f t="shared" si="159"/>
        <v>41666</v>
      </c>
      <c r="E738" s="1750">
        <f t="shared" si="159"/>
        <v>41659</v>
      </c>
      <c r="F738" s="1735">
        <v>3.8730000000000002</v>
      </c>
      <c r="G738" s="1788"/>
      <c r="H738" s="1762">
        <f t="shared" si="151"/>
        <v>0.55900000000000005</v>
      </c>
      <c r="I738" s="1763">
        <f t="shared" si="160"/>
        <v>0.56399999999999995</v>
      </c>
      <c r="J738" s="1784">
        <v>0.29599999999999999</v>
      </c>
      <c r="K738" s="1763">
        <f t="shared" si="161"/>
        <v>0.29899999999999999</v>
      </c>
      <c r="L738" s="1764">
        <f t="shared" si="158"/>
        <v>0.56000000000000028</v>
      </c>
      <c r="M738" s="1765">
        <f t="shared" si="156"/>
        <v>0.57000000000000028</v>
      </c>
    </row>
    <row r="739" spans="1:13">
      <c r="A739" s="1749">
        <f t="shared" si="153"/>
        <v>41671</v>
      </c>
      <c r="B739" s="1749" t="str">
        <f t="shared" si="154"/>
        <v>1Q14</v>
      </c>
      <c r="C739" s="1749" t="str">
        <f t="shared" si="155"/>
        <v>1Q14</v>
      </c>
      <c r="D739" s="1750">
        <f t="shared" si="159"/>
        <v>41673</v>
      </c>
      <c r="E739" s="1750">
        <f t="shared" si="159"/>
        <v>41666</v>
      </c>
      <c r="F739" s="1735">
        <v>3.9039999999999999</v>
      </c>
      <c r="G739" s="1788"/>
      <c r="H739" s="1762">
        <f t="shared" si="151"/>
        <v>0.56399999999999995</v>
      </c>
      <c r="I739" s="1763">
        <f t="shared" si="160"/>
        <v>0.56899999999999995</v>
      </c>
      <c r="J739" s="1784">
        <v>0.29899999999999999</v>
      </c>
      <c r="K739" s="1763">
        <f t="shared" si="161"/>
        <v>0.30399999999999999</v>
      </c>
      <c r="L739" s="1764">
        <f t="shared" si="158"/>
        <v>0.57000000000000028</v>
      </c>
      <c r="M739" s="1765">
        <f t="shared" si="156"/>
        <v>0.58000000000000029</v>
      </c>
    </row>
    <row r="740" spans="1:13">
      <c r="A740" s="1749">
        <f t="shared" si="153"/>
        <v>41671</v>
      </c>
      <c r="B740" s="1749" t="str">
        <f t="shared" si="154"/>
        <v>1Q14</v>
      </c>
      <c r="C740" s="1749" t="str">
        <f t="shared" si="155"/>
        <v>1Q14</v>
      </c>
      <c r="D740" s="1750">
        <f t="shared" si="159"/>
        <v>41680</v>
      </c>
      <c r="E740" s="1750">
        <f t="shared" si="159"/>
        <v>41673</v>
      </c>
      <c r="F740" s="1735">
        <v>3.9510000000000001</v>
      </c>
      <c r="G740" s="1788"/>
      <c r="H740" s="1762">
        <f t="shared" si="151"/>
        <v>0.56899999999999995</v>
      </c>
      <c r="I740" s="1763">
        <f t="shared" si="160"/>
        <v>0.56899999999999995</v>
      </c>
      <c r="J740" s="1784">
        <v>0.30399999999999999</v>
      </c>
      <c r="K740" s="1763">
        <f t="shared" si="161"/>
        <v>0.30599999999999999</v>
      </c>
      <c r="L740" s="1764">
        <f t="shared" si="158"/>
        <v>0.58000000000000029</v>
      </c>
      <c r="M740" s="1765">
        <f t="shared" si="156"/>
        <v>0.58000000000000029</v>
      </c>
    </row>
    <row r="741" spans="1:13">
      <c r="A741" s="1749">
        <f t="shared" si="153"/>
        <v>41671</v>
      </c>
      <c r="B741" s="1749" t="str">
        <f t="shared" si="154"/>
        <v>1Q14</v>
      </c>
      <c r="C741" s="1749" t="str">
        <f t="shared" si="155"/>
        <v>1Q14</v>
      </c>
      <c r="D741" s="1750">
        <f t="shared" ref="D741:E756" si="162">D740+7</f>
        <v>41687</v>
      </c>
      <c r="E741" s="1750">
        <f t="shared" si="162"/>
        <v>41680</v>
      </c>
      <c r="F741" s="1735">
        <v>3.9769999999999999</v>
      </c>
      <c r="G741" s="1788"/>
      <c r="H741" s="1762">
        <f t="shared" si="151"/>
        <v>0.56899999999999995</v>
      </c>
      <c r="I741" s="1763">
        <f t="shared" si="160"/>
        <v>0.56899999999999995</v>
      </c>
      <c r="J741" s="1784">
        <v>0.30599999999999999</v>
      </c>
      <c r="K741" s="1763">
        <f t="shared" si="161"/>
        <v>0.307</v>
      </c>
      <c r="L741" s="1764">
        <f t="shared" si="158"/>
        <v>0.58000000000000029</v>
      </c>
      <c r="M741" s="1765">
        <f t="shared" si="156"/>
        <v>0.58000000000000029</v>
      </c>
    </row>
    <row r="742" spans="1:13">
      <c r="A742" s="1749">
        <f t="shared" si="153"/>
        <v>41671</v>
      </c>
      <c r="B742" s="1749" t="str">
        <f t="shared" si="154"/>
        <v>1Q14</v>
      </c>
      <c r="C742" s="1749" t="str">
        <f t="shared" si="155"/>
        <v>1Q14</v>
      </c>
      <c r="D742" s="1750">
        <f t="shared" si="162"/>
        <v>41694</v>
      </c>
      <c r="E742" s="1750">
        <f t="shared" si="162"/>
        <v>41687</v>
      </c>
      <c r="F742" s="1735">
        <v>3.9889999999999999</v>
      </c>
      <c r="G742" s="1788"/>
      <c r="H742" s="1762">
        <f t="shared" si="151"/>
        <v>0.56899999999999995</v>
      </c>
      <c r="I742" s="1763">
        <f t="shared" si="160"/>
        <v>0.57399999999999995</v>
      </c>
      <c r="J742" s="1784">
        <v>0.307</v>
      </c>
      <c r="K742" s="1763">
        <f t="shared" si="161"/>
        <v>0.31</v>
      </c>
      <c r="L742" s="1764">
        <f t="shared" si="158"/>
        <v>0.58000000000000029</v>
      </c>
      <c r="M742" s="1765">
        <f t="shared" si="156"/>
        <v>0.5900000000000003</v>
      </c>
    </row>
    <row r="743" spans="1:13">
      <c r="A743" s="1749">
        <f t="shared" si="153"/>
        <v>41699</v>
      </c>
      <c r="B743" s="1749" t="str">
        <f t="shared" si="154"/>
        <v>1Q14</v>
      </c>
      <c r="C743" s="1749" t="str">
        <f t="shared" si="155"/>
        <v>1Q14</v>
      </c>
      <c r="D743" s="1750">
        <f t="shared" si="162"/>
        <v>41701</v>
      </c>
      <c r="E743" s="1750">
        <f t="shared" si="162"/>
        <v>41694</v>
      </c>
      <c r="F743" s="1735">
        <v>4.0170000000000003</v>
      </c>
      <c r="G743" s="1788"/>
      <c r="H743" s="1762">
        <f t="shared" si="151"/>
        <v>0.57399999999999995</v>
      </c>
      <c r="I743" s="1763">
        <f t="shared" si="160"/>
        <v>0.57399999999999995</v>
      </c>
      <c r="J743" s="1784">
        <v>0.31</v>
      </c>
      <c r="K743" s="1763">
        <f t="shared" si="161"/>
        <v>0.31</v>
      </c>
      <c r="L743" s="1764">
        <f t="shared" si="158"/>
        <v>0.5900000000000003</v>
      </c>
      <c r="M743" s="1765">
        <f t="shared" si="156"/>
        <v>0.5900000000000003</v>
      </c>
    </row>
    <row r="744" spans="1:13">
      <c r="A744" s="1749">
        <f t="shared" si="153"/>
        <v>41699</v>
      </c>
      <c r="B744" s="1749" t="str">
        <f t="shared" si="154"/>
        <v>1Q14</v>
      </c>
      <c r="C744" s="1749" t="str">
        <f t="shared" si="155"/>
        <v>1Q14</v>
      </c>
      <c r="D744" s="1750">
        <f t="shared" si="162"/>
        <v>41708</v>
      </c>
      <c r="E744" s="1750">
        <f t="shared" si="162"/>
        <v>41701</v>
      </c>
      <c r="F744" s="1735">
        <v>4.016</v>
      </c>
      <c r="G744" s="1788"/>
      <c r="H744" s="1762">
        <f t="shared" si="151"/>
        <v>0.57399999999999995</v>
      </c>
      <c r="I744" s="1763">
        <f t="shared" si="160"/>
        <v>0.57399999999999995</v>
      </c>
      <c r="J744" s="1784">
        <v>0.31</v>
      </c>
      <c r="K744" s="1763">
        <f t="shared" si="161"/>
        <v>0.311</v>
      </c>
      <c r="L744" s="1764">
        <f t="shared" si="158"/>
        <v>0.5900000000000003</v>
      </c>
      <c r="M744" s="1765">
        <f t="shared" si="156"/>
        <v>0.5900000000000003</v>
      </c>
    </row>
    <row r="745" spans="1:13">
      <c r="A745" s="1749">
        <f t="shared" si="153"/>
        <v>41699</v>
      </c>
      <c r="B745" s="1749" t="str">
        <f t="shared" si="154"/>
        <v>1Q14</v>
      </c>
      <c r="C745" s="1749" t="str">
        <f t="shared" si="155"/>
        <v>1Q14</v>
      </c>
      <c r="D745" s="1750">
        <f t="shared" si="162"/>
        <v>41715</v>
      </c>
      <c r="E745" s="1750">
        <f t="shared" si="162"/>
        <v>41708</v>
      </c>
      <c r="F745" s="1735">
        <v>4.0209999999999999</v>
      </c>
      <c r="G745" s="1788"/>
      <c r="H745" s="1762">
        <f t="shared" si="151"/>
        <v>0.57399999999999995</v>
      </c>
      <c r="I745" s="1763">
        <f t="shared" si="160"/>
        <v>0.57399999999999995</v>
      </c>
      <c r="J745" s="1784">
        <v>0.311</v>
      </c>
      <c r="K745" s="1763">
        <f t="shared" si="161"/>
        <v>0.309</v>
      </c>
      <c r="L745" s="1764">
        <f t="shared" si="158"/>
        <v>0.5900000000000003</v>
      </c>
      <c r="M745" s="1765">
        <f t="shared" si="156"/>
        <v>0.5900000000000003</v>
      </c>
    </row>
    <row r="746" spans="1:13">
      <c r="A746" s="1749">
        <f t="shared" si="153"/>
        <v>41699</v>
      </c>
      <c r="B746" s="1749" t="str">
        <f t="shared" si="154"/>
        <v>1Q14</v>
      </c>
      <c r="C746" s="1749" t="str">
        <f t="shared" si="155"/>
        <v>1Q14</v>
      </c>
      <c r="D746" s="1750">
        <f t="shared" si="162"/>
        <v>41722</v>
      </c>
      <c r="E746" s="1750">
        <f t="shared" si="162"/>
        <v>41715</v>
      </c>
      <c r="F746" s="1735">
        <v>4.0030000000000001</v>
      </c>
      <c r="G746" s="1788"/>
      <c r="H746" s="1762">
        <f t="shared" si="151"/>
        <v>0.57399999999999995</v>
      </c>
      <c r="I746" s="1763">
        <f t="shared" si="160"/>
        <v>0.56899999999999995</v>
      </c>
      <c r="J746" s="1784">
        <v>0.309</v>
      </c>
      <c r="K746" s="1763">
        <f t="shared" si="161"/>
        <v>0.307</v>
      </c>
      <c r="L746" s="1764">
        <f t="shared" si="158"/>
        <v>0.5900000000000003</v>
      </c>
      <c r="M746" s="1765">
        <f t="shared" si="156"/>
        <v>0.58000000000000029</v>
      </c>
    </row>
    <row r="747" spans="1:13">
      <c r="A747" s="1749">
        <f t="shared" si="153"/>
        <v>41699</v>
      </c>
      <c r="B747" s="1749" t="str">
        <f t="shared" si="154"/>
        <v>1Q14</v>
      </c>
      <c r="C747" s="1749" t="str">
        <f t="shared" si="155"/>
        <v>1Q14</v>
      </c>
      <c r="D747" s="1750">
        <f t="shared" si="162"/>
        <v>41729</v>
      </c>
      <c r="E747" s="1750">
        <f t="shared" si="162"/>
        <v>41722</v>
      </c>
      <c r="F747" s="1735">
        <v>3.988</v>
      </c>
      <c r="G747" s="1788"/>
      <c r="H747" s="1762">
        <f t="shared" si="151"/>
        <v>0.56899999999999995</v>
      </c>
      <c r="I747" s="1763">
        <f t="shared" si="160"/>
        <v>0.56899999999999995</v>
      </c>
      <c r="J747" s="1784">
        <v>0.307</v>
      </c>
      <c r="K747" s="1763">
        <f t="shared" si="161"/>
        <v>0.30599999999999999</v>
      </c>
      <c r="L747" s="1764">
        <f t="shared" si="158"/>
        <v>0.58000000000000029</v>
      </c>
      <c r="M747" s="1765">
        <f t="shared" si="156"/>
        <v>0.58000000000000029</v>
      </c>
    </row>
    <row r="748" spans="1:13">
      <c r="A748" s="1749">
        <f t="shared" si="153"/>
        <v>41730</v>
      </c>
      <c r="B748" s="1749" t="str">
        <f t="shared" si="154"/>
        <v>2Q14</v>
      </c>
      <c r="C748" s="1749" t="str">
        <f t="shared" si="155"/>
        <v>1Q14</v>
      </c>
      <c r="D748" s="1750">
        <f t="shared" si="162"/>
        <v>41736</v>
      </c>
      <c r="E748" s="1750">
        <f t="shared" si="162"/>
        <v>41729</v>
      </c>
      <c r="F748" s="1735">
        <v>3.9750000000000001</v>
      </c>
      <c r="G748" s="1788"/>
      <c r="H748" s="1762">
        <f t="shared" si="151"/>
        <v>0.56899999999999995</v>
      </c>
      <c r="I748" s="1763">
        <f t="shared" si="160"/>
        <v>0.56899999999999995</v>
      </c>
      <c r="J748" s="1784">
        <v>0.30599999999999999</v>
      </c>
      <c r="K748" s="1763">
        <f t="shared" si="161"/>
        <v>0.30399999999999999</v>
      </c>
      <c r="L748" s="1764">
        <f t="shared" si="158"/>
        <v>0.58000000000000029</v>
      </c>
      <c r="M748" s="1765">
        <f t="shared" si="156"/>
        <v>0.58000000000000029</v>
      </c>
    </row>
    <row r="749" spans="1:13">
      <c r="A749" s="1749">
        <f t="shared" si="153"/>
        <v>41730</v>
      </c>
      <c r="B749" s="1749" t="str">
        <f t="shared" si="154"/>
        <v>2Q14</v>
      </c>
      <c r="C749" s="1749" t="str">
        <f t="shared" si="155"/>
        <v>2Q14</v>
      </c>
      <c r="D749" s="1750">
        <f t="shared" si="162"/>
        <v>41743</v>
      </c>
      <c r="E749" s="1750">
        <f t="shared" si="162"/>
        <v>41736</v>
      </c>
      <c r="F749" s="1735">
        <v>3.9590000000000001</v>
      </c>
      <c r="G749" s="1788"/>
      <c r="H749" s="1762">
        <f t="shared" si="151"/>
        <v>0.56899999999999995</v>
      </c>
      <c r="I749" s="1763">
        <f t="shared" si="160"/>
        <v>0.56899999999999995</v>
      </c>
      <c r="J749" s="1784">
        <v>0.30399999999999999</v>
      </c>
      <c r="K749" s="1763">
        <f t="shared" si="161"/>
        <v>0.30399999999999999</v>
      </c>
      <c r="L749" s="1764">
        <f t="shared" si="158"/>
        <v>0.58000000000000029</v>
      </c>
      <c r="M749" s="1765">
        <f t="shared" si="156"/>
        <v>0.58000000000000029</v>
      </c>
    </row>
    <row r="750" spans="1:13">
      <c r="A750" s="1749">
        <f t="shared" si="153"/>
        <v>41730</v>
      </c>
      <c r="B750" s="1749" t="str">
        <f t="shared" si="154"/>
        <v>2Q14</v>
      </c>
      <c r="C750" s="1749" t="str">
        <f t="shared" si="155"/>
        <v>2Q14</v>
      </c>
      <c r="D750" s="1750">
        <f t="shared" si="162"/>
        <v>41750</v>
      </c>
      <c r="E750" s="1750">
        <f t="shared" si="162"/>
        <v>41743</v>
      </c>
      <c r="F750" s="1735">
        <v>3.952</v>
      </c>
      <c r="G750" s="1788"/>
      <c r="H750" s="1762">
        <f t="shared" si="151"/>
        <v>0.56899999999999995</v>
      </c>
      <c r="I750" s="1763">
        <f t="shared" si="160"/>
        <v>0.56899999999999995</v>
      </c>
      <c r="J750" s="1784">
        <v>0.30399999999999999</v>
      </c>
      <c r="K750" s="1763">
        <f t="shared" si="161"/>
        <v>0.30599999999999999</v>
      </c>
      <c r="L750" s="1764">
        <f t="shared" si="158"/>
        <v>0.58000000000000029</v>
      </c>
      <c r="M750" s="1765">
        <f t="shared" si="156"/>
        <v>0.58000000000000029</v>
      </c>
    </row>
    <row r="751" spans="1:13">
      <c r="A751" s="1749">
        <f t="shared" si="153"/>
        <v>41730</v>
      </c>
      <c r="B751" s="1749" t="str">
        <f t="shared" si="154"/>
        <v>2Q14</v>
      </c>
      <c r="C751" s="1749" t="str">
        <f t="shared" si="155"/>
        <v>2Q14</v>
      </c>
      <c r="D751" s="1750">
        <f t="shared" si="162"/>
        <v>41757</v>
      </c>
      <c r="E751" s="1750">
        <f t="shared" si="162"/>
        <v>41750</v>
      </c>
      <c r="F751" s="1735">
        <v>3.9710000000000001</v>
      </c>
      <c r="G751" s="1788"/>
      <c r="H751" s="1762">
        <f t="shared" si="151"/>
        <v>0.56899999999999995</v>
      </c>
      <c r="I751" s="1763">
        <f t="shared" si="160"/>
        <v>0.56899999999999995</v>
      </c>
      <c r="J751" s="1784">
        <v>0.30599999999999999</v>
      </c>
      <c r="K751" s="1763">
        <f t="shared" si="161"/>
        <v>0.30599999999999999</v>
      </c>
      <c r="L751" s="1764">
        <f t="shared" si="158"/>
        <v>0.58000000000000029</v>
      </c>
      <c r="M751" s="1765">
        <f t="shared" si="156"/>
        <v>0.58000000000000029</v>
      </c>
    </row>
    <row r="752" spans="1:13">
      <c r="A752" s="1749">
        <f t="shared" si="153"/>
        <v>41760</v>
      </c>
      <c r="B752" s="1749" t="str">
        <f t="shared" si="154"/>
        <v>2Q14</v>
      </c>
      <c r="C752" s="1749" t="str">
        <f t="shared" si="155"/>
        <v>2Q14</v>
      </c>
      <c r="D752" s="1750">
        <f t="shared" si="162"/>
        <v>41764</v>
      </c>
      <c r="E752" s="1750">
        <f t="shared" si="162"/>
        <v>41757</v>
      </c>
      <c r="F752" s="1735">
        <v>3.9750000000000001</v>
      </c>
      <c r="G752" s="1788"/>
      <c r="H752" s="1762">
        <f t="shared" si="151"/>
        <v>0.56899999999999995</v>
      </c>
      <c r="I752" s="1763">
        <f t="shared" si="160"/>
        <v>0.56899999999999995</v>
      </c>
      <c r="J752" s="1784">
        <v>0.30599999999999999</v>
      </c>
      <c r="K752" s="1763">
        <f t="shared" si="161"/>
        <v>0.30499999999999999</v>
      </c>
      <c r="L752" s="1764">
        <f t="shared" si="158"/>
        <v>0.58000000000000029</v>
      </c>
      <c r="M752" s="1765">
        <f t="shared" si="156"/>
        <v>0.58000000000000029</v>
      </c>
    </row>
    <row r="753" spans="1:13">
      <c r="A753" s="1749">
        <f t="shared" si="153"/>
        <v>41760</v>
      </c>
      <c r="B753" s="1749" t="str">
        <f t="shared" si="154"/>
        <v>2Q14</v>
      </c>
      <c r="C753" s="1749" t="str">
        <f t="shared" si="155"/>
        <v>2Q14</v>
      </c>
      <c r="D753" s="1750">
        <f t="shared" si="162"/>
        <v>41771</v>
      </c>
      <c r="E753" s="1750">
        <f t="shared" si="162"/>
        <v>41764</v>
      </c>
      <c r="F753" s="1735">
        <v>3.964</v>
      </c>
      <c r="G753" s="1788"/>
      <c r="H753" s="1762">
        <f t="shared" ref="H753:H816" si="163">INDEX($O$4:$R$440,MATCH(F753,$O$4:$O$440,1),3)</f>
        <v>0.56899999999999995</v>
      </c>
      <c r="I753" s="1763">
        <f t="shared" si="160"/>
        <v>0.56399999999999995</v>
      </c>
      <c r="J753" s="1784">
        <v>0.30499999999999999</v>
      </c>
      <c r="K753" s="1763">
        <f t="shared" si="161"/>
        <v>0.30299999999999999</v>
      </c>
      <c r="L753" s="1764">
        <f t="shared" si="158"/>
        <v>0.58000000000000029</v>
      </c>
      <c r="M753" s="1765">
        <f t="shared" si="156"/>
        <v>0.57000000000000028</v>
      </c>
    </row>
    <row r="754" spans="1:13">
      <c r="A754" s="1749">
        <f t="shared" si="153"/>
        <v>41760</v>
      </c>
      <c r="B754" s="1749" t="str">
        <f t="shared" si="154"/>
        <v>2Q14</v>
      </c>
      <c r="C754" s="1749" t="str">
        <f t="shared" si="155"/>
        <v>2Q14</v>
      </c>
      <c r="D754" s="1750">
        <f t="shared" si="162"/>
        <v>41778</v>
      </c>
      <c r="E754" s="1750">
        <f t="shared" si="162"/>
        <v>41771</v>
      </c>
      <c r="F754" s="1735">
        <v>3.948</v>
      </c>
      <c r="G754" s="1788"/>
      <c r="H754" s="1762">
        <f t="shared" si="163"/>
        <v>0.56399999999999995</v>
      </c>
      <c r="I754" s="1763">
        <f t="shared" si="160"/>
        <v>0.56399999999999995</v>
      </c>
      <c r="J754" s="1784">
        <v>0.30299999999999999</v>
      </c>
      <c r="K754" s="1763">
        <f t="shared" si="161"/>
        <v>0.30199999999999999</v>
      </c>
      <c r="L754" s="1764">
        <f t="shared" si="158"/>
        <v>0.57000000000000028</v>
      </c>
      <c r="M754" s="1765">
        <f t="shared" si="156"/>
        <v>0.57000000000000028</v>
      </c>
    </row>
    <row r="755" spans="1:13">
      <c r="A755" s="1749">
        <f t="shared" si="153"/>
        <v>41760</v>
      </c>
      <c r="B755" s="1749" t="str">
        <f t="shared" si="154"/>
        <v>2Q14</v>
      </c>
      <c r="C755" s="1749" t="str">
        <f t="shared" si="155"/>
        <v>2Q14</v>
      </c>
      <c r="D755" s="1750">
        <f t="shared" si="162"/>
        <v>41785</v>
      </c>
      <c r="E755" s="1750">
        <f t="shared" si="162"/>
        <v>41778</v>
      </c>
      <c r="F755" s="1735">
        <v>3.9340000000000002</v>
      </c>
      <c r="G755" s="1788"/>
      <c r="H755" s="1762">
        <f t="shared" si="163"/>
        <v>0.56399999999999995</v>
      </c>
      <c r="I755" s="1763">
        <f t="shared" si="160"/>
        <v>0.56399999999999995</v>
      </c>
      <c r="J755" s="1784">
        <v>0.30199999999999999</v>
      </c>
      <c r="K755" s="1763">
        <f t="shared" si="161"/>
        <v>0.30099999999999999</v>
      </c>
      <c r="L755" s="1764">
        <f t="shared" si="158"/>
        <v>0.57000000000000028</v>
      </c>
      <c r="M755" s="1765">
        <f t="shared" si="156"/>
        <v>0.57000000000000028</v>
      </c>
    </row>
    <row r="756" spans="1:13">
      <c r="A756" s="1749">
        <f t="shared" si="153"/>
        <v>41791</v>
      </c>
      <c r="B756" s="1749" t="str">
        <f t="shared" si="154"/>
        <v>2Q14</v>
      </c>
      <c r="C756" s="1749" t="str">
        <f t="shared" si="155"/>
        <v>2Q14</v>
      </c>
      <c r="D756" s="1750">
        <f t="shared" si="162"/>
        <v>41792</v>
      </c>
      <c r="E756" s="1750">
        <f t="shared" si="162"/>
        <v>41785</v>
      </c>
      <c r="F756" s="1735">
        <v>3.9249999999999998</v>
      </c>
      <c r="G756" s="1788"/>
      <c r="H756" s="1762">
        <f t="shared" si="163"/>
        <v>0.56399999999999995</v>
      </c>
      <c r="I756" s="1763">
        <f t="shared" si="160"/>
        <v>0.56399999999999995</v>
      </c>
      <c r="J756" s="1784">
        <v>0.30099999999999999</v>
      </c>
      <c r="K756" s="1763">
        <f t="shared" si="161"/>
        <v>0.3</v>
      </c>
      <c r="L756" s="1764">
        <f t="shared" si="158"/>
        <v>0.57000000000000028</v>
      </c>
      <c r="M756" s="1765">
        <f t="shared" si="156"/>
        <v>0.57000000000000028</v>
      </c>
    </row>
    <row r="757" spans="1:13">
      <c r="A757" s="1749">
        <f t="shared" si="153"/>
        <v>41791</v>
      </c>
      <c r="B757" s="1749" t="str">
        <f t="shared" si="154"/>
        <v>2Q14</v>
      </c>
      <c r="C757" s="1749" t="str">
        <f t="shared" si="155"/>
        <v>2Q14</v>
      </c>
      <c r="D757" s="1750">
        <f t="shared" ref="D757:E772" si="164">D756+7</f>
        <v>41799</v>
      </c>
      <c r="E757" s="1750">
        <f t="shared" si="164"/>
        <v>41792</v>
      </c>
      <c r="F757" s="1735">
        <v>3.9180000000000001</v>
      </c>
      <c r="G757" s="1788"/>
      <c r="H757" s="1762">
        <f t="shared" si="163"/>
        <v>0.56399999999999995</v>
      </c>
      <c r="I757" s="1763">
        <f t="shared" si="160"/>
        <v>0.55900000000000005</v>
      </c>
      <c r="J757" s="1784">
        <v>0.3</v>
      </c>
      <c r="K757" s="1763">
        <f t="shared" si="161"/>
        <v>0.29799999999999999</v>
      </c>
      <c r="L757" s="1764">
        <f t="shared" si="158"/>
        <v>0.57000000000000028</v>
      </c>
      <c r="M757" s="1765">
        <f t="shared" si="156"/>
        <v>0.56000000000000028</v>
      </c>
    </row>
    <row r="758" spans="1:13">
      <c r="A758" s="1749">
        <f t="shared" si="153"/>
        <v>41791</v>
      </c>
      <c r="B758" s="1749" t="str">
        <f t="shared" si="154"/>
        <v>2Q14</v>
      </c>
      <c r="C758" s="1749" t="str">
        <f t="shared" si="155"/>
        <v>2Q14</v>
      </c>
      <c r="D758" s="1750">
        <f t="shared" si="164"/>
        <v>41806</v>
      </c>
      <c r="E758" s="1750">
        <f t="shared" si="164"/>
        <v>41799</v>
      </c>
      <c r="F758" s="1735">
        <v>3.8919999999999999</v>
      </c>
      <c r="G758" s="1788"/>
      <c r="H758" s="1762">
        <f t="shared" si="163"/>
        <v>0.55900000000000005</v>
      </c>
      <c r="I758" s="1763">
        <f t="shared" si="160"/>
        <v>0.55900000000000005</v>
      </c>
      <c r="J758" s="1784">
        <v>0.29799999999999999</v>
      </c>
      <c r="K758" s="1763">
        <f t="shared" si="161"/>
        <v>0.29699999999999999</v>
      </c>
      <c r="L758" s="1764">
        <f t="shared" si="158"/>
        <v>0.56000000000000028</v>
      </c>
      <c r="M758" s="1765">
        <f t="shared" si="156"/>
        <v>0.56000000000000028</v>
      </c>
    </row>
    <row r="759" spans="1:13">
      <c r="A759" s="1749">
        <f t="shared" si="153"/>
        <v>41791</v>
      </c>
      <c r="B759" s="1749" t="str">
        <f t="shared" si="154"/>
        <v>2Q14</v>
      </c>
      <c r="C759" s="1749" t="str">
        <f t="shared" si="155"/>
        <v>2Q14</v>
      </c>
      <c r="D759" s="1750">
        <f t="shared" si="164"/>
        <v>41813</v>
      </c>
      <c r="E759" s="1750">
        <f t="shared" si="164"/>
        <v>41806</v>
      </c>
      <c r="F759" s="1735">
        <v>3.8820000000000001</v>
      </c>
      <c r="G759" s="1788"/>
      <c r="H759" s="1762">
        <f t="shared" si="163"/>
        <v>0.55900000000000005</v>
      </c>
      <c r="I759" s="1763">
        <f t="shared" si="160"/>
        <v>0.56399999999999995</v>
      </c>
      <c r="J759" s="1784">
        <v>0.29699999999999999</v>
      </c>
      <c r="K759" s="1763">
        <f t="shared" si="161"/>
        <v>0.3</v>
      </c>
      <c r="L759" s="1764">
        <f t="shared" si="158"/>
        <v>0.56000000000000028</v>
      </c>
      <c r="M759" s="1765">
        <f t="shared" si="156"/>
        <v>0.57000000000000028</v>
      </c>
    </row>
    <row r="760" spans="1:13">
      <c r="A760" s="1749">
        <f t="shared" si="153"/>
        <v>41791</v>
      </c>
      <c r="B760" s="1749" t="str">
        <f t="shared" si="154"/>
        <v>2Q14</v>
      </c>
      <c r="C760" s="1749" t="str">
        <f t="shared" si="155"/>
        <v>2Q14</v>
      </c>
      <c r="D760" s="1750">
        <f t="shared" si="164"/>
        <v>41820</v>
      </c>
      <c r="E760" s="1750">
        <f t="shared" si="164"/>
        <v>41813</v>
      </c>
      <c r="F760" s="1735">
        <v>3.919</v>
      </c>
      <c r="G760" s="1788"/>
      <c r="H760" s="1762">
        <f t="shared" si="163"/>
        <v>0.56399999999999995</v>
      </c>
      <c r="I760" s="1763">
        <f t="shared" si="160"/>
        <v>0.56399999999999995</v>
      </c>
      <c r="J760" s="1784">
        <v>0.3</v>
      </c>
      <c r="K760" s="1763">
        <f t="shared" si="161"/>
        <v>0.30099999999999999</v>
      </c>
      <c r="L760" s="1764">
        <f t="shared" si="158"/>
        <v>0.57000000000000028</v>
      </c>
      <c r="M760" s="1765">
        <f t="shared" si="156"/>
        <v>0.57000000000000028</v>
      </c>
    </row>
    <row r="761" spans="1:13">
      <c r="A761" s="1749">
        <f t="shared" si="153"/>
        <v>41821</v>
      </c>
      <c r="B761" s="1749" t="str">
        <f t="shared" si="154"/>
        <v>3Q14</v>
      </c>
      <c r="C761" s="1749" t="str">
        <f t="shared" si="155"/>
        <v>2Q14</v>
      </c>
      <c r="D761" s="1750">
        <f t="shared" si="164"/>
        <v>41827</v>
      </c>
      <c r="E761" s="1750">
        <f t="shared" si="164"/>
        <v>41820</v>
      </c>
      <c r="F761" s="1735">
        <v>3.92</v>
      </c>
      <c r="G761" s="1788"/>
      <c r="H761" s="1762">
        <f t="shared" si="163"/>
        <v>0.56399999999999995</v>
      </c>
      <c r="I761" s="1763">
        <f t="shared" si="160"/>
        <v>0.56399999999999995</v>
      </c>
      <c r="J761" s="1784">
        <v>0.30099999999999999</v>
      </c>
      <c r="K761" s="1763">
        <f t="shared" si="161"/>
        <v>0.3</v>
      </c>
      <c r="L761" s="1764">
        <f t="shared" si="158"/>
        <v>0.57000000000000028</v>
      </c>
      <c r="M761" s="1765">
        <f t="shared" si="156"/>
        <v>0.57000000000000028</v>
      </c>
    </row>
    <row r="762" spans="1:13">
      <c r="A762" s="1749">
        <f t="shared" si="153"/>
        <v>41821</v>
      </c>
      <c r="B762" s="1749" t="str">
        <f t="shared" si="154"/>
        <v>3Q14</v>
      </c>
      <c r="C762" s="1749" t="str">
        <f t="shared" si="155"/>
        <v>3Q14</v>
      </c>
      <c r="D762" s="1750">
        <f t="shared" si="164"/>
        <v>41834</v>
      </c>
      <c r="E762" s="1750">
        <f t="shared" si="164"/>
        <v>41827</v>
      </c>
      <c r="F762" s="1735">
        <v>3.9129999999999998</v>
      </c>
      <c r="G762" s="1788"/>
      <c r="H762" s="1762">
        <f t="shared" si="163"/>
        <v>0.56399999999999995</v>
      </c>
      <c r="I762" s="1763">
        <f t="shared" si="160"/>
        <v>0.55900000000000005</v>
      </c>
      <c r="J762" s="1784">
        <v>0.3</v>
      </c>
      <c r="K762" s="1763">
        <f t="shared" si="161"/>
        <v>0.29799999999999999</v>
      </c>
      <c r="L762" s="1764">
        <f t="shared" si="158"/>
        <v>0.57000000000000028</v>
      </c>
      <c r="M762" s="1765">
        <f t="shared" si="156"/>
        <v>0.56000000000000028</v>
      </c>
    </row>
    <row r="763" spans="1:13">
      <c r="A763" s="1749">
        <f t="shared" si="153"/>
        <v>41821</v>
      </c>
      <c r="B763" s="1749" t="str">
        <f t="shared" si="154"/>
        <v>3Q14</v>
      </c>
      <c r="C763" s="1749" t="str">
        <f t="shared" si="155"/>
        <v>3Q14</v>
      </c>
      <c r="D763" s="1750">
        <f t="shared" si="164"/>
        <v>41841</v>
      </c>
      <c r="E763" s="1750">
        <f t="shared" si="164"/>
        <v>41834</v>
      </c>
      <c r="F763" s="1735">
        <v>3.8940000000000001</v>
      </c>
      <c r="H763" s="1762">
        <f t="shared" si="163"/>
        <v>0.55900000000000005</v>
      </c>
      <c r="I763" s="1763">
        <f t="shared" si="160"/>
        <v>0.55900000000000005</v>
      </c>
      <c r="J763" s="1784">
        <v>0.29799999999999999</v>
      </c>
      <c r="K763" s="1763">
        <f t="shared" si="161"/>
        <v>0.29499999999999998</v>
      </c>
      <c r="L763" s="1764">
        <f t="shared" si="158"/>
        <v>0.56000000000000028</v>
      </c>
      <c r="M763" s="1765">
        <f t="shared" si="156"/>
        <v>0.56000000000000028</v>
      </c>
    </row>
    <row r="764" spans="1:13">
      <c r="A764" s="1749">
        <f t="shared" si="153"/>
        <v>41821</v>
      </c>
      <c r="B764" s="1749" t="str">
        <f t="shared" si="154"/>
        <v>3Q14</v>
      </c>
      <c r="C764" s="1749" t="str">
        <f t="shared" si="155"/>
        <v>3Q14</v>
      </c>
      <c r="D764" s="1750">
        <f t="shared" si="164"/>
        <v>41848</v>
      </c>
      <c r="E764" s="1750">
        <f t="shared" si="164"/>
        <v>41841</v>
      </c>
      <c r="F764" s="1735">
        <v>3.8690000000000002</v>
      </c>
      <c r="H764" s="1762">
        <f t="shared" si="163"/>
        <v>0.55900000000000005</v>
      </c>
      <c r="I764" s="1763">
        <f t="shared" si="160"/>
        <v>0.55900000000000005</v>
      </c>
      <c r="J764" s="1784">
        <v>0.29499999999999998</v>
      </c>
      <c r="K764" s="1763">
        <f t="shared" si="161"/>
        <v>0.29399999999999998</v>
      </c>
      <c r="L764" s="1764">
        <f t="shared" si="158"/>
        <v>0.56000000000000028</v>
      </c>
      <c r="M764" s="1765">
        <f t="shared" si="156"/>
        <v>0.56000000000000028</v>
      </c>
    </row>
    <row r="765" spans="1:13">
      <c r="A765" s="1749">
        <f t="shared" si="153"/>
        <v>41852</v>
      </c>
      <c r="B765" s="1749" t="str">
        <f t="shared" si="154"/>
        <v>3Q14</v>
      </c>
      <c r="C765" s="1749" t="str">
        <f t="shared" si="155"/>
        <v>3Q14</v>
      </c>
      <c r="D765" s="1750">
        <f t="shared" si="164"/>
        <v>41855</v>
      </c>
      <c r="E765" s="1750">
        <f t="shared" si="164"/>
        <v>41848</v>
      </c>
      <c r="F765" s="1735">
        <v>3.8580000000000001</v>
      </c>
      <c r="H765" s="1762">
        <f t="shared" si="163"/>
        <v>0.55900000000000005</v>
      </c>
      <c r="I765" s="1763">
        <f t="shared" si="160"/>
        <v>0.55900000000000005</v>
      </c>
      <c r="J765" s="1784">
        <v>0.29399999999999998</v>
      </c>
      <c r="K765" s="1763">
        <f t="shared" si="161"/>
        <v>0.29399999999999998</v>
      </c>
      <c r="L765" s="1764">
        <f t="shared" si="158"/>
        <v>0.56000000000000028</v>
      </c>
      <c r="M765" s="1765">
        <f t="shared" si="156"/>
        <v>0.56000000000000028</v>
      </c>
    </row>
    <row r="766" spans="1:13">
      <c r="A766" s="1749">
        <f t="shared" si="153"/>
        <v>41852</v>
      </c>
      <c r="B766" s="1749" t="str">
        <f t="shared" si="154"/>
        <v>3Q14</v>
      </c>
      <c r="C766" s="1749" t="str">
        <f t="shared" si="155"/>
        <v>3Q14</v>
      </c>
      <c r="D766" s="1750">
        <f t="shared" si="164"/>
        <v>41862</v>
      </c>
      <c r="E766" s="1750">
        <f t="shared" si="164"/>
        <v>41855</v>
      </c>
      <c r="F766" s="1735">
        <v>3.8530000000000002</v>
      </c>
      <c r="H766" s="1762">
        <f t="shared" si="163"/>
        <v>0.55900000000000005</v>
      </c>
      <c r="I766" s="1763">
        <f t="shared" si="160"/>
        <v>0.55400000000000005</v>
      </c>
      <c r="J766" s="1784">
        <v>0.29399999999999998</v>
      </c>
      <c r="K766" s="1763">
        <f t="shared" si="161"/>
        <v>0.29299999999999998</v>
      </c>
      <c r="L766" s="1764">
        <f t="shared" si="158"/>
        <v>0.56000000000000028</v>
      </c>
      <c r="M766" s="1765">
        <f t="shared" si="156"/>
        <v>0.55000000000000027</v>
      </c>
    </row>
    <row r="767" spans="1:13">
      <c r="A767" s="1749">
        <f t="shared" si="153"/>
        <v>41852</v>
      </c>
      <c r="B767" s="1749" t="str">
        <f t="shared" si="154"/>
        <v>3Q14</v>
      </c>
      <c r="C767" s="1749" t="str">
        <f t="shared" si="155"/>
        <v>3Q14</v>
      </c>
      <c r="D767" s="1750">
        <f t="shared" si="164"/>
        <v>41869</v>
      </c>
      <c r="E767" s="1750">
        <f t="shared" si="164"/>
        <v>41862</v>
      </c>
      <c r="F767" s="1735">
        <v>3.843</v>
      </c>
      <c r="H767" s="1762">
        <f t="shared" si="163"/>
        <v>0.55400000000000005</v>
      </c>
      <c r="I767" s="1763">
        <f t="shared" si="160"/>
        <v>0.55400000000000005</v>
      </c>
      <c r="J767" s="1784">
        <v>0.29299999999999998</v>
      </c>
      <c r="K767" s="1763">
        <f t="shared" si="161"/>
        <v>0.29199999999999998</v>
      </c>
      <c r="L767" s="1764">
        <f t="shared" si="158"/>
        <v>0.55000000000000027</v>
      </c>
      <c r="M767" s="1765">
        <f t="shared" si="156"/>
        <v>0.55000000000000027</v>
      </c>
    </row>
    <row r="768" spans="1:13">
      <c r="A768" s="1749">
        <f t="shared" si="153"/>
        <v>41852</v>
      </c>
      <c r="B768" s="1749" t="str">
        <f t="shared" si="154"/>
        <v>3Q14</v>
      </c>
      <c r="C768" s="1749" t="str">
        <f t="shared" si="155"/>
        <v>3Q14</v>
      </c>
      <c r="D768" s="1750">
        <f t="shared" si="164"/>
        <v>41876</v>
      </c>
      <c r="E768" s="1750">
        <f t="shared" si="164"/>
        <v>41869</v>
      </c>
      <c r="F768" s="1735">
        <v>3.835</v>
      </c>
      <c r="H768" s="1762">
        <f t="shared" si="163"/>
        <v>0.55400000000000005</v>
      </c>
      <c r="I768" s="1763">
        <f t="shared" si="160"/>
        <v>0.55400000000000005</v>
      </c>
      <c r="J768" s="1784">
        <v>0.29199999999999998</v>
      </c>
      <c r="K768" s="1763">
        <f t="shared" si="161"/>
        <v>0.29099999999999998</v>
      </c>
      <c r="L768" s="1764">
        <f t="shared" si="158"/>
        <v>0.55000000000000027</v>
      </c>
      <c r="M768" s="1765">
        <f t="shared" si="156"/>
        <v>0.55000000000000027</v>
      </c>
    </row>
    <row r="769" spans="1:13">
      <c r="A769" s="1749">
        <f t="shared" si="153"/>
        <v>41883</v>
      </c>
      <c r="B769" s="1749" t="str">
        <f t="shared" si="154"/>
        <v>3Q14</v>
      </c>
      <c r="C769" s="1749" t="str">
        <f t="shared" si="155"/>
        <v>3Q14</v>
      </c>
      <c r="D769" s="1750">
        <f t="shared" si="164"/>
        <v>41883</v>
      </c>
      <c r="E769" s="1750">
        <f t="shared" si="164"/>
        <v>41876</v>
      </c>
      <c r="F769" s="1735">
        <v>3.8210000000000002</v>
      </c>
      <c r="H769" s="1762">
        <f t="shared" si="163"/>
        <v>0.55400000000000005</v>
      </c>
      <c r="I769" s="1763">
        <f t="shared" si="160"/>
        <v>0.55400000000000005</v>
      </c>
      <c r="J769" s="1784">
        <v>0.29099999999999998</v>
      </c>
      <c r="K769" s="1763">
        <f t="shared" si="161"/>
        <v>0.28999999999999998</v>
      </c>
      <c r="L769" s="1764">
        <f t="shared" si="158"/>
        <v>0.55000000000000027</v>
      </c>
      <c r="M769" s="1765">
        <f t="shared" si="156"/>
        <v>0.55000000000000027</v>
      </c>
    </row>
    <row r="770" spans="1:13">
      <c r="A770" s="1749">
        <f t="shared" si="153"/>
        <v>41883</v>
      </c>
      <c r="B770" s="1749" t="str">
        <f t="shared" si="154"/>
        <v>3Q14</v>
      </c>
      <c r="C770" s="1749" t="str">
        <f t="shared" si="155"/>
        <v>3Q14</v>
      </c>
      <c r="D770" s="1750">
        <f t="shared" si="164"/>
        <v>41890</v>
      </c>
      <c r="E770" s="1750">
        <f t="shared" si="164"/>
        <v>41883</v>
      </c>
      <c r="F770" s="1735">
        <v>3.8140000000000001</v>
      </c>
      <c r="H770" s="1762">
        <f t="shared" si="163"/>
        <v>0.55400000000000005</v>
      </c>
      <c r="I770" s="1763">
        <f t="shared" si="160"/>
        <v>0.55400000000000005</v>
      </c>
      <c r="J770" s="1784">
        <v>0.28999999999999998</v>
      </c>
      <c r="K770" s="1763">
        <f t="shared" si="161"/>
        <v>0.28999999999999998</v>
      </c>
      <c r="L770" s="1764">
        <f t="shared" si="158"/>
        <v>0.55000000000000027</v>
      </c>
      <c r="M770" s="1765">
        <f t="shared" si="156"/>
        <v>0.55000000000000027</v>
      </c>
    </row>
    <row r="771" spans="1:13">
      <c r="A771" s="1749">
        <f t="shared" si="153"/>
        <v>41883</v>
      </c>
      <c r="B771" s="1749" t="str">
        <f t="shared" si="154"/>
        <v>3Q14</v>
      </c>
      <c r="C771" s="1749" t="str">
        <f t="shared" si="155"/>
        <v>3Q14</v>
      </c>
      <c r="D771" s="1750">
        <f t="shared" si="164"/>
        <v>41897</v>
      </c>
      <c r="E771" s="1750">
        <f t="shared" si="164"/>
        <v>41890</v>
      </c>
      <c r="F771" s="1735">
        <v>3.8140000000000001</v>
      </c>
      <c r="H771" s="1762">
        <f t="shared" si="163"/>
        <v>0.55400000000000005</v>
      </c>
      <c r="I771" s="1763">
        <f t="shared" si="160"/>
        <v>0.55400000000000005</v>
      </c>
      <c r="J771" s="1784">
        <v>0.28999999999999998</v>
      </c>
      <c r="K771" s="1763">
        <f t="shared" si="161"/>
        <v>0.28899999999999998</v>
      </c>
      <c r="L771" s="1764">
        <f t="shared" si="158"/>
        <v>0.55000000000000027</v>
      </c>
      <c r="M771" s="1765">
        <f t="shared" si="156"/>
        <v>0.55000000000000027</v>
      </c>
    </row>
    <row r="772" spans="1:13">
      <c r="A772" s="1749">
        <f t="shared" ref="A772:A835" si="165">DATE(YEAR(D772),MONTH(D772),1)</f>
        <v>41883</v>
      </c>
      <c r="B772" s="1749" t="str">
        <f t="shared" ref="B772:B835" si="166">VLOOKUP(MONTH(A772),$AB$4:$AC$17,2,FALSE) &amp; "Q" &amp; RIGHT(YEAR(A772),2)</f>
        <v>3Q14</v>
      </c>
      <c r="C772" s="1749" t="str">
        <f t="shared" ref="C772:C835" si="167">VLOOKUP(MONTH(E772),$AB$4:$AC$17,2,FALSE) &amp; "Q" &amp; RIGHT(YEAR(E772),2)</f>
        <v>3Q14</v>
      </c>
      <c r="D772" s="1750">
        <f t="shared" si="164"/>
        <v>41904</v>
      </c>
      <c r="E772" s="1750">
        <f t="shared" si="164"/>
        <v>41897</v>
      </c>
      <c r="F772" s="1735">
        <v>3.8010000000000002</v>
      </c>
      <c r="H772" s="1762">
        <f t="shared" si="163"/>
        <v>0.55400000000000005</v>
      </c>
      <c r="I772" s="1763">
        <f t="shared" si="160"/>
        <v>0.54900000000000004</v>
      </c>
      <c r="J772" s="1784">
        <v>0.28899999999999998</v>
      </c>
      <c r="K772" s="1763">
        <f t="shared" si="161"/>
        <v>0.28599999999999998</v>
      </c>
      <c r="L772" s="1764">
        <f t="shared" si="158"/>
        <v>0.55000000000000027</v>
      </c>
      <c r="M772" s="1765">
        <f t="shared" ref="M772:M835" si="168">L773</f>
        <v>0.54000000000000026</v>
      </c>
    </row>
    <row r="773" spans="1:13">
      <c r="A773" s="1749">
        <f t="shared" si="165"/>
        <v>41883</v>
      </c>
      <c r="B773" s="1749" t="str">
        <f t="shared" si="166"/>
        <v>3Q14</v>
      </c>
      <c r="C773" s="1749" t="str">
        <f t="shared" si="167"/>
        <v>3Q14</v>
      </c>
      <c r="D773" s="1750">
        <f t="shared" ref="D773:E788" si="169">D772+7</f>
        <v>41911</v>
      </c>
      <c r="E773" s="1750">
        <f t="shared" si="169"/>
        <v>41904</v>
      </c>
      <c r="F773" s="1735">
        <v>3.778</v>
      </c>
      <c r="H773" s="1762">
        <f t="shared" si="163"/>
        <v>0.54900000000000004</v>
      </c>
      <c r="I773" s="1763">
        <f t="shared" si="160"/>
        <v>0.54900000000000004</v>
      </c>
      <c r="J773" s="1784">
        <v>0.28599999999999998</v>
      </c>
      <c r="K773" s="1763">
        <f t="shared" si="161"/>
        <v>0.28399999999999997</v>
      </c>
      <c r="L773" s="1764">
        <f t="shared" ref="L773:L836" si="170">INDEX($T$4:$V$100,MATCH(F773,$T$4:$T$100,1),3)</f>
        <v>0.54000000000000026</v>
      </c>
      <c r="M773" s="1765">
        <f t="shared" si="168"/>
        <v>0.54000000000000026</v>
      </c>
    </row>
    <row r="774" spans="1:13">
      <c r="A774" s="1749">
        <f t="shared" si="165"/>
        <v>41913</v>
      </c>
      <c r="B774" s="1749" t="str">
        <f t="shared" si="166"/>
        <v>4Q14</v>
      </c>
      <c r="C774" s="1749" t="str">
        <f t="shared" si="167"/>
        <v>3Q14</v>
      </c>
      <c r="D774" s="1750">
        <f t="shared" si="169"/>
        <v>41918</v>
      </c>
      <c r="E774" s="1750">
        <f t="shared" si="169"/>
        <v>41911</v>
      </c>
      <c r="F774" s="1735">
        <v>3.7549999999999999</v>
      </c>
      <c r="H774" s="1762">
        <f t="shared" si="163"/>
        <v>0.54900000000000004</v>
      </c>
      <c r="I774" s="1763">
        <f t="shared" si="160"/>
        <v>0.54400000000000004</v>
      </c>
      <c r="J774" s="1784">
        <v>0.28399999999999997</v>
      </c>
      <c r="K774" s="1763">
        <f t="shared" si="161"/>
        <v>0.28199999999999997</v>
      </c>
      <c r="L774" s="1764">
        <f t="shared" si="170"/>
        <v>0.54000000000000026</v>
      </c>
      <c r="M774" s="1765">
        <f t="shared" si="168"/>
        <v>0.53000000000000025</v>
      </c>
    </row>
    <row r="775" spans="1:13">
      <c r="A775" s="1749">
        <f t="shared" si="165"/>
        <v>41913</v>
      </c>
      <c r="B775" s="1749" t="str">
        <f t="shared" si="166"/>
        <v>4Q14</v>
      </c>
      <c r="C775" s="1749" t="str">
        <f t="shared" si="167"/>
        <v>4Q14</v>
      </c>
      <c r="D775" s="1750">
        <f t="shared" si="169"/>
        <v>41925</v>
      </c>
      <c r="E775" s="1750">
        <f t="shared" si="169"/>
        <v>41918</v>
      </c>
      <c r="F775" s="1735">
        <v>3.7330000000000001</v>
      </c>
      <c r="H775" s="1762">
        <f t="shared" si="163"/>
        <v>0.54400000000000004</v>
      </c>
      <c r="I775" s="1763">
        <f t="shared" si="160"/>
        <v>0.53900000000000003</v>
      </c>
      <c r="J775" s="1784">
        <v>0.28199999999999997</v>
      </c>
      <c r="K775" s="1763">
        <f t="shared" si="161"/>
        <v>0.27800000000000002</v>
      </c>
      <c r="L775" s="1764">
        <f t="shared" si="170"/>
        <v>0.53000000000000025</v>
      </c>
      <c r="M775" s="1765">
        <f t="shared" si="168"/>
        <v>0.52000000000000024</v>
      </c>
    </row>
    <row r="776" spans="1:13">
      <c r="A776" s="1749">
        <f t="shared" si="165"/>
        <v>41913</v>
      </c>
      <c r="B776" s="1749" t="str">
        <f t="shared" si="166"/>
        <v>4Q14</v>
      </c>
      <c r="C776" s="1749" t="str">
        <f t="shared" si="167"/>
        <v>4Q14</v>
      </c>
      <c r="D776" s="1750">
        <f t="shared" si="169"/>
        <v>41932</v>
      </c>
      <c r="E776" s="1750">
        <f t="shared" si="169"/>
        <v>41925</v>
      </c>
      <c r="F776" s="1735">
        <v>3.698</v>
      </c>
      <c r="H776" s="1762">
        <f t="shared" si="163"/>
        <v>0.53900000000000003</v>
      </c>
      <c r="I776" s="1763">
        <f t="shared" si="160"/>
        <v>0.53900000000000003</v>
      </c>
      <c r="J776" s="1784">
        <v>0.27800000000000002</v>
      </c>
      <c r="K776" s="1763">
        <f t="shared" si="161"/>
        <v>0.27700000000000002</v>
      </c>
      <c r="L776" s="1764">
        <f t="shared" si="170"/>
        <v>0.52000000000000024</v>
      </c>
      <c r="M776" s="1765">
        <f t="shared" si="168"/>
        <v>0.52000000000000024</v>
      </c>
    </row>
    <row r="777" spans="1:13">
      <c r="A777" s="1749">
        <f t="shared" si="165"/>
        <v>41913</v>
      </c>
      <c r="B777" s="1749" t="str">
        <f t="shared" si="166"/>
        <v>4Q14</v>
      </c>
      <c r="C777" s="1749" t="str">
        <f t="shared" si="167"/>
        <v>4Q14</v>
      </c>
      <c r="D777" s="1750">
        <f t="shared" si="169"/>
        <v>41939</v>
      </c>
      <c r="E777" s="1750">
        <f t="shared" si="169"/>
        <v>41932</v>
      </c>
      <c r="F777" s="1735">
        <v>3.6560000000000001</v>
      </c>
      <c r="H777" s="1762">
        <f t="shared" si="163"/>
        <v>0.53900000000000003</v>
      </c>
      <c r="I777" s="1763">
        <f t="shared" si="160"/>
        <v>0.53400000000000003</v>
      </c>
      <c r="J777" s="1784">
        <v>0.27700000000000002</v>
      </c>
      <c r="K777" s="1763">
        <f t="shared" si="161"/>
        <v>0.27200000000000002</v>
      </c>
      <c r="L777" s="1764">
        <f t="shared" si="170"/>
        <v>0.52000000000000024</v>
      </c>
      <c r="M777" s="1765">
        <f t="shared" si="168"/>
        <v>0.51000000000000023</v>
      </c>
    </row>
    <row r="778" spans="1:13">
      <c r="A778" s="1749">
        <f t="shared" si="165"/>
        <v>41944</v>
      </c>
      <c r="B778" s="1749" t="str">
        <f t="shared" si="166"/>
        <v>4Q14</v>
      </c>
      <c r="C778" s="1749" t="str">
        <f t="shared" si="167"/>
        <v>4Q14</v>
      </c>
      <c r="D778" s="1750">
        <f t="shared" si="169"/>
        <v>41946</v>
      </c>
      <c r="E778" s="1750">
        <f t="shared" si="169"/>
        <v>41939</v>
      </c>
      <c r="F778" s="1735">
        <v>3.6349999999999998</v>
      </c>
      <c r="H778" s="1762">
        <f t="shared" si="163"/>
        <v>0.53400000000000003</v>
      </c>
      <c r="I778" s="1763">
        <f t="shared" si="160"/>
        <v>0.53400000000000003</v>
      </c>
      <c r="J778" s="1784">
        <v>0.27200000000000002</v>
      </c>
      <c r="K778" s="1763">
        <f t="shared" si="161"/>
        <v>0.27200000000000002</v>
      </c>
      <c r="L778" s="1764">
        <f t="shared" si="170"/>
        <v>0.51000000000000023</v>
      </c>
      <c r="M778" s="1765">
        <f t="shared" si="168"/>
        <v>0.51000000000000023</v>
      </c>
    </row>
    <row r="779" spans="1:13">
      <c r="A779" s="1749">
        <f t="shared" si="165"/>
        <v>41944</v>
      </c>
      <c r="B779" s="1749" t="str">
        <f t="shared" si="166"/>
        <v>4Q14</v>
      </c>
      <c r="C779" s="1749" t="str">
        <f t="shared" si="167"/>
        <v>4Q14</v>
      </c>
      <c r="D779" s="1750">
        <f t="shared" si="169"/>
        <v>41953</v>
      </c>
      <c r="E779" s="1750">
        <f t="shared" si="169"/>
        <v>41946</v>
      </c>
      <c r="F779" s="1735">
        <v>3.6230000000000002</v>
      </c>
      <c r="H779" s="1762">
        <f t="shared" si="163"/>
        <v>0.53400000000000003</v>
      </c>
      <c r="I779" s="1763">
        <f t="shared" si="160"/>
        <v>0.53900000000000003</v>
      </c>
      <c r="J779" s="1784">
        <v>0.27200000000000002</v>
      </c>
      <c r="K779" s="1763">
        <f t="shared" si="161"/>
        <v>0.27700000000000002</v>
      </c>
      <c r="L779" s="1764">
        <f t="shared" si="170"/>
        <v>0.51000000000000023</v>
      </c>
      <c r="M779" s="1765">
        <f t="shared" si="168"/>
        <v>0.52000000000000024</v>
      </c>
    </row>
    <row r="780" spans="1:13">
      <c r="A780" s="1749">
        <f t="shared" si="165"/>
        <v>41944</v>
      </c>
      <c r="B780" s="1749" t="str">
        <f t="shared" si="166"/>
        <v>4Q14</v>
      </c>
      <c r="C780" s="1749" t="str">
        <f t="shared" si="167"/>
        <v>4Q14</v>
      </c>
      <c r="D780" s="1750">
        <f t="shared" si="169"/>
        <v>41960</v>
      </c>
      <c r="E780" s="1750">
        <f t="shared" si="169"/>
        <v>41953</v>
      </c>
      <c r="F780" s="1735">
        <v>3.677</v>
      </c>
      <c r="H780" s="1762">
        <f t="shared" si="163"/>
        <v>0.53900000000000003</v>
      </c>
      <c r="I780" s="1763">
        <f t="shared" si="160"/>
        <v>0.53900000000000003</v>
      </c>
      <c r="J780" s="1784">
        <v>0.27700000000000002</v>
      </c>
      <c r="K780" s="1763">
        <f t="shared" si="161"/>
        <v>0.27700000000000002</v>
      </c>
      <c r="L780" s="1764">
        <f t="shared" si="170"/>
        <v>0.52000000000000024</v>
      </c>
      <c r="M780" s="1765">
        <f t="shared" si="168"/>
        <v>0.52000000000000024</v>
      </c>
    </row>
    <row r="781" spans="1:13">
      <c r="A781" s="1749">
        <f t="shared" si="165"/>
        <v>41944</v>
      </c>
      <c r="B781" s="1749" t="str">
        <f t="shared" si="166"/>
        <v>4Q14</v>
      </c>
      <c r="C781" s="1749" t="str">
        <f t="shared" si="167"/>
        <v>4Q14</v>
      </c>
      <c r="D781" s="1750">
        <f t="shared" si="169"/>
        <v>41967</v>
      </c>
      <c r="E781" s="1750">
        <f t="shared" si="169"/>
        <v>41960</v>
      </c>
      <c r="F781" s="1735">
        <v>3.661</v>
      </c>
      <c r="H781" s="1762">
        <f t="shared" si="163"/>
        <v>0.53900000000000003</v>
      </c>
      <c r="I781" s="1763">
        <f t="shared" si="160"/>
        <v>0.53400000000000003</v>
      </c>
      <c r="J781" s="1784">
        <v>0.27700000000000002</v>
      </c>
      <c r="K781" s="1763">
        <f t="shared" si="161"/>
        <v>0.27200000000000002</v>
      </c>
      <c r="L781" s="1764">
        <f t="shared" si="170"/>
        <v>0.52000000000000024</v>
      </c>
      <c r="M781" s="1765">
        <f t="shared" si="168"/>
        <v>0.51000000000000023</v>
      </c>
    </row>
    <row r="782" spans="1:13">
      <c r="A782" s="1749">
        <f t="shared" si="165"/>
        <v>41974</v>
      </c>
      <c r="B782" s="1749" t="str">
        <f t="shared" si="166"/>
        <v>4Q14</v>
      </c>
      <c r="C782" s="1749" t="str">
        <f t="shared" si="167"/>
        <v>4Q14</v>
      </c>
      <c r="D782" s="1750">
        <f t="shared" si="169"/>
        <v>41974</v>
      </c>
      <c r="E782" s="1750">
        <f t="shared" si="169"/>
        <v>41967</v>
      </c>
      <c r="F782" s="1735">
        <v>3.6280000000000001</v>
      </c>
      <c r="H782" s="1762">
        <f t="shared" si="163"/>
        <v>0.53400000000000003</v>
      </c>
      <c r="I782" s="1763">
        <f t="shared" si="160"/>
        <v>0.53400000000000003</v>
      </c>
      <c r="J782" s="1784">
        <v>0.27200000000000002</v>
      </c>
      <c r="K782" s="1763">
        <f t="shared" si="161"/>
        <v>0.27200000000000002</v>
      </c>
      <c r="L782" s="1764">
        <f t="shared" si="170"/>
        <v>0.51000000000000023</v>
      </c>
      <c r="M782" s="1765">
        <f t="shared" si="168"/>
        <v>0.51000000000000023</v>
      </c>
    </row>
    <row r="783" spans="1:13">
      <c r="A783" s="1749">
        <f t="shared" si="165"/>
        <v>41974</v>
      </c>
      <c r="B783" s="1749" t="str">
        <f t="shared" si="166"/>
        <v>4Q14</v>
      </c>
      <c r="C783" s="1749" t="str">
        <f t="shared" si="167"/>
        <v>4Q14</v>
      </c>
      <c r="D783" s="1750">
        <f t="shared" si="169"/>
        <v>41981</v>
      </c>
      <c r="E783" s="1750">
        <f t="shared" si="169"/>
        <v>41974</v>
      </c>
      <c r="F783" s="1735">
        <v>3.605</v>
      </c>
      <c r="H783" s="1762">
        <f t="shared" si="163"/>
        <v>0.53400000000000003</v>
      </c>
      <c r="I783" s="1763">
        <f t="shared" si="160"/>
        <v>0.52400000000000002</v>
      </c>
      <c r="J783" s="1784">
        <v>0.27200000000000002</v>
      </c>
      <c r="K783" s="1763">
        <f t="shared" si="161"/>
        <v>0.26200000000000001</v>
      </c>
      <c r="L783" s="1764">
        <f t="shared" si="170"/>
        <v>0.51000000000000023</v>
      </c>
      <c r="M783" s="1765">
        <f t="shared" si="168"/>
        <v>0.49000000000000027</v>
      </c>
    </row>
    <row r="784" spans="1:13">
      <c r="A784" s="1749">
        <f t="shared" si="165"/>
        <v>41974</v>
      </c>
      <c r="B784" s="1749" t="str">
        <f t="shared" si="166"/>
        <v>4Q14</v>
      </c>
      <c r="C784" s="1749" t="str">
        <f t="shared" si="167"/>
        <v>4Q14</v>
      </c>
      <c r="D784" s="1750">
        <f t="shared" si="169"/>
        <v>41988</v>
      </c>
      <c r="E784" s="1750">
        <f t="shared" si="169"/>
        <v>41981</v>
      </c>
      <c r="F784" s="1735">
        <v>3.5350000000000001</v>
      </c>
      <c r="H784" s="1762">
        <f t="shared" si="163"/>
        <v>0.52400000000000002</v>
      </c>
      <c r="I784" s="1763">
        <f t="shared" si="160"/>
        <v>0.51400000000000001</v>
      </c>
      <c r="J784" s="1784">
        <v>0.26200000000000001</v>
      </c>
      <c r="K784" s="1763">
        <f t="shared" si="161"/>
        <v>0.252</v>
      </c>
      <c r="L784" s="1764">
        <f t="shared" si="170"/>
        <v>0.49000000000000027</v>
      </c>
      <c r="M784" s="1765">
        <f t="shared" si="168"/>
        <v>0.47000000000000025</v>
      </c>
    </row>
    <row r="785" spans="1:13">
      <c r="A785" s="1749">
        <f t="shared" si="165"/>
        <v>41974</v>
      </c>
      <c r="B785" s="1749" t="str">
        <f t="shared" si="166"/>
        <v>4Q14</v>
      </c>
      <c r="C785" s="1749" t="str">
        <f t="shared" si="167"/>
        <v>4Q14</v>
      </c>
      <c r="D785" s="1750">
        <f t="shared" si="169"/>
        <v>41995</v>
      </c>
      <c r="E785" s="1750">
        <f t="shared" si="169"/>
        <v>41988</v>
      </c>
      <c r="F785" s="1735">
        <v>3.419</v>
      </c>
      <c r="H785" s="1762">
        <f t="shared" si="163"/>
        <v>0.51400000000000001</v>
      </c>
      <c r="I785" s="1763">
        <f t="shared" si="160"/>
        <v>0.499</v>
      </c>
      <c r="J785" s="1784">
        <v>0.252</v>
      </c>
      <c r="K785" s="1763">
        <f t="shared" si="161"/>
        <v>0.23699999999999999</v>
      </c>
      <c r="L785" s="1764">
        <f t="shared" si="170"/>
        <v>0.47000000000000025</v>
      </c>
      <c r="M785" s="1765">
        <f t="shared" si="168"/>
        <v>0.44000000000000022</v>
      </c>
    </row>
    <row r="786" spans="1:13">
      <c r="A786" s="1749">
        <f t="shared" si="165"/>
        <v>41974</v>
      </c>
      <c r="B786" s="1749" t="str">
        <f t="shared" si="166"/>
        <v>4Q14</v>
      </c>
      <c r="C786" s="1749" t="str">
        <f t="shared" si="167"/>
        <v>4Q14</v>
      </c>
      <c r="D786" s="1750">
        <f t="shared" si="169"/>
        <v>42002</v>
      </c>
      <c r="E786" s="1750">
        <f t="shared" si="169"/>
        <v>41995</v>
      </c>
      <c r="F786" s="1735">
        <v>3.2810000000000001</v>
      </c>
      <c r="H786" s="1762">
        <f t="shared" si="163"/>
        <v>0.499</v>
      </c>
      <c r="I786" s="1763">
        <f t="shared" si="160"/>
        <v>0.49399999999999999</v>
      </c>
      <c r="J786" s="1784">
        <v>0.23699999999999999</v>
      </c>
      <c r="K786" s="1763">
        <f t="shared" si="161"/>
        <v>0.23200000000000001</v>
      </c>
      <c r="L786" s="1764">
        <f t="shared" si="170"/>
        <v>0.44000000000000022</v>
      </c>
      <c r="M786" s="1765">
        <f t="shared" si="168"/>
        <v>0.43000000000000022</v>
      </c>
    </row>
    <row r="787" spans="1:13">
      <c r="A787" s="1749">
        <f t="shared" si="165"/>
        <v>42005</v>
      </c>
      <c r="B787" s="1749" t="str">
        <f t="shared" si="166"/>
        <v>1Q15</v>
      </c>
      <c r="C787" s="1749" t="str">
        <f t="shared" si="167"/>
        <v>4Q14</v>
      </c>
      <c r="D787" s="1750">
        <f t="shared" si="169"/>
        <v>42009</v>
      </c>
      <c r="E787" s="1750">
        <f t="shared" si="169"/>
        <v>42002</v>
      </c>
      <c r="F787" s="1735">
        <v>3.2130000000000001</v>
      </c>
      <c r="H787" s="1762">
        <f t="shared" si="163"/>
        <v>0.49399999999999999</v>
      </c>
      <c r="I787" s="1763">
        <f t="shared" si="160"/>
        <v>0.48399999999999999</v>
      </c>
      <c r="J787" s="1784">
        <v>0.23200000000000001</v>
      </c>
      <c r="K787" s="1763">
        <f t="shared" si="161"/>
        <v>0.222</v>
      </c>
      <c r="L787" s="1764">
        <f t="shared" si="170"/>
        <v>0.43000000000000022</v>
      </c>
      <c r="M787" s="1765">
        <f t="shared" si="168"/>
        <v>0.4100000000000002</v>
      </c>
    </row>
    <row r="788" spans="1:13">
      <c r="A788" s="1749">
        <f t="shared" si="165"/>
        <v>42005</v>
      </c>
      <c r="B788" s="1749" t="str">
        <f t="shared" si="166"/>
        <v>1Q15</v>
      </c>
      <c r="C788" s="1749" t="str">
        <f t="shared" si="167"/>
        <v>1Q15</v>
      </c>
      <c r="D788" s="1750">
        <f t="shared" si="169"/>
        <v>42016</v>
      </c>
      <c r="E788" s="1750">
        <f t="shared" si="169"/>
        <v>42009</v>
      </c>
      <c r="F788" s="1735">
        <v>3.137</v>
      </c>
      <c r="H788" s="1762">
        <f t="shared" si="163"/>
        <v>0.48399999999999999</v>
      </c>
      <c r="I788" s="1763">
        <f t="shared" si="160"/>
        <v>0.47899999999999998</v>
      </c>
      <c r="J788" s="1784">
        <v>0.222</v>
      </c>
      <c r="K788" s="1763">
        <f t="shared" si="161"/>
        <v>0.217</v>
      </c>
      <c r="L788" s="1764">
        <f t="shared" si="170"/>
        <v>0.4100000000000002</v>
      </c>
      <c r="M788" s="1765">
        <f t="shared" si="168"/>
        <v>0.40000000000000019</v>
      </c>
    </row>
    <row r="789" spans="1:13">
      <c r="A789" s="1749">
        <f t="shared" si="165"/>
        <v>42005</v>
      </c>
      <c r="B789" s="1749" t="str">
        <f t="shared" si="166"/>
        <v>1Q15</v>
      </c>
      <c r="C789" s="1749" t="str">
        <f t="shared" si="167"/>
        <v>1Q15</v>
      </c>
      <c r="D789" s="1750">
        <f t="shared" ref="D789:E804" si="171">D788+7</f>
        <v>42023</v>
      </c>
      <c r="E789" s="1750">
        <f t="shared" si="171"/>
        <v>42016</v>
      </c>
      <c r="F789" s="1735">
        <v>3.0529999999999999</v>
      </c>
      <c r="H789" s="1762">
        <f t="shared" si="163"/>
        <v>0.47899999999999998</v>
      </c>
      <c r="I789" s="1763">
        <f t="shared" si="160"/>
        <v>0.46400000000000002</v>
      </c>
      <c r="J789" s="1784">
        <v>0.217</v>
      </c>
      <c r="K789" s="1763">
        <f t="shared" si="161"/>
        <v>0.20200000000000001</v>
      </c>
      <c r="L789" s="1764">
        <f t="shared" si="170"/>
        <v>0.40000000000000019</v>
      </c>
      <c r="M789" s="1765">
        <f t="shared" si="168"/>
        <v>0.37000000000000016</v>
      </c>
    </row>
    <row r="790" spans="1:13">
      <c r="A790" s="1749">
        <f t="shared" si="165"/>
        <v>42005</v>
      </c>
      <c r="B790" s="1749" t="str">
        <f t="shared" si="166"/>
        <v>1Q15</v>
      </c>
      <c r="C790" s="1749" t="str">
        <f t="shared" si="167"/>
        <v>1Q15</v>
      </c>
      <c r="D790" s="1750">
        <f t="shared" si="171"/>
        <v>42030</v>
      </c>
      <c r="E790" s="1750">
        <f t="shared" si="171"/>
        <v>42023</v>
      </c>
      <c r="F790" s="1735">
        <v>2.9329999999999998</v>
      </c>
      <c r="H790" s="1762">
        <f t="shared" si="163"/>
        <v>0.46400000000000002</v>
      </c>
      <c r="I790" s="1763">
        <f t="shared" si="160"/>
        <v>0.45900000000000002</v>
      </c>
      <c r="J790" s="1784">
        <v>0.20200000000000001</v>
      </c>
      <c r="K790" s="1763">
        <f t="shared" si="161"/>
        <v>0.22950000000000001</v>
      </c>
      <c r="L790" s="1764">
        <f t="shared" si="170"/>
        <v>0.37000000000000016</v>
      </c>
      <c r="M790" s="1765">
        <f t="shared" si="168"/>
        <v>0.36000000000000015</v>
      </c>
    </row>
    <row r="791" spans="1:13">
      <c r="A791" s="1749">
        <f t="shared" si="165"/>
        <v>42036</v>
      </c>
      <c r="B791" s="1749" t="str">
        <f t="shared" si="166"/>
        <v>1Q15</v>
      </c>
      <c r="C791" s="1749" t="str">
        <f t="shared" si="167"/>
        <v>1Q15</v>
      </c>
      <c r="D791" s="1750">
        <f t="shared" si="171"/>
        <v>42037</v>
      </c>
      <c r="E791" s="1750">
        <f t="shared" si="171"/>
        <v>42030</v>
      </c>
      <c r="F791" s="1735">
        <v>2.8660000000000001</v>
      </c>
      <c r="H791" s="1762">
        <f t="shared" si="163"/>
        <v>0.45900000000000002</v>
      </c>
      <c r="I791" s="1763">
        <f t="shared" si="160"/>
        <v>0.45400000000000001</v>
      </c>
      <c r="J791" s="1762">
        <f t="shared" ref="J791:J854" si="172">INDEX($O$4:$R$440,MATCH(F791,$O$4:$O$440,1),4)</f>
        <v>0.22950000000000001</v>
      </c>
      <c r="K791" s="1763">
        <f t="shared" si="161"/>
        <v>0.22700000000000001</v>
      </c>
      <c r="L791" s="1764">
        <f t="shared" si="170"/>
        <v>0.36000000000000015</v>
      </c>
      <c r="M791" s="1765">
        <f t="shared" si="168"/>
        <v>0.35000000000000014</v>
      </c>
    </row>
    <row r="792" spans="1:13">
      <c r="A792" s="1749">
        <f t="shared" si="165"/>
        <v>42036</v>
      </c>
      <c r="B792" s="1749" t="str">
        <f t="shared" si="166"/>
        <v>1Q15</v>
      </c>
      <c r="C792" s="1749" t="str">
        <f t="shared" si="167"/>
        <v>1Q15</v>
      </c>
      <c r="D792" s="1750">
        <f t="shared" si="171"/>
        <v>42044</v>
      </c>
      <c r="E792" s="1750">
        <f t="shared" si="171"/>
        <v>42037</v>
      </c>
      <c r="F792" s="1735">
        <v>2.831</v>
      </c>
      <c r="H792" s="1762">
        <f t="shared" si="163"/>
        <v>0.45400000000000001</v>
      </c>
      <c r="I792" s="1763">
        <f t="shared" si="160"/>
        <v>0.45400000000000001</v>
      </c>
      <c r="J792" s="1762">
        <f t="shared" si="172"/>
        <v>0.22700000000000001</v>
      </c>
      <c r="K792" s="1763">
        <f t="shared" si="161"/>
        <v>0.22700000000000001</v>
      </c>
      <c r="L792" s="1764">
        <f t="shared" si="170"/>
        <v>0.35000000000000014</v>
      </c>
      <c r="M792" s="1765">
        <f t="shared" si="168"/>
        <v>0.35000000000000014</v>
      </c>
    </row>
    <row r="793" spans="1:13">
      <c r="A793" s="1749">
        <f t="shared" si="165"/>
        <v>42036</v>
      </c>
      <c r="B793" s="1749" t="str">
        <f t="shared" si="166"/>
        <v>1Q15</v>
      </c>
      <c r="C793" s="1749" t="str">
        <f t="shared" si="167"/>
        <v>1Q15</v>
      </c>
      <c r="D793" s="1750">
        <f t="shared" si="171"/>
        <v>42051</v>
      </c>
      <c r="E793" s="1750">
        <f t="shared" si="171"/>
        <v>42044</v>
      </c>
      <c r="F793" s="1735">
        <v>2.835</v>
      </c>
      <c r="H793" s="1762">
        <f t="shared" si="163"/>
        <v>0.45400000000000001</v>
      </c>
      <c r="I793" s="1763">
        <f t="shared" si="160"/>
        <v>0.45900000000000002</v>
      </c>
      <c r="J793" s="1762">
        <f t="shared" si="172"/>
        <v>0.22700000000000001</v>
      </c>
      <c r="K793" s="1763">
        <f t="shared" si="161"/>
        <v>0.22950000000000001</v>
      </c>
      <c r="L793" s="1764">
        <f t="shared" si="170"/>
        <v>0.35000000000000014</v>
      </c>
      <c r="M793" s="1765">
        <f t="shared" si="168"/>
        <v>0.36000000000000015</v>
      </c>
    </row>
    <row r="794" spans="1:13">
      <c r="A794" s="1749">
        <f t="shared" si="165"/>
        <v>42036</v>
      </c>
      <c r="B794" s="1749" t="str">
        <f t="shared" si="166"/>
        <v>1Q15</v>
      </c>
      <c r="C794" s="1749" t="str">
        <f t="shared" si="167"/>
        <v>1Q15</v>
      </c>
      <c r="D794" s="1750">
        <f t="shared" si="171"/>
        <v>42058</v>
      </c>
      <c r="E794" s="1750">
        <f t="shared" si="171"/>
        <v>42051</v>
      </c>
      <c r="F794" s="1735">
        <v>2.8650000000000002</v>
      </c>
      <c r="H794" s="1762">
        <f t="shared" si="163"/>
        <v>0.45900000000000002</v>
      </c>
      <c r="I794" s="1763">
        <f t="shared" si="160"/>
        <v>0.46400000000000002</v>
      </c>
      <c r="J794" s="1762">
        <f t="shared" si="172"/>
        <v>0.22950000000000001</v>
      </c>
      <c r="K794" s="1763">
        <f t="shared" si="161"/>
        <v>0.23200000000000001</v>
      </c>
      <c r="L794" s="1764">
        <f t="shared" si="170"/>
        <v>0.36000000000000015</v>
      </c>
      <c r="M794" s="1765">
        <f t="shared" si="168"/>
        <v>0.37000000000000016</v>
      </c>
    </row>
    <row r="795" spans="1:13">
      <c r="A795" s="1749">
        <f t="shared" si="165"/>
        <v>42064</v>
      </c>
      <c r="B795" s="1749" t="str">
        <f t="shared" si="166"/>
        <v>1Q15</v>
      </c>
      <c r="C795" s="1749" t="str">
        <f t="shared" si="167"/>
        <v>1Q15</v>
      </c>
      <c r="D795" s="1750">
        <f t="shared" si="171"/>
        <v>42065</v>
      </c>
      <c r="E795" s="1750">
        <f t="shared" si="171"/>
        <v>42058</v>
      </c>
      <c r="F795" s="1735">
        <v>2.9</v>
      </c>
      <c r="H795" s="1762">
        <f t="shared" si="163"/>
        <v>0.46400000000000002</v>
      </c>
      <c r="I795" s="1763">
        <f t="shared" si="160"/>
        <v>0.46400000000000002</v>
      </c>
      <c r="J795" s="1762">
        <f t="shared" si="172"/>
        <v>0.23200000000000001</v>
      </c>
      <c r="K795" s="1763">
        <f t="shared" si="161"/>
        <v>0.23200000000000001</v>
      </c>
      <c r="L795" s="1764">
        <f t="shared" si="170"/>
        <v>0.37000000000000016</v>
      </c>
      <c r="M795" s="1765">
        <f t="shared" si="168"/>
        <v>0.37000000000000016</v>
      </c>
    </row>
    <row r="796" spans="1:13">
      <c r="A796" s="1749">
        <f t="shared" si="165"/>
        <v>42064</v>
      </c>
      <c r="B796" s="1749" t="str">
        <f t="shared" si="166"/>
        <v>1Q15</v>
      </c>
      <c r="C796" s="1749" t="str">
        <f t="shared" si="167"/>
        <v>1Q15</v>
      </c>
      <c r="D796" s="1750">
        <f t="shared" si="171"/>
        <v>42072</v>
      </c>
      <c r="E796" s="1750">
        <f t="shared" si="171"/>
        <v>42065</v>
      </c>
      <c r="F796" s="1735">
        <v>2.9359999999999999</v>
      </c>
      <c r="H796" s="1762">
        <f t="shared" si="163"/>
        <v>0.46400000000000002</v>
      </c>
      <c r="I796" s="1763">
        <f t="shared" si="160"/>
        <v>0.46400000000000002</v>
      </c>
      <c r="J796" s="1762">
        <f t="shared" si="172"/>
        <v>0.23200000000000001</v>
      </c>
      <c r="K796" s="1763">
        <f t="shared" si="161"/>
        <v>0.23200000000000001</v>
      </c>
      <c r="L796" s="1764">
        <f t="shared" si="170"/>
        <v>0.37000000000000016</v>
      </c>
      <c r="M796" s="1765">
        <f t="shared" si="168"/>
        <v>0.37000000000000016</v>
      </c>
    </row>
    <row r="797" spans="1:13">
      <c r="A797" s="1749">
        <f t="shared" si="165"/>
        <v>42064</v>
      </c>
      <c r="B797" s="1749" t="str">
        <f t="shared" si="166"/>
        <v>1Q15</v>
      </c>
      <c r="C797" s="1749" t="str">
        <f t="shared" si="167"/>
        <v>1Q15</v>
      </c>
      <c r="D797" s="1750">
        <f t="shared" si="171"/>
        <v>42079</v>
      </c>
      <c r="E797" s="1750">
        <f t="shared" si="171"/>
        <v>42072</v>
      </c>
      <c r="F797" s="1735">
        <v>2.944</v>
      </c>
      <c r="H797" s="1762">
        <f t="shared" si="163"/>
        <v>0.46400000000000002</v>
      </c>
      <c r="I797" s="1763">
        <f t="shared" si="160"/>
        <v>0.46400000000000002</v>
      </c>
      <c r="J797" s="1762">
        <f t="shared" si="172"/>
        <v>0.23200000000000001</v>
      </c>
      <c r="K797" s="1763">
        <f t="shared" si="161"/>
        <v>0.23200000000000001</v>
      </c>
      <c r="L797" s="1764">
        <f t="shared" si="170"/>
        <v>0.37000000000000016</v>
      </c>
      <c r="M797" s="1765">
        <f t="shared" si="168"/>
        <v>0.37000000000000016</v>
      </c>
    </row>
    <row r="798" spans="1:13">
      <c r="A798" s="1749">
        <f t="shared" si="165"/>
        <v>42064</v>
      </c>
      <c r="B798" s="1749" t="str">
        <f t="shared" si="166"/>
        <v>1Q15</v>
      </c>
      <c r="C798" s="1749" t="str">
        <f t="shared" si="167"/>
        <v>1Q15</v>
      </c>
      <c r="D798" s="1750">
        <f t="shared" si="171"/>
        <v>42086</v>
      </c>
      <c r="E798" s="1750">
        <f t="shared" si="171"/>
        <v>42079</v>
      </c>
      <c r="F798" s="1735">
        <v>2.9169999999999998</v>
      </c>
      <c r="H798" s="1762">
        <f t="shared" si="163"/>
        <v>0.46400000000000002</v>
      </c>
      <c r="I798" s="1763">
        <f t="shared" ref="I798:I861" si="173">H799</f>
        <v>0.45900000000000002</v>
      </c>
      <c r="J798" s="1762">
        <f t="shared" si="172"/>
        <v>0.23200000000000001</v>
      </c>
      <c r="K798" s="1763">
        <f t="shared" ref="K798:K861" si="174">J799</f>
        <v>0.22950000000000001</v>
      </c>
      <c r="L798" s="1764">
        <f t="shared" si="170"/>
        <v>0.37000000000000016</v>
      </c>
      <c r="M798" s="1765">
        <f t="shared" si="168"/>
        <v>0.36000000000000015</v>
      </c>
    </row>
    <row r="799" spans="1:13">
      <c r="A799" s="1749">
        <f t="shared" si="165"/>
        <v>42064</v>
      </c>
      <c r="B799" s="1749" t="str">
        <f t="shared" si="166"/>
        <v>1Q15</v>
      </c>
      <c r="C799" s="1749" t="str">
        <f t="shared" si="167"/>
        <v>1Q15</v>
      </c>
      <c r="D799" s="1750">
        <f t="shared" si="171"/>
        <v>42093</v>
      </c>
      <c r="E799" s="1750">
        <f t="shared" si="171"/>
        <v>42086</v>
      </c>
      <c r="F799" s="1735">
        <v>2.8639999999999999</v>
      </c>
      <c r="H799" s="1762">
        <f t="shared" si="163"/>
        <v>0.45900000000000002</v>
      </c>
      <c r="I799" s="1763">
        <f t="shared" si="173"/>
        <v>0.45400000000000001</v>
      </c>
      <c r="J799" s="1762">
        <f t="shared" si="172"/>
        <v>0.22950000000000001</v>
      </c>
      <c r="K799" s="1763">
        <f t="shared" si="174"/>
        <v>0.22700000000000001</v>
      </c>
      <c r="L799" s="1764">
        <f t="shared" si="170"/>
        <v>0.36000000000000015</v>
      </c>
      <c r="M799" s="1765">
        <f t="shared" si="168"/>
        <v>0.35000000000000014</v>
      </c>
    </row>
    <row r="800" spans="1:13">
      <c r="A800" s="1749">
        <f t="shared" si="165"/>
        <v>42095</v>
      </c>
      <c r="B800" s="1749" t="str">
        <f t="shared" si="166"/>
        <v>2Q15</v>
      </c>
      <c r="C800" s="1749" t="str">
        <f t="shared" si="167"/>
        <v>1Q15</v>
      </c>
      <c r="D800" s="1750">
        <f t="shared" si="171"/>
        <v>42100</v>
      </c>
      <c r="E800" s="1750">
        <f t="shared" si="171"/>
        <v>42093</v>
      </c>
      <c r="F800" s="1735">
        <v>2.8239999999999998</v>
      </c>
      <c r="H800" s="1762">
        <f t="shared" si="163"/>
        <v>0.45400000000000001</v>
      </c>
      <c r="I800" s="1763">
        <f t="shared" si="173"/>
        <v>0.44900000000000001</v>
      </c>
      <c r="J800" s="1762">
        <f t="shared" si="172"/>
        <v>0.22700000000000001</v>
      </c>
      <c r="K800" s="1763">
        <f t="shared" si="174"/>
        <v>0.22450000000000001</v>
      </c>
      <c r="L800" s="1764">
        <f t="shared" si="170"/>
        <v>0.35000000000000014</v>
      </c>
      <c r="M800" s="1765">
        <f t="shared" si="168"/>
        <v>0.34000000000000014</v>
      </c>
    </row>
    <row r="801" spans="1:13">
      <c r="A801" s="1749">
        <f t="shared" si="165"/>
        <v>42095</v>
      </c>
      <c r="B801" s="1749" t="str">
        <f t="shared" si="166"/>
        <v>2Q15</v>
      </c>
      <c r="C801" s="1749" t="str">
        <f t="shared" si="167"/>
        <v>2Q15</v>
      </c>
      <c r="D801" s="1750">
        <f t="shared" si="171"/>
        <v>42107</v>
      </c>
      <c r="E801" s="1750">
        <f t="shared" si="171"/>
        <v>42100</v>
      </c>
      <c r="F801" s="1735">
        <v>2.7839999999999998</v>
      </c>
      <c r="H801" s="1762">
        <f t="shared" si="163"/>
        <v>0.44900000000000001</v>
      </c>
      <c r="I801" s="1763">
        <f t="shared" si="173"/>
        <v>0.44900000000000001</v>
      </c>
      <c r="J801" s="1762">
        <f t="shared" si="172"/>
        <v>0.22450000000000001</v>
      </c>
      <c r="K801" s="1763">
        <f t="shared" si="174"/>
        <v>0.22450000000000001</v>
      </c>
      <c r="L801" s="1764">
        <f t="shared" si="170"/>
        <v>0.34000000000000014</v>
      </c>
      <c r="M801" s="1765">
        <f t="shared" si="168"/>
        <v>0.34000000000000014</v>
      </c>
    </row>
    <row r="802" spans="1:13">
      <c r="A802" s="1749">
        <f t="shared" si="165"/>
        <v>42095</v>
      </c>
      <c r="B802" s="1749" t="str">
        <f t="shared" si="166"/>
        <v>2Q15</v>
      </c>
      <c r="C802" s="1749" t="str">
        <f t="shared" si="167"/>
        <v>2Q15</v>
      </c>
      <c r="D802" s="1750">
        <f t="shared" si="171"/>
        <v>42114</v>
      </c>
      <c r="E802" s="1750">
        <f t="shared" si="171"/>
        <v>42107</v>
      </c>
      <c r="F802" s="1735">
        <v>2.754</v>
      </c>
      <c r="H802" s="1762">
        <f t="shared" si="163"/>
        <v>0.44900000000000001</v>
      </c>
      <c r="I802" s="1763">
        <f t="shared" si="173"/>
        <v>0.44900000000000001</v>
      </c>
      <c r="J802" s="1762">
        <f t="shared" si="172"/>
        <v>0.22450000000000001</v>
      </c>
      <c r="K802" s="1763">
        <f t="shared" si="174"/>
        <v>0.22450000000000001</v>
      </c>
      <c r="L802" s="1764">
        <f t="shared" si="170"/>
        <v>0.34000000000000014</v>
      </c>
      <c r="M802" s="1765">
        <f t="shared" si="168"/>
        <v>0.34000000000000014</v>
      </c>
    </row>
    <row r="803" spans="1:13">
      <c r="A803" s="1749">
        <f t="shared" si="165"/>
        <v>42095</v>
      </c>
      <c r="B803" s="1749" t="str">
        <f t="shared" si="166"/>
        <v>2Q15</v>
      </c>
      <c r="C803" s="1749" t="str">
        <f t="shared" si="167"/>
        <v>2Q15</v>
      </c>
      <c r="D803" s="1750">
        <f t="shared" si="171"/>
        <v>42121</v>
      </c>
      <c r="E803" s="1750">
        <f t="shared" si="171"/>
        <v>42114</v>
      </c>
      <c r="F803" s="1735">
        <v>2.78</v>
      </c>
      <c r="H803" s="1762">
        <f t="shared" si="163"/>
        <v>0.44900000000000001</v>
      </c>
      <c r="I803" s="1763">
        <f t="shared" si="173"/>
        <v>0.45400000000000001</v>
      </c>
      <c r="J803" s="1762">
        <f t="shared" si="172"/>
        <v>0.22450000000000001</v>
      </c>
      <c r="K803" s="1763">
        <f t="shared" si="174"/>
        <v>0.22700000000000001</v>
      </c>
      <c r="L803" s="1764">
        <f t="shared" si="170"/>
        <v>0.34000000000000014</v>
      </c>
      <c r="M803" s="1765">
        <f t="shared" si="168"/>
        <v>0.35000000000000014</v>
      </c>
    </row>
    <row r="804" spans="1:13">
      <c r="A804" s="1749">
        <f t="shared" si="165"/>
        <v>42125</v>
      </c>
      <c r="B804" s="1749" t="str">
        <f t="shared" si="166"/>
        <v>2Q15</v>
      </c>
      <c r="C804" s="1749" t="str">
        <f t="shared" si="167"/>
        <v>2Q15</v>
      </c>
      <c r="D804" s="1750">
        <f t="shared" si="171"/>
        <v>42128</v>
      </c>
      <c r="E804" s="1750">
        <f t="shared" si="171"/>
        <v>42121</v>
      </c>
      <c r="F804" s="1735">
        <v>2.8109999999999999</v>
      </c>
      <c r="H804" s="1762">
        <f t="shared" si="163"/>
        <v>0.45400000000000001</v>
      </c>
      <c r="I804" s="1763">
        <f t="shared" si="173"/>
        <v>0.45900000000000002</v>
      </c>
      <c r="J804" s="1762">
        <f t="shared" si="172"/>
        <v>0.22700000000000001</v>
      </c>
      <c r="K804" s="1763">
        <f t="shared" si="174"/>
        <v>0.22950000000000001</v>
      </c>
      <c r="L804" s="1764">
        <f t="shared" si="170"/>
        <v>0.35000000000000014</v>
      </c>
      <c r="M804" s="1765">
        <f t="shared" si="168"/>
        <v>0.36000000000000015</v>
      </c>
    </row>
    <row r="805" spans="1:13">
      <c r="A805" s="1749">
        <f t="shared" si="165"/>
        <v>42125</v>
      </c>
      <c r="B805" s="1749" t="str">
        <f t="shared" si="166"/>
        <v>2Q15</v>
      </c>
      <c r="C805" s="1749" t="str">
        <f t="shared" si="167"/>
        <v>2Q15</v>
      </c>
      <c r="D805" s="1750">
        <f t="shared" ref="D805:E820" si="175">D804+7</f>
        <v>42135</v>
      </c>
      <c r="E805" s="1750">
        <f t="shared" si="175"/>
        <v>42128</v>
      </c>
      <c r="F805" s="1735">
        <v>2.8540000000000001</v>
      </c>
      <c r="H805" s="1762">
        <f t="shared" si="163"/>
        <v>0.45900000000000002</v>
      </c>
      <c r="I805" s="1763">
        <f t="shared" si="173"/>
        <v>0.45900000000000002</v>
      </c>
      <c r="J805" s="1762">
        <f t="shared" si="172"/>
        <v>0.22950000000000001</v>
      </c>
      <c r="K805" s="1763">
        <f t="shared" si="174"/>
        <v>0.22950000000000001</v>
      </c>
      <c r="L805" s="1764">
        <f t="shared" si="170"/>
        <v>0.36000000000000015</v>
      </c>
      <c r="M805" s="1765">
        <f t="shared" si="168"/>
        <v>0.36000000000000015</v>
      </c>
    </row>
    <row r="806" spans="1:13">
      <c r="A806" s="1749">
        <f t="shared" si="165"/>
        <v>42125</v>
      </c>
      <c r="B806" s="1749" t="str">
        <f t="shared" si="166"/>
        <v>2Q15</v>
      </c>
      <c r="C806" s="1749" t="str">
        <f t="shared" si="167"/>
        <v>2Q15</v>
      </c>
      <c r="D806" s="1750">
        <f t="shared" si="175"/>
        <v>42142</v>
      </c>
      <c r="E806" s="1750">
        <f t="shared" si="175"/>
        <v>42135</v>
      </c>
      <c r="F806" s="1735">
        <v>2.8780000000000001</v>
      </c>
      <c r="H806" s="1762">
        <f t="shared" si="163"/>
        <v>0.45900000000000002</v>
      </c>
      <c r="I806" s="1763">
        <f t="shared" si="173"/>
        <v>0.46400000000000002</v>
      </c>
      <c r="J806" s="1762">
        <f t="shared" si="172"/>
        <v>0.22950000000000001</v>
      </c>
      <c r="K806" s="1763">
        <f t="shared" si="174"/>
        <v>0.23200000000000001</v>
      </c>
      <c r="L806" s="1764">
        <f t="shared" si="170"/>
        <v>0.36000000000000015</v>
      </c>
      <c r="M806" s="1765">
        <f t="shared" si="168"/>
        <v>0.37000000000000016</v>
      </c>
    </row>
    <row r="807" spans="1:13">
      <c r="A807" s="1749">
        <f t="shared" si="165"/>
        <v>42125</v>
      </c>
      <c r="B807" s="1749" t="str">
        <f t="shared" si="166"/>
        <v>2Q15</v>
      </c>
      <c r="C807" s="1749" t="str">
        <f t="shared" si="167"/>
        <v>2Q15</v>
      </c>
      <c r="D807" s="1750">
        <f t="shared" si="175"/>
        <v>42149</v>
      </c>
      <c r="E807" s="1750">
        <f t="shared" si="175"/>
        <v>42142</v>
      </c>
      <c r="F807" s="1735">
        <v>2.9039999999999999</v>
      </c>
      <c r="H807" s="1762">
        <f t="shared" si="163"/>
        <v>0.46400000000000002</v>
      </c>
      <c r="I807" s="1763">
        <f t="shared" si="173"/>
        <v>0.46400000000000002</v>
      </c>
      <c r="J807" s="1762">
        <f t="shared" si="172"/>
        <v>0.23200000000000001</v>
      </c>
      <c r="K807" s="1763">
        <f t="shared" si="174"/>
        <v>0.23200000000000001</v>
      </c>
      <c r="L807" s="1764">
        <f t="shared" si="170"/>
        <v>0.37000000000000016</v>
      </c>
      <c r="M807" s="1765">
        <f t="shared" si="168"/>
        <v>0.37000000000000016</v>
      </c>
    </row>
    <row r="808" spans="1:13">
      <c r="A808" s="1749">
        <f t="shared" si="165"/>
        <v>42156</v>
      </c>
      <c r="B808" s="1749" t="str">
        <f t="shared" si="166"/>
        <v>2Q15</v>
      </c>
      <c r="C808" s="1749" t="str">
        <f t="shared" si="167"/>
        <v>2Q15</v>
      </c>
      <c r="D808" s="1750">
        <f t="shared" si="175"/>
        <v>42156</v>
      </c>
      <c r="E808" s="1750">
        <f t="shared" si="175"/>
        <v>42149</v>
      </c>
      <c r="F808" s="1735">
        <v>2.9140000000000001</v>
      </c>
      <c r="H808" s="1762">
        <f t="shared" si="163"/>
        <v>0.46400000000000002</v>
      </c>
      <c r="I808" s="1763">
        <f t="shared" si="173"/>
        <v>0.46400000000000002</v>
      </c>
      <c r="J808" s="1762">
        <f t="shared" si="172"/>
        <v>0.23200000000000001</v>
      </c>
      <c r="K808" s="1763">
        <f t="shared" si="174"/>
        <v>0.23200000000000001</v>
      </c>
      <c r="L808" s="1764">
        <f t="shared" si="170"/>
        <v>0.37000000000000016</v>
      </c>
      <c r="M808" s="1765">
        <f t="shared" si="168"/>
        <v>0.37000000000000016</v>
      </c>
    </row>
    <row r="809" spans="1:13">
      <c r="A809" s="1749">
        <f t="shared" si="165"/>
        <v>42156</v>
      </c>
      <c r="B809" s="1749" t="str">
        <f t="shared" si="166"/>
        <v>2Q15</v>
      </c>
      <c r="C809" s="1749" t="str">
        <f t="shared" si="167"/>
        <v>2Q15</v>
      </c>
      <c r="D809" s="1750">
        <f t="shared" si="175"/>
        <v>42163</v>
      </c>
      <c r="E809" s="1750">
        <f t="shared" si="175"/>
        <v>42156</v>
      </c>
      <c r="F809" s="1735">
        <v>2.9089999999999998</v>
      </c>
      <c r="H809" s="1762">
        <f t="shared" si="163"/>
        <v>0.46400000000000002</v>
      </c>
      <c r="I809" s="1763">
        <f t="shared" si="173"/>
        <v>0.45900000000000002</v>
      </c>
      <c r="J809" s="1762">
        <f t="shared" si="172"/>
        <v>0.23200000000000001</v>
      </c>
      <c r="K809" s="1763">
        <f t="shared" si="174"/>
        <v>0.22950000000000001</v>
      </c>
      <c r="L809" s="1764">
        <f t="shared" si="170"/>
        <v>0.37000000000000016</v>
      </c>
      <c r="M809" s="1765">
        <f t="shared" si="168"/>
        <v>0.36000000000000015</v>
      </c>
    </row>
    <row r="810" spans="1:13">
      <c r="A810" s="1749">
        <f t="shared" si="165"/>
        <v>42156</v>
      </c>
      <c r="B810" s="1749" t="str">
        <f t="shared" si="166"/>
        <v>2Q15</v>
      </c>
      <c r="C810" s="1749" t="str">
        <f t="shared" si="167"/>
        <v>2Q15</v>
      </c>
      <c r="D810" s="1750">
        <f t="shared" si="175"/>
        <v>42170</v>
      </c>
      <c r="E810" s="1750">
        <f t="shared" si="175"/>
        <v>42163</v>
      </c>
      <c r="F810" s="1735">
        <v>2.8839999999999999</v>
      </c>
      <c r="H810" s="1762">
        <f t="shared" si="163"/>
        <v>0.45900000000000002</v>
      </c>
      <c r="I810" s="1763">
        <f t="shared" si="173"/>
        <v>0.45900000000000002</v>
      </c>
      <c r="J810" s="1762">
        <f t="shared" si="172"/>
        <v>0.22950000000000001</v>
      </c>
      <c r="K810" s="1763">
        <f t="shared" si="174"/>
        <v>0.22950000000000001</v>
      </c>
      <c r="L810" s="1764">
        <f t="shared" si="170"/>
        <v>0.36000000000000015</v>
      </c>
      <c r="M810" s="1765">
        <f t="shared" si="168"/>
        <v>0.36000000000000015</v>
      </c>
    </row>
    <row r="811" spans="1:13">
      <c r="A811" s="1749">
        <f t="shared" si="165"/>
        <v>42156</v>
      </c>
      <c r="B811" s="1749" t="str">
        <f t="shared" si="166"/>
        <v>2Q15</v>
      </c>
      <c r="C811" s="1749" t="str">
        <f t="shared" si="167"/>
        <v>2Q15</v>
      </c>
      <c r="D811" s="1750">
        <f t="shared" si="175"/>
        <v>42177</v>
      </c>
      <c r="E811" s="1750">
        <f t="shared" si="175"/>
        <v>42170</v>
      </c>
      <c r="F811" s="1735">
        <v>2.87</v>
      </c>
      <c r="H811" s="1762">
        <f t="shared" si="163"/>
        <v>0.45900000000000002</v>
      </c>
      <c r="I811" s="1763">
        <f t="shared" si="173"/>
        <v>0.45900000000000002</v>
      </c>
      <c r="J811" s="1762">
        <f t="shared" si="172"/>
        <v>0.22950000000000001</v>
      </c>
      <c r="K811" s="1763">
        <f t="shared" si="174"/>
        <v>0.22950000000000001</v>
      </c>
      <c r="L811" s="1764">
        <f t="shared" si="170"/>
        <v>0.36000000000000015</v>
      </c>
      <c r="M811" s="1765">
        <f t="shared" si="168"/>
        <v>0.36000000000000015</v>
      </c>
    </row>
    <row r="812" spans="1:13">
      <c r="A812" s="1749">
        <f t="shared" si="165"/>
        <v>42156</v>
      </c>
      <c r="B812" s="1749" t="str">
        <f t="shared" si="166"/>
        <v>2Q15</v>
      </c>
      <c r="C812" s="1749" t="str">
        <f t="shared" si="167"/>
        <v>2Q15</v>
      </c>
      <c r="D812" s="1750">
        <f t="shared" si="175"/>
        <v>42184</v>
      </c>
      <c r="E812" s="1750">
        <f t="shared" si="175"/>
        <v>42177</v>
      </c>
      <c r="F812" s="1735">
        <v>2.859</v>
      </c>
      <c r="H812" s="1762">
        <f t="shared" si="163"/>
        <v>0.45900000000000002</v>
      </c>
      <c r="I812" s="1763">
        <f t="shared" si="173"/>
        <v>0.45400000000000001</v>
      </c>
      <c r="J812" s="1762">
        <f t="shared" si="172"/>
        <v>0.22950000000000001</v>
      </c>
      <c r="K812" s="1763">
        <f t="shared" si="174"/>
        <v>0.22700000000000001</v>
      </c>
      <c r="L812" s="1764">
        <f t="shared" si="170"/>
        <v>0.36000000000000015</v>
      </c>
      <c r="M812" s="1765">
        <f t="shared" si="168"/>
        <v>0.35000000000000014</v>
      </c>
    </row>
    <row r="813" spans="1:13">
      <c r="A813" s="1749">
        <f t="shared" si="165"/>
        <v>42186</v>
      </c>
      <c r="B813" s="1749" t="str">
        <f t="shared" si="166"/>
        <v>3Q15</v>
      </c>
      <c r="C813" s="1749" t="str">
        <f t="shared" si="167"/>
        <v>2Q15</v>
      </c>
      <c r="D813" s="1750">
        <f t="shared" si="175"/>
        <v>42191</v>
      </c>
      <c r="E813" s="1750">
        <f t="shared" si="175"/>
        <v>42184</v>
      </c>
      <c r="F813" s="1735">
        <v>2.843</v>
      </c>
      <c r="H813" s="1762">
        <f t="shared" si="163"/>
        <v>0.45400000000000001</v>
      </c>
      <c r="I813" s="1763">
        <f t="shared" si="173"/>
        <v>0.45400000000000001</v>
      </c>
      <c r="J813" s="1762">
        <f t="shared" si="172"/>
        <v>0.22700000000000001</v>
      </c>
      <c r="K813" s="1763">
        <f t="shared" si="174"/>
        <v>0.22700000000000001</v>
      </c>
      <c r="L813" s="1764">
        <f t="shared" si="170"/>
        <v>0.35000000000000014</v>
      </c>
      <c r="M813" s="1765">
        <f t="shared" si="168"/>
        <v>0.35000000000000014</v>
      </c>
    </row>
    <row r="814" spans="1:13">
      <c r="A814" s="1749">
        <f t="shared" si="165"/>
        <v>42186</v>
      </c>
      <c r="B814" s="1749" t="str">
        <f t="shared" si="166"/>
        <v>3Q15</v>
      </c>
      <c r="C814" s="1749" t="str">
        <f t="shared" si="167"/>
        <v>3Q15</v>
      </c>
      <c r="D814" s="1750">
        <f t="shared" si="175"/>
        <v>42198</v>
      </c>
      <c r="E814" s="1750">
        <f t="shared" si="175"/>
        <v>42191</v>
      </c>
      <c r="F814" s="1735">
        <v>2.8319999999999999</v>
      </c>
      <c r="H814" s="1762">
        <f t="shared" si="163"/>
        <v>0.45400000000000001</v>
      </c>
      <c r="I814" s="1763">
        <f t="shared" si="173"/>
        <v>0.45400000000000001</v>
      </c>
      <c r="J814" s="1762">
        <f t="shared" si="172"/>
        <v>0.22700000000000001</v>
      </c>
      <c r="K814" s="1763">
        <f t="shared" si="174"/>
        <v>0.22700000000000001</v>
      </c>
      <c r="L814" s="1764">
        <f t="shared" si="170"/>
        <v>0.35000000000000014</v>
      </c>
      <c r="M814" s="1765">
        <f t="shared" si="168"/>
        <v>0.35000000000000014</v>
      </c>
    </row>
    <row r="815" spans="1:13">
      <c r="A815" s="1749">
        <f t="shared" si="165"/>
        <v>42186</v>
      </c>
      <c r="B815" s="1749" t="str">
        <f t="shared" si="166"/>
        <v>3Q15</v>
      </c>
      <c r="C815" s="1749" t="str">
        <f t="shared" si="167"/>
        <v>3Q15</v>
      </c>
      <c r="D815" s="1750">
        <f t="shared" si="175"/>
        <v>42205</v>
      </c>
      <c r="E815" s="1750">
        <f t="shared" si="175"/>
        <v>42198</v>
      </c>
      <c r="F815" s="1735">
        <v>2.8140000000000001</v>
      </c>
      <c r="H815" s="1762">
        <f t="shared" si="163"/>
        <v>0.45400000000000001</v>
      </c>
      <c r="I815" s="1763">
        <f t="shared" si="173"/>
        <v>0.44900000000000001</v>
      </c>
      <c r="J815" s="1762">
        <f t="shared" si="172"/>
        <v>0.22700000000000001</v>
      </c>
      <c r="K815" s="1763">
        <f t="shared" si="174"/>
        <v>0.22450000000000001</v>
      </c>
      <c r="L815" s="1764">
        <f t="shared" si="170"/>
        <v>0.35000000000000014</v>
      </c>
      <c r="M815" s="1765">
        <f t="shared" si="168"/>
        <v>0.34000000000000014</v>
      </c>
    </row>
    <row r="816" spans="1:13">
      <c r="A816" s="1749">
        <f t="shared" si="165"/>
        <v>42186</v>
      </c>
      <c r="B816" s="1749" t="str">
        <f t="shared" si="166"/>
        <v>3Q15</v>
      </c>
      <c r="C816" s="1749" t="str">
        <f t="shared" si="167"/>
        <v>3Q15</v>
      </c>
      <c r="D816" s="1750">
        <f t="shared" si="175"/>
        <v>42212</v>
      </c>
      <c r="E816" s="1750">
        <f t="shared" si="175"/>
        <v>42205</v>
      </c>
      <c r="F816" s="1735">
        <v>2.782</v>
      </c>
      <c r="H816" s="1762">
        <f t="shared" si="163"/>
        <v>0.44900000000000001</v>
      </c>
      <c r="I816" s="1763">
        <f t="shared" si="173"/>
        <v>0.44400000000000001</v>
      </c>
      <c r="J816" s="1762">
        <f t="shared" si="172"/>
        <v>0.22450000000000001</v>
      </c>
      <c r="K816" s="1763">
        <f t="shared" si="174"/>
        <v>0.222</v>
      </c>
      <c r="L816" s="1764">
        <f t="shared" si="170"/>
        <v>0.34000000000000014</v>
      </c>
      <c r="M816" s="1765">
        <f t="shared" si="168"/>
        <v>0.33000000000000013</v>
      </c>
    </row>
    <row r="817" spans="1:13">
      <c r="A817" s="1749">
        <f t="shared" si="165"/>
        <v>42217</v>
      </c>
      <c r="B817" s="1749" t="str">
        <f t="shared" si="166"/>
        <v>3Q15</v>
      </c>
      <c r="C817" s="1749" t="str">
        <f t="shared" si="167"/>
        <v>3Q15</v>
      </c>
      <c r="D817" s="1750">
        <f t="shared" si="175"/>
        <v>42219</v>
      </c>
      <c r="E817" s="1750">
        <f t="shared" si="175"/>
        <v>42212</v>
      </c>
      <c r="F817" s="1735">
        <v>2.7229999999999999</v>
      </c>
      <c r="H817" s="1762">
        <f t="shared" ref="H817:H880" si="176">INDEX($O$4:$R$440,MATCH(F817,$O$4:$O$440,1),3)</f>
        <v>0.44400000000000001</v>
      </c>
      <c r="I817" s="1763">
        <f t="shared" si="173"/>
        <v>0.439</v>
      </c>
      <c r="J817" s="1762">
        <f t="shared" si="172"/>
        <v>0.222</v>
      </c>
      <c r="K817" s="1763">
        <f t="shared" si="174"/>
        <v>0.2195</v>
      </c>
      <c r="L817" s="1764">
        <f t="shared" si="170"/>
        <v>0.33000000000000013</v>
      </c>
      <c r="M817" s="1765">
        <f t="shared" si="168"/>
        <v>0.32000000000000012</v>
      </c>
    </row>
    <row r="818" spans="1:13">
      <c r="A818" s="1749">
        <f t="shared" si="165"/>
        <v>42217</v>
      </c>
      <c r="B818" s="1749" t="str">
        <f t="shared" si="166"/>
        <v>3Q15</v>
      </c>
      <c r="C818" s="1749" t="str">
        <f t="shared" si="167"/>
        <v>3Q15</v>
      </c>
      <c r="D818" s="1750">
        <f t="shared" si="175"/>
        <v>42226</v>
      </c>
      <c r="E818" s="1750">
        <f t="shared" si="175"/>
        <v>42219</v>
      </c>
      <c r="F818" s="1735">
        <v>2.6680000000000001</v>
      </c>
      <c r="H818" s="1762">
        <f t="shared" si="176"/>
        <v>0.439</v>
      </c>
      <c r="I818" s="1763">
        <f t="shared" si="173"/>
        <v>0.434</v>
      </c>
      <c r="J818" s="1762">
        <f t="shared" si="172"/>
        <v>0.2195</v>
      </c>
      <c r="K818" s="1763">
        <f t="shared" si="174"/>
        <v>0.217</v>
      </c>
      <c r="L818" s="1764">
        <f t="shared" si="170"/>
        <v>0.32000000000000012</v>
      </c>
      <c r="M818" s="1765">
        <f t="shared" si="168"/>
        <v>0.31000000000000011</v>
      </c>
    </row>
    <row r="819" spans="1:13">
      <c r="A819" s="1749">
        <f t="shared" si="165"/>
        <v>42217</v>
      </c>
      <c r="B819" s="1749" t="str">
        <f t="shared" si="166"/>
        <v>3Q15</v>
      </c>
      <c r="C819" s="1749" t="str">
        <f t="shared" si="167"/>
        <v>3Q15</v>
      </c>
      <c r="D819" s="1750">
        <f t="shared" si="175"/>
        <v>42233</v>
      </c>
      <c r="E819" s="1750">
        <f t="shared" si="175"/>
        <v>42226</v>
      </c>
      <c r="F819" s="1735">
        <v>2.617</v>
      </c>
      <c r="H819" s="1762">
        <f t="shared" si="176"/>
        <v>0.434</v>
      </c>
      <c r="I819" s="1763">
        <f t="shared" si="173"/>
        <v>0.434</v>
      </c>
      <c r="J819" s="1762">
        <f t="shared" si="172"/>
        <v>0.217</v>
      </c>
      <c r="K819" s="1763">
        <f t="shared" si="174"/>
        <v>0.217</v>
      </c>
      <c r="L819" s="1764">
        <f t="shared" si="170"/>
        <v>0.31000000000000011</v>
      </c>
      <c r="M819" s="1765">
        <f t="shared" si="168"/>
        <v>0.31000000000000011</v>
      </c>
    </row>
    <row r="820" spans="1:13">
      <c r="A820" s="1749">
        <f t="shared" si="165"/>
        <v>42217</v>
      </c>
      <c r="B820" s="1749" t="str">
        <f t="shared" si="166"/>
        <v>3Q15</v>
      </c>
      <c r="C820" s="1749" t="str">
        <f t="shared" si="167"/>
        <v>3Q15</v>
      </c>
      <c r="D820" s="1750">
        <f t="shared" si="175"/>
        <v>42240</v>
      </c>
      <c r="E820" s="1750">
        <f t="shared" si="175"/>
        <v>42233</v>
      </c>
      <c r="F820" s="1735">
        <v>2.6150000000000002</v>
      </c>
      <c r="H820" s="1762">
        <f t="shared" si="176"/>
        <v>0.434</v>
      </c>
      <c r="I820" s="1763">
        <f t="shared" si="173"/>
        <v>0.42899999999999999</v>
      </c>
      <c r="J820" s="1762">
        <f t="shared" si="172"/>
        <v>0.217</v>
      </c>
      <c r="K820" s="1763">
        <f t="shared" si="174"/>
        <v>0.2145</v>
      </c>
      <c r="L820" s="1764">
        <f t="shared" si="170"/>
        <v>0.31000000000000011</v>
      </c>
      <c r="M820" s="1765">
        <f t="shared" si="168"/>
        <v>0.3000000000000001</v>
      </c>
    </row>
    <row r="821" spans="1:13">
      <c r="A821" s="1749">
        <f t="shared" si="165"/>
        <v>42217</v>
      </c>
      <c r="B821" s="1749" t="str">
        <f t="shared" si="166"/>
        <v>3Q15</v>
      </c>
      <c r="C821" s="1749" t="str">
        <f t="shared" si="167"/>
        <v>3Q15</v>
      </c>
      <c r="D821" s="1750">
        <f t="shared" ref="D821:E836" si="177">D820+7</f>
        <v>42247</v>
      </c>
      <c r="E821" s="1750">
        <f t="shared" si="177"/>
        <v>42240</v>
      </c>
      <c r="F821" s="1735">
        <v>2.5609999999999999</v>
      </c>
      <c r="H821" s="1762">
        <f t="shared" si="176"/>
        <v>0.42899999999999999</v>
      </c>
      <c r="I821" s="1763">
        <f t="shared" si="173"/>
        <v>0.42399999999999999</v>
      </c>
      <c r="J821" s="1762">
        <f t="shared" si="172"/>
        <v>0.2145</v>
      </c>
      <c r="K821" s="1763">
        <f t="shared" si="174"/>
        <v>0.21199999999999999</v>
      </c>
      <c r="L821" s="1764">
        <f t="shared" si="170"/>
        <v>0.3000000000000001</v>
      </c>
      <c r="M821" s="1765">
        <f t="shared" si="168"/>
        <v>0.29000000000000009</v>
      </c>
    </row>
    <row r="822" spans="1:13">
      <c r="A822" s="1749">
        <f t="shared" si="165"/>
        <v>42248</v>
      </c>
      <c r="B822" s="1749" t="str">
        <f t="shared" si="166"/>
        <v>3Q15</v>
      </c>
      <c r="C822" s="1749" t="str">
        <f t="shared" si="167"/>
        <v>3Q15</v>
      </c>
      <c r="D822" s="1750">
        <f t="shared" si="177"/>
        <v>42254</v>
      </c>
      <c r="E822" s="1750">
        <f t="shared" si="177"/>
        <v>42247</v>
      </c>
      <c r="F822" s="1735">
        <v>2.5139999999999998</v>
      </c>
      <c r="H822" s="1762">
        <f t="shared" si="176"/>
        <v>0.42399999999999999</v>
      </c>
      <c r="I822" s="1763">
        <f t="shared" si="173"/>
        <v>0.42399999999999999</v>
      </c>
      <c r="J822" s="1762">
        <f t="shared" si="172"/>
        <v>0.21199999999999999</v>
      </c>
      <c r="K822" s="1763">
        <f t="shared" si="174"/>
        <v>0.21199999999999999</v>
      </c>
      <c r="L822" s="1764">
        <f t="shared" si="170"/>
        <v>0.29000000000000009</v>
      </c>
      <c r="M822" s="1765">
        <f t="shared" si="168"/>
        <v>0.29000000000000009</v>
      </c>
    </row>
    <row r="823" spans="1:13">
      <c r="A823" s="1749">
        <f t="shared" si="165"/>
        <v>42248</v>
      </c>
      <c r="B823" s="1749" t="str">
        <f t="shared" si="166"/>
        <v>3Q15</v>
      </c>
      <c r="C823" s="1749" t="str">
        <f t="shared" si="167"/>
        <v>3Q15</v>
      </c>
      <c r="D823" s="1750">
        <f t="shared" si="177"/>
        <v>42261</v>
      </c>
      <c r="E823" s="1750">
        <f t="shared" si="177"/>
        <v>42254</v>
      </c>
      <c r="F823" s="1735">
        <v>2.5339999999999998</v>
      </c>
      <c r="H823" s="1762">
        <f t="shared" si="176"/>
        <v>0.42399999999999999</v>
      </c>
      <c r="I823" s="1763">
        <f t="shared" si="173"/>
        <v>0.42399999999999999</v>
      </c>
      <c r="J823" s="1762">
        <f t="shared" si="172"/>
        <v>0.21199999999999999</v>
      </c>
      <c r="K823" s="1763">
        <f t="shared" si="174"/>
        <v>0.21199999999999999</v>
      </c>
      <c r="L823" s="1764">
        <f t="shared" si="170"/>
        <v>0.29000000000000009</v>
      </c>
      <c r="M823" s="1765">
        <f t="shared" si="168"/>
        <v>0.29000000000000009</v>
      </c>
    </row>
    <row r="824" spans="1:13">
      <c r="A824" s="1749">
        <f t="shared" si="165"/>
        <v>42248</v>
      </c>
      <c r="B824" s="1749" t="str">
        <f t="shared" si="166"/>
        <v>3Q15</v>
      </c>
      <c r="C824" s="1749" t="str">
        <f t="shared" si="167"/>
        <v>3Q15</v>
      </c>
      <c r="D824" s="1750">
        <f t="shared" si="177"/>
        <v>42268</v>
      </c>
      <c r="E824" s="1750">
        <f t="shared" si="177"/>
        <v>42261</v>
      </c>
      <c r="F824" s="1735">
        <v>2.5169999999999999</v>
      </c>
      <c r="H824" s="1762">
        <f t="shared" si="176"/>
        <v>0.42399999999999999</v>
      </c>
      <c r="I824" s="1763">
        <f t="shared" si="173"/>
        <v>0.41899999999999998</v>
      </c>
      <c r="J824" s="1762">
        <f t="shared" si="172"/>
        <v>0.21199999999999999</v>
      </c>
      <c r="K824" s="1763">
        <f t="shared" si="174"/>
        <v>0.20949999999999999</v>
      </c>
      <c r="L824" s="1764">
        <f t="shared" si="170"/>
        <v>0.29000000000000009</v>
      </c>
      <c r="M824" s="1765">
        <f t="shared" si="168"/>
        <v>0.28000000000000008</v>
      </c>
    </row>
    <row r="825" spans="1:13">
      <c r="A825" s="1749">
        <f t="shared" si="165"/>
        <v>42248</v>
      </c>
      <c r="B825" s="1749" t="str">
        <f t="shared" si="166"/>
        <v>3Q15</v>
      </c>
      <c r="C825" s="1749" t="str">
        <f t="shared" si="167"/>
        <v>3Q15</v>
      </c>
      <c r="D825" s="1750">
        <f t="shared" si="177"/>
        <v>42275</v>
      </c>
      <c r="E825" s="1750">
        <f t="shared" si="177"/>
        <v>42268</v>
      </c>
      <c r="F825" s="1735">
        <v>2.4929999999999999</v>
      </c>
      <c r="H825" s="1762">
        <f t="shared" si="176"/>
        <v>0.41899999999999998</v>
      </c>
      <c r="I825" s="1763">
        <f t="shared" si="173"/>
        <v>0.41899999999999998</v>
      </c>
      <c r="J825" s="1762">
        <f t="shared" si="172"/>
        <v>0.20949999999999999</v>
      </c>
      <c r="K825" s="1763">
        <f t="shared" si="174"/>
        <v>0.20949999999999999</v>
      </c>
      <c r="L825" s="1764">
        <f t="shared" si="170"/>
        <v>0.28000000000000008</v>
      </c>
      <c r="M825" s="1765">
        <f t="shared" si="168"/>
        <v>0.28000000000000008</v>
      </c>
    </row>
    <row r="826" spans="1:13">
      <c r="A826" s="1749">
        <f t="shared" si="165"/>
        <v>42278</v>
      </c>
      <c r="B826" s="1749" t="str">
        <f t="shared" si="166"/>
        <v>4Q15</v>
      </c>
      <c r="C826" s="1749" t="str">
        <f t="shared" si="167"/>
        <v>3Q15</v>
      </c>
      <c r="D826" s="1750">
        <f t="shared" si="177"/>
        <v>42282</v>
      </c>
      <c r="E826" s="1750">
        <f t="shared" si="177"/>
        <v>42275</v>
      </c>
      <c r="F826" s="1735">
        <v>2.476</v>
      </c>
      <c r="H826" s="1762">
        <f t="shared" si="176"/>
        <v>0.41899999999999998</v>
      </c>
      <c r="I826" s="1763">
        <f t="shared" si="173"/>
        <v>0.41899999999999998</v>
      </c>
      <c r="J826" s="1762">
        <f t="shared" si="172"/>
        <v>0.20949999999999999</v>
      </c>
      <c r="K826" s="1763">
        <f t="shared" si="174"/>
        <v>0.20949999999999999</v>
      </c>
      <c r="L826" s="1764">
        <f t="shared" si="170"/>
        <v>0.28000000000000008</v>
      </c>
      <c r="M826" s="1765">
        <f t="shared" si="168"/>
        <v>0.28000000000000008</v>
      </c>
    </row>
    <row r="827" spans="1:13">
      <c r="A827" s="1749">
        <f t="shared" si="165"/>
        <v>42278</v>
      </c>
      <c r="B827" s="1749" t="str">
        <f t="shared" si="166"/>
        <v>4Q15</v>
      </c>
      <c r="C827" s="1749" t="str">
        <f t="shared" si="167"/>
        <v>4Q15</v>
      </c>
      <c r="D827" s="1750">
        <f t="shared" si="177"/>
        <v>42289</v>
      </c>
      <c r="E827" s="1750">
        <f t="shared" si="177"/>
        <v>42282</v>
      </c>
      <c r="F827" s="1735">
        <v>2.492</v>
      </c>
      <c r="H827" s="1762">
        <f t="shared" si="176"/>
        <v>0.41899999999999998</v>
      </c>
      <c r="I827" s="1763">
        <f t="shared" si="173"/>
        <v>0.42899999999999999</v>
      </c>
      <c r="J827" s="1762">
        <f t="shared" si="172"/>
        <v>0.20949999999999999</v>
      </c>
      <c r="K827" s="1763">
        <f t="shared" si="174"/>
        <v>0.2145</v>
      </c>
      <c r="L827" s="1764">
        <f t="shared" si="170"/>
        <v>0.28000000000000008</v>
      </c>
      <c r="M827" s="1765">
        <f t="shared" si="168"/>
        <v>0.3000000000000001</v>
      </c>
    </row>
    <row r="828" spans="1:13">
      <c r="A828" s="1749">
        <f t="shared" si="165"/>
        <v>42278</v>
      </c>
      <c r="B828" s="1749" t="str">
        <f t="shared" si="166"/>
        <v>4Q15</v>
      </c>
      <c r="C828" s="1749" t="str">
        <f t="shared" si="167"/>
        <v>4Q15</v>
      </c>
      <c r="D828" s="1750">
        <f t="shared" si="177"/>
        <v>42296</v>
      </c>
      <c r="E828" s="1750">
        <f t="shared" si="177"/>
        <v>42289</v>
      </c>
      <c r="F828" s="1735">
        <v>2.556</v>
      </c>
      <c r="H828" s="1762">
        <f t="shared" si="176"/>
        <v>0.42899999999999999</v>
      </c>
      <c r="I828" s="1763">
        <f t="shared" si="173"/>
        <v>0.42399999999999999</v>
      </c>
      <c r="J828" s="1762">
        <f t="shared" si="172"/>
        <v>0.2145</v>
      </c>
      <c r="K828" s="1763">
        <f t="shared" si="174"/>
        <v>0.21199999999999999</v>
      </c>
      <c r="L828" s="1764">
        <f t="shared" si="170"/>
        <v>0.3000000000000001</v>
      </c>
      <c r="M828" s="1765">
        <f t="shared" si="168"/>
        <v>0.29000000000000009</v>
      </c>
    </row>
    <row r="829" spans="1:13">
      <c r="A829" s="1749">
        <f t="shared" si="165"/>
        <v>42278</v>
      </c>
      <c r="B829" s="1749" t="str">
        <f t="shared" si="166"/>
        <v>4Q15</v>
      </c>
      <c r="C829" s="1749" t="str">
        <f t="shared" si="167"/>
        <v>4Q15</v>
      </c>
      <c r="D829" s="1750">
        <f t="shared" si="177"/>
        <v>42303</v>
      </c>
      <c r="E829" s="1750">
        <f t="shared" si="177"/>
        <v>42296</v>
      </c>
      <c r="F829" s="1735">
        <v>2.5310000000000001</v>
      </c>
      <c r="H829" s="1762">
        <f t="shared" si="176"/>
        <v>0.42399999999999999</v>
      </c>
      <c r="I829" s="1763">
        <f t="shared" si="173"/>
        <v>0.41899999999999998</v>
      </c>
      <c r="J829" s="1762">
        <f t="shared" si="172"/>
        <v>0.21199999999999999</v>
      </c>
      <c r="K829" s="1763">
        <f t="shared" si="174"/>
        <v>0.20949999999999999</v>
      </c>
      <c r="L829" s="1764">
        <f t="shared" si="170"/>
        <v>0.29000000000000009</v>
      </c>
      <c r="M829" s="1765">
        <f t="shared" si="168"/>
        <v>0.28000000000000008</v>
      </c>
    </row>
    <row r="830" spans="1:13">
      <c r="A830" s="1749">
        <f t="shared" si="165"/>
        <v>42309</v>
      </c>
      <c r="B830" s="1749" t="str">
        <f t="shared" si="166"/>
        <v>4Q15</v>
      </c>
      <c r="C830" s="1749" t="str">
        <f t="shared" si="167"/>
        <v>4Q15</v>
      </c>
      <c r="D830" s="1750">
        <f t="shared" si="177"/>
        <v>42310</v>
      </c>
      <c r="E830" s="1750">
        <f t="shared" si="177"/>
        <v>42303</v>
      </c>
      <c r="F830" s="1735">
        <v>2.4980000000000002</v>
      </c>
      <c r="H830" s="1762">
        <f t="shared" si="176"/>
        <v>0.41899999999999998</v>
      </c>
      <c r="I830" s="1763">
        <f t="shared" si="173"/>
        <v>0.41899999999999998</v>
      </c>
      <c r="J830" s="1762">
        <f t="shared" si="172"/>
        <v>0.20949999999999999</v>
      </c>
      <c r="K830" s="1763">
        <f t="shared" si="174"/>
        <v>0.20949999999999999</v>
      </c>
      <c r="L830" s="1764">
        <f t="shared" si="170"/>
        <v>0.28000000000000008</v>
      </c>
      <c r="M830" s="1765">
        <f t="shared" si="168"/>
        <v>0.28000000000000008</v>
      </c>
    </row>
    <row r="831" spans="1:13">
      <c r="A831" s="1749">
        <f t="shared" si="165"/>
        <v>42309</v>
      </c>
      <c r="B831" s="1749" t="str">
        <f t="shared" si="166"/>
        <v>4Q15</v>
      </c>
      <c r="C831" s="1749" t="str">
        <f t="shared" si="167"/>
        <v>4Q15</v>
      </c>
      <c r="D831" s="1750">
        <f t="shared" si="177"/>
        <v>42317</v>
      </c>
      <c r="E831" s="1750">
        <f t="shared" si="177"/>
        <v>42310</v>
      </c>
      <c r="F831" s="1735">
        <v>2.4849999999999999</v>
      </c>
      <c r="H831" s="1762">
        <f t="shared" si="176"/>
        <v>0.41899999999999998</v>
      </c>
      <c r="I831" s="1763">
        <f t="shared" si="173"/>
        <v>0.42399999999999999</v>
      </c>
      <c r="J831" s="1762">
        <f t="shared" si="172"/>
        <v>0.20949999999999999</v>
      </c>
      <c r="K831" s="1763">
        <f t="shared" si="174"/>
        <v>0.21199999999999999</v>
      </c>
      <c r="L831" s="1764">
        <f t="shared" si="170"/>
        <v>0.28000000000000008</v>
      </c>
      <c r="M831" s="1765">
        <f t="shared" si="168"/>
        <v>0.29000000000000009</v>
      </c>
    </row>
    <row r="832" spans="1:13">
      <c r="A832" s="1749">
        <f t="shared" si="165"/>
        <v>42309</v>
      </c>
      <c r="B832" s="1749" t="str">
        <f t="shared" si="166"/>
        <v>4Q15</v>
      </c>
      <c r="C832" s="1749" t="str">
        <f t="shared" si="167"/>
        <v>4Q15</v>
      </c>
      <c r="D832" s="1750">
        <f t="shared" si="177"/>
        <v>42324</v>
      </c>
      <c r="E832" s="1750">
        <f t="shared" si="177"/>
        <v>42317</v>
      </c>
      <c r="F832" s="1927">
        <v>2.5019999999999998</v>
      </c>
      <c r="H832" s="1762">
        <f t="shared" si="176"/>
        <v>0.42399999999999999</v>
      </c>
      <c r="I832" s="1763">
        <f t="shared" si="173"/>
        <v>0.41899999999999998</v>
      </c>
      <c r="J832" s="1762">
        <f t="shared" si="172"/>
        <v>0.21199999999999999</v>
      </c>
      <c r="K832" s="1763">
        <f t="shared" si="174"/>
        <v>0.20949999999999999</v>
      </c>
      <c r="L832" s="1764">
        <f t="shared" si="170"/>
        <v>0.29000000000000009</v>
      </c>
      <c r="M832" s="1765">
        <f t="shared" si="168"/>
        <v>0.28000000000000008</v>
      </c>
    </row>
    <row r="833" spans="1:13">
      <c r="A833" s="1749">
        <f t="shared" si="165"/>
        <v>42309</v>
      </c>
      <c r="B833" s="1749" t="str">
        <f t="shared" si="166"/>
        <v>4Q15</v>
      </c>
      <c r="C833" s="1749" t="str">
        <f t="shared" si="167"/>
        <v>4Q15</v>
      </c>
      <c r="D833" s="1750">
        <f t="shared" si="177"/>
        <v>42331</v>
      </c>
      <c r="E833" s="1750">
        <f t="shared" si="177"/>
        <v>42324</v>
      </c>
      <c r="F833" s="1927">
        <v>2.4820000000000002</v>
      </c>
      <c r="H833" s="1762">
        <f t="shared" si="176"/>
        <v>0.41899999999999998</v>
      </c>
      <c r="I833" s="1763">
        <f t="shared" si="173"/>
        <v>0.41399999999999998</v>
      </c>
      <c r="J833" s="1762">
        <f t="shared" si="172"/>
        <v>0.20949999999999999</v>
      </c>
      <c r="K833" s="1763">
        <f t="shared" si="174"/>
        <v>0.20699999999999999</v>
      </c>
      <c r="L833" s="1764">
        <f t="shared" si="170"/>
        <v>0.28000000000000008</v>
      </c>
      <c r="M833" s="1765">
        <f t="shared" si="168"/>
        <v>0.27000000000000007</v>
      </c>
    </row>
    <row r="834" spans="1:13">
      <c r="A834" s="1749">
        <f t="shared" si="165"/>
        <v>42309</v>
      </c>
      <c r="B834" s="1749" t="str">
        <f t="shared" si="166"/>
        <v>4Q15</v>
      </c>
      <c r="C834" s="1749" t="str">
        <f t="shared" si="167"/>
        <v>4Q15</v>
      </c>
      <c r="D834" s="1750">
        <f t="shared" si="177"/>
        <v>42338</v>
      </c>
      <c r="E834" s="1750">
        <f t="shared" si="177"/>
        <v>42331</v>
      </c>
      <c r="F834" s="1927">
        <v>2.4449999999999998</v>
      </c>
      <c r="H834" s="1762">
        <f t="shared" si="176"/>
        <v>0.41399999999999998</v>
      </c>
      <c r="I834" s="1763">
        <f t="shared" si="173"/>
        <v>0.41399999999999998</v>
      </c>
      <c r="J834" s="1762">
        <f t="shared" si="172"/>
        <v>0.20699999999999999</v>
      </c>
      <c r="K834" s="1763">
        <f t="shared" si="174"/>
        <v>0.20699999999999999</v>
      </c>
      <c r="L834" s="1764">
        <f t="shared" si="170"/>
        <v>0.27000000000000007</v>
      </c>
      <c r="M834" s="1765">
        <f t="shared" si="168"/>
        <v>0.27000000000000007</v>
      </c>
    </row>
    <row r="835" spans="1:13">
      <c r="A835" s="1749">
        <f t="shared" si="165"/>
        <v>42339</v>
      </c>
      <c r="B835" s="1749" t="str">
        <f t="shared" si="166"/>
        <v>4Q15</v>
      </c>
      <c r="C835" s="1749" t="str">
        <f t="shared" si="167"/>
        <v>4Q15</v>
      </c>
      <c r="D835" s="1750">
        <f t="shared" si="177"/>
        <v>42345</v>
      </c>
      <c r="E835" s="1750">
        <f t="shared" si="177"/>
        <v>42338</v>
      </c>
      <c r="F835" s="1927">
        <v>2.4209999999999998</v>
      </c>
      <c r="H835" s="1762">
        <f t="shared" si="176"/>
        <v>0.41399999999999998</v>
      </c>
      <c r="I835" s="1763">
        <f t="shared" si="173"/>
        <v>0.40899999999999997</v>
      </c>
      <c r="J835" s="1762">
        <f t="shared" si="172"/>
        <v>0.20699999999999999</v>
      </c>
      <c r="K835" s="1763">
        <f t="shared" si="174"/>
        <v>0.20449999999999999</v>
      </c>
      <c r="L835" s="1764">
        <f t="shared" si="170"/>
        <v>0.27000000000000007</v>
      </c>
      <c r="M835" s="1765">
        <f t="shared" si="168"/>
        <v>0.26000000000000006</v>
      </c>
    </row>
    <row r="836" spans="1:13">
      <c r="A836" s="1749">
        <f t="shared" ref="A836:A890" si="178">DATE(YEAR(D836),MONTH(D836),1)</f>
        <v>42339</v>
      </c>
      <c r="B836" s="1749" t="str">
        <f t="shared" ref="B836:B890" si="179">VLOOKUP(MONTH(A836),$AB$4:$AC$17,2,FALSE) &amp; "Q" &amp; RIGHT(YEAR(A836),2)</f>
        <v>4Q15</v>
      </c>
      <c r="C836" s="1749" t="str">
        <f t="shared" ref="C836:C890" si="180">VLOOKUP(MONTH(E836),$AB$4:$AC$17,2,FALSE) &amp; "Q" &amp; RIGHT(YEAR(E836),2)</f>
        <v>4Q15</v>
      </c>
      <c r="D836" s="1750">
        <f t="shared" si="177"/>
        <v>42352</v>
      </c>
      <c r="E836" s="1750">
        <f t="shared" si="177"/>
        <v>42345</v>
      </c>
      <c r="F836" s="1927">
        <v>2.379</v>
      </c>
      <c r="H836" s="1762">
        <f t="shared" si="176"/>
        <v>0.40899999999999997</v>
      </c>
      <c r="I836" s="1763">
        <f t="shared" si="173"/>
        <v>0.40400000000000003</v>
      </c>
      <c r="J836" s="1762">
        <f t="shared" si="172"/>
        <v>0.20449999999999999</v>
      </c>
      <c r="K836" s="1763">
        <f t="shared" si="174"/>
        <v>0.20200000000000001</v>
      </c>
      <c r="L836" s="1764">
        <f t="shared" si="170"/>
        <v>0.26000000000000006</v>
      </c>
      <c r="M836" s="1765">
        <f t="shared" ref="M836:M890" si="181">L837</f>
        <v>0.25000000000000006</v>
      </c>
    </row>
    <row r="837" spans="1:13">
      <c r="A837" s="1749">
        <f t="shared" si="178"/>
        <v>42339</v>
      </c>
      <c r="B837" s="1749" t="str">
        <f t="shared" si="179"/>
        <v>4Q15</v>
      </c>
      <c r="C837" s="1749" t="str">
        <f t="shared" si="180"/>
        <v>4Q15</v>
      </c>
      <c r="D837" s="1750">
        <f t="shared" ref="D837:E852" si="182">D836+7</f>
        <v>42359</v>
      </c>
      <c r="E837" s="1750">
        <f t="shared" si="182"/>
        <v>42352</v>
      </c>
      <c r="F837" s="1927">
        <v>2.3380000000000001</v>
      </c>
      <c r="H837" s="1762">
        <f t="shared" si="176"/>
        <v>0.40400000000000003</v>
      </c>
      <c r="I837" s="1763">
        <f t="shared" si="173"/>
        <v>0.39900000000000002</v>
      </c>
      <c r="J837" s="1762">
        <f t="shared" si="172"/>
        <v>0.20200000000000001</v>
      </c>
      <c r="K837" s="1763">
        <f t="shared" si="174"/>
        <v>0.19950000000000001</v>
      </c>
      <c r="L837" s="1764">
        <f t="shared" ref="L837:L890" si="183">INDEX($T$4:$V$100,MATCH(F837,$T$4:$T$100,1),3)</f>
        <v>0.25000000000000006</v>
      </c>
      <c r="M837" s="1765">
        <f t="shared" si="181"/>
        <v>0.24000000000000007</v>
      </c>
    </row>
    <row r="838" spans="1:13">
      <c r="A838" s="1749">
        <f t="shared" si="178"/>
        <v>42339</v>
      </c>
      <c r="B838" s="1749" t="str">
        <f t="shared" si="179"/>
        <v>4Q15</v>
      </c>
      <c r="C838" s="1749" t="str">
        <f t="shared" si="180"/>
        <v>4Q15</v>
      </c>
      <c r="D838" s="1750">
        <f t="shared" si="182"/>
        <v>42366</v>
      </c>
      <c r="E838" s="1750">
        <f t="shared" si="182"/>
        <v>42359</v>
      </c>
      <c r="F838" s="1927">
        <v>2.2839999999999998</v>
      </c>
      <c r="H838" s="1762">
        <f t="shared" si="176"/>
        <v>0.39900000000000002</v>
      </c>
      <c r="I838" s="1763">
        <f t="shared" si="173"/>
        <v>0.39400000000000002</v>
      </c>
      <c r="J838" s="1762">
        <f t="shared" si="172"/>
        <v>0.19950000000000001</v>
      </c>
      <c r="K838" s="1763">
        <f t="shared" si="174"/>
        <v>0.19700000000000001</v>
      </c>
      <c r="L838" s="1764">
        <f t="shared" si="183"/>
        <v>0.24000000000000007</v>
      </c>
      <c r="M838" s="1765">
        <f t="shared" si="181"/>
        <v>0.23000000000000007</v>
      </c>
    </row>
    <row r="839" spans="1:13">
      <c r="A839" s="1749">
        <f t="shared" si="178"/>
        <v>42370</v>
      </c>
      <c r="B839" s="1749" t="str">
        <f t="shared" si="179"/>
        <v>1Q16</v>
      </c>
      <c r="C839" s="1749" t="str">
        <f t="shared" si="180"/>
        <v>4Q15</v>
      </c>
      <c r="D839" s="1750">
        <f t="shared" si="182"/>
        <v>42373</v>
      </c>
      <c r="E839" s="1750">
        <f t="shared" si="182"/>
        <v>42366</v>
      </c>
      <c r="F839" s="1927">
        <v>2.2370000000000001</v>
      </c>
      <c r="H839" s="1762">
        <f t="shared" si="176"/>
        <v>0.39400000000000002</v>
      </c>
      <c r="I839" s="1763">
        <f t="shared" si="173"/>
        <v>0.39400000000000002</v>
      </c>
      <c r="J839" s="1762">
        <f t="shared" si="172"/>
        <v>0.19700000000000001</v>
      </c>
      <c r="K839" s="1763">
        <f t="shared" si="174"/>
        <v>0.19700000000000001</v>
      </c>
      <c r="L839" s="1764">
        <f t="shared" si="183"/>
        <v>0.23000000000000007</v>
      </c>
      <c r="M839" s="1765">
        <f t="shared" si="181"/>
        <v>0.23000000000000007</v>
      </c>
    </row>
    <row r="840" spans="1:13">
      <c r="A840" s="1749">
        <f t="shared" si="178"/>
        <v>42370</v>
      </c>
      <c r="B840" s="1749" t="str">
        <f t="shared" si="179"/>
        <v>1Q16</v>
      </c>
      <c r="C840" s="1749" t="str">
        <f t="shared" si="180"/>
        <v>1Q16</v>
      </c>
      <c r="D840" s="1750">
        <f t="shared" si="182"/>
        <v>42380</v>
      </c>
      <c r="E840" s="1750">
        <f t="shared" si="182"/>
        <v>42373</v>
      </c>
      <c r="F840" s="1927">
        <v>2.2109999999999999</v>
      </c>
      <c r="H840" s="1762">
        <f t="shared" si="176"/>
        <v>0.39400000000000002</v>
      </c>
      <c r="I840" s="1763">
        <f t="shared" si="173"/>
        <v>0.38900000000000001</v>
      </c>
      <c r="J840" s="1762">
        <f t="shared" si="172"/>
        <v>0.19700000000000001</v>
      </c>
      <c r="K840" s="1763">
        <f t="shared" si="174"/>
        <v>0.19450000000000001</v>
      </c>
      <c r="L840" s="1764">
        <f t="shared" si="183"/>
        <v>0.23000000000000007</v>
      </c>
      <c r="M840" s="1765">
        <f t="shared" si="181"/>
        <v>0.22000000000000006</v>
      </c>
    </row>
    <row r="841" spans="1:13">
      <c r="A841" s="1749">
        <f t="shared" si="178"/>
        <v>42370</v>
      </c>
      <c r="B841" s="1749" t="str">
        <f t="shared" si="179"/>
        <v>1Q16</v>
      </c>
      <c r="C841" s="1749" t="str">
        <f t="shared" si="180"/>
        <v>1Q16</v>
      </c>
      <c r="D841" s="1750">
        <f t="shared" si="182"/>
        <v>42387</v>
      </c>
      <c r="E841" s="1750">
        <f t="shared" si="182"/>
        <v>42380</v>
      </c>
      <c r="F841" s="1927">
        <v>2.177</v>
      </c>
      <c r="H841" s="1762">
        <f t="shared" si="176"/>
        <v>0.38900000000000001</v>
      </c>
      <c r="I841" s="1763">
        <f t="shared" si="173"/>
        <v>0.38400000000000001</v>
      </c>
      <c r="J841" s="1762">
        <f t="shared" si="172"/>
        <v>0.19450000000000001</v>
      </c>
      <c r="K841" s="1763">
        <f t="shared" si="174"/>
        <v>0.192</v>
      </c>
      <c r="L841" s="1764">
        <f t="shared" si="183"/>
        <v>0.22000000000000006</v>
      </c>
      <c r="M841" s="1765">
        <f t="shared" si="181"/>
        <v>0.21000000000000005</v>
      </c>
    </row>
    <row r="842" spans="1:13">
      <c r="A842" s="1749">
        <f t="shared" si="178"/>
        <v>42370</v>
      </c>
      <c r="B842" s="1749" t="str">
        <f t="shared" si="179"/>
        <v>1Q16</v>
      </c>
      <c r="C842" s="1749" t="str">
        <f t="shared" si="180"/>
        <v>1Q16</v>
      </c>
      <c r="D842" s="1750">
        <f t="shared" si="182"/>
        <v>42394</v>
      </c>
      <c r="E842" s="1750">
        <f t="shared" si="182"/>
        <v>42387</v>
      </c>
      <c r="F842" s="1927">
        <v>2.1120000000000001</v>
      </c>
      <c r="H842" s="1762">
        <f t="shared" si="176"/>
        <v>0.38400000000000001</v>
      </c>
      <c r="I842" s="1763">
        <f t="shared" si="173"/>
        <v>0.379</v>
      </c>
      <c r="J842" s="1762">
        <f t="shared" si="172"/>
        <v>0.192</v>
      </c>
      <c r="K842" s="1763">
        <f t="shared" si="174"/>
        <v>0.1895</v>
      </c>
      <c r="L842" s="1764">
        <f t="shared" si="183"/>
        <v>0.21000000000000005</v>
      </c>
      <c r="M842" s="1765">
        <f t="shared" si="181"/>
        <v>0.20000000000000004</v>
      </c>
    </row>
    <row r="843" spans="1:13">
      <c r="A843" s="1749">
        <f t="shared" si="178"/>
        <v>42401</v>
      </c>
      <c r="B843" s="1749" t="str">
        <f t="shared" si="179"/>
        <v>1Q16</v>
      </c>
      <c r="C843" s="1749" t="str">
        <f t="shared" si="180"/>
        <v>1Q16</v>
      </c>
      <c r="D843" s="1750">
        <f t="shared" si="182"/>
        <v>42401</v>
      </c>
      <c r="E843" s="1750">
        <f t="shared" si="182"/>
        <v>42394</v>
      </c>
      <c r="F843" s="1927">
        <v>2.0710000000000002</v>
      </c>
      <c r="H843" s="1762">
        <f t="shared" si="176"/>
        <v>0.379</v>
      </c>
      <c r="I843" s="1763">
        <f t="shared" si="173"/>
        <v>0.374</v>
      </c>
      <c r="J843" s="1762">
        <f t="shared" si="172"/>
        <v>0.1895</v>
      </c>
      <c r="K843" s="1763">
        <f t="shared" si="174"/>
        <v>0.187</v>
      </c>
      <c r="L843" s="1764">
        <f t="shared" si="183"/>
        <v>0.20000000000000004</v>
      </c>
      <c r="M843" s="1765">
        <f t="shared" si="181"/>
        <v>0.19000000000000003</v>
      </c>
    </row>
    <row r="844" spans="1:13">
      <c r="A844" s="1749">
        <f t="shared" si="178"/>
        <v>42401</v>
      </c>
      <c r="B844" s="1749" t="str">
        <f t="shared" si="179"/>
        <v>1Q16</v>
      </c>
      <c r="C844" s="1749" t="str">
        <f t="shared" si="180"/>
        <v>1Q16</v>
      </c>
      <c r="D844" s="1750">
        <f t="shared" si="182"/>
        <v>42408</v>
      </c>
      <c r="E844" s="1750">
        <f t="shared" si="182"/>
        <v>42401</v>
      </c>
      <c r="F844" s="1927">
        <v>2.0310000000000001</v>
      </c>
      <c r="H844" s="1762">
        <f t="shared" si="176"/>
        <v>0.374</v>
      </c>
      <c r="I844" s="1763">
        <f t="shared" si="173"/>
        <v>0.374</v>
      </c>
      <c r="J844" s="1762">
        <f t="shared" si="172"/>
        <v>0.187</v>
      </c>
      <c r="K844" s="1763">
        <f t="shared" si="174"/>
        <v>0.187</v>
      </c>
      <c r="L844" s="1764">
        <f t="shared" si="183"/>
        <v>0.19000000000000003</v>
      </c>
      <c r="M844" s="1765">
        <f t="shared" si="181"/>
        <v>0.19000000000000003</v>
      </c>
    </row>
    <row r="845" spans="1:13">
      <c r="A845" s="1749">
        <f t="shared" si="178"/>
        <v>42401</v>
      </c>
      <c r="B845" s="1749" t="str">
        <f t="shared" si="179"/>
        <v>1Q16</v>
      </c>
      <c r="C845" s="1749" t="str">
        <f t="shared" si="180"/>
        <v>1Q16</v>
      </c>
      <c r="D845" s="1750">
        <f t="shared" si="182"/>
        <v>42415</v>
      </c>
      <c r="E845" s="1750">
        <f t="shared" si="182"/>
        <v>42408</v>
      </c>
      <c r="F845" s="1927">
        <v>2.008</v>
      </c>
      <c r="H845" s="1762">
        <f t="shared" si="176"/>
        <v>0.374</v>
      </c>
      <c r="I845" s="1763">
        <f t="shared" si="173"/>
        <v>0.36899999999999999</v>
      </c>
      <c r="J845" s="1762">
        <f t="shared" si="172"/>
        <v>0.187</v>
      </c>
      <c r="K845" s="1763">
        <f t="shared" si="174"/>
        <v>0.1845</v>
      </c>
      <c r="L845" s="1764">
        <f t="shared" si="183"/>
        <v>0.19000000000000003</v>
      </c>
      <c r="M845" s="1765">
        <f t="shared" si="181"/>
        <v>0.18000000000000002</v>
      </c>
    </row>
    <row r="846" spans="1:13">
      <c r="A846" s="1749">
        <f t="shared" si="178"/>
        <v>42401</v>
      </c>
      <c r="B846" s="1749" t="str">
        <f t="shared" si="179"/>
        <v>1Q16</v>
      </c>
      <c r="C846" s="1749" t="str">
        <f t="shared" si="180"/>
        <v>1Q16</v>
      </c>
      <c r="D846" s="1750">
        <f t="shared" si="182"/>
        <v>42422</v>
      </c>
      <c r="E846" s="1750">
        <f t="shared" si="182"/>
        <v>42415</v>
      </c>
      <c r="F846" s="1927">
        <v>1.98</v>
      </c>
      <c r="H846" s="1762">
        <f t="shared" si="176"/>
        <v>0.36899999999999999</v>
      </c>
      <c r="I846" s="1763">
        <f t="shared" si="173"/>
        <v>0.36899999999999999</v>
      </c>
      <c r="J846" s="1762">
        <f t="shared" si="172"/>
        <v>0.1845</v>
      </c>
      <c r="K846" s="1763">
        <f t="shared" si="174"/>
        <v>0.1845</v>
      </c>
      <c r="L846" s="1764">
        <f t="shared" si="183"/>
        <v>0.18000000000000002</v>
      </c>
      <c r="M846" s="1765">
        <f t="shared" si="181"/>
        <v>0.18000000000000002</v>
      </c>
    </row>
    <row r="847" spans="1:13">
      <c r="A847" s="1749">
        <f t="shared" si="178"/>
        <v>42401</v>
      </c>
      <c r="B847" s="1749" t="str">
        <f t="shared" si="179"/>
        <v>1Q16</v>
      </c>
      <c r="C847" s="1749" t="str">
        <f t="shared" si="180"/>
        <v>1Q16</v>
      </c>
      <c r="D847" s="1750">
        <f t="shared" si="182"/>
        <v>42429</v>
      </c>
      <c r="E847" s="1750">
        <f t="shared" si="182"/>
        <v>42422</v>
      </c>
      <c r="F847" s="1927">
        <v>1.9830000000000001</v>
      </c>
      <c r="H847" s="1762">
        <f t="shared" si="176"/>
        <v>0.36899999999999999</v>
      </c>
      <c r="I847" s="1763">
        <f t="shared" si="173"/>
        <v>0.36899999999999999</v>
      </c>
      <c r="J847" s="1762">
        <f t="shared" si="172"/>
        <v>0.1845</v>
      </c>
      <c r="K847" s="1763">
        <f t="shared" si="174"/>
        <v>0.1845</v>
      </c>
      <c r="L847" s="1764">
        <f t="shared" si="183"/>
        <v>0.18000000000000002</v>
      </c>
      <c r="M847" s="1765">
        <f t="shared" si="181"/>
        <v>0.18000000000000002</v>
      </c>
    </row>
    <row r="848" spans="1:13">
      <c r="A848" s="1749">
        <f t="shared" si="178"/>
        <v>42430</v>
      </c>
      <c r="B848" s="1749" t="str">
        <f t="shared" si="179"/>
        <v>1Q16</v>
      </c>
      <c r="C848" s="1749" t="str">
        <f t="shared" si="180"/>
        <v>1Q16</v>
      </c>
      <c r="D848" s="1750">
        <f t="shared" si="182"/>
        <v>42436</v>
      </c>
      <c r="E848" s="1750">
        <f t="shared" si="182"/>
        <v>42429</v>
      </c>
      <c r="F848" s="1927">
        <v>1.9890000000000001</v>
      </c>
      <c r="H848" s="1762">
        <f t="shared" si="176"/>
        <v>0.36899999999999999</v>
      </c>
      <c r="I848" s="1763">
        <f t="shared" si="173"/>
        <v>0.374</v>
      </c>
      <c r="J848" s="1762">
        <f t="shared" si="172"/>
        <v>0.1845</v>
      </c>
      <c r="K848" s="1763">
        <f t="shared" si="174"/>
        <v>0.187</v>
      </c>
      <c r="L848" s="1764">
        <f t="shared" si="183"/>
        <v>0.18000000000000002</v>
      </c>
      <c r="M848" s="1765">
        <f t="shared" si="181"/>
        <v>0.19000000000000003</v>
      </c>
    </row>
    <row r="849" spans="1:13">
      <c r="A849" s="1749">
        <f t="shared" si="178"/>
        <v>42430</v>
      </c>
      <c r="B849" s="1749" t="str">
        <f t="shared" si="179"/>
        <v>1Q16</v>
      </c>
      <c r="C849" s="1749" t="str">
        <f t="shared" si="180"/>
        <v>1Q16</v>
      </c>
      <c r="D849" s="1750">
        <f t="shared" si="182"/>
        <v>42443</v>
      </c>
      <c r="E849" s="1750">
        <f t="shared" si="182"/>
        <v>42436</v>
      </c>
      <c r="F849" s="1927">
        <v>2.0209999999999999</v>
      </c>
      <c r="H849" s="1762">
        <f t="shared" si="176"/>
        <v>0.374</v>
      </c>
      <c r="I849" s="1763">
        <f t="shared" si="173"/>
        <v>0.379</v>
      </c>
      <c r="J849" s="1762">
        <f t="shared" si="172"/>
        <v>0.187</v>
      </c>
      <c r="K849" s="1763">
        <f t="shared" si="174"/>
        <v>0.1895</v>
      </c>
      <c r="L849" s="1764">
        <f t="shared" si="183"/>
        <v>0.19000000000000003</v>
      </c>
      <c r="M849" s="1765">
        <f t="shared" si="181"/>
        <v>0.20000000000000004</v>
      </c>
    </row>
    <row r="850" spans="1:13">
      <c r="A850" s="1749">
        <f t="shared" si="178"/>
        <v>42430</v>
      </c>
      <c r="B850" s="1749" t="str">
        <f t="shared" si="179"/>
        <v>1Q16</v>
      </c>
      <c r="C850" s="1749" t="str">
        <f t="shared" si="180"/>
        <v>1Q16</v>
      </c>
      <c r="D850" s="1750">
        <f t="shared" si="182"/>
        <v>42450</v>
      </c>
      <c r="E850" s="1750">
        <f t="shared" si="182"/>
        <v>42443</v>
      </c>
      <c r="F850" s="1927">
        <v>2.0990000000000002</v>
      </c>
      <c r="H850" s="1762">
        <f t="shared" si="176"/>
        <v>0.379</v>
      </c>
      <c r="I850" s="1763">
        <f t="shared" si="173"/>
        <v>0.38400000000000001</v>
      </c>
      <c r="J850" s="1762">
        <f t="shared" si="172"/>
        <v>0.1895</v>
      </c>
      <c r="K850" s="1763">
        <f t="shared" si="174"/>
        <v>0.192</v>
      </c>
      <c r="L850" s="1764">
        <f t="shared" si="183"/>
        <v>0.20000000000000004</v>
      </c>
      <c r="M850" s="1765">
        <f t="shared" si="181"/>
        <v>0.21000000000000005</v>
      </c>
    </row>
    <row r="851" spans="1:13">
      <c r="A851" s="1749">
        <f t="shared" si="178"/>
        <v>42430</v>
      </c>
      <c r="B851" s="1749" t="str">
        <f t="shared" si="179"/>
        <v>1Q16</v>
      </c>
      <c r="C851" s="1749" t="str">
        <f t="shared" si="180"/>
        <v>1Q16</v>
      </c>
      <c r="D851" s="1750">
        <f t="shared" si="182"/>
        <v>42457</v>
      </c>
      <c r="E851" s="1750">
        <f t="shared" si="182"/>
        <v>42450</v>
      </c>
      <c r="F851" s="1927">
        <v>2.1190000000000002</v>
      </c>
      <c r="H851" s="1762">
        <f t="shared" si="176"/>
        <v>0.38400000000000001</v>
      </c>
      <c r="I851" s="1763">
        <f t="shared" si="173"/>
        <v>0.38400000000000001</v>
      </c>
      <c r="J851" s="1762">
        <f t="shared" si="172"/>
        <v>0.192</v>
      </c>
      <c r="K851" s="1763">
        <f t="shared" si="174"/>
        <v>0.192</v>
      </c>
      <c r="L851" s="1764">
        <f t="shared" si="183"/>
        <v>0.21000000000000005</v>
      </c>
      <c r="M851" s="1765">
        <f t="shared" si="181"/>
        <v>0.21000000000000005</v>
      </c>
    </row>
    <row r="852" spans="1:13">
      <c r="A852" s="1749">
        <f t="shared" si="178"/>
        <v>42461</v>
      </c>
      <c r="B852" s="1749" t="str">
        <f t="shared" si="179"/>
        <v>2Q16</v>
      </c>
      <c r="C852" s="1749" t="str">
        <f t="shared" si="180"/>
        <v>1Q16</v>
      </c>
      <c r="D852" s="1750">
        <f t="shared" si="182"/>
        <v>42464</v>
      </c>
      <c r="E852" s="1750">
        <f t="shared" si="182"/>
        <v>42457</v>
      </c>
      <c r="F852" s="1927">
        <v>2.121</v>
      </c>
      <c r="H852" s="1762">
        <f t="shared" si="176"/>
        <v>0.38400000000000001</v>
      </c>
      <c r="I852" s="1763">
        <f t="shared" si="173"/>
        <v>0.38400000000000001</v>
      </c>
      <c r="J852" s="1762">
        <f t="shared" si="172"/>
        <v>0.192</v>
      </c>
      <c r="K852" s="1763">
        <f t="shared" si="174"/>
        <v>0.192</v>
      </c>
      <c r="L852" s="1764">
        <f t="shared" si="183"/>
        <v>0.21000000000000005</v>
      </c>
      <c r="M852" s="1765">
        <f t="shared" si="181"/>
        <v>0.21000000000000005</v>
      </c>
    </row>
    <row r="853" spans="1:13">
      <c r="A853" s="1749">
        <f t="shared" si="178"/>
        <v>42461</v>
      </c>
      <c r="B853" s="1749" t="str">
        <f t="shared" si="179"/>
        <v>2Q16</v>
      </c>
      <c r="C853" s="1749" t="str">
        <f t="shared" si="180"/>
        <v>2Q16</v>
      </c>
      <c r="D853" s="1750">
        <f t="shared" ref="D853:E868" si="184">D852+7</f>
        <v>42471</v>
      </c>
      <c r="E853" s="1750">
        <f t="shared" si="184"/>
        <v>42464</v>
      </c>
      <c r="F853" s="1927">
        <v>2.1150000000000002</v>
      </c>
      <c r="H853" s="1762">
        <f t="shared" si="176"/>
        <v>0.38400000000000001</v>
      </c>
      <c r="I853" s="1763">
        <f t="shared" si="173"/>
        <v>0.38400000000000001</v>
      </c>
      <c r="J853" s="1762">
        <f t="shared" si="172"/>
        <v>0.192</v>
      </c>
      <c r="K853" s="1763">
        <f t="shared" si="174"/>
        <v>0.192</v>
      </c>
      <c r="L853" s="1764">
        <f t="shared" si="183"/>
        <v>0.21000000000000005</v>
      </c>
      <c r="M853" s="1765">
        <f t="shared" si="181"/>
        <v>0.21000000000000005</v>
      </c>
    </row>
    <row r="854" spans="1:13">
      <c r="A854" s="1749">
        <f t="shared" si="178"/>
        <v>42461</v>
      </c>
      <c r="B854" s="1749" t="str">
        <f t="shared" si="179"/>
        <v>2Q16</v>
      </c>
      <c r="C854" s="1749" t="str">
        <f t="shared" si="180"/>
        <v>2Q16</v>
      </c>
      <c r="D854" s="1750">
        <f t="shared" si="184"/>
        <v>42478</v>
      </c>
      <c r="E854" s="1750">
        <f t="shared" si="184"/>
        <v>42471</v>
      </c>
      <c r="F854" s="1927">
        <v>2.1280000000000001</v>
      </c>
      <c r="H854" s="1762">
        <f t="shared" si="176"/>
        <v>0.38400000000000001</v>
      </c>
      <c r="I854" s="1763">
        <f t="shared" si="173"/>
        <v>0.38900000000000001</v>
      </c>
      <c r="J854" s="1762">
        <f t="shared" si="172"/>
        <v>0.192</v>
      </c>
      <c r="K854" s="1763">
        <f t="shared" si="174"/>
        <v>0.19450000000000001</v>
      </c>
      <c r="L854" s="1764">
        <f t="shared" si="183"/>
        <v>0.21000000000000005</v>
      </c>
      <c r="M854" s="1765">
        <f t="shared" si="181"/>
        <v>0.22000000000000006</v>
      </c>
    </row>
    <row r="855" spans="1:13">
      <c r="A855" s="1749">
        <f t="shared" si="178"/>
        <v>42461</v>
      </c>
      <c r="B855" s="1749" t="str">
        <f t="shared" si="179"/>
        <v>2Q16</v>
      </c>
      <c r="C855" s="1749" t="str">
        <f t="shared" si="180"/>
        <v>2Q16</v>
      </c>
      <c r="D855" s="1750">
        <f t="shared" si="184"/>
        <v>42485</v>
      </c>
      <c r="E855" s="1750">
        <f t="shared" si="184"/>
        <v>42478</v>
      </c>
      <c r="F855" s="1927">
        <v>2.165</v>
      </c>
      <c r="H855" s="1762">
        <f t="shared" si="176"/>
        <v>0.38900000000000001</v>
      </c>
      <c r="I855" s="1763">
        <f t="shared" si="173"/>
        <v>0.38900000000000001</v>
      </c>
      <c r="J855" s="1762">
        <f t="shared" ref="J855:J890" si="185">INDEX($O$4:$R$440,MATCH(F855,$O$4:$O$440,1),4)</f>
        <v>0.19450000000000001</v>
      </c>
      <c r="K855" s="1763">
        <f t="shared" si="174"/>
        <v>0.19450000000000001</v>
      </c>
      <c r="L855" s="1764">
        <f t="shared" si="183"/>
        <v>0.22000000000000006</v>
      </c>
      <c r="M855" s="1765">
        <f t="shared" si="181"/>
        <v>0.22000000000000006</v>
      </c>
    </row>
    <row r="856" spans="1:13">
      <c r="A856" s="1749">
        <f t="shared" si="178"/>
        <v>42491</v>
      </c>
      <c r="B856" s="1749" t="str">
        <f t="shared" si="179"/>
        <v>2Q16</v>
      </c>
      <c r="C856" s="1749" t="str">
        <f t="shared" si="180"/>
        <v>2Q16</v>
      </c>
      <c r="D856" s="1750">
        <f t="shared" si="184"/>
        <v>42492</v>
      </c>
      <c r="E856" s="1750">
        <f t="shared" si="184"/>
        <v>42485</v>
      </c>
      <c r="F856" s="1927">
        <v>2.198</v>
      </c>
      <c r="H856" s="1762">
        <f t="shared" si="176"/>
        <v>0.38900000000000001</v>
      </c>
      <c r="I856" s="1763">
        <f t="shared" si="173"/>
        <v>0.39900000000000002</v>
      </c>
      <c r="J856" s="1762">
        <f t="shared" si="185"/>
        <v>0.19450000000000001</v>
      </c>
      <c r="K856" s="1763">
        <f t="shared" si="174"/>
        <v>0.19950000000000001</v>
      </c>
      <c r="L856" s="1764">
        <f t="shared" si="183"/>
        <v>0.22000000000000006</v>
      </c>
      <c r="M856" s="1765">
        <f t="shared" si="181"/>
        <v>0.24000000000000007</v>
      </c>
    </row>
    <row r="857" spans="1:13">
      <c r="A857" s="1749">
        <f t="shared" si="178"/>
        <v>42491</v>
      </c>
      <c r="B857" s="1749" t="str">
        <f t="shared" si="179"/>
        <v>2Q16</v>
      </c>
      <c r="C857" s="1749" t="str">
        <f t="shared" si="180"/>
        <v>2Q16</v>
      </c>
      <c r="D857" s="1750">
        <f t="shared" si="184"/>
        <v>42499</v>
      </c>
      <c r="E857" s="1750">
        <f t="shared" si="184"/>
        <v>42492</v>
      </c>
      <c r="F857" s="1927">
        <v>2.266</v>
      </c>
      <c r="H857" s="1762">
        <f t="shared" si="176"/>
        <v>0.39900000000000002</v>
      </c>
      <c r="I857" s="1763">
        <f t="shared" si="173"/>
        <v>0.39900000000000002</v>
      </c>
      <c r="J857" s="1762">
        <f t="shared" si="185"/>
        <v>0.19950000000000001</v>
      </c>
      <c r="K857" s="1763">
        <f t="shared" si="174"/>
        <v>0.19950000000000001</v>
      </c>
      <c r="L857" s="1764">
        <f t="shared" si="183"/>
        <v>0.24000000000000007</v>
      </c>
      <c r="M857" s="1765">
        <f t="shared" si="181"/>
        <v>0.24000000000000007</v>
      </c>
    </row>
    <row r="858" spans="1:13">
      <c r="A858" s="1749">
        <f t="shared" si="178"/>
        <v>42491</v>
      </c>
      <c r="B858" s="1749" t="str">
        <f t="shared" si="179"/>
        <v>2Q16</v>
      </c>
      <c r="C858" s="1749" t="str">
        <f t="shared" si="180"/>
        <v>2Q16</v>
      </c>
      <c r="D858" s="1750">
        <f t="shared" si="184"/>
        <v>42506</v>
      </c>
      <c r="E858" s="1750">
        <f t="shared" si="184"/>
        <v>42499</v>
      </c>
      <c r="F858" s="1927">
        <v>2.2709999999999999</v>
      </c>
      <c r="H858" s="1762">
        <f t="shared" si="176"/>
        <v>0.39900000000000002</v>
      </c>
      <c r="I858" s="1763">
        <f t="shared" si="173"/>
        <v>0.39900000000000002</v>
      </c>
      <c r="J858" s="1762">
        <f t="shared" si="185"/>
        <v>0.19950000000000001</v>
      </c>
      <c r="K858" s="1763">
        <f t="shared" si="174"/>
        <v>0.19950000000000001</v>
      </c>
      <c r="L858" s="1764">
        <f t="shared" si="183"/>
        <v>0.24000000000000007</v>
      </c>
      <c r="M858" s="1765">
        <f t="shared" si="181"/>
        <v>0.24000000000000007</v>
      </c>
    </row>
    <row r="859" spans="1:13">
      <c r="A859" s="1749">
        <f t="shared" si="178"/>
        <v>42491</v>
      </c>
      <c r="B859" s="1749" t="str">
        <f t="shared" si="179"/>
        <v>2Q16</v>
      </c>
      <c r="C859" s="1749" t="str">
        <f t="shared" si="180"/>
        <v>2Q16</v>
      </c>
      <c r="D859" s="1750">
        <f t="shared" si="184"/>
        <v>42513</v>
      </c>
      <c r="E859" s="1750">
        <f t="shared" si="184"/>
        <v>42506</v>
      </c>
      <c r="F859" s="1927">
        <v>2.2970000000000002</v>
      </c>
      <c r="H859" s="1762">
        <f t="shared" si="176"/>
        <v>0.39900000000000002</v>
      </c>
      <c r="I859" s="1763">
        <f t="shared" si="173"/>
        <v>0.40899999999999997</v>
      </c>
      <c r="J859" s="1762">
        <f t="shared" si="185"/>
        <v>0.19950000000000001</v>
      </c>
      <c r="K859" s="1763">
        <f t="shared" si="174"/>
        <v>0.20449999999999999</v>
      </c>
      <c r="L859" s="1764">
        <f t="shared" si="183"/>
        <v>0.24000000000000007</v>
      </c>
      <c r="M859" s="1765">
        <f t="shared" si="181"/>
        <v>0.26000000000000006</v>
      </c>
    </row>
    <row r="860" spans="1:13">
      <c r="A860" s="1749">
        <f t="shared" si="178"/>
        <v>42491</v>
      </c>
      <c r="B860" s="1749" t="str">
        <f t="shared" si="179"/>
        <v>2Q16</v>
      </c>
      <c r="C860" s="1749" t="str">
        <f t="shared" si="180"/>
        <v>2Q16</v>
      </c>
      <c r="D860" s="1750">
        <f t="shared" si="184"/>
        <v>42520</v>
      </c>
      <c r="E860" s="1750">
        <f t="shared" si="184"/>
        <v>42513</v>
      </c>
      <c r="F860" s="1927">
        <v>2.3570000000000002</v>
      </c>
      <c r="H860" s="1762">
        <f t="shared" si="176"/>
        <v>0.40899999999999997</v>
      </c>
      <c r="I860" s="1763">
        <f t="shared" si="173"/>
        <v>0.40899999999999997</v>
      </c>
      <c r="J860" s="1762">
        <f t="shared" si="185"/>
        <v>0.20449999999999999</v>
      </c>
      <c r="K860" s="1763">
        <f t="shared" si="174"/>
        <v>0.20449999999999999</v>
      </c>
      <c r="L860" s="1764">
        <f t="shared" si="183"/>
        <v>0.26000000000000006</v>
      </c>
      <c r="M860" s="1765">
        <f t="shared" si="181"/>
        <v>0.26000000000000006</v>
      </c>
    </row>
    <row r="861" spans="1:13">
      <c r="A861" s="1749">
        <f t="shared" si="178"/>
        <v>42522</v>
      </c>
      <c r="B861" s="1749" t="str">
        <f t="shared" si="179"/>
        <v>2Q16</v>
      </c>
      <c r="C861" s="1749" t="str">
        <f t="shared" si="180"/>
        <v>2Q16</v>
      </c>
      <c r="D861" s="1750">
        <f t="shared" si="184"/>
        <v>42527</v>
      </c>
      <c r="E861" s="1750">
        <f t="shared" si="184"/>
        <v>42520</v>
      </c>
      <c r="F861" s="1927">
        <v>2.3820000000000001</v>
      </c>
      <c r="H861" s="1762">
        <f t="shared" si="176"/>
        <v>0.40899999999999997</v>
      </c>
      <c r="I861" s="1763">
        <f t="shared" si="173"/>
        <v>0.41399999999999998</v>
      </c>
      <c r="J861" s="1762">
        <f t="shared" si="185"/>
        <v>0.20449999999999999</v>
      </c>
      <c r="K861" s="1763">
        <f t="shared" si="174"/>
        <v>0.20699999999999999</v>
      </c>
      <c r="L861" s="1764">
        <f t="shared" si="183"/>
        <v>0.26000000000000006</v>
      </c>
      <c r="M861" s="1765">
        <f t="shared" si="181"/>
        <v>0.27000000000000007</v>
      </c>
    </row>
    <row r="862" spans="1:13">
      <c r="A862" s="1749">
        <f t="shared" si="178"/>
        <v>42522</v>
      </c>
      <c r="B862" s="1749" t="str">
        <f t="shared" si="179"/>
        <v>2Q16</v>
      </c>
      <c r="C862" s="1749" t="str">
        <f t="shared" si="180"/>
        <v>2Q16</v>
      </c>
      <c r="D862" s="1750">
        <f t="shared" si="184"/>
        <v>42534</v>
      </c>
      <c r="E862" s="1750">
        <f t="shared" si="184"/>
        <v>42527</v>
      </c>
      <c r="F862" s="1927">
        <v>2.407</v>
      </c>
      <c r="H862" s="1762">
        <f t="shared" si="176"/>
        <v>0.41399999999999998</v>
      </c>
      <c r="I862" s="1763">
        <f t="shared" ref="I862:I890" si="186">H863</f>
        <v>0.41399999999999998</v>
      </c>
      <c r="J862" s="1762">
        <f t="shared" si="185"/>
        <v>0.20699999999999999</v>
      </c>
      <c r="K862" s="1763">
        <f t="shared" ref="K862:K890" si="187">J863</f>
        <v>0.20699999999999999</v>
      </c>
      <c r="L862" s="1764">
        <f t="shared" si="183"/>
        <v>0.27000000000000007</v>
      </c>
      <c r="M862" s="1765">
        <f t="shared" si="181"/>
        <v>0.27000000000000007</v>
      </c>
    </row>
    <row r="863" spans="1:13">
      <c r="A863" s="1749">
        <f t="shared" si="178"/>
        <v>42522</v>
      </c>
      <c r="B863" s="1749" t="str">
        <f t="shared" si="179"/>
        <v>2Q16</v>
      </c>
      <c r="C863" s="1749" t="str">
        <f t="shared" si="180"/>
        <v>2Q16</v>
      </c>
      <c r="D863" s="1750">
        <f t="shared" si="184"/>
        <v>42541</v>
      </c>
      <c r="E863" s="1750">
        <f t="shared" si="184"/>
        <v>42534</v>
      </c>
      <c r="F863" s="1927">
        <v>2.431</v>
      </c>
      <c r="H863" s="1762">
        <f t="shared" si="176"/>
        <v>0.41399999999999998</v>
      </c>
      <c r="I863" s="1763">
        <f t="shared" si="186"/>
        <v>0.41399999999999998</v>
      </c>
      <c r="J863" s="1762">
        <f t="shared" si="185"/>
        <v>0.20699999999999999</v>
      </c>
      <c r="K863" s="1763">
        <f t="shared" si="187"/>
        <v>0.20699999999999999</v>
      </c>
      <c r="L863" s="1764">
        <f t="shared" si="183"/>
        <v>0.27000000000000007</v>
      </c>
      <c r="M863" s="1765">
        <f t="shared" si="181"/>
        <v>0.27000000000000007</v>
      </c>
    </row>
    <row r="864" spans="1:13">
      <c r="A864" s="1749">
        <f t="shared" si="178"/>
        <v>42522</v>
      </c>
      <c r="B864" s="1749" t="str">
        <f t="shared" si="179"/>
        <v>2Q16</v>
      </c>
      <c r="C864" s="1749" t="str">
        <f t="shared" si="180"/>
        <v>2Q16</v>
      </c>
      <c r="D864" s="1750">
        <f t="shared" si="184"/>
        <v>42548</v>
      </c>
      <c r="E864" s="1750">
        <f t="shared" si="184"/>
        <v>42541</v>
      </c>
      <c r="F864" s="1927">
        <v>2.4260000000000002</v>
      </c>
      <c r="H864" s="1762">
        <f t="shared" si="176"/>
        <v>0.41399999999999998</v>
      </c>
      <c r="I864" s="1763">
        <f t="shared" si="186"/>
        <v>0.41399999999999998</v>
      </c>
      <c r="J864" s="1762">
        <f t="shared" si="185"/>
        <v>0.20699999999999999</v>
      </c>
      <c r="K864" s="1763">
        <f t="shared" si="187"/>
        <v>0.20699999999999999</v>
      </c>
      <c r="L864" s="1764">
        <f t="shared" si="183"/>
        <v>0.27000000000000007</v>
      </c>
      <c r="M864" s="1765">
        <f t="shared" si="181"/>
        <v>0.27000000000000007</v>
      </c>
    </row>
    <row r="865" spans="1:13">
      <c r="A865" s="1749">
        <f t="shared" si="178"/>
        <v>42552</v>
      </c>
      <c r="B865" s="1749" t="str">
        <f t="shared" si="179"/>
        <v>3Q16</v>
      </c>
      <c r="C865" s="1749" t="str">
        <f t="shared" si="180"/>
        <v>2Q16</v>
      </c>
      <c r="D865" s="1750">
        <f t="shared" si="184"/>
        <v>42555</v>
      </c>
      <c r="E865" s="1750">
        <f t="shared" si="184"/>
        <v>42548</v>
      </c>
      <c r="F865" s="1927">
        <v>2.4260000000000002</v>
      </c>
      <c r="H865" s="1762">
        <f t="shared" si="176"/>
        <v>0.41399999999999998</v>
      </c>
      <c r="I865" s="1763">
        <f t="shared" si="186"/>
        <v>0.41399999999999998</v>
      </c>
      <c r="J865" s="1762">
        <f t="shared" si="185"/>
        <v>0.20699999999999999</v>
      </c>
      <c r="K865" s="1763">
        <f t="shared" si="187"/>
        <v>0.20699999999999999</v>
      </c>
      <c r="L865" s="1764">
        <f t="shared" si="183"/>
        <v>0.27000000000000007</v>
      </c>
      <c r="M865" s="1765">
        <f t="shared" si="181"/>
        <v>0.27000000000000007</v>
      </c>
    </row>
    <row r="866" spans="1:13">
      <c r="A866" s="1749">
        <f t="shared" si="178"/>
        <v>42552</v>
      </c>
      <c r="B866" s="1749" t="str">
        <f t="shared" si="179"/>
        <v>3Q16</v>
      </c>
      <c r="C866" s="1749" t="str">
        <f t="shared" si="180"/>
        <v>3Q16</v>
      </c>
      <c r="D866" s="1750">
        <f t="shared" si="184"/>
        <v>42562</v>
      </c>
      <c r="E866" s="1750">
        <f t="shared" si="184"/>
        <v>42555</v>
      </c>
      <c r="F866" s="1927">
        <v>2.423</v>
      </c>
      <c r="H866" s="1762">
        <f t="shared" si="176"/>
        <v>0.41399999999999998</v>
      </c>
      <c r="I866" s="1763">
        <f t="shared" si="186"/>
        <v>0.41399999999999998</v>
      </c>
      <c r="J866" s="1762">
        <f t="shared" si="185"/>
        <v>0.20699999999999999</v>
      </c>
      <c r="K866" s="1763">
        <f t="shared" si="187"/>
        <v>0.20699999999999999</v>
      </c>
      <c r="L866" s="1764">
        <f t="shared" si="183"/>
        <v>0.27000000000000007</v>
      </c>
      <c r="M866" s="1765">
        <f t="shared" si="181"/>
        <v>0.27000000000000007</v>
      </c>
    </row>
    <row r="867" spans="1:13">
      <c r="A867" s="1749">
        <f t="shared" si="178"/>
        <v>42552</v>
      </c>
      <c r="B867" s="1749" t="str">
        <f t="shared" si="179"/>
        <v>3Q16</v>
      </c>
      <c r="C867" s="1749" t="str">
        <f t="shared" si="180"/>
        <v>3Q16</v>
      </c>
      <c r="D867" s="1750">
        <f t="shared" si="184"/>
        <v>42569</v>
      </c>
      <c r="E867" s="1750">
        <f t="shared" si="184"/>
        <v>42562</v>
      </c>
      <c r="F867" s="1927">
        <v>2.4140000000000001</v>
      </c>
      <c r="H867" s="1762">
        <f t="shared" si="176"/>
        <v>0.41399999999999998</v>
      </c>
      <c r="I867" s="1763">
        <f t="shared" si="186"/>
        <v>0.41399999999999998</v>
      </c>
      <c r="J867" s="1762">
        <f t="shared" si="185"/>
        <v>0.20699999999999999</v>
      </c>
      <c r="K867" s="1763">
        <f t="shared" si="187"/>
        <v>0.20699999999999999</v>
      </c>
      <c r="L867" s="1764">
        <f t="shared" si="183"/>
        <v>0.27000000000000007</v>
      </c>
      <c r="M867" s="1765">
        <f t="shared" si="181"/>
        <v>0.27000000000000007</v>
      </c>
    </row>
    <row r="868" spans="1:13">
      <c r="A868" s="1749">
        <f t="shared" si="178"/>
        <v>42552</v>
      </c>
      <c r="B868" s="1749" t="str">
        <f t="shared" si="179"/>
        <v>3Q16</v>
      </c>
      <c r="C868" s="1749" t="str">
        <f t="shared" si="180"/>
        <v>3Q16</v>
      </c>
      <c r="D868" s="1750">
        <f t="shared" si="184"/>
        <v>42576</v>
      </c>
      <c r="E868" s="1750">
        <f t="shared" si="184"/>
        <v>42569</v>
      </c>
      <c r="F868" s="1927">
        <v>2.4020000000000001</v>
      </c>
      <c r="H868" s="1762">
        <f t="shared" si="176"/>
        <v>0.41399999999999998</v>
      </c>
      <c r="I868" s="1763">
        <f t="shared" si="186"/>
        <v>0.40899999999999997</v>
      </c>
      <c r="J868" s="1762">
        <f t="shared" si="185"/>
        <v>0.20699999999999999</v>
      </c>
      <c r="K868" s="1763">
        <f t="shared" si="187"/>
        <v>0.20449999999999999</v>
      </c>
      <c r="L868" s="1764">
        <f t="shared" si="183"/>
        <v>0.27000000000000007</v>
      </c>
      <c r="M868" s="1765">
        <f t="shared" si="181"/>
        <v>0.26000000000000006</v>
      </c>
    </row>
    <row r="869" spans="1:13">
      <c r="A869" s="1749">
        <f t="shared" si="178"/>
        <v>42583</v>
      </c>
      <c r="B869" s="1749" t="str">
        <f t="shared" si="179"/>
        <v>3Q16</v>
      </c>
      <c r="C869" s="1749" t="str">
        <f t="shared" si="180"/>
        <v>3Q16</v>
      </c>
      <c r="D869" s="1750">
        <f t="shared" ref="D869:E884" si="188">D868+7</f>
        <v>42583</v>
      </c>
      <c r="E869" s="1750">
        <f t="shared" si="188"/>
        <v>42576</v>
      </c>
      <c r="F869" s="1927">
        <v>2.379</v>
      </c>
      <c r="H869" s="1762">
        <f t="shared" si="176"/>
        <v>0.40899999999999997</v>
      </c>
      <c r="I869" s="1763">
        <f t="shared" si="186"/>
        <v>0.40400000000000003</v>
      </c>
      <c r="J869" s="1762">
        <f t="shared" si="185"/>
        <v>0.20449999999999999</v>
      </c>
      <c r="K869" s="1763">
        <f t="shared" si="187"/>
        <v>0.20200000000000001</v>
      </c>
      <c r="L869" s="1764">
        <f t="shared" si="183"/>
        <v>0.26000000000000006</v>
      </c>
      <c r="M869" s="1765">
        <f t="shared" si="181"/>
        <v>0.25000000000000006</v>
      </c>
    </row>
    <row r="870" spans="1:13">
      <c r="A870" s="1749">
        <f t="shared" si="178"/>
        <v>42583</v>
      </c>
      <c r="B870" s="1749" t="str">
        <f t="shared" si="179"/>
        <v>3Q16</v>
      </c>
      <c r="C870" s="1749" t="str">
        <f t="shared" si="180"/>
        <v>3Q16</v>
      </c>
      <c r="D870" s="1750">
        <f t="shared" si="188"/>
        <v>42590</v>
      </c>
      <c r="E870" s="1750">
        <f t="shared" si="188"/>
        <v>42583</v>
      </c>
      <c r="F870" s="1927">
        <v>2.3479999999999999</v>
      </c>
      <c r="H870" s="1762">
        <f t="shared" si="176"/>
        <v>0.40400000000000003</v>
      </c>
      <c r="I870" s="1763">
        <f t="shared" si="186"/>
        <v>0.40400000000000003</v>
      </c>
      <c r="J870" s="1762">
        <f t="shared" si="185"/>
        <v>0.20200000000000001</v>
      </c>
      <c r="K870" s="1763">
        <f t="shared" si="187"/>
        <v>0.20200000000000001</v>
      </c>
      <c r="L870" s="1764">
        <f t="shared" si="183"/>
        <v>0.25000000000000006</v>
      </c>
      <c r="M870" s="1765">
        <f t="shared" si="181"/>
        <v>0.25000000000000006</v>
      </c>
    </row>
    <row r="871" spans="1:13">
      <c r="A871" s="1749">
        <f t="shared" si="178"/>
        <v>42583</v>
      </c>
      <c r="B871" s="1749" t="str">
        <f t="shared" si="179"/>
        <v>3Q16</v>
      </c>
      <c r="C871" s="1749" t="str">
        <f t="shared" si="180"/>
        <v>3Q16</v>
      </c>
      <c r="D871" s="1750">
        <f t="shared" si="188"/>
        <v>42597</v>
      </c>
      <c r="E871" s="1750">
        <f t="shared" si="188"/>
        <v>42590</v>
      </c>
      <c r="F871" s="1927">
        <v>2.3159999999999998</v>
      </c>
      <c r="H871" s="1762">
        <f t="shared" si="176"/>
        <v>0.40400000000000003</v>
      </c>
      <c r="I871" s="1763">
        <f t="shared" si="186"/>
        <v>0.40400000000000003</v>
      </c>
      <c r="J871" s="1762">
        <f t="shared" si="185"/>
        <v>0.20200000000000001</v>
      </c>
      <c r="K871" s="1763">
        <f t="shared" si="187"/>
        <v>0.20200000000000001</v>
      </c>
      <c r="L871" s="1764">
        <f t="shared" si="183"/>
        <v>0.25000000000000006</v>
      </c>
      <c r="M871" s="1765">
        <f t="shared" si="181"/>
        <v>0.25000000000000006</v>
      </c>
    </row>
    <row r="872" spans="1:13">
      <c r="A872" s="1749">
        <f t="shared" si="178"/>
        <v>42583</v>
      </c>
      <c r="B872" s="1749" t="str">
        <f t="shared" si="179"/>
        <v>3Q16</v>
      </c>
      <c r="C872" s="1749" t="str">
        <f t="shared" si="180"/>
        <v>3Q16</v>
      </c>
      <c r="D872" s="1750">
        <f t="shared" si="188"/>
        <v>42604</v>
      </c>
      <c r="E872" s="1750">
        <f t="shared" si="188"/>
        <v>42597</v>
      </c>
      <c r="F872" s="1927">
        <v>2.31</v>
      </c>
      <c r="H872" s="1762">
        <f t="shared" si="176"/>
        <v>0.40400000000000003</v>
      </c>
      <c r="I872" s="1763">
        <f t="shared" si="186"/>
        <v>0.40899999999999997</v>
      </c>
      <c r="J872" s="1762">
        <f t="shared" si="185"/>
        <v>0.20200000000000001</v>
      </c>
      <c r="K872" s="1763">
        <f t="shared" si="187"/>
        <v>0.20449999999999999</v>
      </c>
      <c r="L872" s="1764">
        <f t="shared" si="183"/>
        <v>0.25000000000000006</v>
      </c>
      <c r="M872" s="1765">
        <f t="shared" si="181"/>
        <v>0.26000000000000006</v>
      </c>
    </row>
    <row r="873" spans="1:13">
      <c r="A873" s="1749">
        <f t="shared" si="178"/>
        <v>42583</v>
      </c>
      <c r="B873" s="1749" t="str">
        <f t="shared" si="179"/>
        <v>3Q16</v>
      </c>
      <c r="C873" s="1749" t="str">
        <f t="shared" si="180"/>
        <v>3Q16</v>
      </c>
      <c r="D873" s="1750">
        <f t="shared" si="188"/>
        <v>42611</v>
      </c>
      <c r="E873" s="1750">
        <f t="shared" si="188"/>
        <v>42604</v>
      </c>
      <c r="F873" s="1927">
        <v>2.37</v>
      </c>
      <c r="H873" s="1762">
        <f t="shared" si="176"/>
        <v>0.40899999999999997</v>
      </c>
      <c r="I873" s="1763">
        <f t="shared" si="186"/>
        <v>0.41399999999999998</v>
      </c>
      <c r="J873" s="1762">
        <f t="shared" si="185"/>
        <v>0.20449999999999999</v>
      </c>
      <c r="K873" s="1763">
        <f t="shared" si="187"/>
        <v>0.20699999999999999</v>
      </c>
      <c r="L873" s="1764">
        <f t="shared" si="183"/>
        <v>0.26000000000000006</v>
      </c>
      <c r="M873" s="1765">
        <f t="shared" si="181"/>
        <v>0.27000000000000007</v>
      </c>
    </row>
    <row r="874" spans="1:13">
      <c r="A874" s="1749">
        <f t="shared" si="178"/>
        <v>42614</v>
      </c>
      <c r="B874" s="1749" t="str">
        <f t="shared" si="179"/>
        <v>3Q16</v>
      </c>
      <c r="C874" s="1749" t="str">
        <f t="shared" si="180"/>
        <v>3Q16</v>
      </c>
      <c r="D874" s="1750">
        <f t="shared" si="188"/>
        <v>42618</v>
      </c>
      <c r="E874" s="1750">
        <f t="shared" si="188"/>
        <v>42611</v>
      </c>
      <c r="F874" s="1927">
        <v>2.4089999999999998</v>
      </c>
      <c r="H874" s="1762">
        <f t="shared" si="176"/>
        <v>0.41399999999999998</v>
      </c>
      <c r="I874" s="1763">
        <f t="shared" si="186"/>
        <v>0.41399999999999998</v>
      </c>
      <c r="J874" s="1762">
        <f t="shared" si="185"/>
        <v>0.20699999999999999</v>
      </c>
      <c r="K874" s="1763">
        <f t="shared" si="187"/>
        <v>0.20699999999999999</v>
      </c>
      <c r="L874" s="1764">
        <f t="shared" si="183"/>
        <v>0.27000000000000007</v>
      </c>
      <c r="M874" s="1765">
        <f t="shared" si="181"/>
        <v>0.27000000000000007</v>
      </c>
    </row>
    <row r="875" spans="1:13">
      <c r="A875" s="1749">
        <f t="shared" si="178"/>
        <v>42614</v>
      </c>
      <c r="B875" s="1749" t="str">
        <f t="shared" si="179"/>
        <v>3Q16</v>
      </c>
      <c r="C875" s="1749" t="str">
        <f t="shared" si="180"/>
        <v>3Q16</v>
      </c>
      <c r="D875" s="1750">
        <f t="shared" si="188"/>
        <v>42625</v>
      </c>
      <c r="E875" s="1750">
        <f t="shared" si="188"/>
        <v>42618</v>
      </c>
      <c r="F875" s="1927">
        <v>2.407</v>
      </c>
      <c r="H875" s="1762">
        <f t="shared" si="176"/>
        <v>0.41399999999999998</v>
      </c>
      <c r="I875" s="1763">
        <f t="shared" si="186"/>
        <v>0.40899999999999997</v>
      </c>
      <c r="J875" s="1762">
        <f t="shared" si="185"/>
        <v>0.20699999999999999</v>
      </c>
      <c r="K875" s="1763">
        <f t="shared" si="187"/>
        <v>0.20449999999999999</v>
      </c>
      <c r="L875" s="1764">
        <f t="shared" si="183"/>
        <v>0.27000000000000007</v>
      </c>
      <c r="M875" s="1765">
        <f t="shared" si="181"/>
        <v>0.26000000000000006</v>
      </c>
    </row>
    <row r="876" spans="1:13">
      <c r="A876" s="1749">
        <f t="shared" si="178"/>
        <v>42614</v>
      </c>
      <c r="B876" s="1749" t="str">
        <f t="shared" si="179"/>
        <v>3Q16</v>
      </c>
      <c r="C876" s="1749" t="str">
        <f t="shared" si="180"/>
        <v>3Q16</v>
      </c>
      <c r="D876" s="1750">
        <f t="shared" si="188"/>
        <v>42632</v>
      </c>
      <c r="E876" s="1750">
        <f t="shared" si="188"/>
        <v>42625</v>
      </c>
      <c r="F876" s="1927">
        <v>2.399</v>
      </c>
      <c r="H876" s="1762">
        <f t="shared" si="176"/>
        <v>0.40899999999999997</v>
      </c>
      <c r="I876" s="1763">
        <f t="shared" si="186"/>
        <v>0.40899999999999997</v>
      </c>
      <c r="J876" s="1762">
        <f t="shared" si="185"/>
        <v>0.20449999999999999</v>
      </c>
      <c r="K876" s="1763">
        <f t="shared" si="187"/>
        <v>0.20449999999999999</v>
      </c>
      <c r="L876" s="1764">
        <f t="shared" si="183"/>
        <v>0.26000000000000006</v>
      </c>
      <c r="M876" s="1765">
        <f t="shared" si="181"/>
        <v>0.26000000000000006</v>
      </c>
    </row>
    <row r="877" spans="1:13">
      <c r="A877" s="1749">
        <f t="shared" si="178"/>
        <v>42614</v>
      </c>
      <c r="B877" s="1749" t="str">
        <f t="shared" si="179"/>
        <v>3Q16</v>
      </c>
      <c r="C877" s="1749" t="str">
        <f t="shared" si="180"/>
        <v>3Q16</v>
      </c>
      <c r="D877" s="1750">
        <f t="shared" si="188"/>
        <v>42639</v>
      </c>
      <c r="E877" s="1750">
        <f t="shared" si="188"/>
        <v>42632</v>
      </c>
      <c r="F877" s="1927">
        <v>2.3889999999999998</v>
      </c>
      <c r="H877" s="1762">
        <f t="shared" si="176"/>
        <v>0.40899999999999997</v>
      </c>
      <c r="I877" s="1763">
        <f t="shared" si="186"/>
        <v>0.40899999999999997</v>
      </c>
      <c r="J877" s="1762">
        <f t="shared" si="185"/>
        <v>0.20449999999999999</v>
      </c>
      <c r="K877" s="1763">
        <f t="shared" si="187"/>
        <v>0.20449999999999999</v>
      </c>
      <c r="L877" s="1764">
        <f t="shared" si="183"/>
        <v>0.26000000000000006</v>
      </c>
      <c r="M877" s="1765">
        <f t="shared" si="181"/>
        <v>0.26000000000000006</v>
      </c>
    </row>
    <row r="878" spans="1:13">
      <c r="A878" s="1749">
        <f t="shared" si="178"/>
        <v>42644</v>
      </c>
      <c r="B878" s="1749" t="str">
        <f t="shared" si="179"/>
        <v>4Q16</v>
      </c>
      <c r="C878" s="1749" t="str">
        <f t="shared" si="180"/>
        <v>3Q16</v>
      </c>
      <c r="D878" s="1750">
        <f t="shared" si="188"/>
        <v>42646</v>
      </c>
      <c r="E878" s="1750">
        <f t="shared" si="188"/>
        <v>42639</v>
      </c>
      <c r="F878" s="1927">
        <v>2.3820000000000001</v>
      </c>
      <c r="H878" s="1762">
        <f t="shared" si="176"/>
        <v>0.40899999999999997</v>
      </c>
      <c r="I878" s="1763">
        <f t="shared" si="186"/>
        <v>0.40899999999999997</v>
      </c>
      <c r="J878" s="1762">
        <f t="shared" si="185"/>
        <v>0.20449999999999999</v>
      </c>
      <c r="K878" s="1763">
        <f t="shared" si="187"/>
        <v>0.20449999999999999</v>
      </c>
      <c r="L878" s="1764">
        <f t="shared" si="183"/>
        <v>0.26000000000000006</v>
      </c>
      <c r="M878" s="1765">
        <f t="shared" si="181"/>
        <v>0.26000000000000006</v>
      </c>
    </row>
    <row r="879" spans="1:13">
      <c r="A879" s="1749">
        <f t="shared" si="178"/>
        <v>42644</v>
      </c>
      <c r="B879" s="1749" t="str">
        <f t="shared" si="179"/>
        <v>4Q16</v>
      </c>
      <c r="C879" s="1749" t="str">
        <f t="shared" si="180"/>
        <v>4Q16</v>
      </c>
      <c r="D879" s="1750">
        <f t="shared" si="188"/>
        <v>42653</v>
      </c>
      <c r="E879" s="1750">
        <f t="shared" si="188"/>
        <v>42646</v>
      </c>
      <c r="F879" s="1927">
        <v>2.3889999999999998</v>
      </c>
      <c r="H879" s="1762">
        <f t="shared" si="176"/>
        <v>0.40899999999999997</v>
      </c>
      <c r="I879" s="1763">
        <f t="shared" si="186"/>
        <v>0.41399999999999998</v>
      </c>
      <c r="J879" s="1762">
        <f t="shared" si="185"/>
        <v>0.20449999999999999</v>
      </c>
      <c r="K879" s="1763">
        <f t="shared" si="187"/>
        <v>0.20699999999999999</v>
      </c>
      <c r="L879" s="1764">
        <f t="shared" si="183"/>
        <v>0.26000000000000006</v>
      </c>
      <c r="M879" s="1765">
        <f t="shared" si="181"/>
        <v>0.27000000000000007</v>
      </c>
    </row>
    <row r="880" spans="1:13">
      <c r="A880" s="1749">
        <f t="shared" si="178"/>
        <v>42644</v>
      </c>
      <c r="B880" s="1749" t="str">
        <f t="shared" si="179"/>
        <v>4Q16</v>
      </c>
      <c r="C880" s="1749" t="str">
        <f t="shared" si="180"/>
        <v>4Q16</v>
      </c>
      <c r="D880" s="1750">
        <f t="shared" si="188"/>
        <v>42660</v>
      </c>
      <c r="E880" s="1750">
        <f t="shared" si="188"/>
        <v>42653</v>
      </c>
      <c r="F880" s="1927">
        <v>2.4449999999999998</v>
      </c>
      <c r="H880" s="1762">
        <f t="shared" si="176"/>
        <v>0.41399999999999998</v>
      </c>
      <c r="I880" s="1763">
        <f t="shared" si="186"/>
        <v>0.41899999999999998</v>
      </c>
      <c r="J880" s="1762">
        <f t="shared" si="185"/>
        <v>0.20699999999999999</v>
      </c>
      <c r="K880" s="1763">
        <f t="shared" si="187"/>
        <v>0.20949999999999999</v>
      </c>
      <c r="L880" s="1764">
        <f t="shared" si="183"/>
        <v>0.27000000000000007</v>
      </c>
      <c r="M880" s="1765">
        <f t="shared" si="181"/>
        <v>0.28000000000000008</v>
      </c>
    </row>
    <row r="881" spans="1:13">
      <c r="A881" s="1749">
        <f t="shared" si="178"/>
        <v>42644</v>
      </c>
      <c r="B881" s="1749" t="str">
        <f t="shared" si="179"/>
        <v>4Q16</v>
      </c>
      <c r="C881" s="1749" t="str">
        <f t="shared" si="180"/>
        <v>4Q16</v>
      </c>
      <c r="D881" s="1750">
        <f t="shared" si="188"/>
        <v>42667</v>
      </c>
      <c r="E881" s="1750">
        <f t="shared" si="188"/>
        <v>42660</v>
      </c>
      <c r="F881" s="1927">
        <v>2.4809999999999999</v>
      </c>
      <c r="H881" s="1762">
        <f t="shared" ref="H881:H890" si="189">INDEX($O$4:$R$440,MATCH(F881,$O$4:$O$440,1),3)</f>
        <v>0.41899999999999998</v>
      </c>
      <c r="I881" s="1763">
        <f t="shared" si="186"/>
        <v>0.41899999999999998</v>
      </c>
      <c r="J881" s="1762">
        <f t="shared" si="185"/>
        <v>0.20949999999999999</v>
      </c>
      <c r="K881" s="1763">
        <f t="shared" si="187"/>
        <v>0.20949999999999999</v>
      </c>
      <c r="L881" s="1764">
        <f t="shared" si="183"/>
        <v>0.28000000000000008</v>
      </c>
      <c r="M881" s="1765">
        <f t="shared" si="181"/>
        <v>0.28000000000000008</v>
      </c>
    </row>
    <row r="882" spans="1:13">
      <c r="A882" s="1749">
        <f t="shared" si="178"/>
        <v>42644</v>
      </c>
      <c r="B882" s="1749" t="str">
        <f t="shared" si="179"/>
        <v>4Q16</v>
      </c>
      <c r="C882" s="1749" t="str">
        <f t="shared" si="180"/>
        <v>4Q16</v>
      </c>
      <c r="D882" s="1750">
        <f t="shared" si="188"/>
        <v>42674</v>
      </c>
      <c r="E882" s="1750">
        <f t="shared" si="188"/>
        <v>42667</v>
      </c>
      <c r="F882" s="1927">
        <v>2.4780000000000002</v>
      </c>
      <c r="H882" s="1762">
        <f t="shared" si="189"/>
        <v>0.41899999999999998</v>
      </c>
      <c r="I882" s="1763">
        <f t="shared" si="186"/>
        <v>0.41899999999999998</v>
      </c>
      <c r="J882" s="1762">
        <f t="shared" si="185"/>
        <v>0.20949999999999999</v>
      </c>
      <c r="K882" s="1763">
        <f t="shared" si="187"/>
        <v>0.20949999999999999</v>
      </c>
      <c r="L882" s="1764">
        <f t="shared" si="183"/>
        <v>0.28000000000000008</v>
      </c>
      <c r="M882" s="1765">
        <f t="shared" si="181"/>
        <v>0.28000000000000008</v>
      </c>
    </row>
    <row r="883" spans="1:13">
      <c r="A883" s="1749">
        <f t="shared" si="178"/>
        <v>42675</v>
      </c>
      <c r="B883" s="1749" t="str">
        <f t="shared" si="179"/>
        <v>4Q16</v>
      </c>
      <c r="C883" s="1749" t="str">
        <f t="shared" si="180"/>
        <v>4Q16</v>
      </c>
      <c r="D883" s="1750">
        <f t="shared" si="188"/>
        <v>42681</v>
      </c>
      <c r="E883" s="1750">
        <f t="shared" si="188"/>
        <v>42674</v>
      </c>
      <c r="F883" s="1927">
        <v>2.4790000000000001</v>
      </c>
      <c r="H883" s="1762">
        <f t="shared" si="189"/>
        <v>0.41899999999999998</v>
      </c>
      <c r="I883" s="1763">
        <f t="shared" si="186"/>
        <v>0.41899999999999998</v>
      </c>
      <c r="J883" s="1762">
        <f t="shared" si="185"/>
        <v>0.20949999999999999</v>
      </c>
      <c r="K883" s="1763">
        <f t="shared" si="187"/>
        <v>0.20949999999999999</v>
      </c>
      <c r="L883" s="1764">
        <f t="shared" si="183"/>
        <v>0.28000000000000008</v>
      </c>
      <c r="M883" s="1765">
        <f t="shared" si="181"/>
        <v>0.28000000000000008</v>
      </c>
    </row>
    <row r="884" spans="1:13">
      <c r="A884" s="1749">
        <f t="shared" si="178"/>
        <v>42675</v>
      </c>
      <c r="B884" s="1749" t="str">
        <f t="shared" si="179"/>
        <v>4Q16</v>
      </c>
      <c r="C884" s="1749" t="str">
        <f t="shared" si="180"/>
        <v>4Q16</v>
      </c>
      <c r="D884" s="1750">
        <f t="shared" si="188"/>
        <v>42688</v>
      </c>
      <c r="E884" s="1750">
        <f t="shared" si="188"/>
        <v>42681</v>
      </c>
      <c r="F884" s="1927">
        <v>2.4700000000000002</v>
      </c>
      <c r="H884" s="1762">
        <f t="shared" si="189"/>
        <v>0.41899999999999998</v>
      </c>
      <c r="I884" s="1763">
        <f t="shared" si="186"/>
        <v>0.41399999999999998</v>
      </c>
      <c r="J884" s="1762">
        <f t="shared" si="185"/>
        <v>0.20949999999999999</v>
      </c>
      <c r="K884" s="1763">
        <f t="shared" si="187"/>
        <v>0.20699999999999999</v>
      </c>
      <c r="L884" s="1764">
        <f t="shared" si="183"/>
        <v>0.28000000000000008</v>
      </c>
      <c r="M884" s="1765">
        <f t="shared" si="181"/>
        <v>0.27000000000000007</v>
      </c>
    </row>
    <row r="885" spans="1:13">
      <c r="A885" s="1749">
        <f t="shared" si="178"/>
        <v>42675</v>
      </c>
      <c r="B885" s="1749" t="str">
        <f t="shared" si="179"/>
        <v>4Q16</v>
      </c>
      <c r="C885" s="1749" t="str">
        <f t="shared" si="180"/>
        <v>4Q16</v>
      </c>
      <c r="D885" s="1750">
        <f t="shared" ref="D885:E890" si="190">D884+7</f>
        <v>42695</v>
      </c>
      <c r="E885" s="1750">
        <f t="shared" si="190"/>
        <v>42688</v>
      </c>
      <c r="F885" s="1927">
        <v>2.4430000000000001</v>
      </c>
      <c r="H885" s="1762">
        <f t="shared" si="189"/>
        <v>0.41399999999999998</v>
      </c>
      <c r="I885" s="1763">
        <f t="shared" si="186"/>
        <v>0.41399999999999998</v>
      </c>
      <c r="J885" s="1762">
        <f t="shared" si="185"/>
        <v>0.20699999999999999</v>
      </c>
      <c r="K885" s="1763">
        <f t="shared" si="187"/>
        <v>0.20699999999999999</v>
      </c>
      <c r="L885" s="1764">
        <f t="shared" si="183"/>
        <v>0.27000000000000007</v>
      </c>
      <c r="M885" s="1765">
        <f t="shared" si="181"/>
        <v>0.27000000000000007</v>
      </c>
    </row>
    <row r="886" spans="1:13">
      <c r="A886" s="1749">
        <f t="shared" si="178"/>
        <v>42675</v>
      </c>
      <c r="B886" s="1749" t="str">
        <f t="shared" si="179"/>
        <v>4Q16</v>
      </c>
      <c r="C886" s="1749" t="str">
        <f t="shared" si="180"/>
        <v>4Q16</v>
      </c>
      <c r="D886" s="1750">
        <f t="shared" si="190"/>
        <v>42702</v>
      </c>
      <c r="E886" s="1750">
        <f t="shared" si="190"/>
        <v>42695</v>
      </c>
      <c r="F886" s="1927">
        <v>2.4209999999999998</v>
      </c>
      <c r="H886" s="1762">
        <f t="shared" si="189"/>
        <v>0.41399999999999998</v>
      </c>
      <c r="I886" s="1763">
        <f t="shared" si="186"/>
        <v>0.41399999999999998</v>
      </c>
      <c r="J886" s="1762">
        <f t="shared" si="185"/>
        <v>0.20699999999999999</v>
      </c>
      <c r="K886" s="1763">
        <f t="shared" si="187"/>
        <v>0.20699999999999999</v>
      </c>
      <c r="L886" s="1764">
        <f t="shared" si="183"/>
        <v>0.27000000000000007</v>
      </c>
      <c r="M886" s="1765">
        <f t="shared" si="181"/>
        <v>0.27000000000000007</v>
      </c>
    </row>
    <row r="887" spans="1:13">
      <c r="A887" s="1749">
        <f t="shared" si="178"/>
        <v>42705</v>
      </c>
      <c r="B887" s="1749" t="str">
        <f t="shared" si="179"/>
        <v>4Q16</v>
      </c>
      <c r="C887" s="1749" t="str">
        <f t="shared" si="180"/>
        <v>4Q16</v>
      </c>
      <c r="D887" s="1750">
        <f t="shared" si="190"/>
        <v>42709</v>
      </c>
      <c r="E887" s="1750">
        <f t="shared" si="190"/>
        <v>42702</v>
      </c>
      <c r="F887" s="1927">
        <v>2.42</v>
      </c>
      <c r="H887" s="1762">
        <f t="shared" si="189"/>
        <v>0.41399999999999998</v>
      </c>
      <c r="I887" s="1763">
        <f t="shared" si="186"/>
        <v>0.41899999999999998</v>
      </c>
      <c r="J887" s="1762">
        <f t="shared" si="185"/>
        <v>0.20699999999999999</v>
      </c>
      <c r="K887" s="1763">
        <f t="shared" si="187"/>
        <v>0.20949999999999999</v>
      </c>
      <c r="L887" s="1764">
        <f t="shared" si="183"/>
        <v>0.27000000000000007</v>
      </c>
      <c r="M887" s="1765">
        <f t="shared" si="181"/>
        <v>0.28000000000000008</v>
      </c>
    </row>
    <row r="888" spans="1:13">
      <c r="A888" s="1749">
        <f t="shared" si="178"/>
        <v>42705</v>
      </c>
      <c r="B888" s="1749" t="str">
        <f t="shared" si="179"/>
        <v>4Q16</v>
      </c>
      <c r="C888" s="1749" t="str">
        <f t="shared" si="180"/>
        <v>4Q16</v>
      </c>
      <c r="D888" s="1750">
        <f t="shared" si="190"/>
        <v>42716</v>
      </c>
      <c r="E888" s="1750">
        <f t="shared" si="190"/>
        <v>42709</v>
      </c>
      <c r="F888" s="1927">
        <v>2.48</v>
      </c>
      <c r="H888" s="1762">
        <f t="shared" si="189"/>
        <v>0.41899999999999998</v>
      </c>
      <c r="I888" s="1763">
        <f t="shared" si="186"/>
        <v>0.41899999999999998</v>
      </c>
      <c r="J888" s="1762">
        <f t="shared" si="185"/>
        <v>0.20949999999999999</v>
      </c>
      <c r="K888" s="1763">
        <f t="shared" si="187"/>
        <v>0.20949999999999999</v>
      </c>
      <c r="L888" s="1764">
        <f t="shared" si="183"/>
        <v>0.28000000000000008</v>
      </c>
      <c r="M888" s="1765">
        <f t="shared" si="181"/>
        <v>0.28000000000000008</v>
      </c>
    </row>
    <row r="889" spans="1:13">
      <c r="A889" s="1749">
        <f t="shared" si="178"/>
        <v>42705</v>
      </c>
      <c r="B889" s="1749" t="str">
        <f t="shared" si="179"/>
        <v>4Q16</v>
      </c>
      <c r="C889" s="1749" t="str">
        <f t="shared" si="180"/>
        <v>4Q16</v>
      </c>
      <c r="D889" s="1750">
        <f t="shared" si="190"/>
        <v>42723</v>
      </c>
      <c r="E889" s="1750">
        <f t="shared" si="190"/>
        <v>42716</v>
      </c>
      <c r="F889" s="1927">
        <v>2.4929999999999999</v>
      </c>
      <c r="H889" s="1762">
        <f t="shared" si="189"/>
        <v>0.41899999999999998</v>
      </c>
      <c r="I889" s="1763">
        <f t="shared" si="186"/>
        <v>0.42399999999999999</v>
      </c>
      <c r="J889" s="1762">
        <f t="shared" si="185"/>
        <v>0.20949999999999999</v>
      </c>
      <c r="K889" s="1763">
        <f t="shared" si="187"/>
        <v>0.21199999999999999</v>
      </c>
      <c r="L889" s="1764">
        <f t="shared" si="183"/>
        <v>0.28000000000000008</v>
      </c>
      <c r="M889" s="1765">
        <f t="shared" si="181"/>
        <v>0.29000000000000009</v>
      </c>
    </row>
    <row r="890" spans="1:13">
      <c r="A890" s="1749">
        <f t="shared" si="178"/>
        <v>42705</v>
      </c>
      <c r="B890" s="1749" t="str">
        <f t="shared" si="179"/>
        <v>4Q16</v>
      </c>
      <c r="C890" s="1749" t="str">
        <f t="shared" si="180"/>
        <v>4Q16</v>
      </c>
      <c r="D890" s="1750">
        <f t="shared" si="190"/>
        <v>42730</v>
      </c>
      <c r="E890" s="1750">
        <f t="shared" si="190"/>
        <v>42723</v>
      </c>
      <c r="F890" s="1927">
        <v>2.5270000000000001</v>
      </c>
      <c r="H890" s="1762">
        <f t="shared" si="189"/>
        <v>0.42399999999999999</v>
      </c>
      <c r="I890" s="1763">
        <f t="shared" si="186"/>
        <v>0.42399999999999999</v>
      </c>
      <c r="J890" s="1762">
        <f t="shared" si="185"/>
        <v>0.21199999999999999</v>
      </c>
      <c r="K890" s="1763">
        <f t="shared" si="187"/>
        <v>0.21199999999999999</v>
      </c>
      <c r="L890" s="1764">
        <f t="shared" si="183"/>
        <v>0.29000000000000009</v>
      </c>
      <c r="M890" s="1765">
        <f t="shared" si="181"/>
        <v>0.29000000000000009</v>
      </c>
    </row>
    <row r="891" spans="1:13">
      <c r="A891" s="1749">
        <f t="shared" ref="A891:A954" si="191">DATE(YEAR(D891),MONTH(D891),1)</f>
        <v>42736</v>
      </c>
      <c r="B891" s="1749" t="str">
        <f t="shared" ref="B891:B954" si="192">VLOOKUP(MONTH(A891),$AB$4:$AC$17,2,FALSE) &amp; "Q" &amp; RIGHT(YEAR(A891),2)</f>
        <v>1Q17</v>
      </c>
      <c r="C891" s="1749" t="str">
        <f t="shared" ref="C891:C954" si="193">VLOOKUP(MONTH(E891),$AB$4:$AC$17,2,FALSE) &amp; "Q" &amp; RIGHT(YEAR(E891),2)</f>
        <v>4Q16</v>
      </c>
      <c r="D891" s="1750">
        <f t="shared" ref="D891:E891" si="194">D890+7</f>
        <v>42737</v>
      </c>
      <c r="E891" s="1750">
        <f t="shared" si="194"/>
        <v>42730</v>
      </c>
      <c r="F891" s="1927">
        <v>2.54</v>
      </c>
      <c r="H891" s="1762">
        <f t="shared" ref="H891:H954" si="195">INDEX($O$4:$R$440,MATCH(F891,$O$4:$O$440,1),3)</f>
        <v>0.42399999999999999</v>
      </c>
      <c r="I891" s="1763">
        <f t="shared" ref="I891:I954" si="196">H892</f>
        <v>0.42899999999999999</v>
      </c>
      <c r="J891" s="1762">
        <f t="shared" ref="J891:J954" si="197">INDEX($O$4:$R$440,MATCH(F891,$O$4:$O$440,1),4)</f>
        <v>0.21199999999999999</v>
      </c>
      <c r="K891" s="1763">
        <f t="shared" ref="K891:K954" si="198">J892</f>
        <v>0.2145</v>
      </c>
      <c r="L891" s="1764">
        <f t="shared" ref="L891:L954" si="199">INDEX($T$4:$V$100,MATCH(F891,$T$4:$T$100,1),3)</f>
        <v>0.29000000000000009</v>
      </c>
      <c r="M891" s="1765">
        <f t="shared" ref="M891:M954" si="200">L892</f>
        <v>0.3000000000000001</v>
      </c>
    </row>
    <row r="892" spans="1:13">
      <c r="A892" s="1749">
        <f t="shared" si="191"/>
        <v>42736</v>
      </c>
      <c r="B892" s="1749" t="str">
        <f t="shared" si="192"/>
        <v>1Q17</v>
      </c>
      <c r="C892" s="1749" t="str">
        <f t="shared" si="193"/>
        <v>1Q17</v>
      </c>
      <c r="D892" s="1750">
        <f t="shared" ref="D892:E892" si="201">D891+7</f>
        <v>42744</v>
      </c>
      <c r="E892" s="1750">
        <f t="shared" si="201"/>
        <v>42737</v>
      </c>
      <c r="F892" s="1927">
        <v>2.5859999999999999</v>
      </c>
      <c r="H892" s="1762">
        <f t="shared" si="195"/>
        <v>0.42899999999999999</v>
      </c>
      <c r="I892" s="1763">
        <f t="shared" si="196"/>
        <v>0.42899999999999999</v>
      </c>
      <c r="J892" s="1762">
        <f t="shared" si="197"/>
        <v>0.2145</v>
      </c>
      <c r="K892" s="1763">
        <f t="shared" si="198"/>
        <v>0.2145</v>
      </c>
      <c r="L892" s="1764">
        <f t="shared" si="199"/>
        <v>0.3000000000000001</v>
      </c>
      <c r="M892" s="1765">
        <f t="shared" si="200"/>
        <v>0.3000000000000001</v>
      </c>
    </row>
    <row r="893" spans="1:13">
      <c r="A893" s="1749">
        <f t="shared" si="191"/>
        <v>42736</v>
      </c>
      <c r="B893" s="1749" t="str">
        <f t="shared" si="192"/>
        <v>1Q17</v>
      </c>
      <c r="C893" s="1749" t="str">
        <f t="shared" si="193"/>
        <v>1Q17</v>
      </c>
      <c r="D893" s="1750">
        <f t="shared" ref="D893:E893" si="202">D892+7</f>
        <v>42751</v>
      </c>
      <c r="E893" s="1750">
        <f t="shared" si="202"/>
        <v>42744</v>
      </c>
      <c r="F893" s="1927">
        <v>2.597</v>
      </c>
      <c r="H893" s="1762">
        <f t="shared" si="195"/>
        <v>0.42899999999999999</v>
      </c>
      <c r="I893" s="1763">
        <f t="shared" si="196"/>
        <v>0.42899999999999999</v>
      </c>
      <c r="J893" s="1762">
        <f t="shared" si="197"/>
        <v>0.2145</v>
      </c>
      <c r="K893" s="1763">
        <f t="shared" si="198"/>
        <v>0.2145</v>
      </c>
      <c r="L893" s="1764">
        <f t="shared" si="199"/>
        <v>0.3000000000000001</v>
      </c>
      <c r="M893" s="1765">
        <f t="shared" si="200"/>
        <v>0.3000000000000001</v>
      </c>
    </row>
    <row r="894" spans="1:13">
      <c r="A894" s="1749">
        <f t="shared" si="191"/>
        <v>42736</v>
      </c>
      <c r="B894" s="1749" t="str">
        <f t="shared" si="192"/>
        <v>1Q17</v>
      </c>
      <c r="C894" s="1749" t="str">
        <f t="shared" si="193"/>
        <v>1Q17</v>
      </c>
      <c r="D894" s="1750">
        <f t="shared" ref="D894:E894" si="203">D893+7</f>
        <v>42758</v>
      </c>
      <c r="E894" s="1750">
        <f t="shared" si="203"/>
        <v>42751</v>
      </c>
      <c r="F894" s="1927">
        <v>2.585</v>
      </c>
      <c r="H894" s="1762">
        <f t="shared" si="195"/>
        <v>0.42899999999999999</v>
      </c>
      <c r="I894" s="1763">
        <f t="shared" si="196"/>
        <v>0.42899999999999999</v>
      </c>
      <c r="J894" s="1762">
        <f t="shared" si="197"/>
        <v>0.2145</v>
      </c>
      <c r="K894" s="1763">
        <f t="shared" si="198"/>
        <v>0.2145</v>
      </c>
      <c r="L894" s="1764">
        <f t="shared" si="199"/>
        <v>0.3000000000000001</v>
      </c>
      <c r="M894" s="1765">
        <f t="shared" si="200"/>
        <v>0.3000000000000001</v>
      </c>
    </row>
    <row r="895" spans="1:13">
      <c r="A895" s="1749">
        <f t="shared" si="191"/>
        <v>42736</v>
      </c>
      <c r="B895" s="1749" t="str">
        <f t="shared" si="192"/>
        <v>1Q17</v>
      </c>
      <c r="C895" s="1749" t="str">
        <f t="shared" si="193"/>
        <v>1Q17</v>
      </c>
      <c r="D895" s="1750">
        <f t="shared" ref="D895:E895" si="204">D894+7</f>
        <v>42765</v>
      </c>
      <c r="E895" s="1750">
        <f t="shared" si="204"/>
        <v>42758</v>
      </c>
      <c r="F895" s="1927">
        <v>2.569</v>
      </c>
      <c r="H895" s="1762">
        <f t="shared" si="195"/>
        <v>0.42899999999999999</v>
      </c>
      <c r="I895" s="1763">
        <f t="shared" si="196"/>
        <v>0.42899999999999999</v>
      </c>
      <c r="J895" s="1762">
        <f t="shared" si="197"/>
        <v>0.2145</v>
      </c>
      <c r="K895" s="1763">
        <f t="shared" si="198"/>
        <v>0.2145</v>
      </c>
      <c r="L895" s="1764">
        <f t="shared" si="199"/>
        <v>0.3000000000000001</v>
      </c>
      <c r="M895" s="1765">
        <f t="shared" si="200"/>
        <v>0.3000000000000001</v>
      </c>
    </row>
    <row r="896" spans="1:13">
      <c r="A896" s="1749">
        <f t="shared" si="191"/>
        <v>42767</v>
      </c>
      <c r="B896" s="1749" t="str">
        <f t="shared" si="192"/>
        <v>1Q17</v>
      </c>
      <c r="C896" s="1749" t="str">
        <f t="shared" si="193"/>
        <v>1Q17</v>
      </c>
      <c r="D896" s="1750">
        <f t="shared" ref="D896:E896" si="205">D895+7</f>
        <v>42772</v>
      </c>
      <c r="E896" s="1750">
        <f t="shared" si="205"/>
        <v>42765</v>
      </c>
      <c r="F896" s="1927">
        <v>2.5619999999999998</v>
      </c>
      <c r="H896" s="1762">
        <f t="shared" si="195"/>
        <v>0.42899999999999999</v>
      </c>
      <c r="I896" s="1763">
        <f t="shared" si="196"/>
        <v>0.42899999999999999</v>
      </c>
      <c r="J896" s="1762">
        <f t="shared" si="197"/>
        <v>0.2145</v>
      </c>
      <c r="K896" s="1763">
        <f t="shared" si="198"/>
        <v>0.2145</v>
      </c>
      <c r="L896" s="1764">
        <f t="shared" si="199"/>
        <v>0.3000000000000001</v>
      </c>
      <c r="M896" s="1765">
        <f t="shared" si="200"/>
        <v>0.3000000000000001</v>
      </c>
    </row>
    <row r="897" spans="1:13">
      <c r="A897" s="1749">
        <f t="shared" si="191"/>
        <v>42767</v>
      </c>
      <c r="B897" s="1749" t="str">
        <f t="shared" si="192"/>
        <v>1Q17</v>
      </c>
      <c r="C897" s="1749" t="str">
        <f t="shared" si="193"/>
        <v>1Q17</v>
      </c>
      <c r="D897" s="1750">
        <f t="shared" ref="D897:E897" si="206">D896+7</f>
        <v>42779</v>
      </c>
      <c r="E897" s="1750">
        <f t="shared" si="206"/>
        <v>42772</v>
      </c>
      <c r="F897" s="1927">
        <v>2.5579999999999998</v>
      </c>
      <c r="H897" s="1762">
        <f t="shared" si="195"/>
        <v>0.42899999999999999</v>
      </c>
      <c r="I897" s="1763">
        <f t="shared" si="196"/>
        <v>0.42899999999999999</v>
      </c>
      <c r="J897" s="1762">
        <f t="shared" si="197"/>
        <v>0.2145</v>
      </c>
      <c r="K897" s="1763">
        <f t="shared" si="198"/>
        <v>0.2145</v>
      </c>
      <c r="L897" s="1764">
        <f t="shared" si="199"/>
        <v>0.3000000000000001</v>
      </c>
      <c r="M897" s="1765">
        <f t="shared" si="200"/>
        <v>0.3000000000000001</v>
      </c>
    </row>
    <row r="898" spans="1:13">
      <c r="A898" s="1749">
        <f t="shared" si="191"/>
        <v>42767</v>
      </c>
      <c r="B898" s="1749" t="str">
        <f t="shared" si="192"/>
        <v>1Q17</v>
      </c>
      <c r="C898" s="1749" t="str">
        <f t="shared" si="193"/>
        <v>1Q17</v>
      </c>
      <c r="D898" s="1750">
        <f t="shared" ref="D898:E898" si="207">D897+7</f>
        <v>42786</v>
      </c>
      <c r="E898" s="1750">
        <f t="shared" si="207"/>
        <v>42779</v>
      </c>
      <c r="F898" s="1927">
        <v>2.5649999999999999</v>
      </c>
      <c r="H898" s="1762">
        <f t="shared" si="195"/>
        <v>0.42899999999999999</v>
      </c>
      <c r="I898" s="1763">
        <f t="shared" si="196"/>
        <v>0.42899999999999999</v>
      </c>
      <c r="J898" s="1762">
        <f t="shared" si="197"/>
        <v>0.2145</v>
      </c>
      <c r="K898" s="1763">
        <f t="shared" si="198"/>
        <v>0.2145</v>
      </c>
      <c r="L898" s="1764">
        <f t="shared" si="199"/>
        <v>0.3000000000000001</v>
      </c>
      <c r="M898" s="1765">
        <f t="shared" si="200"/>
        <v>0.3000000000000001</v>
      </c>
    </row>
    <row r="899" spans="1:13">
      <c r="A899" s="1749">
        <f t="shared" si="191"/>
        <v>42767</v>
      </c>
      <c r="B899" s="1749" t="str">
        <f t="shared" si="192"/>
        <v>1Q17</v>
      </c>
      <c r="C899" s="1749" t="str">
        <f t="shared" si="193"/>
        <v>1Q17</v>
      </c>
      <c r="D899" s="1750">
        <f t="shared" ref="D899:E899" si="208">D898+7</f>
        <v>42793</v>
      </c>
      <c r="E899" s="1750">
        <f t="shared" si="208"/>
        <v>42786</v>
      </c>
      <c r="F899" s="1927">
        <v>2.5720000000000001</v>
      </c>
      <c r="H899" s="1762">
        <f t="shared" si="195"/>
        <v>0.42899999999999999</v>
      </c>
      <c r="I899" s="1763">
        <f t="shared" si="196"/>
        <v>0.42899999999999999</v>
      </c>
      <c r="J899" s="1762">
        <f t="shared" si="197"/>
        <v>0.2145</v>
      </c>
      <c r="K899" s="1763">
        <f t="shared" si="198"/>
        <v>0.2145</v>
      </c>
      <c r="L899" s="1764">
        <f t="shared" si="199"/>
        <v>0.3000000000000001</v>
      </c>
      <c r="M899" s="1765">
        <f t="shared" si="200"/>
        <v>0.3000000000000001</v>
      </c>
    </row>
    <row r="900" spans="1:13">
      <c r="A900" s="1749">
        <f t="shared" si="191"/>
        <v>42795</v>
      </c>
      <c r="B900" s="1749" t="str">
        <f t="shared" si="192"/>
        <v>1Q17</v>
      </c>
      <c r="C900" s="1749" t="str">
        <f t="shared" si="193"/>
        <v>1Q17</v>
      </c>
      <c r="D900" s="1750">
        <f t="shared" ref="D900:E900" si="209">D899+7</f>
        <v>42800</v>
      </c>
      <c r="E900" s="1750">
        <f t="shared" si="209"/>
        <v>42793</v>
      </c>
      <c r="F900" s="1927">
        <v>2.577</v>
      </c>
      <c r="H900" s="1762">
        <f t="shared" si="195"/>
        <v>0.42899999999999999</v>
      </c>
      <c r="I900" s="1763">
        <f t="shared" si="196"/>
        <v>0.42899999999999999</v>
      </c>
      <c r="J900" s="1762">
        <f t="shared" si="197"/>
        <v>0.2145</v>
      </c>
      <c r="K900" s="1763">
        <f t="shared" si="198"/>
        <v>0.2145</v>
      </c>
      <c r="L900" s="1764">
        <f t="shared" si="199"/>
        <v>0.3000000000000001</v>
      </c>
      <c r="M900" s="1765">
        <f t="shared" si="200"/>
        <v>0.3000000000000001</v>
      </c>
    </row>
    <row r="901" spans="1:13">
      <c r="A901" s="1749">
        <f t="shared" si="191"/>
        <v>42795</v>
      </c>
      <c r="B901" s="1749" t="str">
        <f t="shared" si="192"/>
        <v>1Q17</v>
      </c>
      <c r="C901" s="1749" t="str">
        <f t="shared" si="193"/>
        <v>1Q17</v>
      </c>
      <c r="D901" s="1750">
        <f t="shared" ref="D901:E901" si="210">D900+7</f>
        <v>42807</v>
      </c>
      <c r="E901" s="1750">
        <f t="shared" si="210"/>
        <v>42800</v>
      </c>
      <c r="F901" s="1927">
        <v>2.5790000000000002</v>
      </c>
      <c r="H901" s="1762">
        <f t="shared" si="195"/>
        <v>0.42899999999999999</v>
      </c>
      <c r="I901" s="1763">
        <f t="shared" si="196"/>
        <v>0.42899999999999999</v>
      </c>
      <c r="J901" s="1762">
        <f t="shared" si="197"/>
        <v>0.2145</v>
      </c>
      <c r="K901" s="1763">
        <f t="shared" si="198"/>
        <v>0.2145</v>
      </c>
      <c r="L901" s="1764">
        <f t="shared" si="199"/>
        <v>0.3000000000000001</v>
      </c>
      <c r="M901" s="1765">
        <f t="shared" si="200"/>
        <v>0.3000000000000001</v>
      </c>
    </row>
    <row r="902" spans="1:13">
      <c r="A902" s="1749">
        <f t="shared" si="191"/>
        <v>42795</v>
      </c>
      <c r="B902" s="1749" t="str">
        <f t="shared" si="192"/>
        <v>1Q17</v>
      </c>
      <c r="C902" s="1749" t="str">
        <f t="shared" si="193"/>
        <v>1Q17</v>
      </c>
      <c r="D902" s="1750">
        <f t="shared" ref="D902:E902" si="211">D901+7</f>
        <v>42814</v>
      </c>
      <c r="E902" s="1750">
        <f t="shared" si="211"/>
        <v>42807</v>
      </c>
      <c r="F902" s="1927">
        <v>2.5640000000000001</v>
      </c>
      <c r="H902" s="1762">
        <f t="shared" si="195"/>
        <v>0.42899999999999999</v>
      </c>
      <c r="I902" s="1763">
        <f t="shared" si="196"/>
        <v>0.42399999999999999</v>
      </c>
      <c r="J902" s="1762">
        <f t="shared" si="197"/>
        <v>0.2145</v>
      </c>
      <c r="K902" s="1763">
        <f t="shared" si="198"/>
        <v>0.21199999999999999</v>
      </c>
      <c r="L902" s="1764">
        <f t="shared" si="199"/>
        <v>0.3000000000000001</v>
      </c>
      <c r="M902" s="1765">
        <f t="shared" si="200"/>
        <v>0.29000000000000009</v>
      </c>
    </row>
    <row r="903" spans="1:13">
      <c r="A903" s="1749">
        <f t="shared" si="191"/>
        <v>42795</v>
      </c>
      <c r="B903" s="1749" t="str">
        <f t="shared" si="192"/>
        <v>1Q17</v>
      </c>
      <c r="C903" s="1749" t="str">
        <f t="shared" si="193"/>
        <v>1Q17</v>
      </c>
      <c r="D903" s="1750">
        <f t="shared" ref="D903:E903" si="212">D902+7</f>
        <v>42821</v>
      </c>
      <c r="E903" s="1750">
        <f t="shared" si="212"/>
        <v>42814</v>
      </c>
      <c r="F903" s="1927">
        <v>2.5390000000000001</v>
      </c>
      <c r="H903" s="1762">
        <f t="shared" si="195"/>
        <v>0.42399999999999999</v>
      </c>
      <c r="I903" s="1763">
        <f t="shared" si="196"/>
        <v>0.42399999999999999</v>
      </c>
      <c r="J903" s="1762">
        <f t="shared" si="197"/>
        <v>0.21199999999999999</v>
      </c>
      <c r="K903" s="1763">
        <f t="shared" si="198"/>
        <v>0.21199999999999999</v>
      </c>
      <c r="L903" s="1764">
        <f t="shared" si="199"/>
        <v>0.29000000000000009</v>
      </c>
      <c r="M903" s="1765">
        <f t="shared" si="200"/>
        <v>0.29000000000000009</v>
      </c>
    </row>
    <row r="904" spans="1:13">
      <c r="A904" s="1749">
        <f t="shared" si="191"/>
        <v>42826</v>
      </c>
      <c r="B904" s="1749" t="str">
        <f t="shared" si="192"/>
        <v>2Q17</v>
      </c>
      <c r="C904" s="1749" t="str">
        <f t="shared" si="193"/>
        <v>1Q17</v>
      </c>
      <c r="D904" s="1750">
        <f t="shared" ref="D904:E904" si="213">D903+7</f>
        <v>42828</v>
      </c>
      <c r="E904" s="1750">
        <f t="shared" si="213"/>
        <v>42821</v>
      </c>
      <c r="F904" s="1927">
        <v>2.532</v>
      </c>
      <c r="H904" s="1762">
        <f t="shared" si="195"/>
        <v>0.42399999999999999</v>
      </c>
      <c r="I904" s="1763">
        <f t="shared" si="196"/>
        <v>0.42899999999999999</v>
      </c>
      <c r="J904" s="1762">
        <f t="shared" si="197"/>
        <v>0.21199999999999999</v>
      </c>
      <c r="K904" s="1763">
        <f t="shared" si="198"/>
        <v>0.2145</v>
      </c>
      <c r="L904" s="1764">
        <f t="shared" si="199"/>
        <v>0.29000000000000009</v>
      </c>
      <c r="M904" s="1765">
        <f t="shared" si="200"/>
        <v>0.3000000000000001</v>
      </c>
    </row>
    <row r="905" spans="1:13">
      <c r="A905" s="1749">
        <f t="shared" si="191"/>
        <v>42826</v>
      </c>
      <c r="B905" s="1749" t="str">
        <f t="shared" si="192"/>
        <v>2Q17</v>
      </c>
      <c r="C905" s="1749" t="str">
        <f t="shared" si="193"/>
        <v>2Q17</v>
      </c>
      <c r="D905" s="1750">
        <f t="shared" ref="D905:E905" si="214">D904+7</f>
        <v>42835</v>
      </c>
      <c r="E905" s="1750">
        <f t="shared" si="214"/>
        <v>42828</v>
      </c>
      <c r="F905" s="1927">
        <v>2.556</v>
      </c>
      <c r="H905" s="1762">
        <f t="shared" si="195"/>
        <v>0.42899999999999999</v>
      </c>
      <c r="I905" s="1763">
        <f t="shared" si="196"/>
        <v>0.42899999999999999</v>
      </c>
      <c r="J905" s="1762">
        <f t="shared" si="197"/>
        <v>0.2145</v>
      </c>
      <c r="K905" s="1763">
        <f t="shared" si="198"/>
        <v>0.2145</v>
      </c>
      <c r="L905" s="1764">
        <f t="shared" si="199"/>
        <v>0.3000000000000001</v>
      </c>
      <c r="M905" s="1765">
        <f t="shared" si="200"/>
        <v>0.3000000000000001</v>
      </c>
    </row>
    <row r="906" spans="1:13">
      <c r="A906" s="1749">
        <f t="shared" si="191"/>
        <v>42826</v>
      </c>
      <c r="B906" s="1749" t="str">
        <f t="shared" si="192"/>
        <v>2Q17</v>
      </c>
      <c r="C906" s="1749" t="str">
        <f t="shared" si="193"/>
        <v>2Q17</v>
      </c>
      <c r="D906" s="1750">
        <f t="shared" ref="D906:E906" si="215">D905+7</f>
        <v>42842</v>
      </c>
      <c r="E906" s="1750">
        <f t="shared" si="215"/>
        <v>42835</v>
      </c>
      <c r="F906" s="1927">
        <v>2.5819999999999999</v>
      </c>
      <c r="H906" s="1762">
        <f t="shared" si="195"/>
        <v>0.42899999999999999</v>
      </c>
      <c r="I906" s="1763">
        <f t="shared" si="196"/>
        <v>0.42899999999999999</v>
      </c>
      <c r="J906" s="1762">
        <f t="shared" si="197"/>
        <v>0.2145</v>
      </c>
      <c r="K906" s="1763">
        <f t="shared" si="198"/>
        <v>0.2145</v>
      </c>
      <c r="L906" s="1764">
        <f t="shared" si="199"/>
        <v>0.3000000000000001</v>
      </c>
      <c r="M906" s="1765">
        <f t="shared" si="200"/>
        <v>0.3000000000000001</v>
      </c>
    </row>
    <row r="907" spans="1:13">
      <c r="A907" s="1749">
        <f t="shared" si="191"/>
        <v>42826</v>
      </c>
      <c r="B907" s="1749" t="str">
        <f t="shared" si="192"/>
        <v>2Q17</v>
      </c>
      <c r="C907" s="1749" t="str">
        <f t="shared" si="193"/>
        <v>2Q17</v>
      </c>
      <c r="D907" s="1750">
        <f t="shared" ref="D907:E907" si="216">D906+7</f>
        <v>42849</v>
      </c>
      <c r="E907" s="1750">
        <f t="shared" si="216"/>
        <v>42842</v>
      </c>
      <c r="F907" s="1927">
        <v>2.597</v>
      </c>
      <c r="H907" s="1762">
        <f t="shared" si="195"/>
        <v>0.42899999999999999</v>
      </c>
      <c r="I907" s="1763">
        <f t="shared" si="196"/>
        <v>0.42899999999999999</v>
      </c>
      <c r="J907" s="1762">
        <f t="shared" si="197"/>
        <v>0.2145</v>
      </c>
      <c r="K907" s="1763">
        <f t="shared" si="198"/>
        <v>0.2145</v>
      </c>
      <c r="L907" s="1764">
        <f t="shared" si="199"/>
        <v>0.3000000000000001</v>
      </c>
      <c r="M907" s="1765">
        <f t="shared" si="200"/>
        <v>0.3000000000000001</v>
      </c>
    </row>
    <row r="908" spans="1:13">
      <c r="A908" s="1749">
        <f t="shared" si="191"/>
        <v>42856</v>
      </c>
      <c r="B908" s="1749" t="str">
        <f t="shared" si="192"/>
        <v>2Q17</v>
      </c>
      <c r="C908" s="1749" t="str">
        <f t="shared" si="193"/>
        <v>2Q17</v>
      </c>
      <c r="D908" s="1750">
        <f t="shared" ref="D908:E908" si="217">D907+7</f>
        <v>42856</v>
      </c>
      <c r="E908" s="1750">
        <f t="shared" si="217"/>
        <v>42849</v>
      </c>
      <c r="F908" s="1927">
        <v>2.5950000000000002</v>
      </c>
      <c r="H908" s="1762">
        <f t="shared" si="195"/>
        <v>0.42899999999999999</v>
      </c>
      <c r="I908" s="1763">
        <f t="shared" si="196"/>
        <v>0.42899999999999999</v>
      </c>
      <c r="J908" s="1762">
        <f t="shared" si="197"/>
        <v>0.2145</v>
      </c>
      <c r="K908" s="1763">
        <f t="shared" si="198"/>
        <v>0.2145</v>
      </c>
      <c r="L908" s="1764">
        <f t="shared" si="199"/>
        <v>0.3000000000000001</v>
      </c>
      <c r="M908" s="1765">
        <f t="shared" si="200"/>
        <v>0.3000000000000001</v>
      </c>
    </row>
    <row r="909" spans="1:13">
      <c r="A909" s="1749">
        <f t="shared" si="191"/>
        <v>42856</v>
      </c>
      <c r="B909" s="1749" t="str">
        <f t="shared" si="192"/>
        <v>2Q17</v>
      </c>
      <c r="C909" s="1749" t="str">
        <f t="shared" si="193"/>
        <v>2Q17</v>
      </c>
      <c r="D909" s="1750">
        <f t="shared" ref="D909:E909" si="218">D908+7</f>
        <v>42863</v>
      </c>
      <c r="E909" s="1750">
        <f t="shared" si="218"/>
        <v>42856</v>
      </c>
      <c r="F909" s="1927">
        <v>2.5830000000000002</v>
      </c>
      <c r="H909" s="1762">
        <f t="shared" si="195"/>
        <v>0.42899999999999999</v>
      </c>
      <c r="I909" s="1763">
        <f t="shared" si="196"/>
        <v>0.42899999999999999</v>
      </c>
      <c r="J909" s="1762">
        <f t="shared" si="197"/>
        <v>0.2145</v>
      </c>
      <c r="K909" s="1763">
        <f t="shared" si="198"/>
        <v>0.2145</v>
      </c>
      <c r="L909" s="1764">
        <f t="shared" si="199"/>
        <v>0.3000000000000001</v>
      </c>
      <c r="M909" s="1765">
        <f t="shared" si="200"/>
        <v>0.3000000000000001</v>
      </c>
    </row>
    <row r="910" spans="1:13">
      <c r="A910" s="1749">
        <f t="shared" si="191"/>
        <v>42856</v>
      </c>
      <c r="B910" s="1749" t="str">
        <f t="shared" si="192"/>
        <v>2Q17</v>
      </c>
      <c r="C910" s="1749" t="str">
        <f t="shared" si="193"/>
        <v>2Q17</v>
      </c>
      <c r="D910" s="1750">
        <f t="shared" ref="D910:E910" si="219">D909+7</f>
        <v>42870</v>
      </c>
      <c r="E910" s="1750">
        <f t="shared" si="219"/>
        <v>42863</v>
      </c>
      <c r="F910" s="1927">
        <v>2.5649999999999999</v>
      </c>
      <c r="H910" s="1762">
        <f t="shared" si="195"/>
        <v>0.42899999999999999</v>
      </c>
      <c r="I910" s="1763">
        <f t="shared" si="196"/>
        <v>0.42399999999999999</v>
      </c>
      <c r="J910" s="1762">
        <f t="shared" si="197"/>
        <v>0.2145</v>
      </c>
      <c r="K910" s="1763">
        <f t="shared" si="198"/>
        <v>0.21199999999999999</v>
      </c>
      <c r="L910" s="1764">
        <f t="shared" si="199"/>
        <v>0.3000000000000001</v>
      </c>
      <c r="M910" s="1765">
        <f t="shared" si="200"/>
        <v>0.29000000000000009</v>
      </c>
    </row>
    <row r="911" spans="1:13">
      <c r="A911" s="1749">
        <f t="shared" si="191"/>
        <v>42856</v>
      </c>
      <c r="B911" s="1749" t="str">
        <f t="shared" si="192"/>
        <v>2Q17</v>
      </c>
      <c r="C911" s="1749" t="str">
        <f t="shared" si="193"/>
        <v>2Q17</v>
      </c>
      <c r="D911" s="1750">
        <f t="shared" ref="D911:E911" si="220">D910+7</f>
        <v>42877</v>
      </c>
      <c r="E911" s="1750">
        <f t="shared" si="220"/>
        <v>42870</v>
      </c>
      <c r="F911" s="1927">
        <v>2.544</v>
      </c>
      <c r="H911" s="1762">
        <f t="shared" si="195"/>
        <v>0.42399999999999999</v>
      </c>
      <c r="I911" s="1763">
        <f t="shared" si="196"/>
        <v>0.42399999999999999</v>
      </c>
      <c r="J911" s="1762">
        <f t="shared" si="197"/>
        <v>0.21199999999999999</v>
      </c>
      <c r="K911" s="1763">
        <f t="shared" si="198"/>
        <v>0.21199999999999999</v>
      </c>
      <c r="L911" s="1764">
        <f t="shared" si="199"/>
        <v>0.29000000000000009</v>
      </c>
      <c r="M911" s="1765">
        <f t="shared" si="200"/>
        <v>0.29000000000000009</v>
      </c>
    </row>
    <row r="912" spans="1:13">
      <c r="A912" s="1749">
        <f t="shared" si="191"/>
        <v>42856</v>
      </c>
      <c r="B912" s="1749" t="str">
        <f t="shared" si="192"/>
        <v>2Q17</v>
      </c>
      <c r="C912" s="1749" t="str">
        <f t="shared" si="193"/>
        <v>2Q17</v>
      </c>
      <c r="D912" s="1750">
        <f t="shared" ref="D912:E912" si="221">D911+7</f>
        <v>42884</v>
      </c>
      <c r="E912" s="1750">
        <f t="shared" si="221"/>
        <v>42877</v>
      </c>
      <c r="F912" s="1927">
        <v>2.5390000000000001</v>
      </c>
      <c r="H912" s="1762">
        <f t="shared" si="195"/>
        <v>0.42399999999999999</v>
      </c>
      <c r="I912" s="1763">
        <f t="shared" si="196"/>
        <v>0.42899999999999999</v>
      </c>
      <c r="J912" s="1762">
        <f t="shared" si="197"/>
        <v>0.21199999999999999</v>
      </c>
      <c r="K912" s="1763">
        <f t="shared" si="198"/>
        <v>0.2145</v>
      </c>
      <c r="L912" s="1764">
        <f t="shared" si="199"/>
        <v>0.29000000000000009</v>
      </c>
      <c r="M912" s="1765">
        <f t="shared" si="200"/>
        <v>0.3000000000000001</v>
      </c>
    </row>
    <row r="913" spans="1:13">
      <c r="A913" s="1749">
        <f t="shared" si="191"/>
        <v>42887</v>
      </c>
      <c r="B913" s="1749" t="str">
        <f t="shared" si="192"/>
        <v>2Q17</v>
      </c>
      <c r="C913" s="1749" t="str">
        <f t="shared" si="193"/>
        <v>2Q17</v>
      </c>
      <c r="D913" s="1750">
        <f t="shared" ref="D913:E913" si="222">D912+7</f>
        <v>42891</v>
      </c>
      <c r="E913" s="1750">
        <f t="shared" si="222"/>
        <v>42884</v>
      </c>
      <c r="F913" s="1927">
        <v>2.5710000000000002</v>
      </c>
      <c r="H913" s="1762">
        <f t="shared" si="195"/>
        <v>0.42899999999999999</v>
      </c>
      <c r="I913" s="1763">
        <f t="shared" si="196"/>
        <v>0.42899999999999999</v>
      </c>
      <c r="J913" s="1762">
        <f t="shared" si="197"/>
        <v>0.2145</v>
      </c>
      <c r="K913" s="1763">
        <f t="shared" si="198"/>
        <v>0.2145</v>
      </c>
      <c r="L913" s="1764">
        <f t="shared" si="199"/>
        <v>0.3000000000000001</v>
      </c>
      <c r="M913" s="1765">
        <f t="shared" si="200"/>
        <v>0.3000000000000001</v>
      </c>
    </row>
    <row r="914" spans="1:13">
      <c r="A914" s="1749">
        <f t="shared" si="191"/>
        <v>42887</v>
      </c>
      <c r="B914" s="1749" t="str">
        <f t="shared" si="192"/>
        <v>2Q17</v>
      </c>
      <c r="C914" s="1749" t="str">
        <f t="shared" si="193"/>
        <v>2Q17</v>
      </c>
      <c r="D914" s="1750">
        <f t="shared" ref="D914:E914" si="223">D913+7</f>
        <v>42898</v>
      </c>
      <c r="E914" s="1750">
        <f t="shared" si="223"/>
        <v>42891</v>
      </c>
      <c r="F914" s="1927">
        <v>2.5640000000000001</v>
      </c>
      <c r="H914" s="1762">
        <f t="shared" si="195"/>
        <v>0.42899999999999999</v>
      </c>
      <c r="I914" s="1763">
        <f t="shared" si="196"/>
        <v>0.42399999999999999</v>
      </c>
      <c r="J914" s="1762">
        <f t="shared" si="197"/>
        <v>0.2145</v>
      </c>
      <c r="K914" s="1763">
        <f t="shared" si="198"/>
        <v>0.21199999999999999</v>
      </c>
      <c r="L914" s="1764">
        <f t="shared" si="199"/>
        <v>0.3000000000000001</v>
      </c>
      <c r="M914" s="1765">
        <f t="shared" si="200"/>
        <v>0.29000000000000009</v>
      </c>
    </row>
    <row r="915" spans="1:13">
      <c r="A915" s="1749">
        <f t="shared" si="191"/>
        <v>42887</v>
      </c>
      <c r="B915" s="1749" t="str">
        <f t="shared" si="192"/>
        <v>2Q17</v>
      </c>
      <c r="C915" s="1749" t="str">
        <f t="shared" si="193"/>
        <v>2Q17</v>
      </c>
      <c r="D915" s="1750">
        <f t="shared" ref="D915:E915" si="224">D914+7</f>
        <v>42905</v>
      </c>
      <c r="E915" s="1750">
        <f t="shared" si="224"/>
        <v>42898</v>
      </c>
      <c r="F915" s="1927">
        <v>2.524</v>
      </c>
      <c r="H915" s="1762">
        <f t="shared" si="195"/>
        <v>0.42399999999999999</v>
      </c>
      <c r="I915" s="1763">
        <f t="shared" si="196"/>
        <v>0.41899999999999998</v>
      </c>
      <c r="J915" s="1762">
        <f t="shared" si="197"/>
        <v>0.21199999999999999</v>
      </c>
      <c r="K915" s="1763">
        <f t="shared" si="198"/>
        <v>0.20949999999999999</v>
      </c>
      <c r="L915" s="1764">
        <f t="shared" si="199"/>
        <v>0.29000000000000009</v>
      </c>
      <c r="M915" s="1765">
        <f t="shared" si="200"/>
        <v>0.28000000000000008</v>
      </c>
    </row>
    <row r="916" spans="1:13">
      <c r="A916" s="1749">
        <f t="shared" si="191"/>
        <v>42887</v>
      </c>
      <c r="B916" s="1749" t="str">
        <f t="shared" si="192"/>
        <v>2Q17</v>
      </c>
      <c r="C916" s="1749" t="str">
        <f t="shared" si="193"/>
        <v>2Q17</v>
      </c>
      <c r="D916" s="1750">
        <f t="shared" ref="D916:E916" si="225">D915+7</f>
        <v>42912</v>
      </c>
      <c r="E916" s="1750">
        <f t="shared" si="225"/>
        <v>42905</v>
      </c>
      <c r="F916" s="1927">
        <v>2.4889999999999999</v>
      </c>
      <c r="H916" s="1762">
        <f t="shared" si="195"/>
        <v>0.41899999999999998</v>
      </c>
      <c r="I916" s="1763">
        <f t="shared" si="196"/>
        <v>0.41899999999999998</v>
      </c>
      <c r="J916" s="1762">
        <f t="shared" si="197"/>
        <v>0.20949999999999999</v>
      </c>
      <c r="K916" s="1763">
        <f t="shared" si="198"/>
        <v>0.20949999999999999</v>
      </c>
      <c r="L916" s="1764">
        <f t="shared" si="199"/>
        <v>0.28000000000000008</v>
      </c>
      <c r="M916" s="1765">
        <f t="shared" si="200"/>
        <v>0.28000000000000008</v>
      </c>
    </row>
    <row r="917" spans="1:13">
      <c r="A917" s="1749">
        <f t="shared" si="191"/>
        <v>42917</v>
      </c>
      <c r="B917" s="1749" t="str">
        <f t="shared" si="192"/>
        <v>3Q17</v>
      </c>
      <c r="C917" s="1749" t="str">
        <f t="shared" si="193"/>
        <v>2Q17</v>
      </c>
      <c r="D917" s="1750">
        <f t="shared" ref="D917:E917" si="226">D916+7</f>
        <v>42919</v>
      </c>
      <c r="E917" s="1750">
        <f t="shared" si="226"/>
        <v>42912</v>
      </c>
      <c r="F917" s="1927">
        <v>2.4649999999999999</v>
      </c>
      <c r="H917" s="1762">
        <f t="shared" si="195"/>
        <v>0.41899999999999998</v>
      </c>
      <c r="I917" s="1763">
        <f t="shared" si="196"/>
        <v>0.41899999999999998</v>
      </c>
      <c r="J917" s="1762">
        <f t="shared" si="197"/>
        <v>0.20949999999999999</v>
      </c>
      <c r="K917" s="1763">
        <f t="shared" si="198"/>
        <v>0.20949999999999999</v>
      </c>
      <c r="L917" s="1764">
        <f t="shared" si="199"/>
        <v>0.28000000000000008</v>
      </c>
      <c r="M917" s="1765">
        <f t="shared" si="200"/>
        <v>0.28000000000000008</v>
      </c>
    </row>
    <row r="918" spans="1:13">
      <c r="A918" s="1749">
        <f t="shared" si="191"/>
        <v>42917</v>
      </c>
      <c r="B918" s="1749" t="str">
        <f t="shared" si="192"/>
        <v>3Q17</v>
      </c>
      <c r="C918" s="1749" t="str">
        <f t="shared" si="193"/>
        <v>3Q17</v>
      </c>
      <c r="D918" s="1750">
        <f t="shared" ref="D918:E918" si="227">D917+7</f>
        <v>42926</v>
      </c>
      <c r="E918" s="1750">
        <f t="shared" si="227"/>
        <v>42919</v>
      </c>
      <c r="F918" s="1927">
        <v>2.472</v>
      </c>
      <c r="H918" s="1762">
        <f t="shared" si="195"/>
        <v>0.41899999999999998</v>
      </c>
      <c r="I918" s="1763">
        <f t="shared" si="196"/>
        <v>0.41899999999999998</v>
      </c>
      <c r="J918" s="1762">
        <f t="shared" si="197"/>
        <v>0.20949999999999999</v>
      </c>
      <c r="K918" s="1763">
        <f t="shared" si="198"/>
        <v>0.20949999999999999</v>
      </c>
      <c r="L918" s="1764">
        <f t="shared" si="199"/>
        <v>0.28000000000000008</v>
      </c>
      <c r="M918" s="1765">
        <f t="shared" si="200"/>
        <v>0.28000000000000008</v>
      </c>
    </row>
    <row r="919" spans="1:13">
      <c r="A919" s="1749">
        <f t="shared" si="191"/>
        <v>42917</v>
      </c>
      <c r="B919" s="1749" t="str">
        <f t="shared" si="192"/>
        <v>3Q17</v>
      </c>
      <c r="C919" s="1749" t="str">
        <f t="shared" si="193"/>
        <v>3Q17</v>
      </c>
      <c r="D919" s="1750">
        <f t="shared" ref="D919:E919" si="228">D918+7</f>
        <v>42933</v>
      </c>
      <c r="E919" s="1750">
        <f t="shared" si="228"/>
        <v>42926</v>
      </c>
      <c r="F919" s="1927">
        <v>2.4809999999999999</v>
      </c>
      <c r="H919" s="1762">
        <f t="shared" si="195"/>
        <v>0.41899999999999998</v>
      </c>
      <c r="I919" s="1763">
        <f t="shared" si="196"/>
        <v>0.41899999999999998</v>
      </c>
      <c r="J919" s="1762">
        <f t="shared" si="197"/>
        <v>0.20949999999999999</v>
      </c>
      <c r="K919" s="1763">
        <f t="shared" si="198"/>
        <v>0.20949999999999999</v>
      </c>
      <c r="L919" s="1764">
        <f t="shared" si="199"/>
        <v>0.28000000000000008</v>
      </c>
      <c r="M919" s="1765">
        <f t="shared" si="200"/>
        <v>0.28000000000000008</v>
      </c>
    </row>
    <row r="920" spans="1:13">
      <c r="A920" s="1749">
        <f t="shared" si="191"/>
        <v>42917</v>
      </c>
      <c r="B920" s="1749" t="str">
        <f t="shared" si="192"/>
        <v>3Q17</v>
      </c>
      <c r="C920" s="1749" t="str">
        <f t="shared" si="193"/>
        <v>3Q17</v>
      </c>
      <c r="D920" s="1750">
        <f t="shared" ref="D920:E920" si="229">D919+7</f>
        <v>42940</v>
      </c>
      <c r="E920" s="1750">
        <f t="shared" si="229"/>
        <v>42933</v>
      </c>
      <c r="F920" s="1927">
        <v>2.4910000000000001</v>
      </c>
      <c r="H920" s="1762">
        <f t="shared" si="195"/>
        <v>0.41899999999999998</v>
      </c>
      <c r="I920" s="1763">
        <f t="shared" si="196"/>
        <v>0.42399999999999999</v>
      </c>
      <c r="J920" s="1762">
        <f t="shared" si="197"/>
        <v>0.20949999999999999</v>
      </c>
      <c r="K920" s="1763">
        <f t="shared" si="198"/>
        <v>0.21199999999999999</v>
      </c>
      <c r="L920" s="1764">
        <f t="shared" si="199"/>
        <v>0.28000000000000008</v>
      </c>
      <c r="M920" s="1765">
        <f t="shared" si="200"/>
        <v>0.29000000000000009</v>
      </c>
    </row>
    <row r="921" spans="1:13">
      <c r="A921" s="1749">
        <f t="shared" si="191"/>
        <v>42917</v>
      </c>
      <c r="B921" s="1749" t="str">
        <f t="shared" si="192"/>
        <v>3Q17</v>
      </c>
      <c r="C921" s="1749" t="str">
        <f t="shared" si="193"/>
        <v>3Q17</v>
      </c>
      <c r="D921" s="1750">
        <f t="shared" ref="D921:E921" si="230">D920+7</f>
        <v>42947</v>
      </c>
      <c r="E921" s="1750">
        <f t="shared" si="230"/>
        <v>42940</v>
      </c>
      <c r="F921" s="1927">
        <v>2.5070000000000001</v>
      </c>
      <c r="H921" s="1762">
        <f t="shared" si="195"/>
        <v>0.42399999999999999</v>
      </c>
      <c r="I921" s="1763">
        <f t="shared" si="196"/>
        <v>0.42399999999999999</v>
      </c>
      <c r="J921" s="1762">
        <f t="shared" si="197"/>
        <v>0.21199999999999999</v>
      </c>
      <c r="K921" s="1763">
        <f t="shared" si="198"/>
        <v>0.21199999999999999</v>
      </c>
      <c r="L921" s="1764">
        <f t="shared" si="199"/>
        <v>0.29000000000000009</v>
      </c>
      <c r="M921" s="1765">
        <f t="shared" si="200"/>
        <v>0.29000000000000009</v>
      </c>
    </row>
    <row r="922" spans="1:13">
      <c r="A922" s="1749">
        <f t="shared" si="191"/>
        <v>42948</v>
      </c>
      <c r="B922" s="1749" t="str">
        <f t="shared" si="192"/>
        <v>3Q17</v>
      </c>
      <c r="C922" s="1749" t="str">
        <f t="shared" si="193"/>
        <v>3Q17</v>
      </c>
      <c r="D922" s="1750">
        <f t="shared" ref="D922:E922" si="231">D921+7</f>
        <v>42954</v>
      </c>
      <c r="E922" s="1750">
        <f t="shared" si="231"/>
        <v>42947</v>
      </c>
      <c r="F922" s="1927">
        <v>2.5310000000000001</v>
      </c>
      <c r="H922" s="1762">
        <f t="shared" si="195"/>
        <v>0.42399999999999999</v>
      </c>
      <c r="I922" s="1763">
        <f t="shared" si="196"/>
        <v>0.42899999999999999</v>
      </c>
      <c r="J922" s="1762">
        <f t="shared" si="197"/>
        <v>0.21199999999999999</v>
      </c>
      <c r="K922" s="1763">
        <f t="shared" si="198"/>
        <v>0.2145</v>
      </c>
      <c r="L922" s="1764">
        <f t="shared" si="199"/>
        <v>0.29000000000000009</v>
      </c>
      <c r="M922" s="1765">
        <f t="shared" si="200"/>
        <v>0.3000000000000001</v>
      </c>
    </row>
    <row r="923" spans="1:13">
      <c r="A923" s="1749">
        <f t="shared" si="191"/>
        <v>42948</v>
      </c>
      <c r="B923" s="1749" t="str">
        <f t="shared" si="192"/>
        <v>3Q17</v>
      </c>
      <c r="C923" s="1749" t="str">
        <f t="shared" si="193"/>
        <v>3Q17</v>
      </c>
      <c r="D923" s="1750">
        <f t="shared" ref="D923:E923" si="232">D922+7</f>
        <v>42961</v>
      </c>
      <c r="E923" s="1750">
        <f t="shared" si="232"/>
        <v>42954</v>
      </c>
      <c r="F923" s="1927">
        <v>2.581</v>
      </c>
      <c r="H923" s="1762">
        <f t="shared" si="195"/>
        <v>0.42899999999999999</v>
      </c>
      <c r="I923" s="1763">
        <f t="shared" si="196"/>
        <v>0.42899999999999999</v>
      </c>
      <c r="J923" s="1762">
        <f t="shared" si="197"/>
        <v>0.2145</v>
      </c>
      <c r="K923" s="1763">
        <f t="shared" si="198"/>
        <v>0.2145</v>
      </c>
      <c r="L923" s="1764">
        <f t="shared" si="199"/>
        <v>0.3000000000000001</v>
      </c>
      <c r="M923" s="1765">
        <f t="shared" si="200"/>
        <v>0.3000000000000001</v>
      </c>
    </row>
    <row r="924" spans="1:13">
      <c r="A924" s="1749">
        <f t="shared" si="191"/>
        <v>42948</v>
      </c>
      <c r="B924" s="1749" t="str">
        <f t="shared" si="192"/>
        <v>3Q17</v>
      </c>
      <c r="C924" s="1749" t="str">
        <f t="shared" si="193"/>
        <v>3Q17</v>
      </c>
      <c r="D924" s="1750">
        <f t="shared" ref="D924:E924" si="233">D923+7</f>
        <v>42968</v>
      </c>
      <c r="E924" s="1750">
        <f t="shared" si="233"/>
        <v>42961</v>
      </c>
      <c r="F924" s="1927">
        <v>2.5979999999999999</v>
      </c>
      <c r="H924" s="1762">
        <f t="shared" si="195"/>
        <v>0.42899999999999999</v>
      </c>
      <c r="I924" s="1763">
        <f t="shared" si="196"/>
        <v>0.42899999999999999</v>
      </c>
      <c r="J924" s="1762">
        <f t="shared" si="197"/>
        <v>0.2145</v>
      </c>
      <c r="K924" s="1763">
        <f t="shared" si="198"/>
        <v>0.2145</v>
      </c>
      <c r="L924" s="1764">
        <f t="shared" si="199"/>
        <v>0.3000000000000001</v>
      </c>
      <c r="M924" s="1765">
        <f t="shared" si="200"/>
        <v>0.3000000000000001</v>
      </c>
    </row>
    <row r="925" spans="1:13">
      <c r="A925" s="1749">
        <f t="shared" si="191"/>
        <v>42948</v>
      </c>
      <c r="B925" s="1749" t="str">
        <f t="shared" si="192"/>
        <v>3Q17</v>
      </c>
      <c r="C925" s="1749" t="str">
        <f t="shared" si="193"/>
        <v>3Q17</v>
      </c>
      <c r="D925" s="1750">
        <f t="shared" ref="D925:E925" si="234">D924+7</f>
        <v>42975</v>
      </c>
      <c r="E925" s="1750">
        <f t="shared" si="234"/>
        <v>42968</v>
      </c>
      <c r="F925" s="1927">
        <v>2.5960000000000001</v>
      </c>
      <c r="H925" s="1762">
        <f t="shared" si="195"/>
        <v>0.42899999999999999</v>
      </c>
      <c r="I925" s="1763">
        <f t="shared" si="196"/>
        <v>0.434</v>
      </c>
      <c r="J925" s="1762">
        <f t="shared" si="197"/>
        <v>0.2145</v>
      </c>
      <c r="K925" s="1763">
        <f t="shared" si="198"/>
        <v>0.217</v>
      </c>
      <c r="L925" s="1764">
        <f t="shared" si="199"/>
        <v>0.3000000000000001</v>
      </c>
      <c r="M925" s="1765">
        <f t="shared" si="200"/>
        <v>0.31000000000000011</v>
      </c>
    </row>
    <row r="926" spans="1:13">
      <c r="A926" s="1749">
        <f t="shared" si="191"/>
        <v>42979</v>
      </c>
      <c r="B926" s="1749" t="str">
        <f t="shared" si="192"/>
        <v>3Q17</v>
      </c>
      <c r="C926" s="1749" t="str">
        <f t="shared" si="193"/>
        <v>3Q17</v>
      </c>
      <c r="D926" s="1750">
        <f t="shared" ref="D926:E926" si="235">D925+7</f>
        <v>42982</v>
      </c>
      <c r="E926" s="1750">
        <f t="shared" si="235"/>
        <v>42975</v>
      </c>
      <c r="F926" s="1927">
        <v>2.605</v>
      </c>
      <c r="H926" s="1762">
        <f t="shared" si="195"/>
        <v>0.434</v>
      </c>
      <c r="I926" s="1763">
        <f t="shared" si="196"/>
        <v>0.44900000000000001</v>
      </c>
      <c r="J926" s="1762">
        <f t="shared" si="197"/>
        <v>0.217</v>
      </c>
      <c r="K926" s="1763">
        <f t="shared" si="198"/>
        <v>0.22450000000000001</v>
      </c>
      <c r="L926" s="1764">
        <f t="shared" si="199"/>
        <v>0.31000000000000011</v>
      </c>
      <c r="M926" s="1765">
        <f t="shared" si="200"/>
        <v>0.34000000000000014</v>
      </c>
    </row>
    <row r="927" spans="1:13">
      <c r="A927" s="1749">
        <f t="shared" si="191"/>
        <v>42979</v>
      </c>
      <c r="B927" s="1749" t="str">
        <f t="shared" si="192"/>
        <v>3Q17</v>
      </c>
      <c r="C927" s="1749" t="str">
        <f t="shared" si="193"/>
        <v>3Q17</v>
      </c>
      <c r="D927" s="1750">
        <f t="shared" ref="D927:E927" si="236">D926+7</f>
        <v>42989</v>
      </c>
      <c r="E927" s="1750">
        <f t="shared" si="236"/>
        <v>42982</v>
      </c>
      <c r="F927" s="1927">
        <v>2.758</v>
      </c>
      <c r="H927" s="1762">
        <f t="shared" si="195"/>
        <v>0.44900000000000001</v>
      </c>
      <c r="I927" s="1763">
        <f t="shared" si="196"/>
        <v>0.45400000000000001</v>
      </c>
      <c r="J927" s="1762">
        <f t="shared" si="197"/>
        <v>0.22450000000000001</v>
      </c>
      <c r="K927" s="1763">
        <f t="shared" si="198"/>
        <v>0.22700000000000001</v>
      </c>
      <c r="L927" s="1764">
        <f t="shared" si="199"/>
        <v>0.34000000000000014</v>
      </c>
      <c r="M927" s="1765">
        <f t="shared" si="200"/>
        <v>0.35000000000000014</v>
      </c>
    </row>
    <row r="928" spans="1:13">
      <c r="A928" s="1749">
        <f t="shared" si="191"/>
        <v>42979</v>
      </c>
      <c r="B928" s="1749" t="str">
        <f t="shared" si="192"/>
        <v>3Q17</v>
      </c>
      <c r="C928" s="1749" t="str">
        <f t="shared" si="193"/>
        <v>3Q17</v>
      </c>
      <c r="D928" s="1750">
        <f t="shared" ref="D928:E928" si="237">D927+7</f>
        <v>42996</v>
      </c>
      <c r="E928" s="1750">
        <f t="shared" si="237"/>
        <v>42989</v>
      </c>
      <c r="F928" s="1927">
        <v>2.802</v>
      </c>
      <c r="H928" s="1762">
        <f t="shared" si="195"/>
        <v>0.45400000000000001</v>
      </c>
      <c r="I928" s="1763">
        <f t="shared" si="196"/>
        <v>0.44900000000000001</v>
      </c>
      <c r="J928" s="1762">
        <f t="shared" si="197"/>
        <v>0.22700000000000001</v>
      </c>
      <c r="K928" s="1763">
        <f t="shared" si="198"/>
        <v>0.22450000000000001</v>
      </c>
      <c r="L928" s="1764">
        <f t="shared" si="199"/>
        <v>0.35000000000000014</v>
      </c>
      <c r="M928" s="1765">
        <f t="shared" si="200"/>
        <v>0.34000000000000014</v>
      </c>
    </row>
    <row r="929" spans="1:13">
      <c r="A929" s="1749">
        <f t="shared" si="191"/>
        <v>42979</v>
      </c>
      <c r="B929" s="1749" t="str">
        <f t="shared" si="192"/>
        <v>3Q17</v>
      </c>
      <c r="C929" s="1749" t="str">
        <f t="shared" si="193"/>
        <v>3Q17</v>
      </c>
      <c r="D929" s="1750">
        <f t="shared" ref="D929:E929" si="238">D928+7</f>
        <v>43003</v>
      </c>
      <c r="E929" s="1750">
        <f t="shared" si="238"/>
        <v>42996</v>
      </c>
      <c r="F929" s="1927">
        <v>2.7909999999999999</v>
      </c>
      <c r="H929" s="1762">
        <f t="shared" si="195"/>
        <v>0.44900000000000001</v>
      </c>
      <c r="I929" s="1763">
        <f t="shared" si="196"/>
        <v>0.44900000000000001</v>
      </c>
      <c r="J929" s="1762">
        <f t="shared" si="197"/>
        <v>0.22450000000000001</v>
      </c>
      <c r="K929" s="1763">
        <f t="shared" si="198"/>
        <v>0.22450000000000001</v>
      </c>
      <c r="L929" s="1764">
        <f t="shared" si="199"/>
        <v>0.34000000000000014</v>
      </c>
      <c r="M929" s="1765">
        <f t="shared" si="200"/>
        <v>0.34000000000000014</v>
      </c>
    </row>
    <row r="930" spans="1:13">
      <c r="A930" s="1749">
        <f t="shared" si="191"/>
        <v>43009</v>
      </c>
      <c r="B930" s="1749" t="str">
        <f t="shared" si="192"/>
        <v>4Q17</v>
      </c>
      <c r="C930" s="1749" t="str">
        <f t="shared" si="193"/>
        <v>3Q17</v>
      </c>
      <c r="D930" s="1750">
        <f t="shared" ref="D930:E930" si="239">D929+7</f>
        <v>43010</v>
      </c>
      <c r="E930" s="1750">
        <f t="shared" si="239"/>
        <v>43003</v>
      </c>
      <c r="F930" s="1927">
        <v>2.7879999999999998</v>
      </c>
      <c r="H930" s="1762">
        <f t="shared" si="195"/>
        <v>0.44900000000000001</v>
      </c>
      <c r="I930" s="1763">
        <f t="shared" si="196"/>
        <v>0.44900000000000001</v>
      </c>
      <c r="J930" s="1762">
        <f t="shared" si="197"/>
        <v>0.22450000000000001</v>
      </c>
      <c r="K930" s="1763">
        <f t="shared" si="198"/>
        <v>0.22450000000000001</v>
      </c>
      <c r="L930" s="1764">
        <f t="shared" si="199"/>
        <v>0.34000000000000014</v>
      </c>
      <c r="M930" s="1765">
        <f t="shared" si="200"/>
        <v>0.34000000000000014</v>
      </c>
    </row>
    <row r="931" spans="1:13">
      <c r="A931" s="1749">
        <f t="shared" si="191"/>
        <v>43009</v>
      </c>
      <c r="B931" s="1749" t="str">
        <f t="shared" si="192"/>
        <v>4Q17</v>
      </c>
      <c r="C931" s="1749" t="str">
        <f t="shared" si="193"/>
        <v>4Q17</v>
      </c>
      <c r="D931" s="1750">
        <f t="shared" ref="D931:E931" si="240">D930+7</f>
        <v>43017</v>
      </c>
      <c r="E931" s="1750">
        <f t="shared" si="240"/>
        <v>43010</v>
      </c>
      <c r="F931" s="1927">
        <v>2.7919999999999998</v>
      </c>
      <c r="H931" s="1762">
        <f t="shared" si="195"/>
        <v>0.44900000000000001</v>
      </c>
      <c r="I931" s="1763">
        <f t="shared" si="196"/>
        <v>0.44900000000000001</v>
      </c>
      <c r="J931" s="1762">
        <f t="shared" si="197"/>
        <v>0.22450000000000001</v>
      </c>
      <c r="K931" s="1763">
        <f t="shared" si="198"/>
        <v>0.22450000000000001</v>
      </c>
      <c r="L931" s="1764">
        <f t="shared" si="199"/>
        <v>0.34000000000000014</v>
      </c>
      <c r="M931" s="1765">
        <f t="shared" si="200"/>
        <v>0.34000000000000014</v>
      </c>
    </row>
    <row r="932" spans="1:13">
      <c r="A932" s="1749">
        <f t="shared" si="191"/>
        <v>43009</v>
      </c>
      <c r="B932" s="1749" t="str">
        <f t="shared" si="192"/>
        <v>4Q17</v>
      </c>
      <c r="C932" s="1749" t="str">
        <f t="shared" si="193"/>
        <v>4Q17</v>
      </c>
      <c r="D932" s="1750">
        <f t="shared" ref="D932:E932" si="241">D931+7</f>
        <v>43024</v>
      </c>
      <c r="E932" s="1750">
        <f t="shared" si="241"/>
        <v>43017</v>
      </c>
      <c r="F932" s="1927">
        <v>2.7759999999999998</v>
      </c>
      <c r="H932" s="1762">
        <f t="shared" si="195"/>
        <v>0.44900000000000001</v>
      </c>
      <c r="I932" s="1763">
        <f t="shared" si="196"/>
        <v>0.44900000000000001</v>
      </c>
      <c r="J932" s="1762">
        <f t="shared" si="197"/>
        <v>0.22450000000000001</v>
      </c>
      <c r="K932" s="1763">
        <f t="shared" si="198"/>
        <v>0.22450000000000001</v>
      </c>
      <c r="L932" s="1764">
        <f t="shared" si="199"/>
        <v>0.34000000000000014</v>
      </c>
      <c r="M932" s="1765">
        <f t="shared" si="200"/>
        <v>0.34000000000000014</v>
      </c>
    </row>
    <row r="933" spans="1:13">
      <c r="A933" s="1749">
        <f t="shared" si="191"/>
        <v>43009</v>
      </c>
      <c r="B933" s="1749" t="str">
        <f t="shared" si="192"/>
        <v>4Q17</v>
      </c>
      <c r="C933" s="1749" t="str">
        <f t="shared" si="193"/>
        <v>4Q17</v>
      </c>
      <c r="D933" s="1750">
        <f t="shared" ref="D933:E933" si="242">D932+7</f>
        <v>43031</v>
      </c>
      <c r="E933" s="1750">
        <f t="shared" si="242"/>
        <v>43024</v>
      </c>
      <c r="F933" s="1927">
        <v>2.7869999999999999</v>
      </c>
      <c r="H933" s="1762">
        <f t="shared" si="195"/>
        <v>0.44900000000000001</v>
      </c>
      <c r="I933" s="1763">
        <f t="shared" si="196"/>
        <v>0.44900000000000001</v>
      </c>
      <c r="J933" s="1762">
        <f t="shared" si="197"/>
        <v>0.22450000000000001</v>
      </c>
      <c r="K933" s="1763">
        <f t="shared" si="198"/>
        <v>0.22450000000000001</v>
      </c>
      <c r="L933" s="1764">
        <f t="shared" si="199"/>
        <v>0.34000000000000014</v>
      </c>
      <c r="M933" s="1765">
        <f t="shared" si="200"/>
        <v>0.34000000000000014</v>
      </c>
    </row>
    <row r="934" spans="1:13">
      <c r="A934" s="1749">
        <f t="shared" si="191"/>
        <v>43009</v>
      </c>
      <c r="B934" s="1749" t="str">
        <f t="shared" si="192"/>
        <v>4Q17</v>
      </c>
      <c r="C934" s="1749" t="str">
        <f t="shared" si="193"/>
        <v>4Q17</v>
      </c>
      <c r="D934" s="1750">
        <f t="shared" ref="D934:E934" si="243">D933+7</f>
        <v>43038</v>
      </c>
      <c r="E934" s="1750">
        <f t="shared" si="243"/>
        <v>43031</v>
      </c>
      <c r="F934" s="1927">
        <v>2.7970000000000002</v>
      </c>
      <c r="H934" s="1762">
        <f t="shared" si="195"/>
        <v>0.44900000000000001</v>
      </c>
      <c r="I934" s="1763">
        <f t="shared" si="196"/>
        <v>0.45400000000000001</v>
      </c>
      <c r="J934" s="1762">
        <f t="shared" si="197"/>
        <v>0.22450000000000001</v>
      </c>
      <c r="K934" s="1763">
        <f t="shared" si="198"/>
        <v>0.22700000000000001</v>
      </c>
      <c r="L934" s="1764">
        <f t="shared" si="199"/>
        <v>0.34000000000000014</v>
      </c>
      <c r="M934" s="1765">
        <f t="shared" si="200"/>
        <v>0.35000000000000014</v>
      </c>
    </row>
    <row r="935" spans="1:13">
      <c r="A935" s="1749">
        <f t="shared" si="191"/>
        <v>43040</v>
      </c>
      <c r="B935" s="1749" t="str">
        <f t="shared" si="192"/>
        <v>4Q17</v>
      </c>
      <c r="C935" s="1749" t="str">
        <f t="shared" si="193"/>
        <v>4Q17</v>
      </c>
      <c r="D935" s="1750">
        <f t="shared" ref="D935:E935" si="244">D934+7</f>
        <v>43045</v>
      </c>
      <c r="E935" s="1750">
        <f t="shared" si="244"/>
        <v>43038</v>
      </c>
      <c r="F935" s="1927">
        <v>2.819</v>
      </c>
      <c r="H935" s="1762">
        <f t="shared" si="195"/>
        <v>0.45400000000000001</v>
      </c>
      <c r="I935" s="1763">
        <f t="shared" si="196"/>
        <v>0.45900000000000002</v>
      </c>
      <c r="J935" s="1762">
        <f t="shared" si="197"/>
        <v>0.22700000000000001</v>
      </c>
      <c r="K935" s="1763">
        <f t="shared" si="198"/>
        <v>0.22950000000000001</v>
      </c>
      <c r="L935" s="1764">
        <f t="shared" si="199"/>
        <v>0.35000000000000014</v>
      </c>
      <c r="M935" s="1765">
        <f t="shared" si="200"/>
        <v>0.36000000000000015</v>
      </c>
    </row>
    <row r="936" spans="1:13">
      <c r="A936" s="1749">
        <f t="shared" si="191"/>
        <v>43040</v>
      </c>
      <c r="B936" s="1749" t="str">
        <f t="shared" si="192"/>
        <v>4Q17</v>
      </c>
      <c r="C936" s="1749" t="str">
        <f t="shared" si="193"/>
        <v>4Q17</v>
      </c>
      <c r="D936" s="1750">
        <f t="shared" ref="D936:E936" si="245">D935+7</f>
        <v>43052</v>
      </c>
      <c r="E936" s="1750">
        <f t="shared" si="245"/>
        <v>43045</v>
      </c>
      <c r="F936" s="1927">
        <v>2.8820000000000001</v>
      </c>
      <c r="H936" s="1762">
        <f t="shared" si="195"/>
        <v>0.45900000000000002</v>
      </c>
      <c r="I936" s="1763">
        <f t="shared" si="196"/>
        <v>0.46400000000000002</v>
      </c>
      <c r="J936" s="1762">
        <f t="shared" si="197"/>
        <v>0.22950000000000001</v>
      </c>
      <c r="K936" s="1763">
        <f t="shared" si="198"/>
        <v>0.23200000000000001</v>
      </c>
      <c r="L936" s="1764">
        <f t="shared" si="199"/>
        <v>0.36000000000000015</v>
      </c>
      <c r="M936" s="1765">
        <f t="shared" si="200"/>
        <v>0.37000000000000016</v>
      </c>
    </row>
    <row r="937" spans="1:13">
      <c r="A937" s="1749">
        <f t="shared" si="191"/>
        <v>43040</v>
      </c>
      <c r="B937" s="1749" t="str">
        <f t="shared" si="192"/>
        <v>4Q17</v>
      </c>
      <c r="C937" s="1749" t="str">
        <f t="shared" si="193"/>
        <v>4Q17</v>
      </c>
      <c r="D937" s="1750">
        <f t="shared" ref="D937:E937" si="246">D936+7</f>
        <v>43059</v>
      </c>
      <c r="E937" s="1750">
        <f t="shared" si="246"/>
        <v>43052</v>
      </c>
      <c r="F937" s="1927">
        <v>2.915</v>
      </c>
      <c r="H937" s="1762">
        <f t="shared" si="195"/>
        <v>0.46400000000000002</v>
      </c>
      <c r="I937" s="1763">
        <f t="shared" si="196"/>
        <v>0.46400000000000002</v>
      </c>
      <c r="J937" s="1762">
        <f t="shared" si="197"/>
        <v>0.23200000000000001</v>
      </c>
      <c r="K937" s="1763">
        <f t="shared" si="198"/>
        <v>0.23200000000000001</v>
      </c>
      <c r="L937" s="1764">
        <f t="shared" si="199"/>
        <v>0.37000000000000016</v>
      </c>
      <c r="M937" s="1765">
        <f t="shared" si="200"/>
        <v>0.37000000000000016</v>
      </c>
    </row>
    <row r="938" spans="1:13">
      <c r="A938" s="1749">
        <f t="shared" si="191"/>
        <v>43040</v>
      </c>
      <c r="B938" s="1749" t="str">
        <f t="shared" si="192"/>
        <v>4Q17</v>
      </c>
      <c r="C938" s="1749" t="str">
        <f t="shared" si="193"/>
        <v>4Q17</v>
      </c>
      <c r="D938" s="1750">
        <f t="shared" ref="D938:E938" si="247">D937+7</f>
        <v>43066</v>
      </c>
      <c r="E938" s="1750">
        <f t="shared" si="247"/>
        <v>43059</v>
      </c>
      <c r="F938" s="1927">
        <v>2.9119999999999999</v>
      </c>
      <c r="H938" s="1762">
        <f t="shared" si="195"/>
        <v>0.46400000000000002</v>
      </c>
      <c r="I938" s="1763">
        <f t="shared" si="196"/>
        <v>0.46400000000000002</v>
      </c>
      <c r="J938" s="1762">
        <f t="shared" si="197"/>
        <v>0.23200000000000001</v>
      </c>
      <c r="K938" s="1763">
        <f t="shared" si="198"/>
        <v>0.23200000000000001</v>
      </c>
      <c r="L938" s="1764">
        <f t="shared" si="199"/>
        <v>0.37000000000000016</v>
      </c>
      <c r="M938" s="1765">
        <f t="shared" si="200"/>
        <v>0.37000000000000016</v>
      </c>
    </row>
    <row r="939" spans="1:13">
      <c r="A939" s="1749">
        <f t="shared" si="191"/>
        <v>43070</v>
      </c>
      <c r="B939" s="1749" t="str">
        <f t="shared" si="192"/>
        <v>4Q17</v>
      </c>
      <c r="C939" s="1749" t="str">
        <f t="shared" si="193"/>
        <v>4Q17</v>
      </c>
      <c r="D939" s="1750">
        <f t="shared" ref="D939:E939" si="248">D938+7</f>
        <v>43073</v>
      </c>
      <c r="E939" s="1750">
        <f t="shared" si="248"/>
        <v>43066</v>
      </c>
      <c r="F939" s="1927">
        <v>2.9260000000000002</v>
      </c>
      <c r="H939" s="1762">
        <f t="shared" si="195"/>
        <v>0.46400000000000002</v>
      </c>
      <c r="I939" s="1763">
        <f t="shared" si="196"/>
        <v>0.46400000000000002</v>
      </c>
      <c r="J939" s="1762">
        <f t="shared" si="197"/>
        <v>0.23200000000000001</v>
      </c>
      <c r="K939" s="1763">
        <f t="shared" si="198"/>
        <v>0.23200000000000001</v>
      </c>
      <c r="L939" s="1764">
        <f t="shared" si="199"/>
        <v>0.37000000000000016</v>
      </c>
      <c r="M939" s="1765">
        <f t="shared" si="200"/>
        <v>0.37000000000000016</v>
      </c>
    </row>
    <row r="940" spans="1:13">
      <c r="A940" s="1749">
        <f t="shared" si="191"/>
        <v>43070</v>
      </c>
      <c r="B940" s="1749" t="str">
        <f t="shared" si="192"/>
        <v>4Q17</v>
      </c>
      <c r="C940" s="1749" t="str">
        <f t="shared" si="193"/>
        <v>4Q17</v>
      </c>
      <c r="D940" s="1750">
        <f t="shared" ref="D940:E940" si="249">D939+7</f>
        <v>43080</v>
      </c>
      <c r="E940" s="1750">
        <f t="shared" si="249"/>
        <v>43073</v>
      </c>
      <c r="F940" s="1927">
        <v>2.9220000000000002</v>
      </c>
      <c r="H940" s="1762">
        <f t="shared" si="195"/>
        <v>0.46400000000000002</v>
      </c>
      <c r="I940" s="1763">
        <f t="shared" si="196"/>
        <v>0.46400000000000002</v>
      </c>
      <c r="J940" s="1762">
        <f t="shared" si="197"/>
        <v>0.23200000000000001</v>
      </c>
      <c r="K940" s="1763">
        <f t="shared" si="198"/>
        <v>0.23200000000000001</v>
      </c>
      <c r="L940" s="1764">
        <f t="shared" si="199"/>
        <v>0.37000000000000016</v>
      </c>
      <c r="M940" s="1765">
        <f t="shared" si="200"/>
        <v>0.37000000000000016</v>
      </c>
    </row>
    <row r="941" spans="1:13">
      <c r="A941" s="1749">
        <f t="shared" si="191"/>
        <v>43070</v>
      </c>
      <c r="B941" s="1749" t="str">
        <f t="shared" si="192"/>
        <v>4Q17</v>
      </c>
      <c r="C941" s="1749" t="str">
        <f t="shared" si="193"/>
        <v>4Q17</v>
      </c>
      <c r="D941" s="1750">
        <f t="shared" ref="D941:E941" si="250">D940+7</f>
        <v>43087</v>
      </c>
      <c r="E941" s="1750">
        <f t="shared" si="250"/>
        <v>43080</v>
      </c>
      <c r="F941" s="1927">
        <v>2.91</v>
      </c>
      <c r="H941" s="1762">
        <f t="shared" si="195"/>
        <v>0.46400000000000002</v>
      </c>
      <c r="I941" s="1763">
        <f t="shared" si="196"/>
        <v>0.46400000000000002</v>
      </c>
      <c r="J941" s="1762">
        <f t="shared" si="197"/>
        <v>0.23200000000000001</v>
      </c>
      <c r="K941" s="1763">
        <f t="shared" si="198"/>
        <v>0.23200000000000001</v>
      </c>
      <c r="L941" s="1764">
        <f t="shared" si="199"/>
        <v>0.37000000000000016</v>
      </c>
      <c r="M941" s="1765">
        <f t="shared" si="200"/>
        <v>0.37000000000000016</v>
      </c>
    </row>
    <row r="942" spans="1:13">
      <c r="A942" s="1749">
        <f t="shared" si="191"/>
        <v>43070</v>
      </c>
      <c r="B942" s="1749" t="str">
        <f t="shared" si="192"/>
        <v>4Q17</v>
      </c>
      <c r="C942" s="1749" t="str">
        <f t="shared" si="193"/>
        <v>4Q17</v>
      </c>
      <c r="D942" s="1750">
        <f t="shared" ref="D942:E942" si="251">D941+7</f>
        <v>43094</v>
      </c>
      <c r="E942" s="1750">
        <f t="shared" si="251"/>
        <v>43087</v>
      </c>
      <c r="F942" s="1927">
        <v>2.9009999999999998</v>
      </c>
      <c r="H942" s="1762">
        <f t="shared" si="195"/>
        <v>0.46400000000000002</v>
      </c>
      <c r="I942" s="1763">
        <f t="shared" si="196"/>
        <v>0.46400000000000002</v>
      </c>
      <c r="J942" s="1762">
        <f t="shared" si="197"/>
        <v>0.23200000000000001</v>
      </c>
      <c r="K942" s="1763">
        <f t="shared" si="198"/>
        <v>0.23200000000000001</v>
      </c>
      <c r="L942" s="1764">
        <f t="shared" si="199"/>
        <v>0.37000000000000016</v>
      </c>
      <c r="M942" s="1765">
        <f t="shared" si="200"/>
        <v>0.37000000000000016</v>
      </c>
    </row>
    <row r="943" spans="1:13">
      <c r="A943" s="1749">
        <f t="shared" si="191"/>
        <v>43101</v>
      </c>
      <c r="B943" s="1749" t="str">
        <f t="shared" si="192"/>
        <v>1Q18</v>
      </c>
      <c r="C943" s="1749" t="str">
        <f t="shared" si="193"/>
        <v>4Q17</v>
      </c>
      <c r="D943" s="1750">
        <f t="shared" ref="D943:E943" si="252">D942+7</f>
        <v>43101</v>
      </c>
      <c r="E943" s="1750">
        <f t="shared" si="252"/>
        <v>43094</v>
      </c>
      <c r="F943" s="1927">
        <v>2.903</v>
      </c>
      <c r="H943" s="1762">
        <f t="shared" si="195"/>
        <v>0.46400000000000002</v>
      </c>
      <c r="I943" s="1763">
        <f t="shared" si="196"/>
        <v>0.46899999999999997</v>
      </c>
      <c r="J943" s="1762">
        <f t="shared" si="197"/>
        <v>0.23200000000000001</v>
      </c>
      <c r="K943" s="1763">
        <f t="shared" si="198"/>
        <v>0.23449999999999999</v>
      </c>
      <c r="L943" s="1764">
        <f t="shared" si="199"/>
        <v>0.37000000000000016</v>
      </c>
      <c r="M943" s="1765">
        <f t="shared" si="200"/>
        <v>0.38000000000000017</v>
      </c>
    </row>
    <row r="944" spans="1:13">
      <c r="A944" s="1749">
        <f t="shared" si="191"/>
        <v>43101</v>
      </c>
      <c r="B944" s="1749" t="str">
        <f t="shared" si="192"/>
        <v>1Q18</v>
      </c>
      <c r="C944" s="1749" t="str">
        <f t="shared" si="193"/>
        <v>1Q18</v>
      </c>
      <c r="D944" s="1750">
        <f t="shared" ref="D944:E944" si="253">D943+7</f>
        <v>43108</v>
      </c>
      <c r="E944" s="1750">
        <f t="shared" si="253"/>
        <v>43101</v>
      </c>
      <c r="F944" s="1927">
        <v>2.9729999999999999</v>
      </c>
      <c r="H944" s="1762">
        <f t="shared" si="195"/>
        <v>0.46899999999999997</v>
      </c>
      <c r="I944" s="1763">
        <f t="shared" si="196"/>
        <v>0.46899999999999997</v>
      </c>
      <c r="J944" s="1762">
        <f t="shared" si="197"/>
        <v>0.23449999999999999</v>
      </c>
      <c r="K944" s="1763">
        <f t="shared" si="198"/>
        <v>0.23449999999999999</v>
      </c>
      <c r="L944" s="1764">
        <f t="shared" si="199"/>
        <v>0.38000000000000017</v>
      </c>
      <c r="M944" s="1765">
        <f t="shared" si="200"/>
        <v>0.38000000000000017</v>
      </c>
    </row>
    <row r="945" spans="1:13">
      <c r="A945" s="1749">
        <f t="shared" si="191"/>
        <v>43101</v>
      </c>
      <c r="B945" s="1749" t="str">
        <f t="shared" si="192"/>
        <v>1Q18</v>
      </c>
      <c r="C945" s="1749" t="str">
        <f t="shared" si="193"/>
        <v>1Q18</v>
      </c>
      <c r="D945" s="1750">
        <f t="shared" ref="D945:E945" si="254">D944+7</f>
        <v>43115</v>
      </c>
      <c r="E945" s="1750">
        <f t="shared" si="254"/>
        <v>43108</v>
      </c>
      <c r="F945" s="1927">
        <v>2.996</v>
      </c>
      <c r="H945" s="1762">
        <f t="shared" si="195"/>
        <v>0.46899999999999997</v>
      </c>
      <c r="I945" s="1763">
        <f t="shared" si="196"/>
        <v>0.47399999999999998</v>
      </c>
      <c r="J945" s="1762">
        <f t="shared" si="197"/>
        <v>0.23449999999999999</v>
      </c>
      <c r="K945" s="1763">
        <f t="shared" si="198"/>
        <v>0.23699999999999999</v>
      </c>
      <c r="L945" s="1764">
        <f t="shared" si="199"/>
        <v>0.38000000000000017</v>
      </c>
      <c r="M945" s="1765">
        <f t="shared" si="200"/>
        <v>0.39000000000000018</v>
      </c>
    </row>
    <row r="946" spans="1:13">
      <c r="A946" s="1749">
        <f t="shared" si="191"/>
        <v>43101</v>
      </c>
      <c r="B946" s="1749" t="str">
        <f t="shared" si="192"/>
        <v>1Q18</v>
      </c>
      <c r="C946" s="1749" t="str">
        <f t="shared" si="193"/>
        <v>1Q18</v>
      </c>
      <c r="D946" s="1750">
        <f t="shared" ref="D946:E946" si="255">D945+7</f>
        <v>43122</v>
      </c>
      <c r="E946" s="1750">
        <f t="shared" si="255"/>
        <v>43115</v>
      </c>
      <c r="F946" s="1927">
        <v>3.028</v>
      </c>
      <c r="H946" s="1762">
        <f t="shared" si="195"/>
        <v>0.47399999999999998</v>
      </c>
      <c r="I946" s="1763">
        <f t="shared" si="196"/>
        <v>0.47399999999999998</v>
      </c>
      <c r="J946" s="1762">
        <f t="shared" si="197"/>
        <v>0.23699999999999999</v>
      </c>
      <c r="K946" s="1763">
        <f t="shared" si="198"/>
        <v>0.23699999999999999</v>
      </c>
      <c r="L946" s="1764">
        <f t="shared" si="199"/>
        <v>0.39000000000000018</v>
      </c>
      <c r="M946" s="1765">
        <f t="shared" si="200"/>
        <v>0.39000000000000018</v>
      </c>
    </row>
    <row r="947" spans="1:13">
      <c r="A947" s="1749">
        <f t="shared" si="191"/>
        <v>43101</v>
      </c>
      <c r="B947" s="1749" t="str">
        <f t="shared" si="192"/>
        <v>1Q18</v>
      </c>
      <c r="C947" s="1749" t="str">
        <f t="shared" si="193"/>
        <v>1Q18</v>
      </c>
      <c r="D947" s="1750">
        <f t="shared" ref="D947:E947" si="256">D946+7</f>
        <v>43129</v>
      </c>
      <c r="E947" s="1750">
        <f t="shared" si="256"/>
        <v>43122</v>
      </c>
      <c r="F947" s="1927">
        <v>3.0249999999999999</v>
      </c>
      <c r="H947" s="1762">
        <f t="shared" si="195"/>
        <v>0.47399999999999998</v>
      </c>
      <c r="I947" s="1763">
        <f t="shared" si="196"/>
        <v>0.47899999999999998</v>
      </c>
      <c r="J947" s="1762">
        <f t="shared" si="197"/>
        <v>0.23699999999999999</v>
      </c>
      <c r="K947" s="1763">
        <f t="shared" si="198"/>
        <v>0.23949999999999999</v>
      </c>
      <c r="L947" s="1764">
        <f t="shared" si="199"/>
        <v>0.39000000000000018</v>
      </c>
      <c r="M947" s="1765">
        <f t="shared" si="200"/>
        <v>0.40000000000000019</v>
      </c>
    </row>
    <row r="948" spans="1:13">
      <c r="A948" s="1749">
        <f t="shared" si="191"/>
        <v>43132</v>
      </c>
      <c r="B948" s="1749" t="str">
        <f t="shared" si="192"/>
        <v>1Q18</v>
      </c>
      <c r="C948" s="1749" t="str">
        <f t="shared" si="193"/>
        <v>1Q18</v>
      </c>
      <c r="D948" s="1750">
        <f t="shared" ref="D948:E948" si="257">D947+7</f>
        <v>43136</v>
      </c>
      <c r="E948" s="1750">
        <f t="shared" si="257"/>
        <v>43129</v>
      </c>
      <c r="F948" s="1927">
        <v>3.07</v>
      </c>
      <c r="H948" s="1762">
        <f t="shared" si="195"/>
        <v>0.47899999999999998</v>
      </c>
      <c r="I948" s="1763">
        <f t="shared" si="196"/>
        <v>0.47899999999999998</v>
      </c>
      <c r="J948" s="1762">
        <f t="shared" si="197"/>
        <v>0.23949999999999999</v>
      </c>
      <c r="K948" s="1763">
        <f t="shared" si="198"/>
        <v>0.23949999999999999</v>
      </c>
      <c r="L948" s="1764">
        <f t="shared" si="199"/>
        <v>0.40000000000000019</v>
      </c>
      <c r="M948" s="1765">
        <f t="shared" si="200"/>
        <v>0.40000000000000019</v>
      </c>
    </row>
    <row r="949" spans="1:13">
      <c r="A949" s="1749">
        <f t="shared" si="191"/>
        <v>43132</v>
      </c>
      <c r="B949" s="1749" t="str">
        <f t="shared" si="192"/>
        <v>1Q18</v>
      </c>
      <c r="C949" s="1749" t="str">
        <f t="shared" si="193"/>
        <v>1Q18</v>
      </c>
      <c r="D949" s="1750">
        <f t="shared" ref="D949:E949" si="258">D948+7</f>
        <v>43143</v>
      </c>
      <c r="E949" s="1750">
        <f t="shared" si="258"/>
        <v>43136</v>
      </c>
      <c r="F949" s="1927">
        <v>3.0859999999999999</v>
      </c>
      <c r="H949" s="1762">
        <f t="shared" si="195"/>
        <v>0.47899999999999998</v>
      </c>
      <c r="I949" s="1763">
        <f t="shared" si="196"/>
        <v>0.47899999999999998</v>
      </c>
      <c r="J949" s="1762">
        <f t="shared" si="197"/>
        <v>0.23949999999999999</v>
      </c>
      <c r="K949" s="1763">
        <f t="shared" si="198"/>
        <v>0.23949999999999999</v>
      </c>
      <c r="L949" s="1764">
        <f t="shared" si="199"/>
        <v>0.40000000000000019</v>
      </c>
      <c r="M949" s="1765">
        <f t="shared" si="200"/>
        <v>0.40000000000000019</v>
      </c>
    </row>
    <row r="950" spans="1:13">
      <c r="A950" s="1749">
        <f t="shared" si="191"/>
        <v>43132</v>
      </c>
      <c r="B950" s="1749" t="str">
        <f t="shared" si="192"/>
        <v>1Q18</v>
      </c>
      <c r="C950" s="1749" t="str">
        <f t="shared" si="193"/>
        <v>1Q18</v>
      </c>
      <c r="D950" s="1750">
        <f t="shared" ref="D950:E950" si="259">D949+7</f>
        <v>43150</v>
      </c>
      <c r="E950" s="1750">
        <f t="shared" si="259"/>
        <v>43143</v>
      </c>
      <c r="F950" s="1927">
        <v>3.0630000000000002</v>
      </c>
      <c r="H950" s="1762">
        <f t="shared" si="195"/>
        <v>0.47899999999999998</v>
      </c>
      <c r="I950" s="1763">
        <f t="shared" si="196"/>
        <v>0.47399999999999998</v>
      </c>
      <c r="J950" s="1762">
        <f t="shared" si="197"/>
        <v>0.23949999999999999</v>
      </c>
      <c r="K950" s="1763">
        <f t="shared" si="198"/>
        <v>0.23699999999999999</v>
      </c>
      <c r="L950" s="1764">
        <f t="shared" si="199"/>
        <v>0.40000000000000019</v>
      </c>
      <c r="M950" s="1765">
        <f t="shared" si="200"/>
        <v>0.39000000000000018</v>
      </c>
    </row>
    <row r="951" spans="1:13">
      <c r="A951" s="1749">
        <f t="shared" si="191"/>
        <v>43132</v>
      </c>
      <c r="B951" s="1749" t="str">
        <f t="shared" si="192"/>
        <v>1Q18</v>
      </c>
      <c r="C951" s="1749" t="str">
        <f t="shared" si="193"/>
        <v>1Q18</v>
      </c>
      <c r="D951" s="1750">
        <f t="shared" ref="D951:E951" si="260">D950+7</f>
        <v>43157</v>
      </c>
      <c r="E951" s="1750">
        <f t="shared" si="260"/>
        <v>43150</v>
      </c>
      <c r="F951" s="1927">
        <v>3.0270000000000001</v>
      </c>
      <c r="H951" s="1762">
        <f t="shared" si="195"/>
        <v>0.47399999999999998</v>
      </c>
      <c r="I951" s="1763">
        <f t="shared" si="196"/>
        <v>0.47399999999999998</v>
      </c>
      <c r="J951" s="1762">
        <f t="shared" si="197"/>
        <v>0.23699999999999999</v>
      </c>
      <c r="K951" s="1763">
        <f t="shared" si="198"/>
        <v>0.23699999999999999</v>
      </c>
      <c r="L951" s="1764">
        <f t="shared" si="199"/>
        <v>0.39000000000000018</v>
      </c>
      <c r="M951" s="1765">
        <f t="shared" si="200"/>
        <v>0.39000000000000018</v>
      </c>
    </row>
    <row r="952" spans="1:13">
      <c r="A952" s="1749">
        <f t="shared" si="191"/>
        <v>43160</v>
      </c>
      <c r="B952" s="1749" t="str">
        <f t="shared" si="192"/>
        <v>1Q18</v>
      </c>
      <c r="C952" s="1749" t="str">
        <f t="shared" si="193"/>
        <v>1Q18</v>
      </c>
      <c r="D952" s="1750">
        <f t="shared" ref="D952:E952" si="261">D951+7</f>
        <v>43164</v>
      </c>
      <c r="E952" s="1750">
        <f t="shared" si="261"/>
        <v>43157</v>
      </c>
      <c r="F952" s="1927">
        <v>3.0070000000000001</v>
      </c>
      <c r="H952" s="1762">
        <f t="shared" si="195"/>
        <v>0.47399999999999998</v>
      </c>
      <c r="I952" s="1763">
        <f t="shared" si="196"/>
        <v>0.46899999999999997</v>
      </c>
      <c r="J952" s="1762">
        <f t="shared" si="197"/>
        <v>0.23699999999999999</v>
      </c>
      <c r="K952" s="1763">
        <f t="shared" si="198"/>
        <v>0.23449999999999999</v>
      </c>
      <c r="L952" s="1764">
        <f t="shared" si="199"/>
        <v>0.39000000000000018</v>
      </c>
      <c r="M952" s="1765">
        <f t="shared" si="200"/>
        <v>0.38000000000000017</v>
      </c>
    </row>
    <row r="953" spans="1:13">
      <c r="A953" s="1749">
        <f t="shared" si="191"/>
        <v>43160</v>
      </c>
      <c r="B953" s="1749" t="str">
        <f t="shared" si="192"/>
        <v>1Q18</v>
      </c>
      <c r="C953" s="1749" t="str">
        <f t="shared" si="193"/>
        <v>1Q18</v>
      </c>
      <c r="D953" s="1750">
        <f t="shared" ref="D953:E953" si="262">D952+7</f>
        <v>43171</v>
      </c>
      <c r="E953" s="1750">
        <f t="shared" si="262"/>
        <v>43164</v>
      </c>
      <c r="F953" s="1927">
        <v>2.992</v>
      </c>
      <c r="H953" s="1762">
        <f t="shared" si="195"/>
        <v>0.46899999999999997</v>
      </c>
      <c r="I953" s="1763">
        <f t="shared" si="196"/>
        <v>0.46899999999999997</v>
      </c>
      <c r="J953" s="1762">
        <f t="shared" si="197"/>
        <v>0.23449999999999999</v>
      </c>
      <c r="K953" s="1763">
        <f t="shared" si="198"/>
        <v>0.23449999999999999</v>
      </c>
      <c r="L953" s="1764">
        <f t="shared" si="199"/>
        <v>0.38000000000000017</v>
      </c>
      <c r="M953" s="1765">
        <f t="shared" si="200"/>
        <v>0.38000000000000017</v>
      </c>
    </row>
    <row r="954" spans="1:13">
      <c r="A954" s="1749">
        <f t="shared" si="191"/>
        <v>43160</v>
      </c>
      <c r="B954" s="1749" t="str">
        <f t="shared" si="192"/>
        <v>1Q18</v>
      </c>
      <c r="C954" s="1749" t="str">
        <f t="shared" si="193"/>
        <v>1Q18</v>
      </c>
      <c r="D954" s="1750">
        <f t="shared" ref="D954:E954" si="263">D953+7</f>
        <v>43178</v>
      </c>
      <c r="E954" s="1750">
        <f t="shared" si="263"/>
        <v>43171</v>
      </c>
      <c r="F954" s="1927">
        <v>2.976</v>
      </c>
      <c r="H954" s="1762">
        <f t="shared" si="195"/>
        <v>0.46899999999999997</v>
      </c>
      <c r="I954" s="1763">
        <f t="shared" si="196"/>
        <v>0.46899999999999997</v>
      </c>
      <c r="J954" s="1762">
        <f t="shared" si="197"/>
        <v>0.23449999999999999</v>
      </c>
      <c r="K954" s="1763">
        <f t="shared" si="198"/>
        <v>0.23449999999999999</v>
      </c>
      <c r="L954" s="1764">
        <f t="shared" si="199"/>
        <v>0.38000000000000017</v>
      </c>
      <c r="M954" s="1765">
        <f t="shared" si="200"/>
        <v>0.38000000000000017</v>
      </c>
    </row>
    <row r="955" spans="1:13">
      <c r="A955" s="1749">
        <f t="shared" ref="A955:A1012" si="264">DATE(YEAR(D955),MONTH(D955),1)</f>
        <v>43160</v>
      </c>
      <c r="B955" s="1749" t="str">
        <f t="shared" ref="B955:B1012" si="265">VLOOKUP(MONTH(A955),$AB$4:$AC$17,2,FALSE) &amp; "Q" &amp; RIGHT(YEAR(A955),2)</f>
        <v>1Q18</v>
      </c>
      <c r="C955" s="1749" t="str">
        <f t="shared" ref="C955:C1012" si="266">VLOOKUP(MONTH(E955),$AB$4:$AC$17,2,FALSE) &amp; "Q" &amp; RIGHT(YEAR(E955),2)</f>
        <v>1Q18</v>
      </c>
      <c r="D955" s="1750">
        <f t="shared" ref="D955:E955" si="267">D954+7</f>
        <v>43185</v>
      </c>
      <c r="E955" s="1750">
        <f t="shared" si="267"/>
        <v>43178</v>
      </c>
      <c r="F955" s="1927">
        <v>2.972</v>
      </c>
      <c r="H955" s="1762">
        <f t="shared" ref="H955:H1014" si="268">INDEX($O$4:$R$440,MATCH(F955,$O$4:$O$440,1),3)</f>
        <v>0.46899999999999997</v>
      </c>
      <c r="I955" s="1763">
        <f t="shared" ref="I955:I1014" si="269">H956</f>
        <v>0.47399999999999998</v>
      </c>
      <c r="J955" s="1762">
        <f t="shared" ref="J955:J1014" si="270">INDEX($O$4:$R$440,MATCH(F955,$O$4:$O$440,1),4)</f>
        <v>0.23449999999999999</v>
      </c>
      <c r="K955" s="1763">
        <f t="shared" ref="K955:K1014" si="271">J956</f>
        <v>0.23699999999999999</v>
      </c>
      <c r="L955" s="1764">
        <f t="shared" ref="L955:L1014" si="272">INDEX($T$4:$V$100,MATCH(F955,$T$4:$T$100,1),3)</f>
        <v>0.38000000000000017</v>
      </c>
      <c r="M955" s="1765">
        <f t="shared" ref="M955:M1014" si="273">L956</f>
        <v>0.39000000000000018</v>
      </c>
    </row>
    <row r="956" spans="1:13">
      <c r="A956" s="1749">
        <f t="shared" si="264"/>
        <v>43191</v>
      </c>
      <c r="B956" s="1749" t="str">
        <f t="shared" si="265"/>
        <v>2Q18</v>
      </c>
      <c r="C956" s="1749" t="str">
        <f t="shared" si="266"/>
        <v>1Q18</v>
      </c>
      <c r="D956" s="1750">
        <f t="shared" ref="D956:E956" si="274">D955+7</f>
        <v>43192</v>
      </c>
      <c r="E956" s="1750">
        <f t="shared" si="274"/>
        <v>43185</v>
      </c>
      <c r="F956" s="1927">
        <v>3.01</v>
      </c>
      <c r="H956" s="1762">
        <f t="shared" si="268"/>
        <v>0.47399999999999998</v>
      </c>
      <c r="I956" s="1763">
        <f t="shared" si="269"/>
        <v>0.47399999999999998</v>
      </c>
      <c r="J956" s="1762">
        <f t="shared" si="270"/>
        <v>0.23699999999999999</v>
      </c>
      <c r="K956" s="1763">
        <f t="shared" si="271"/>
        <v>0.23699999999999999</v>
      </c>
      <c r="L956" s="1764">
        <f t="shared" si="272"/>
        <v>0.39000000000000018</v>
      </c>
      <c r="M956" s="1765">
        <f t="shared" si="273"/>
        <v>0.39000000000000018</v>
      </c>
    </row>
    <row r="957" spans="1:13">
      <c r="A957" s="1749">
        <f t="shared" si="264"/>
        <v>43191</v>
      </c>
      <c r="B957" s="1749" t="str">
        <f t="shared" si="265"/>
        <v>2Q18</v>
      </c>
      <c r="C957" s="1749" t="str">
        <f t="shared" si="266"/>
        <v>2Q18</v>
      </c>
      <c r="D957" s="1750">
        <f t="shared" ref="D957:E957" si="275">D956+7</f>
        <v>43199</v>
      </c>
      <c r="E957" s="1750">
        <f t="shared" si="275"/>
        <v>43192</v>
      </c>
      <c r="F957" s="1789">
        <f t="shared" ref="F957:F992" si="276">F956</f>
        <v>3.01</v>
      </c>
      <c r="H957" s="1762">
        <f t="shared" si="268"/>
        <v>0.47399999999999998</v>
      </c>
      <c r="I957" s="1763">
        <f t="shared" si="269"/>
        <v>0.47399999999999998</v>
      </c>
      <c r="J957" s="1762">
        <f t="shared" si="270"/>
        <v>0.23699999999999999</v>
      </c>
      <c r="K957" s="1763">
        <f t="shared" si="271"/>
        <v>0.23699999999999999</v>
      </c>
      <c r="L957" s="1764">
        <f t="shared" si="272"/>
        <v>0.39000000000000018</v>
      </c>
      <c r="M957" s="1765">
        <f t="shared" si="273"/>
        <v>0.39000000000000018</v>
      </c>
    </row>
    <row r="958" spans="1:13">
      <c r="A958" s="1749">
        <f t="shared" si="264"/>
        <v>43191</v>
      </c>
      <c r="B958" s="1749" t="str">
        <f t="shared" si="265"/>
        <v>2Q18</v>
      </c>
      <c r="C958" s="1749" t="str">
        <f t="shared" si="266"/>
        <v>2Q18</v>
      </c>
      <c r="D958" s="1750">
        <f t="shared" ref="D958:E958" si="277">D957+7</f>
        <v>43206</v>
      </c>
      <c r="E958" s="1750">
        <f t="shared" si="277"/>
        <v>43199</v>
      </c>
      <c r="F958" s="1789">
        <f t="shared" si="276"/>
        <v>3.01</v>
      </c>
      <c r="H958" s="1762">
        <f t="shared" si="268"/>
        <v>0.47399999999999998</v>
      </c>
      <c r="I958" s="1763">
        <f t="shared" si="269"/>
        <v>0.47399999999999998</v>
      </c>
      <c r="J958" s="1762">
        <f t="shared" si="270"/>
        <v>0.23699999999999999</v>
      </c>
      <c r="K958" s="1763">
        <f t="shared" si="271"/>
        <v>0.23699999999999999</v>
      </c>
      <c r="L958" s="1764">
        <f t="shared" si="272"/>
        <v>0.39000000000000018</v>
      </c>
      <c r="M958" s="1765">
        <f t="shared" si="273"/>
        <v>0.39000000000000018</v>
      </c>
    </row>
    <row r="959" spans="1:13">
      <c r="A959" s="1749">
        <f t="shared" si="264"/>
        <v>43191</v>
      </c>
      <c r="B959" s="1749" t="str">
        <f t="shared" si="265"/>
        <v>2Q18</v>
      </c>
      <c r="C959" s="1749" t="str">
        <f t="shared" si="266"/>
        <v>2Q18</v>
      </c>
      <c r="D959" s="1750">
        <f t="shared" ref="D959:E959" si="278">D958+7</f>
        <v>43213</v>
      </c>
      <c r="E959" s="1750">
        <f t="shared" si="278"/>
        <v>43206</v>
      </c>
      <c r="F959" s="1789">
        <f t="shared" si="276"/>
        <v>3.01</v>
      </c>
      <c r="H959" s="1762">
        <f t="shared" si="268"/>
        <v>0.47399999999999998</v>
      </c>
      <c r="I959" s="1763">
        <f t="shared" si="269"/>
        <v>0.47399999999999998</v>
      </c>
      <c r="J959" s="1762">
        <f t="shared" si="270"/>
        <v>0.23699999999999999</v>
      </c>
      <c r="K959" s="1763">
        <f t="shared" si="271"/>
        <v>0.23699999999999999</v>
      </c>
      <c r="L959" s="1764">
        <f t="shared" si="272"/>
        <v>0.39000000000000018</v>
      </c>
      <c r="M959" s="1765">
        <f t="shared" si="273"/>
        <v>0.39000000000000018</v>
      </c>
    </row>
    <row r="960" spans="1:13">
      <c r="A960" s="1749">
        <f t="shared" si="264"/>
        <v>43191</v>
      </c>
      <c r="B960" s="1749" t="str">
        <f t="shared" si="265"/>
        <v>2Q18</v>
      </c>
      <c r="C960" s="1749" t="str">
        <f t="shared" si="266"/>
        <v>2Q18</v>
      </c>
      <c r="D960" s="1750">
        <f t="shared" ref="D960:E960" si="279">D959+7</f>
        <v>43220</v>
      </c>
      <c r="E960" s="1750">
        <f t="shared" si="279"/>
        <v>43213</v>
      </c>
      <c r="F960" s="1789">
        <f t="shared" si="276"/>
        <v>3.01</v>
      </c>
      <c r="H960" s="1762">
        <f t="shared" si="268"/>
        <v>0.47399999999999998</v>
      </c>
      <c r="I960" s="1763">
        <f t="shared" si="269"/>
        <v>0.47399999999999998</v>
      </c>
      <c r="J960" s="1762">
        <f t="shared" si="270"/>
        <v>0.23699999999999999</v>
      </c>
      <c r="K960" s="1763">
        <f t="shared" si="271"/>
        <v>0.23699999999999999</v>
      </c>
      <c r="L960" s="1764">
        <f t="shared" si="272"/>
        <v>0.39000000000000018</v>
      </c>
      <c r="M960" s="1765">
        <f t="shared" si="273"/>
        <v>0.39000000000000018</v>
      </c>
    </row>
    <row r="961" spans="1:13">
      <c r="A961" s="1749">
        <f t="shared" si="264"/>
        <v>43221</v>
      </c>
      <c r="B961" s="1749" t="str">
        <f t="shared" si="265"/>
        <v>2Q18</v>
      </c>
      <c r="C961" s="1749" t="str">
        <f t="shared" si="266"/>
        <v>2Q18</v>
      </c>
      <c r="D961" s="1750">
        <f t="shared" ref="D961:E961" si="280">D960+7</f>
        <v>43227</v>
      </c>
      <c r="E961" s="1750">
        <f t="shared" si="280"/>
        <v>43220</v>
      </c>
      <c r="F961" s="1789">
        <f t="shared" si="276"/>
        <v>3.01</v>
      </c>
      <c r="H961" s="1762">
        <f t="shared" si="268"/>
        <v>0.47399999999999998</v>
      </c>
      <c r="I961" s="1763">
        <f t="shared" si="269"/>
        <v>0.47399999999999998</v>
      </c>
      <c r="J961" s="1762">
        <f t="shared" si="270"/>
        <v>0.23699999999999999</v>
      </c>
      <c r="K961" s="1763">
        <f t="shared" si="271"/>
        <v>0.23699999999999999</v>
      </c>
      <c r="L961" s="1764">
        <f t="shared" si="272"/>
        <v>0.39000000000000018</v>
      </c>
      <c r="M961" s="1765">
        <f t="shared" si="273"/>
        <v>0.39000000000000018</v>
      </c>
    </row>
    <row r="962" spans="1:13">
      <c r="A962" s="1749">
        <f t="shared" si="264"/>
        <v>43221</v>
      </c>
      <c r="B962" s="1749" t="str">
        <f t="shared" si="265"/>
        <v>2Q18</v>
      </c>
      <c r="C962" s="1749" t="str">
        <f t="shared" si="266"/>
        <v>2Q18</v>
      </c>
      <c r="D962" s="1750">
        <f t="shared" ref="D962:E962" si="281">D961+7</f>
        <v>43234</v>
      </c>
      <c r="E962" s="1750">
        <f t="shared" si="281"/>
        <v>43227</v>
      </c>
      <c r="F962" s="1789">
        <f t="shared" si="276"/>
        <v>3.01</v>
      </c>
      <c r="H962" s="1762">
        <f t="shared" si="268"/>
        <v>0.47399999999999998</v>
      </c>
      <c r="I962" s="1763">
        <f t="shared" si="269"/>
        <v>0.47399999999999998</v>
      </c>
      <c r="J962" s="1762">
        <f t="shared" si="270"/>
        <v>0.23699999999999999</v>
      </c>
      <c r="K962" s="1763">
        <f t="shared" si="271"/>
        <v>0.23699999999999999</v>
      </c>
      <c r="L962" s="1764">
        <f t="shared" si="272"/>
        <v>0.39000000000000018</v>
      </c>
      <c r="M962" s="1765">
        <f t="shared" si="273"/>
        <v>0.39000000000000018</v>
      </c>
    </row>
    <row r="963" spans="1:13">
      <c r="A963" s="1749">
        <f t="shared" si="264"/>
        <v>43221</v>
      </c>
      <c r="B963" s="1749" t="str">
        <f t="shared" si="265"/>
        <v>2Q18</v>
      </c>
      <c r="C963" s="1749" t="str">
        <f t="shared" si="266"/>
        <v>2Q18</v>
      </c>
      <c r="D963" s="1750">
        <f t="shared" ref="D963:E963" si="282">D962+7</f>
        <v>43241</v>
      </c>
      <c r="E963" s="1750">
        <f t="shared" si="282"/>
        <v>43234</v>
      </c>
      <c r="F963" s="1789">
        <f t="shared" si="276"/>
        <v>3.01</v>
      </c>
      <c r="H963" s="1762">
        <f t="shared" si="268"/>
        <v>0.47399999999999998</v>
      </c>
      <c r="I963" s="1763">
        <f t="shared" si="269"/>
        <v>0.47399999999999998</v>
      </c>
      <c r="J963" s="1762">
        <f t="shared" si="270"/>
        <v>0.23699999999999999</v>
      </c>
      <c r="K963" s="1763">
        <f t="shared" si="271"/>
        <v>0.23699999999999999</v>
      </c>
      <c r="L963" s="1764">
        <f t="shared" si="272"/>
        <v>0.39000000000000018</v>
      </c>
      <c r="M963" s="1765">
        <f t="shared" si="273"/>
        <v>0.39000000000000018</v>
      </c>
    </row>
    <row r="964" spans="1:13">
      <c r="A964" s="1749">
        <f t="shared" si="264"/>
        <v>43221</v>
      </c>
      <c r="B964" s="1749" t="str">
        <f t="shared" si="265"/>
        <v>2Q18</v>
      </c>
      <c r="C964" s="1749" t="str">
        <f t="shared" si="266"/>
        <v>2Q18</v>
      </c>
      <c r="D964" s="1750">
        <f t="shared" ref="D964:E964" si="283">D963+7</f>
        <v>43248</v>
      </c>
      <c r="E964" s="1750">
        <f t="shared" si="283"/>
        <v>43241</v>
      </c>
      <c r="F964" s="1789">
        <f t="shared" si="276"/>
        <v>3.01</v>
      </c>
      <c r="H964" s="1762">
        <f t="shared" si="268"/>
        <v>0.47399999999999998</v>
      </c>
      <c r="I964" s="1763">
        <f t="shared" si="269"/>
        <v>0.47399999999999998</v>
      </c>
      <c r="J964" s="1762">
        <f t="shared" si="270"/>
        <v>0.23699999999999999</v>
      </c>
      <c r="K964" s="1763">
        <f t="shared" si="271"/>
        <v>0.23699999999999999</v>
      </c>
      <c r="L964" s="1764">
        <f t="shared" si="272"/>
        <v>0.39000000000000018</v>
      </c>
      <c r="M964" s="1765">
        <f t="shared" si="273"/>
        <v>0.39000000000000018</v>
      </c>
    </row>
    <row r="965" spans="1:13">
      <c r="A965" s="1749">
        <f t="shared" si="264"/>
        <v>43252</v>
      </c>
      <c r="B965" s="1749" t="str">
        <f t="shared" si="265"/>
        <v>2Q18</v>
      </c>
      <c r="C965" s="1749" t="str">
        <f t="shared" si="266"/>
        <v>2Q18</v>
      </c>
      <c r="D965" s="1750">
        <f t="shared" ref="D965:E965" si="284">D964+7</f>
        <v>43255</v>
      </c>
      <c r="E965" s="1750">
        <f t="shared" si="284"/>
        <v>43248</v>
      </c>
      <c r="F965" s="1789">
        <f t="shared" si="276"/>
        <v>3.01</v>
      </c>
      <c r="H965" s="1762">
        <f t="shared" si="268"/>
        <v>0.47399999999999998</v>
      </c>
      <c r="I965" s="1763">
        <f t="shared" si="269"/>
        <v>0.47399999999999998</v>
      </c>
      <c r="J965" s="1762">
        <f t="shared" si="270"/>
        <v>0.23699999999999999</v>
      </c>
      <c r="K965" s="1763">
        <f t="shared" si="271"/>
        <v>0.23699999999999999</v>
      </c>
      <c r="L965" s="1764">
        <f t="shared" si="272"/>
        <v>0.39000000000000018</v>
      </c>
      <c r="M965" s="1765">
        <f t="shared" si="273"/>
        <v>0.39000000000000018</v>
      </c>
    </row>
    <row r="966" spans="1:13">
      <c r="A966" s="1749">
        <f t="shared" si="264"/>
        <v>43252</v>
      </c>
      <c r="B966" s="1749" t="str">
        <f t="shared" si="265"/>
        <v>2Q18</v>
      </c>
      <c r="C966" s="1749" t="str">
        <f t="shared" si="266"/>
        <v>2Q18</v>
      </c>
      <c r="D966" s="1750">
        <f t="shared" ref="D966:E966" si="285">D965+7</f>
        <v>43262</v>
      </c>
      <c r="E966" s="1750">
        <f t="shared" si="285"/>
        <v>43255</v>
      </c>
      <c r="F966" s="1789">
        <f t="shared" si="276"/>
        <v>3.01</v>
      </c>
      <c r="H966" s="1762">
        <f t="shared" si="268"/>
        <v>0.47399999999999998</v>
      </c>
      <c r="I966" s="1763">
        <f t="shared" si="269"/>
        <v>0.47399999999999998</v>
      </c>
      <c r="J966" s="1762">
        <f t="shared" si="270"/>
        <v>0.23699999999999999</v>
      </c>
      <c r="K966" s="1763">
        <f t="shared" si="271"/>
        <v>0.23699999999999999</v>
      </c>
      <c r="L966" s="1764">
        <f t="shared" si="272"/>
        <v>0.39000000000000018</v>
      </c>
      <c r="M966" s="1765">
        <f t="shared" si="273"/>
        <v>0.39000000000000018</v>
      </c>
    </row>
    <row r="967" spans="1:13">
      <c r="A967" s="1749">
        <f t="shared" si="264"/>
        <v>43252</v>
      </c>
      <c r="B967" s="1749" t="str">
        <f t="shared" si="265"/>
        <v>2Q18</v>
      </c>
      <c r="C967" s="1749" t="str">
        <f t="shared" si="266"/>
        <v>2Q18</v>
      </c>
      <c r="D967" s="1750">
        <f t="shared" ref="D967:E967" si="286">D966+7</f>
        <v>43269</v>
      </c>
      <c r="E967" s="1750">
        <f t="shared" si="286"/>
        <v>43262</v>
      </c>
      <c r="F967" s="1789">
        <f t="shared" si="276"/>
        <v>3.01</v>
      </c>
      <c r="H967" s="1762">
        <f t="shared" si="268"/>
        <v>0.47399999999999998</v>
      </c>
      <c r="I967" s="1763">
        <f t="shared" si="269"/>
        <v>0.47399999999999998</v>
      </c>
      <c r="J967" s="1762">
        <f t="shared" si="270"/>
        <v>0.23699999999999999</v>
      </c>
      <c r="K967" s="1763">
        <f t="shared" si="271"/>
        <v>0.23699999999999999</v>
      </c>
      <c r="L967" s="1764">
        <f t="shared" si="272"/>
        <v>0.39000000000000018</v>
      </c>
      <c r="M967" s="1765">
        <f t="shared" si="273"/>
        <v>0.39000000000000018</v>
      </c>
    </row>
    <row r="968" spans="1:13">
      <c r="A968" s="1749">
        <f t="shared" si="264"/>
        <v>43252</v>
      </c>
      <c r="B968" s="1749" t="str">
        <f t="shared" si="265"/>
        <v>2Q18</v>
      </c>
      <c r="C968" s="1749" t="str">
        <f t="shared" si="266"/>
        <v>2Q18</v>
      </c>
      <c r="D968" s="1750">
        <f t="shared" ref="D968:E968" si="287">D967+7</f>
        <v>43276</v>
      </c>
      <c r="E968" s="1750">
        <f t="shared" si="287"/>
        <v>43269</v>
      </c>
      <c r="F968" s="1789">
        <f t="shared" si="276"/>
        <v>3.01</v>
      </c>
      <c r="H968" s="1762">
        <f t="shared" si="268"/>
        <v>0.47399999999999998</v>
      </c>
      <c r="I968" s="1763">
        <f t="shared" si="269"/>
        <v>0.47399999999999998</v>
      </c>
      <c r="J968" s="1762">
        <f t="shared" si="270"/>
        <v>0.23699999999999999</v>
      </c>
      <c r="K968" s="1763">
        <f t="shared" si="271"/>
        <v>0.23699999999999999</v>
      </c>
      <c r="L968" s="1764">
        <f t="shared" si="272"/>
        <v>0.39000000000000018</v>
      </c>
      <c r="M968" s="1765">
        <f t="shared" si="273"/>
        <v>0.39000000000000018</v>
      </c>
    </row>
    <row r="969" spans="1:13">
      <c r="A969" s="1749">
        <f t="shared" si="264"/>
        <v>43282</v>
      </c>
      <c r="B969" s="1749" t="str">
        <f t="shared" si="265"/>
        <v>3Q18</v>
      </c>
      <c r="C969" s="1749" t="str">
        <f t="shared" si="266"/>
        <v>2Q18</v>
      </c>
      <c r="D969" s="1750">
        <f t="shared" ref="D969:E969" si="288">D968+7</f>
        <v>43283</v>
      </c>
      <c r="E969" s="1750">
        <f t="shared" si="288"/>
        <v>43276</v>
      </c>
      <c r="F969" s="1789">
        <f t="shared" si="276"/>
        <v>3.01</v>
      </c>
      <c r="H969" s="1762">
        <f t="shared" si="268"/>
        <v>0.47399999999999998</v>
      </c>
      <c r="I969" s="1763">
        <f t="shared" si="269"/>
        <v>0.47399999999999998</v>
      </c>
      <c r="J969" s="1762">
        <f t="shared" si="270"/>
        <v>0.23699999999999999</v>
      </c>
      <c r="K969" s="1763">
        <f t="shared" si="271"/>
        <v>0.23699999999999999</v>
      </c>
      <c r="L969" s="1764">
        <f t="shared" si="272"/>
        <v>0.39000000000000018</v>
      </c>
      <c r="M969" s="1765">
        <f t="shared" si="273"/>
        <v>0.39000000000000018</v>
      </c>
    </row>
    <row r="970" spans="1:13">
      <c r="A970" s="1749">
        <f t="shared" si="264"/>
        <v>43282</v>
      </c>
      <c r="B970" s="1749" t="str">
        <f t="shared" si="265"/>
        <v>3Q18</v>
      </c>
      <c r="C970" s="1749" t="str">
        <f t="shared" si="266"/>
        <v>3Q18</v>
      </c>
      <c r="D970" s="1750">
        <f t="shared" ref="D970:E970" si="289">D969+7</f>
        <v>43290</v>
      </c>
      <c r="E970" s="1750">
        <f t="shared" si="289"/>
        <v>43283</v>
      </c>
      <c r="F970" s="1789">
        <f t="shared" si="276"/>
        <v>3.01</v>
      </c>
      <c r="H970" s="1762">
        <f t="shared" si="268"/>
        <v>0.47399999999999998</v>
      </c>
      <c r="I970" s="1763">
        <f t="shared" si="269"/>
        <v>0.47399999999999998</v>
      </c>
      <c r="J970" s="1762">
        <f t="shared" si="270"/>
        <v>0.23699999999999999</v>
      </c>
      <c r="K970" s="1763">
        <f t="shared" si="271"/>
        <v>0.23699999999999999</v>
      </c>
      <c r="L970" s="1764">
        <f t="shared" si="272"/>
        <v>0.39000000000000018</v>
      </c>
      <c r="M970" s="1765">
        <f t="shared" si="273"/>
        <v>0.39000000000000018</v>
      </c>
    </row>
    <row r="971" spans="1:13">
      <c r="A971" s="1749">
        <f t="shared" si="264"/>
        <v>43282</v>
      </c>
      <c r="B971" s="1749" t="str">
        <f t="shared" si="265"/>
        <v>3Q18</v>
      </c>
      <c r="C971" s="1749" t="str">
        <f t="shared" si="266"/>
        <v>3Q18</v>
      </c>
      <c r="D971" s="1750">
        <f t="shared" ref="D971:E971" si="290">D970+7</f>
        <v>43297</v>
      </c>
      <c r="E971" s="1750">
        <f t="shared" si="290"/>
        <v>43290</v>
      </c>
      <c r="F971" s="1789">
        <f t="shared" si="276"/>
        <v>3.01</v>
      </c>
      <c r="H971" s="1762">
        <f t="shared" si="268"/>
        <v>0.47399999999999998</v>
      </c>
      <c r="I971" s="1763">
        <f t="shared" si="269"/>
        <v>0.47399999999999998</v>
      </c>
      <c r="J971" s="1762">
        <f t="shared" si="270"/>
        <v>0.23699999999999999</v>
      </c>
      <c r="K971" s="1763">
        <f t="shared" si="271"/>
        <v>0.23699999999999999</v>
      </c>
      <c r="L971" s="1764">
        <f t="shared" si="272"/>
        <v>0.39000000000000018</v>
      </c>
      <c r="M971" s="1765">
        <f t="shared" si="273"/>
        <v>0.39000000000000018</v>
      </c>
    </row>
    <row r="972" spans="1:13">
      <c r="A972" s="1749">
        <f t="shared" si="264"/>
        <v>43282</v>
      </c>
      <c r="B972" s="1749" t="str">
        <f t="shared" si="265"/>
        <v>3Q18</v>
      </c>
      <c r="C972" s="1749" t="str">
        <f t="shared" si="266"/>
        <v>3Q18</v>
      </c>
      <c r="D972" s="1750">
        <f t="shared" ref="D972:E972" si="291">D971+7</f>
        <v>43304</v>
      </c>
      <c r="E972" s="1750">
        <f t="shared" si="291"/>
        <v>43297</v>
      </c>
      <c r="F972" s="1789">
        <f t="shared" si="276"/>
        <v>3.01</v>
      </c>
      <c r="H972" s="1762">
        <f t="shared" si="268"/>
        <v>0.47399999999999998</v>
      </c>
      <c r="I972" s="1763">
        <f t="shared" si="269"/>
        <v>0.47399999999999998</v>
      </c>
      <c r="J972" s="1762">
        <f t="shared" si="270"/>
        <v>0.23699999999999999</v>
      </c>
      <c r="K972" s="1763">
        <f t="shared" si="271"/>
        <v>0.23699999999999999</v>
      </c>
      <c r="L972" s="1764">
        <f t="shared" si="272"/>
        <v>0.39000000000000018</v>
      </c>
      <c r="M972" s="1765">
        <f t="shared" si="273"/>
        <v>0.39000000000000018</v>
      </c>
    </row>
    <row r="973" spans="1:13">
      <c r="A973" s="1749">
        <f t="shared" si="264"/>
        <v>43282</v>
      </c>
      <c r="B973" s="1749" t="str">
        <f t="shared" si="265"/>
        <v>3Q18</v>
      </c>
      <c r="C973" s="1749" t="str">
        <f t="shared" si="266"/>
        <v>3Q18</v>
      </c>
      <c r="D973" s="1750">
        <f t="shared" ref="D973:E973" si="292">D972+7</f>
        <v>43311</v>
      </c>
      <c r="E973" s="1750">
        <f t="shared" si="292"/>
        <v>43304</v>
      </c>
      <c r="F973" s="1789">
        <f t="shared" si="276"/>
        <v>3.01</v>
      </c>
      <c r="H973" s="1762">
        <f t="shared" si="268"/>
        <v>0.47399999999999998</v>
      </c>
      <c r="I973" s="1763">
        <f t="shared" si="269"/>
        <v>0.47399999999999998</v>
      </c>
      <c r="J973" s="1762">
        <f t="shared" si="270"/>
        <v>0.23699999999999999</v>
      </c>
      <c r="K973" s="1763">
        <f t="shared" si="271"/>
        <v>0.23699999999999999</v>
      </c>
      <c r="L973" s="1764">
        <f t="shared" si="272"/>
        <v>0.39000000000000018</v>
      </c>
      <c r="M973" s="1765">
        <f t="shared" si="273"/>
        <v>0.39000000000000018</v>
      </c>
    </row>
    <row r="974" spans="1:13">
      <c r="A974" s="1749">
        <f t="shared" si="264"/>
        <v>43313</v>
      </c>
      <c r="B974" s="1749" t="str">
        <f t="shared" si="265"/>
        <v>3Q18</v>
      </c>
      <c r="C974" s="1749" t="str">
        <f t="shared" si="266"/>
        <v>3Q18</v>
      </c>
      <c r="D974" s="1750">
        <f t="shared" ref="D974:E974" si="293">D973+7</f>
        <v>43318</v>
      </c>
      <c r="E974" s="1750">
        <f t="shared" si="293"/>
        <v>43311</v>
      </c>
      <c r="F974" s="1789">
        <f t="shared" si="276"/>
        <v>3.01</v>
      </c>
      <c r="H974" s="1762">
        <f t="shared" si="268"/>
        <v>0.47399999999999998</v>
      </c>
      <c r="I974" s="1763">
        <f t="shared" si="269"/>
        <v>0.47399999999999998</v>
      </c>
      <c r="J974" s="1762">
        <f t="shared" si="270"/>
        <v>0.23699999999999999</v>
      </c>
      <c r="K974" s="1763">
        <f t="shared" si="271"/>
        <v>0.23699999999999999</v>
      </c>
      <c r="L974" s="1764">
        <f t="shared" si="272"/>
        <v>0.39000000000000018</v>
      </c>
      <c r="M974" s="1765">
        <f t="shared" si="273"/>
        <v>0.39000000000000018</v>
      </c>
    </row>
    <row r="975" spans="1:13">
      <c r="A975" s="1749">
        <f t="shared" si="264"/>
        <v>43313</v>
      </c>
      <c r="B975" s="1749" t="str">
        <f t="shared" si="265"/>
        <v>3Q18</v>
      </c>
      <c r="C975" s="1749" t="str">
        <f t="shared" si="266"/>
        <v>3Q18</v>
      </c>
      <c r="D975" s="1750">
        <f t="shared" ref="D975:E975" si="294">D974+7</f>
        <v>43325</v>
      </c>
      <c r="E975" s="1750">
        <f t="shared" si="294"/>
        <v>43318</v>
      </c>
      <c r="F975" s="1789">
        <f t="shared" si="276"/>
        <v>3.01</v>
      </c>
      <c r="H975" s="1762">
        <f t="shared" si="268"/>
        <v>0.47399999999999998</v>
      </c>
      <c r="I975" s="1763">
        <f t="shared" si="269"/>
        <v>0.47399999999999998</v>
      </c>
      <c r="J975" s="1762">
        <f t="shared" si="270"/>
        <v>0.23699999999999999</v>
      </c>
      <c r="K975" s="1763">
        <f t="shared" si="271"/>
        <v>0.23699999999999999</v>
      </c>
      <c r="L975" s="1764">
        <f t="shared" si="272"/>
        <v>0.39000000000000018</v>
      </c>
      <c r="M975" s="1765">
        <f t="shared" si="273"/>
        <v>0.39000000000000018</v>
      </c>
    </row>
    <row r="976" spans="1:13">
      <c r="A976" s="1749">
        <f t="shared" si="264"/>
        <v>43313</v>
      </c>
      <c r="B976" s="1749" t="str">
        <f t="shared" si="265"/>
        <v>3Q18</v>
      </c>
      <c r="C976" s="1749" t="str">
        <f t="shared" si="266"/>
        <v>3Q18</v>
      </c>
      <c r="D976" s="1750">
        <f t="shared" ref="D976:E976" si="295">D975+7</f>
        <v>43332</v>
      </c>
      <c r="E976" s="1750">
        <f t="shared" si="295"/>
        <v>43325</v>
      </c>
      <c r="F976" s="1789">
        <f t="shared" si="276"/>
        <v>3.01</v>
      </c>
      <c r="H976" s="1762">
        <f t="shared" si="268"/>
        <v>0.47399999999999998</v>
      </c>
      <c r="I976" s="1763">
        <f t="shared" si="269"/>
        <v>0.47399999999999998</v>
      </c>
      <c r="J976" s="1762">
        <f t="shared" si="270"/>
        <v>0.23699999999999999</v>
      </c>
      <c r="K976" s="1763">
        <f t="shared" si="271"/>
        <v>0.23699999999999999</v>
      </c>
      <c r="L976" s="1764">
        <f t="shared" si="272"/>
        <v>0.39000000000000018</v>
      </c>
      <c r="M976" s="1765">
        <f t="shared" si="273"/>
        <v>0.39000000000000018</v>
      </c>
    </row>
    <row r="977" spans="1:13">
      <c r="A977" s="1749">
        <f t="shared" si="264"/>
        <v>43313</v>
      </c>
      <c r="B977" s="1749" t="str">
        <f t="shared" si="265"/>
        <v>3Q18</v>
      </c>
      <c r="C977" s="1749" t="str">
        <f t="shared" si="266"/>
        <v>3Q18</v>
      </c>
      <c r="D977" s="1750">
        <f t="shared" ref="D977:E977" si="296">D976+7</f>
        <v>43339</v>
      </c>
      <c r="E977" s="1750">
        <f t="shared" si="296"/>
        <v>43332</v>
      </c>
      <c r="F977" s="1789">
        <f t="shared" si="276"/>
        <v>3.01</v>
      </c>
      <c r="H977" s="1762">
        <f t="shared" si="268"/>
        <v>0.47399999999999998</v>
      </c>
      <c r="I977" s="1763">
        <f t="shared" si="269"/>
        <v>0.47399999999999998</v>
      </c>
      <c r="J977" s="1762">
        <f t="shared" si="270"/>
        <v>0.23699999999999999</v>
      </c>
      <c r="K977" s="1763">
        <f t="shared" si="271"/>
        <v>0.23699999999999999</v>
      </c>
      <c r="L977" s="1764">
        <f t="shared" si="272"/>
        <v>0.39000000000000018</v>
      </c>
      <c r="M977" s="1765">
        <f t="shared" si="273"/>
        <v>0.39000000000000018</v>
      </c>
    </row>
    <row r="978" spans="1:13">
      <c r="A978" s="1749">
        <f t="shared" si="264"/>
        <v>43344</v>
      </c>
      <c r="B978" s="1749" t="str">
        <f t="shared" si="265"/>
        <v>3Q18</v>
      </c>
      <c r="C978" s="1749" t="str">
        <f t="shared" si="266"/>
        <v>3Q18</v>
      </c>
      <c r="D978" s="1750">
        <f t="shared" ref="D978:E978" si="297">D977+7</f>
        <v>43346</v>
      </c>
      <c r="E978" s="1750">
        <f t="shared" si="297"/>
        <v>43339</v>
      </c>
      <c r="F978" s="1789">
        <f t="shared" si="276"/>
        <v>3.01</v>
      </c>
      <c r="H978" s="1762">
        <f t="shared" si="268"/>
        <v>0.47399999999999998</v>
      </c>
      <c r="I978" s="1763">
        <f t="shared" si="269"/>
        <v>0.47399999999999998</v>
      </c>
      <c r="J978" s="1762">
        <f t="shared" si="270"/>
        <v>0.23699999999999999</v>
      </c>
      <c r="K978" s="1763">
        <f t="shared" si="271"/>
        <v>0.23699999999999999</v>
      </c>
      <c r="L978" s="1764">
        <f t="shared" si="272"/>
        <v>0.39000000000000018</v>
      </c>
      <c r="M978" s="1765">
        <f t="shared" si="273"/>
        <v>0.39000000000000018</v>
      </c>
    </row>
    <row r="979" spans="1:13">
      <c r="A979" s="1749">
        <f t="shared" si="264"/>
        <v>43344</v>
      </c>
      <c r="B979" s="1749" t="str">
        <f t="shared" si="265"/>
        <v>3Q18</v>
      </c>
      <c r="C979" s="1749" t="str">
        <f t="shared" si="266"/>
        <v>3Q18</v>
      </c>
      <c r="D979" s="1750">
        <f t="shared" ref="D979:E979" si="298">D978+7</f>
        <v>43353</v>
      </c>
      <c r="E979" s="1750">
        <f t="shared" si="298"/>
        <v>43346</v>
      </c>
      <c r="F979" s="1789">
        <f t="shared" si="276"/>
        <v>3.01</v>
      </c>
      <c r="H979" s="1762">
        <f t="shared" si="268"/>
        <v>0.47399999999999998</v>
      </c>
      <c r="I979" s="1763">
        <f t="shared" si="269"/>
        <v>0.47399999999999998</v>
      </c>
      <c r="J979" s="1762">
        <f t="shared" si="270"/>
        <v>0.23699999999999999</v>
      </c>
      <c r="K979" s="1763">
        <f t="shared" si="271"/>
        <v>0.23699999999999999</v>
      </c>
      <c r="L979" s="1764">
        <f t="shared" si="272"/>
        <v>0.39000000000000018</v>
      </c>
      <c r="M979" s="1765">
        <f t="shared" si="273"/>
        <v>0.39000000000000018</v>
      </c>
    </row>
    <row r="980" spans="1:13">
      <c r="A980" s="1749">
        <f t="shared" si="264"/>
        <v>43344</v>
      </c>
      <c r="B980" s="1749" t="str">
        <f t="shared" si="265"/>
        <v>3Q18</v>
      </c>
      <c r="C980" s="1749" t="str">
        <f t="shared" si="266"/>
        <v>3Q18</v>
      </c>
      <c r="D980" s="1750">
        <f t="shared" ref="D980:E980" si="299">D979+7</f>
        <v>43360</v>
      </c>
      <c r="E980" s="1750">
        <f t="shared" si="299"/>
        <v>43353</v>
      </c>
      <c r="F980" s="1789">
        <f t="shared" si="276"/>
        <v>3.01</v>
      </c>
      <c r="H980" s="1762">
        <f t="shared" si="268"/>
        <v>0.47399999999999998</v>
      </c>
      <c r="I980" s="1763">
        <f t="shared" si="269"/>
        <v>0.47399999999999998</v>
      </c>
      <c r="J980" s="1762">
        <f t="shared" si="270"/>
        <v>0.23699999999999999</v>
      </c>
      <c r="K980" s="1763">
        <f t="shared" si="271"/>
        <v>0.23699999999999999</v>
      </c>
      <c r="L980" s="1764">
        <f t="shared" si="272"/>
        <v>0.39000000000000018</v>
      </c>
      <c r="M980" s="1765">
        <f t="shared" si="273"/>
        <v>0.39000000000000018</v>
      </c>
    </row>
    <row r="981" spans="1:13">
      <c r="A981" s="1749">
        <f t="shared" si="264"/>
        <v>43344</v>
      </c>
      <c r="B981" s="1749" t="str">
        <f t="shared" si="265"/>
        <v>3Q18</v>
      </c>
      <c r="C981" s="1749" t="str">
        <f t="shared" si="266"/>
        <v>3Q18</v>
      </c>
      <c r="D981" s="1750">
        <f t="shared" ref="D981:E981" si="300">D980+7</f>
        <v>43367</v>
      </c>
      <c r="E981" s="1750">
        <f t="shared" si="300"/>
        <v>43360</v>
      </c>
      <c r="F981" s="1789">
        <f t="shared" si="276"/>
        <v>3.01</v>
      </c>
      <c r="H981" s="1762">
        <f t="shared" si="268"/>
        <v>0.47399999999999998</v>
      </c>
      <c r="I981" s="1763">
        <f t="shared" si="269"/>
        <v>0.47399999999999998</v>
      </c>
      <c r="J981" s="1762">
        <f t="shared" si="270"/>
        <v>0.23699999999999999</v>
      </c>
      <c r="K981" s="1763">
        <f t="shared" si="271"/>
        <v>0.23699999999999999</v>
      </c>
      <c r="L981" s="1764">
        <f t="shared" si="272"/>
        <v>0.39000000000000018</v>
      </c>
      <c r="M981" s="1765">
        <f t="shared" si="273"/>
        <v>0.39000000000000018</v>
      </c>
    </row>
    <row r="982" spans="1:13">
      <c r="A982" s="1749">
        <f t="shared" si="264"/>
        <v>43374</v>
      </c>
      <c r="B982" s="1749" t="str">
        <f t="shared" si="265"/>
        <v>4Q18</v>
      </c>
      <c r="C982" s="1749" t="str">
        <f t="shared" si="266"/>
        <v>3Q18</v>
      </c>
      <c r="D982" s="1750">
        <f t="shared" ref="D982:E982" si="301">D981+7</f>
        <v>43374</v>
      </c>
      <c r="E982" s="1750">
        <f t="shared" si="301"/>
        <v>43367</v>
      </c>
      <c r="F982" s="1789">
        <f t="shared" si="276"/>
        <v>3.01</v>
      </c>
      <c r="H982" s="1762">
        <f t="shared" si="268"/>
        <v>0.47399999999999998</v>
      </c>
      <c r="I982" s="1763">
        <f t="shared" si="269"/>
        <v>0.47399999999999998</v>
      </c>
      <c r="J982" s="1762">
        <f t="shared" si="270"/>
        <v>0.23699999999999999</v>
      </c>
      <c r="K982" s="1763">
        <f t="shared" si="271"/>
        <v>0.23699999999999999</v>
      </c>
      <c r="L982" s="1764">
        <f t="shared" si="272"/>
        <v>0.39000000000000018</v>
      </c>
      <c r="M982" s="1765">
        <f t="shared" si="273"/>
        <v>0.39000000000000018</v>
      </c>
    </row>
    <row r="983" spans="1:13">
      <c r="A983" s="1749">
        <f t="shared" si="264"/>
        <v>43374</v>
      </c>
      <c r="B983" s="1749" t="str">
        <f t="shared" si="265"/>
        <v>4Q18</v>
      </c>
      <c r="C983" s="1749" t="str">
        <f t="shared" si="266"/>
        <v>4Q18</v>
      </c>
      <c r="D983" s="1750">
        <f t="shared" ref="D983:E983" si="302">D982+7</f>
        <v>43381</v>
      </c>
      <c r="E983" s="1750">
        <f t="shared" si="302"/>
        <v>43374</v>
      </c>
      <c r="F983" s="1789">
        <f t="shared" si="276"/>
        <v>3.01</v>
      </c>
      <c r="H983" s="1762">
        <f t="shared" si="268"/>
        <v>0.47399999999999998</v>
      </c>
      <c r="I983" s="1763">
        <f t="shared" si="269"/>
        <v>0.47399999999999998</v>
      </c>
      <c r="J983" s="1762">
        <f t="shared" si="270"/>
        <v>0.23699999999999999</v>
      </c>
      <c r="K983" s="1763">
        <f t="shared" si="271"/>
        <v>0.23699999999999999</v>
      </c>
      <c r="L983" s="1764">
        <f t="shared" si="272"/>
        <v>0.39000000000000018</v>
      </c>
      <c r="M983" s="1765">
        <f t="shared" si="273"/>
        <v>0.39000000000000018</v>
      </c>
    </row>
    <row r="984" spans="1:13">
      <c r="A984" s="1749">
        <f t="shared" si="264"/>
        <v>43374</v>
      </c>
      <c r="B984" s="1749" t="str">
        <f t="shared" si="265"/>
        <v>4Q18</v>
      </c>
      <c r="C984" s="1749" t="str">
        <f t="shared" si="266"/>
        <v>4Q18</v>
      </c>
      <c r="D984" s="1750">
        <f t="shared" ref="D984:E984" si="303">D983+7</f>
        <v>43388</v>
      </c>
      <c r="E984" s="1750">
        <f t="shared" si="303"/>
        <v>43381</v>
      </c>
      <c r="F984" s="1789">
        <f t="shared" si="276"/>
        <v>3.01</v>
      </c>
      <c r="H984" s="1762">
        <f t="shared" si="268"/>
        <v>0.47399999999999998</v>
      </c>
      <c r="I984" s="1763">
        <f t="shared" si="269"/>
        <v>0.47399999999999998</v>
      </c>
      <c r="J984" s="1762">
        <f t="shared" si="270"/>
        <v>0.23699999999999999</v>
      </c>
      <c r="K984" s="1763">
        <f t="shared" si="271"/>
        <v>0.23699999999999999</v>
      </c>
      <c r="L984" s="1764">
        <f t="shared" si="272"/>
        <v>0.39000000000000018</v>
      </c>
      <c r="M984" s="1765">
        <f t="shared" si="273"/>
        <v>0.39000000000000018</v>
      </c>
    </row>
    <row r="985" spans="1:13">
      <c r="A985" s="1749">
        <f t="shared" si="264"/>
        <v>43374</v>
      </c>
      <c r="B985" s="1749" t="str">
        <f t="shared" si="265"/>
        <v>4Q18</v>
      </c>
      <c r="C985" s="1749" t="str">
        <f t="shared" si="266"/>
        <v>4Q18</v>
      </c>
      <c r="D985" s="1750">
        <f t="shared" ref="D985:E985" si="304">D984+7</f>
        <v>43395</v>
      </c>
      <c r="E985" s="1750">
        <f t="shared" si="304"/>
        <v>43388</v>
      </c>
      <c r="F985" s="1789">
        <f t="shared" si="276"/>
        <v>3.01</v>
      </c>
      <c r="H985" s="1762">
        <f t="shared" si="268"/>
        <v>0.47399999999999998</v>
      </c>
      <c r="I985" s="1763">
        <f t="shared" si="269"/>
        <v>0.47399999999999998</v>
      </c>
      <c r="J985" s="1762">
        <f t="shared" si="270"/>
        <v>0.23699999999999999</v>
      </c>
      <c r="K985" s="1763">
        <f t="shared" si="271"/>
        <v>0.23699999999999999</v>
      </c>
      <c r="L985" s="1764">
        <f t="shared" si="272"/>
        <v>0.39000000000000018</v>
      </c>
      <c r="M985" s="1765">
        <f t="shared" si="273"/>
        <v>0.39000000000000018</v>
      </c>
    </row>
    <row r="986" spans="1:13">
      <c r="A986" s="1749">
        <f t="shared" si="264"/>
        <v>43374</v>
      </c>
      <c r="B986" s="1749" t="str">
        <f t="shared" si="265"/>
        <v>4Q18</v>
      </c>
      <c r="C986" s="1749" t="str">
        <f t="shared" si="266"/>
        <v>4Q18</v>
      </c>
      <c r="D986" s="1750">
        <f t="shared" ref="D986:E986" si="305">D985+7</f>
        <v>43402</v>
      </c>
      <c r="E986" s="1750">
        <f t="shared" si="305"/>
        <v>43395</v>
      </c>
      <c r="F986" s="1789">
        <f t="shared" si="276"/>
        <v>3.01</v>
      </c>
      <c r="H986" s="1762">
        <f t="shared" si="268"/>
        <v>0.47399999999999998</v>
      </c>
      <c r="I986" s="1763">
        <f t="shared" si="269"/>
        <v>0.47399999999999998</v>
      </c>
      <c r="J986" s="1762">
        <f t="shared" si="270"/>
        <v>0.23699999999999999</v>
      </c>
      <c r="K986" s="1763">
        <f t="shared" si="271"/>
        <v>0.23699999999999999</v>
      </c>
      <c r="L986" s="1764">
        <f t="shared" si="272"/>
        <v>0.39000000000000018</v>
      </c>
      <c r="M986" s="1765">
        <f t="shared" si="273"/>
        <v>0.39000000000000018</v>
      </c>
    </row>
    <row r="987" spans="1:13">
      <c r="A987" s="1749">
        <f t="shared" si="264"/>
        <v>43405</v>
      </c>
      <c r="B987" s="1749" t="str">
        <f t="shared" si="265"/>
        <v>4Q18</v>
      </c>
      <c r="C987" s="1749" t="str">
        <f t="shared" si="266"/>
        <v>4Q18</v>
      </c>
      <c r="D987" s="1750">
        <f t="shared" ref="D987:E987" si="306">D986+7</f>
        <v>43409</v>
      </c>
      <c r="E987" s="1750">
        <f t="shared" si="306"/>
        <v>43402</v>
      </c>
      <c r="F987" s="1789">
        <f t="shared" si="276"/>
        <v>3.01</v>
      </c>
      <c r="H987" s="1762">
        <f t="shared" si="268"/>
        <v>0.47399999999999998</v>
      </c>
      <c r="I987" s="1763">
        <f t="shared" si="269"/>
        <v>0.47399999999999998</v>
      </c>
      <c r="J987" s="1762">
        <f t="shared" si="270"/>
        <v>0.23699999999999999</v>
      </c>
      <c r="K987" s="1763">
        <f t="shared" si="271"/>
        <v>0.23699999999999999</v>
      </c>
      <c r="L987" s="1764">
        <f t="shared" si="272"/>
        <v>0.39000000000000018</v>
      </c>
      <c r="M987" s="1765">
        <f t="shared" si="273"/>
        <v>0.39000000000000018</v>
      </c>
    </row>
    <row r="988" spans="1:13">
      <c r="A988" s="1749">
        <f t="shared" si="264"/>
        <v>43405</v>
      </c>
      <c r="B988" s="1749" t="str">
        <f t="shared" si="265"/>
        <v>4Q18</v>
      </c>
      <c r="C988" s="1749" t="str">
        <f t="shared" si="266"/>
        <v>4Q18</v>
      </c>
      <c r="D988" s="1750">
        <f t="shared" ref="D988:E988" si="307">D987+7</f>
        <v>43416</v>
      </c>
      <c r="E988" s="1750">
        <f t="shared" si="307"/>
        <v>43409</v>
      </c>
      <c r="F988" s="1789">
        <f t="shared" si="276"/>
        <v>3.01</v>
      </c>
      <c r="H988" s="1762">
        <f t="shared" si="268"/>
        <v>0.47399999999999998</v>
      </c>
      <c r="I988" s="1763">
        <f t="shared" si="269"/>
        <v>0.47399999999999998</v>
      </c>
      <c r="J988" s="1762">
        <f t="shared" si="270"/>
        <v>0.23699999999999999</v>
      </c>
      <c r="K988" s="1763">
        <f t="shared" si="271"/>
        <v>0.23699999999999999</v>
      </c>
      <c r="L988" s="1764">
        <f t="shared" si="272"/>
        <v>0.39000000000000018</v>
      </c>
      <c r="M988" s="1765">
        <f t="shared" si="273"/>
        <v>0.39000000000000018</v>
      </c>
    </row>
    <row r="989" spans="1:13">
      <c r="A989" s="1749">
        <f t="shared" si="264"/>
        <v>43405</v>
      </c>
      <c r="B989" s="1749" t="str">
        <f t="shared" si="265"/>
        <v>4Q18</v>
      </c>
      <c r="C989" s="1749" t="str">
        <f t="shared" si="266"/>
        <v>4Q18</v>
      </c>
      <c r="D989" s="1750">
        <f t="shared" ref="D989:E989" si="308">D988+7</f>
        <v>43423</v>
      </c>
      <c r="E989" s="1750">
        <f t="shared" si="308"/>
        <v>43416</v>
      </c>
      <c r="F989" s="1789">
        <f t="shared" si="276"/>
        <v>3.01</v>
      </c>
      <c r="H989" s="1762">
        <f t="shared" si="268"/>
        <v>0.47399999999999998</v>
      </c>
      <c r="I989" s="1763">
        <f t="shared" si="269"/>
        <v>0.47399999999999998</v>
      </c>
      <c r="J989" s="1762">
        <f t="shared" si="270"/>
        <v>0.23699999999999999</v>
      </c>
      <c r="K989" s="1763">
        <f t="shared" si="271"/>
        <v>0.23699999999999999</v>
      </c>
      <c r="L989" s="1764">
        <f t="shared" si="272"/>
        <v>0.39000000000000018</v>
      </c>
      <c r="M989" s="1765">
        <f t="shared" si="273"/>
        <v>0.39000000000000018</v>
      </c>
    </row>
    <row r="990" spans="1:13">
      <c r="A990" s="1749">
        <f t="shared" si="264"/>
        <v>43405</v>
      </c>
      <c r="B990" s="1749" t="str">
        <f t="shared" si="265"/>
        <v>4Q18</v>
      </c>
      <c r="C990" s="1749" t="str">
        <f t="shared" si="266"/>
        <v>4Q18</v>
      </c>
      <c r="D990" s="1750">
        <f t="shared" ref="D990:E990" si="309">D989+7</f>
        <v>43430</v>
      </c>
      <c r="E990" s="1750">
        <f t="shared" si="309"/>
        <v>43423</v>
      </c>
      <c r="F990" s="1789">
        <f t="shared" si="276"/>
        <v>3.01</v>
      </c>
      <c r="H990" s="1762">
        <f t="shared" si="268"/>
        <v>0.47399999999999998</v>
      </c>
      <c r="I990" s="1763">
        <f t="shared" si="269"/>
        <v>0.47399999999999998</v>
      </c>
      <c r="J990" s="1762">
        <f t="shared" si="270"/>
        <v>0.23699999999999999</v>
      </c>
      <c r="K990" s="1763">
        <f t="shared" si="271"/>
        <v>0.23699999999999999</v>
      </c>
      <c r="L990" s="1764">
        <f t="shared" si="272"/>
        <v>0.39000000000000018</v>
      </c>
      <c r="M990" s="1765">
        <f t="shared" si="273"/>
        <v>0.39000000000000018</v>
      </c>
    </row>
    <row r="991" spans="1:13">
      <c r="A991" s="1749">
        <f t="shared" si="264"/>
        <v>43435</v>
      </c>
      <c r="B991" s="1749" t="str">
        <f t="shared" si="265"/>
        <v>4Q18</v>
      </c>
      <c r="C991" s="1749" t="str">
        <f t="shared" si="266"/>
        <v>4Q18</v>
      </c>
      <c r="D991" s="1750">
        <f t="shared" ref="D991:E991" si="310">D990+7</f>
        <v>43437</v>
      </c>
      <c r="E991" s="1750">
        <f t="shared" si="310"/>
        <v>43430</v>
      </c>
      <c r="F991" s="1789">
        <f t="shared" si="276"/>
        <v>3.01</v>
      </c>
      <c r="H991" s="1762">
        <f t="shared" si="268"/>
        <v>0.47399999999999998</v>
      </c>
      <c r="I991" s="1763">
        <f t="shared" si="269"/>
        <v>0.47399999999999998</v>
      </c>
      <c r="J991" s="1762">
        <f t="shared" si="270"/>
        <v>0.23699999999999999</v>
      </c>
      <c r="K991" s="1763">
        <f t="shared" si="271"/>
        <v>0.23699999999999999</v>
      </c>
      <c r="L991" s="1764">
        <f t="shared" si="272"/>
        <v>0.39000000000000018</v>
      </c>
      <c r="M991" s="1765">
        <f t="shared" si="273"/>
        <v>0.39000000000000018</v>
      </c>
    </row>
    <row r="992" spans="1:13">
      <c r="A992" s="1749">
        <f t="shared" si="264"/>
        <v>43435</v>
      </c>
      <c r="B992" s="1749" t="str">
        <f t="shared" si="265"/>
        <v>4Q18</v>
      </c>
      <c r="C992" s="1749" t="str">
        <f t="shared" si="266"/>
        <v>4Q18</v>
      </c>
      <c r="D992" s="1750">
        <f t="shared" ref="D992:E992" si="311">D991+7</f>
        <v>43444</v>
      </c>
      <c r="E992" s="1750">
        <f t="shared" si="311"/>
        <v>43437</v>
      </c>
      <c r="F992" s="1789">
        <f t="shared" si="276"/>
        <v>3.01</v>
      </c>
      <c r="H992" s="1762">
        <f t="shared" si="268"/>
        <v>0.47399999999999998</v>
      </c>
      <c r="I992" s="1763">
        <f t="shared" si="269"/>
        <v>0.47399999999999998</v>
      </c>
      <c r="J992" s="1762">
        <f t="shared" si="270"/>
        <v>0.23699999999999999</v>
      </c>
      <c r="K992" s="1763">
        <f t="shared" si="271"/>
        <v>0.23699999999999999</v>
      </c>
      <c r="L992" s="1764">
        <f t="shared" si="272"/>
        <v>0.39000000000000018</v>
      </c>
      <c r="M992" s="1765">
        <f t="shared" si="273"/>
        <v>0.39000000000000018</v>
      </c>
    </row>
    <row r="993" spans="1:13">
      <c r="A993" s="1749">
        <f t="shared" si="264"/>
        <v>43435</v>
      </c>
      <c r="B993" s="1749" t="str">
        <f t="shared" si="265"/>
        <v>4Q18</v>
      </c>
      <c r="C993" s="1749" t="str">
        <f t="shared" si="266"/>
        <v>4Q18</v>
      </c>
      <c r="D993" s="1750">
        <f t="shared" ref="D993:E993" si="312">D992+7</f>
        <v>43451</v>
      </c>
      <c r="E993" s="1750">
        <f t="shared" si="312"/>
        <v>43444</v>
      </c>
      <c r="F993" s="1789">
        <f t="shared" ref="F993:F1056" si="313">F992</f>
        <v>3.01</v>
      </c>
      <c r="H993" s="1762">
        <f t="shared" si="268"/>
        <v>0.47399999999999998</v>
      </c>
      <c r="I993" s="1763">
        <f t="shared" si="269"/>
        <v>0.47399999999999998</v>
      </c>
      <c r="J993" s="1762">
        <f t="shared" si="270"/>
        <v>0.23699999999999999</v>
      </c>
      <c r="K993" s="1763">
        <f t="shared" si="271"/>
        <v>0.23699999999999999</v>
      </c>
      <c r="L993" s="1764">
        <f t="shared" si="272"/>
        <v>0.39000000000000018</v>
      </c>
      <c r="M993" s="1765">
        <f t="shared" si="273"/>
        <v>0.39000000000000018</v>
      </c>
    </row>
    <row r="994" spans="1:13">
      <c r="A994" s="1749">
        <f t="shared" si="264"/>
        <v>43435</v>
      </c>
      <c r="B994" s="1749" t="str">
        <f t="shared" si="265"/>
        <v>4Q18</v>
      </c>
      <c r="C994" s="1749" t="str">
        <f t="shared" si="266"/>
        <v>4Q18</v>
      </c>
      <c r="D994" s="1750">
        <f t="shared" ref="D994:E994" si="314">D993+7</f>
        <v>43458</v>
      </c>
      <c r="E994" s="1750">
        <f t="shared" si="314"/>
        <v>43451</v>
      </c>
      <c r="F994" s="1789">
        <f t="shared" si="313"/>
        <v>3.01</v>
      </c>
      <c r="H994" s="1762">
        <f t="shared" si="268"/>
        <v>0.47399999999999998</v>
      </c>
      <c r="I994" s="1763">
        <f t="shared" si="269"/>
        <v>0.47399999999999998</v>
      </c>
      <c r="J994" s="1762">
        <f t="shared" si="270"/>
        <v>0.23699999999999999</v>
      </c>
      <c r="K994" s="1763">
        <f t="shared" si="271"/>
        <v>0.23699999999999999</v>
      </c>
      <c r="L994" s="1764">
        <f t="shared" si="272"/>
        <v>0.39000000000000018</v>
      </c>
      <c r="M994" s="1765">
        <f t="shared" si="273"/>
        <v>0.39000000000000018</v>
      </c>
    </row>
    <row r="995" spans="1:13">
      <c r="A995" s="1749">
        <f t="shared" si="264"/>
        <v>43435</v>
      </c>
      <c r="B995" s="1749" t="str">
        <f t="shared" si="265"/>
        <v>4Q18</v>
      </c>
      <c r="C995" s="1749" t="str">
        <f t="shared" si="266"/>
        <v>4Q18</v>
      </c>
      <c r="D995" s="1750">
        <f t="shared" ref="D995:E995" si="315">D994+7</f>
        <v>43465</v>
      </c>
      <c r="E995" s="1750">
        <f t="shared" si="315"/>
        <v>43458</v>
      </c>
      <c r="F995" s="1789">
        <f t="shared" si="313"/>
        <v>3.01</v>
      </c>
      <c r="H995" s="1762">
        <f t="shared" si="268"/>
        <v>0.47399999999999998</v>
      </c>
      <c r="I995" s="1763">
        <f t="shared" si="269"/>
        <v>0.47399999999999998</v>
      </c>
      <c r="J995" s="1762">
        <f t="shared" si="270"/>
        <v>0.23699999999999999</v>
      </c>
      <c r="K995" s="1763">
        <f t="shared" si="271"/>
        <v>0.23699999999999999</v>
      </c>
      <c r="L995" s="1764">
        <f t="shared" si="272"/>
        <v>0.39000000000000018</v>
      </c>
      <c r="M995" s="1765">
        <f t="shared" si="273"/>
        <v>0.39000000000000018</v>
      </c>
    </row>
    <row r="996" spans="1:13">
      <c r="A996" s="1749">
        <f t="shared" si="264"/>
        <v>43466</v>
      </c>
      <c r="B996" s="1749" t="str">
        <f t="shared" si="265"/>
        <v>1Q19</v>
      </c>
      <c r="C996" s="1749" t="str">
        <f t="shared" si="266"/>
        <v>4Q18</v>
      </c>
      <c r="D996" s="1750">
        <f t="shared" ref="D996:E996" si="316">D995+7</f>
        <v>43472</v>
      </c>
      <c r="E996" s="1750">
        <f t="shared" si="316"/>
        <v>43465</v>
      </c>
      <c r="F996" s="1789">
        <f t="shared" si="313"/>
        <v>3.01</v>
      </c>
      <c r="H996" s="1762">
        <f t="shared" si="268"/>
        <v>0.47399999999999998</v>
      </c>
      <c r="I996" s="1763">
        <f t="shared" si="269"/>
        <v>0.47399999999999998</v>
      </c>
      <c r="J996" s="1762">
        <f t="shared" si="270"/>
        <v>0.23699999999999999</v>
      </c>
      <c r="K996" s="1763">
        <f t="shared" si="271"/>
        <v>0.23699999999999999</v>
      </c>
      <c r="L996" s="1764">
        <f t="shared" si="272"/>
        <v>0.39000000000000018</v>
      </c>
      <c r="M996" s="1765">
        <f t="shared" si="273"/>
        <v>0.39000000000000018</v>
      </c>
    </row>
    <row r="997" spans="1:13">
      <c r="A997" s="1749">
        <f t="shared" si="264"/>
        <v>43466</v>
      </c>
      <c r="B997" s="1749" t="str">
        <f t="shared" si="265"/>
        <v>1Q19</v>
      </c>
      <c r="C997" s="1749" t="str">
        <f t="shared" si="266"/>
        <v>1Q19</v>
      </c>
      <c r="D997" s="1750">
        <f t="shared" ref="D997:E997" si="317">D996+7</f>
        <v>43479</v>
      </c>
      <c r="E997" s="1750">
        <f t="shared" si="317"/>
        <v>43472</v>
      </c>
      <c r="F997" s="1789">
        <f t="shared" si="313"/>
        <v>3.01</v>
      </c>
      <c r="H997" s="1762">
        <f t="shared" si="268"/>
        <v>0.47399999999999998</v>
      </c>
      <c r="I997" s="1763">
        <f t="shared" si="269"/>
        <v>0.47399999999999998</v>
      </c>
      <c r="J997" s="1762">
        <f t="shared" si="270"/>
        <v>0.23699999999999999</v>
      </c>
      <c r="K997" s="1763">
        <f t="shared" si="271"/>
        <v>0.23699999999999999</v>
      </c>
      <c r="L997" s="1764">
        <f t="shared" si="272"/>
        <v>0.39000000000000018</v>
      </c>
      <c r="M997" s="1765">
        <f t="shared" si="273"/>
        <v>0.39000000000000018</v>
      </c>
    </row>
    <row r="998" spans="1:13">
      <c r="A998" s="1749">
        <f t="shared" si="264"/>
        <v>43466</v>
      </c>
      <c r="B998" s="1749" t="str">
        <f t="shared" si="265"/>
        <v>1Q19</v>
      </c>
      <c r="C998" s="1749" t="str">
        <f t="shared" si="266"/>
        <v>1Q19</v>
      </c>
      <c r="D998" s="1750">
        <f t="shared" ref="D998:E998" si="318">D997+7</f>
        <v>43486</v>
      </c>
      <c r="E998" s="1750">
        <f t="shared" si="318"/>
        <v>43479</v>
      </c>
      <c r="F998" s="1789">
        <f t="shared" si="313"/>
        <v>3.01</v>
      </c>
      <c r="H998" s="1762">
        <f t="shared" si="268"/>
        <v>0.47399999999999998</v>
      </c>
      <c r="I998" s="1763">
        <f t="shared" si="269"/>
        <v>0.47399999999999998</v>
      </c>
      <c r="J998" s="1762">
        <f t="shared" si="270"/>
        <v>0.23699999999999999</v>
      </c>
      <c r="K998" s="1763">
        <f t="shared" si="271"/>
        <v>0.23699999999999999</v>
      </c>
      <c r="L998" s="1764">
        <f t="shared" si="272"/>
        <v>0.39000000000000018</v>
      </c>
      <c r="M998" s="1765">
        <f t="shared" si="273"/>
        <v>0.39000000000000018</v>
      </c>
    </row>
    <row r="999" spans="1:13">
      <c r="A999" s="1749">
        <f t="shared" si="264"/>
        <v>43466</v>
      </c>
      <c r="B999" s="1749" t="str">
        <f t="shared" si="265"/>
        <v>1Q19</v>
      </c>
      <c r="C999" s="1749" t="str">
        <f t="shared" si="266"/>
        <v>1Q19</v>
      </c>
      <c r="D999" s="1750">
        <f t="shared" ref="D999:E999" si="319">D998+7</f>
        <v>43493</v>
      </c>
      <c r="E999" s="1750">
        <f t="shared" si="319"/>
        <v>43486</v>
      </c>
      <c r="F999" s="1789">
        <f t="shared" si="313"/>
        <v>3.01</v>
      </c>
      <c r="H999" s="1762">
        <f t="shared" si="268"/>
        <v>0.47399999999999998</v>
      </c>
      <c r="I999" s="1763">
        <f t="shared" si="269"/>
        <v>0.47399999999999998</v>
      </c>
      <c r="J999" s="1762">
        <f t="shared" si="270"/>
        <v>0.23699999999999999</v>
      </c>
      <c r="K999" s="1763">
        <f t="shared" si="271"/>
        <v>0.23699999999999999</v>
      </c>
      <c r="L999" s="1764">
        <f t="shared" si="272"/>
        <v>0.39000000000000018</v>
      </c>
      <c r="M999" s="1765">
        <f t="shared" si="273"/>
        <v>0.39000000000000018</v>
      </c>
    </row>
    <row r="1000" spans="1:13">
      <c r="A1000" s="1749">
        <f t="shared" si="264"/>
        <v>43497</v>
      </c>
      <c r="B1000" s="1749" t="str">
        <f t="shared" si="265"/>
        <v>1Q19</v>
      </c>
      <c r="C1000" s="1749" t="str">
        <f t="shared" si="266"/>
        <v>1Q19</v>
      </c>
      <c r="D1000" s="1750">
        <f t="shared" ref="D1000:E1000" si="320">D999+7</f>
        <v>43500</v>
      </c>
      <c r="E1000" s="1750">
        <f t="shared" si="320"/>
        <v>43493</v>
      </c>
      <c r="F1000" s="1789">
        <f t="shared" si="313"/>
        <v>3.01</v>
      </c>
      <c r="H1000" s="1762">
        <f t="shared" si="268"/>
        <v>0.47399999999999998</v>
      </c>
      <c r="I1000" s="1763">
        <f t="shared" si="269"/>
        <v>0.47399999999999998</v>
      </c>
      <c r="J1000" s="1762">
        <f t="shared" si="270"/>
        <v>0.23699999999999999</v>
      </c>
      <c r="K1000" s="1763">
        <f t="shared" si="271"/>
        <v>0.23699999999999999</v>
      </c>
      <c r="L1000" s="1764">
        <f t="shared" si="272"/>
        <v>0.39000000000000018</v>
      </c>
      <c r="M1000" s="1765">
        <f t="shared" si="273"/>
        <v>0.39000000000000018</v>
      </c>
    </row>
    <row r="1001" spans="1:13">
      <c r="A1001" s="1749">
        <f t="shared" si="264"/>
        <v>43497</v>
      </c>
      <c r="B1001" s="1749" t="str">
        <f t="shared" si="265"/>
        <v>1Q19</v>
      </c>
      <c r="C1001" s="1749" t="str">
        <f t="shared" si="266"/>
        <v>1Q19</v>
      </c>
      <c r="D1001" s="1750">
        <f t="shared" ref="D1001:E1001" si="321">D1000+7</f>
        <v>43507</v>
      </c>
      <c r="E1001" s="1750">
        <f t="shared" si="321"/>
        <v>43500</v>
      </c>
      <c r="F1001" s="1789">
        <f t="shared" si="313"/>
        <v>3.01</v>
      </c>
      <c r="H1001" s="1762">
        <f t="shared" si="268"/>
        <v>0.47399999999999998</v>
      </c>
      <c r="I1001" s="1763">
        <f t="shared" si="269"/>
        <v>0.47399999999999998</v>
      </c>
      <c r="J1001" s="1762">
        <f t="shared" si="270"/>
        <v>0.23699999999999999</v>
      </c>
      <c r="K1001" s="1763">
        <f t="shared" si="271"/>
        <v>0.23699999999999999</v>
      </c>
      <c r="L1001" s="1764">
        <f t="shared" si="272"/>
        <v>0.39000000000000018</v>
      </c>
      <c r="M1001" s="1765">
        <f t="shared" si="273"/>
        <v>0.39000000000000018</v>
      </c>
    </row>
    <row r="1002" spans="1:13">
      <c r="A1002" s="1749">
        <f t="shared" si="264"/>
        <v>43497</v>
      </c>
      <c r="B1002" s="1749" t="str">
        <f t="shared" si="265"/>
        <v>1Q19</v>
      </c>
      <c r="C1002" s="1749" t="str">
        <f t="shared" si="266"/>
        <v>1Q19</v>
      </c>
      <c r="D1002" s="1750">
        <f t="shared" ref="D1002:E1002" si="322">D1001+7</f>
        <v>43514</v>
      </c>
      <c r="E1002" s="1750">
        <f t="shared" si="322"/>
        <v>43507</v>
      </c>
      <c r="F1002" s="1789">
        <f t="shared" si="313"/>
        <v>3.01</v>
      </c>
      <c r="H1002" s="1762">
        <f t="shared" si="268"/>
        <v>0.47399999999999998</v>
      </c>
      <c r="I1002" s="1763">
        <f t="shared" si="269"/>
        <v>0.47399999999999998</v>
      </c>
      <c r="J1002" s="1762">
        <f t="shared" si="270"/>
        <v>0.23699999999999999</v>
      </c>
      <c r="K1002" s="1763">
        <f t="shared" si="271"/>
        <v>0.23699999999999999</v>
      </c>
      <c r="L1002" s="1764">
        <f t="shared" si="272"/>
        <v>0.39000000000000018</v>
      </c>
      <c r="M1002" s="1765">
        <f t="shared" si="273"/>
        <v>0.39000000000000018</v>
      </c>
    </row>
    <row r="1003" spans="1:13">
      <c r="A1003" s="1749">
        <f t="shared" si="264"/>
        <v>43497</v>
      </c>
      <c r="B1003" s="1749" t="str">
        <f t="shared" si="265"/>
        <v>1Q19</v>
      </c>
      <c r="C1003" s="1749" t="str">
        <f t="shared" si="266"/>
        <v>1Q19</v>
      </c>
      <c r="D1003" s="1750">
        <f t="shared" ref="D1003:E1003" si="323">D1002+7</f>
        <v>43521</v>
      </c>
      <c r="E1003" s="1750">
        <f t="shared" si="323"/>
        <v>43514</v>
      </c>
      <c r="F1003" s="1789">
        <f t="shared" si="313"/>
        <v>3.01</v>
      </c>
      <c r="H1003" s="1762">
        <f t="shared" si="268"/>
        <v>0.47399999999999998</v>
      </c>
      <c r="I1003" s="1763">
        <f t="shared" si="269"/>
        <v>0.47399999999999998</v>
      </c>
      <c r="J1003" s="1762">
        <f t="shared" si="270"/>
        <v>0.23699999999999999</v>
      </c>
      <c r="K1003" s="1763">
        <f t="shared" si="271"/>
        <v>0.23699999999999999</v>
      </c>
      <c r="L1003" s="1764">
        <f t="shared" si="272"/>
        <v>0.39000000000000018</v>
      </c>
      <c r="M1003" s="1765">
        <f t="shared" si="273"/>
        <v>0.39000000000000018</v>
      </c>
    </row>
    <row r="1004" spans="1:13">
      <c r="A1004" s="1749">
        <f t="shared" si="264"/>
        <v>43525</v>
      </c>
      <c r="B1004" s="1749" t="str">
        <f t="shared" si="265"/>
        <v>1Q19</v>
      </c>
      <c r="C1004" s="1749" t="str">
        <f t="shared" si="266"/>
        <v>1Q19</v>
      </c>
      <c r="D1004" s="1750">
        <f t="shared" ref="D1004:E1004" si="324">D1003+7</f>
        <v>43528</v>
      </c>
      <c r="E1004" s="1750">
        <f t="shared" si="324"/>
        <v>43521</v>
      </c>
      <c r="F1004" s="1789">
        <f t="shared" si="313"/>
        <v>3.01</v>
      </c>
      <c r="H1004" s="1762">
        <f t="shared" si="268"/>
        <v>0.47399999999999998</v>
      </c>
      <c r="I1004" s="1763">
        <f t="shared" si="269"/>
        <v>0.47399999999999998</v>
      </c>
      <c r="J1004" s="1762">
        <f t="shared" si="270"/>
        <v>0.23699999999999999</v>
      </c>
      <c r="K1004" s="1763">
        <f t="shared" si="271"/>
        <v>0.23699999999999999</v>
      </c>
      <c r="L1004" s="1764">
        <f t="shared" si="272"/>
        <v>0.39000000000000018</v>
      </c>
      <c r="M1004" s="1765">
        <f t="shared" si="273"/>
        <v>0.39000000000000018</v>
      </c>
    </row>
    <row r="1005" spans="1:13">
      <c r="A1005" s="1749">
        <f t="shared" si="264"/>
        <v>43525</v>
      </c>
      <c r="B1005" s="1749" t="str">
        <f t="shared" si="265"/>
        <v>1Q19</v>
      </c>
      <c r="C1005" s="1749" t="str">
        <f t="shared" si="266"/>
        <v>1Q19</v>
      </c>
      <c r="D1005" s="1750">
        <f t="shared" ref="D1005:E1005" si="325">D1004+7</f>
        <v>43535</v>
      </c>
      <c r="E1005" s="1750">
        <f t="shared" si="325"/>
        <v>43528</v>
      </c>
      <c r="F1005" s="1789">
        <f t="shared" si="313"/>
        <v>3.01</v>
      </c>
      <c r="H1005" s="1762">
        <f t="shared" si="268"/>
        <v>0.47399999999999998</v>
      </c>
      <c r="I1005" s="1763">
        <f t="shared" si="269"/>
        <v>0.47399999999999998</v>
      </c>
      <c r="J1005" s="1762">
        <f t="shared" si="270"/>
        <v>0.23699999999999999</v>
      </c>
      <c r="K1005" s="1763">
        <f t="shared" si="271"/>
        <v>0.23699999999999999</v>
      </c>
      <c r="L1005" s="1764">
        <f t="shared" si="272"/>
        <v>0.39000000000000018</v>
      </c>
      <c r="M1005" s="1765">
        <f t="shared" si="273"/>
        <v>0.39000000000000018</v>
      </c>
    </row>
    <row r="1006" spans="1:13">
      <c r="A1006" s="1749">
        <f t="shared" si="264"/>
        <v>43525</v>
      </c>
      <c r="B1006" s="1749" t="str">
        <f t="shared" si="265"/>
        <v>1Q19</v>
      </c>
      <c r="C1006" s="1749" t="str">
        <f t="shared" si="266"/>
        <v>1Q19</v>
      </c>
      <c r="D1006" s="1750">
        <f t="shared" ref="D1006:E1006" si="326">D1005+7</f>
        <v>43542</v>
      </c>
      <c r="E1006" s="1750">
        <f t="shared" si="326"/>
        <v>43535</v>
      </c>
      <c r="F1006" s="1789">
        <f t="shared" si="313"/>
        <v>3.01</v>
      </c>
      <c r="H1006" s="1762">
        <f t="shared" si="268"/>
        <v>0.47399999999999998</v>
      </c>
      <c r="I1006" s="1763">
        <f t="shared" si="269"/>
        <v>0.47399999999999998</v>
      </c>
      <c r="J1006" s="1762">
        <f t="shared" si="270"/>
        <v>0.23699999999999999</v>
      </c>
      <c r="K1006" s="1763">
        <f t="shared" si="271"/>
        <v>0.23699999999999999</v>
      </c>
      <c r="L1006" s="1764">
        <f t="shared" si="272"/>
        <v>0.39000000000000018</v>
      </c>
      <c r="M1006" s="1765">
        <f t="shared" si="273"/>
        <v>0.39000000000000018</v>
      </c>
    </row>
    <row r="1007" spans="1:13">
      <c r="A1007" s="1749">
        <f t="shared" si="264"/>
        <v>43525</v>
      </c>
      <c r="B1007" s="1749" t="str">
        <f t="shared" si="265"/>
        <v>1Q19</v>
      </c>
      <c r="C1007" s="1749" t="str">
        <f t="shared" si="266"/>
        <v>1Q19</v>
      </c>
      <c r="D1007" s="1750">
        <f t="shared" ref="D1007:E1007" si="327">D1006+7</f>
        <v>43549</v>
      </c>
      <c r="E1007" s="1750">
        <f t="shared" si="327"/>
        <v>43542</v>
      </c>
      <c r="F1007" s="1789">
        <f t="shared" si="313"/>
        <v>3.01</v>
      </c>
      <c r="H1007" s="1762">
        <f t="shared" si="268"/>
        <v>0.47399999999999998</v>
      </c>
      <c r="I1007" s="1763">
        <f t="shared" si="269"/>
        <v>0.47399999999999998</v>
      </c>
      <c r="J1007" s="1762">
        <f t="shared" si="270"/>
        <v>0.23699999999999999</v>
      </c>
      <c r="K1007" s="1763">
        <f t="shared" si="271"/>
        <v>0.23699999999999999</v>
      </c>
      <c r="L1007" s="1764">
        <f t="shared" si="272"/>
        <v>0.39000000000000018</v>
      </c>
      <c r="M1007" s="1765">
        <f t="shared" si="273"/>
        <v>0.39000000000000018</v>
      </c>
    </row>
    <row r="1008" spans="1:13">
      <c r="A1008" s="1749">
        <f t="shared" si="264"/>
        <v>43556</v>
      </c>
      <c r="B1008" s="1749" t="str">
        <f t="shared" si="265"/>
        <v>2Q19</v>
      </c>
      <c r="C1008" s="1749" t="str">
        <f t="shared" si="266"/>
        <v>1Q19</v>
      </c>
      <c r="D1008" s="1750">
        <f t="shared" ref="D1008:E1008" si="328">D1007+7</f>
        <v>43556</v>
      </c>
      <c r="E1008" s="1750">
        <f t="shared" si="328"/>
        <v>43549</v>
      </c>
      <c r="F1008" s="1789">
        <f t="shared" si="313"/>
        <v>3.01</v>
      </c>
      <c r="H1008" s="1762">
        <f t="shared" si="268"/>
        <v>0.47399999999999998</v>
      </c>
      <c r="I1008" s="1763">
        <f t="shared" si="269"/>
        <v>0.47399999999999998</v>
      </c>
      <c r="J1008" s="1762">
        <f t="shared" si="270"/>
        <v>0.23699999999999999</v>
      </c>
      <c r="K1008" s="1763">
        <f t="shared" si="271"/>
        <v>0.23699999999999999</v>
      </c>
      <c r="L1008" s="1764">
        <f t="shared" si="272"/>
        <v>0.39000000000000018</v>
      </c>
      <c r="M1008" s="1765">
        <f t="shared" si="273"/>
        <v>0.39000000000000018</v>
      </c>
    </row>
    <row r="1009" spans="1:13">
      <c r="A1009" s="1749">
        <f t="shared" si="264"/>
        <v>43556</v>
      </c>
      <c r="B1009" s="1749" t="str">
        <f t="shared" si="265"/>
        <v>2Q19</v>
      </c>
      <c r="C1009" s="1749" t="str">
        <f t="shared" si="266"/>
        <v>2Q19</v>
      </c>
      <c r="D1009" s="1750">
        <f t="shared" ref="D1009:E1009" si="329">D1008+7</f>
        <v>43563</v>
      </c>
      <c r="E1009" s="1750">
        <f t="shared" si="329"/>
        <v>43556</v>
      </c>
      <c r="F1009" s="1789">
        <f t="shared" si="313"/>
        <v>3.01</v>
      </c>
      <c r="H1009" s="1762">
        <f t="shared" si="268"/>
        <v>0.47399999999999998</v>
      </c>
      <c r="I1009" s="1763">
        <f t="shared" si="269"/>
        <v>0.47399999999999998</v>
      </c>
      <c r="J1009" s="1762">
        <f t="shared" si="270"/>
        <v>0.23699999999999999</v>
      </c>
      <c r="K1009" s="1763">
        <f t="shared" si="271"/>
        <v>0.23699999999999999</v>
      </c>
      <c r="L1009" s="1764">
        <f t="shared" si="272"/>
        <v>0.39000000000000018</v>
      </c>
      <c r="M1009" s="1765">
        <f t="shared" si="273"/>
        <v>0.39000000000000018</v>
      </c>
    </row>
    <row r="1010" spans="1:13">
      <c r="A1010" s="1749">
        <f t="shared" si="264"/>
        <v>43556</v>
      </c>
      <c r="B1010" s="1749" t="str">
        <f t="shared" si="265"/>
        <v>2Q19</v>
      </c>
      <c r="C1010" s="1749" t="str">
        <f t="shared" si="266"/>
        <v>2Q19</v>
      </c>
      <c r="D1010" s="1750">
        <f t="shared" ref="D1010:E1010" si="330">D1009+7</f>
        <v>43570</v>
      </c>
      <c r="E1010" s="1750">
        <f t="shared" si="330"/>
        <v>43563</v>
      </c>
      <c r="F1010" s="1789">
        <f t="shared" si="313"/>
        <v>3.01</v>
      </c>
      <c r="H1010" s="1762">
        <f t="shared" si="268"/>
        <v>0.47399999999999998</v>
      </c>
      <c r="I1010" s="1763">
        <f t="shared" si="269"/>
        <v>0.47399999999999998</v>
      </c>
      <c r="J1010" s="1762">
        <f t="shared" si="270"/>
        <v>0.23699999999999999</v>
      </c>
      <c r="K1010" s="1763">
        <f t="shared" si="271"/>
        <v>0.23699999999999999</v>
      </c>
      <c r="L1010" s="1764">
        <f t="shared" si="272"/>
        <v>0.39000000000000018</v>
      </c>
      <c r="M1010" s="1765">
        <f t="shared" si="273"/>
        <v>0.39000000000000018</v>
      </c>
    </row>
    <row r="1011" spans="1:13">
      <c r="A1011" s="1749">
        <f t="shared" si="264"/>
        <v>43556</v>
      </c>
      <c r="B1011" s="1749" t="str">
        <f t="shared" si="265"/>
        <v>2Q19</v>
      </c>
      <c r="C1011" s="1749" t="str">
        <f t="shared" si="266"/>
        <v>2Q19</v>
      </c>
      <c r="D1011" s="1750">
        <f t="shared" ref="D1011:E1011" si="331">D1010+7</f>
        <v>43577</v>
      </c>
      <c r="E1011" s="1750">
        <f t="shared" si="331"/>
        <v>43570</v>
      </c>
      <c r="F1011" s="1789">
        <f t="shared" si="313"/>
        <v>3.01</v>
      </c>
      <c r="H1011" s="1762">
        <f t="shared" si="268"/>
        <v>0.47399999999999998</v>
      </c>
      <c r="I1011" s="1763">
        <f t="shared" si="269"/>
        <v>0.47399999999999998</v>
      </c>
      <c r="J1011" s="1762">
        <f t="shared" si="270"/>
        <v>0.23699999999999999</v>
      </c>
      <c r="K1011" s="1763">
        <f t="shared" si="271"/>
        <v>0.23699999999999999</v>
      </c>
      <c r="L1011" s="1764">
        <f t="shared" si="272"/>
        <v>0.39000000000000018</v>
      </c>
      <c r="M1011" s="1765">
        <f t="shared" si="273"/>
        <v>0.39000000000000018</v>
      </c>
    </row>
    <row r="1012" spans="1:13">
      <c r="A1012" s="1749">
        <f t="shared" si="264"/>
        <v>43556</v>
      </c>
      <c r="B1012" s="1749" t="str">
        <f t="shared" si="265"/>
        <v>2Q19</v>
      </c>
      <c r="C1012" s="1749" t="str">
        <f t="shared" si="266"/>
        <v>2Q19</v>
      </c>
      <c r="D1012" s="1750">
        <f t="shared" ref="D1012:E1012" si="332">D1011+7</f>
        <v>43584</v>
      </c>
      <c r="E1012" s="1750">
        <f t="shared" si="332"/>
        <v>43577</v>
      </c>
      <c r="F1012" s="1789">
        <f t="shared" si="313"/>
        <v>3.01</v>
      </c>
      <c r="H1012" s="1762">
        <f t="shared" si="268"/>
        <v>0.47399999999999998</v>
      </c>
      <c r="I1012" s="1763">
        <f t="shared" si="269"/>
        <v>0.47399999999999998</v>
      </c>
      <c r="J1012" s="1762">
        <f t="shared" si="270"/>
        <v>0.23699999999999999</v>
      </c>
      <c r="K1012" s="1763">
        <f t="shared" si="271"/>
        <v>0.23699999999999999</v>
      </c>
      <c r="L1012" s="1764">
        <f t="shared" si="272"/>
        <v>0.39000000000000018</v>
      </c>
      <c r="M1012" s="1765">
        <f t="shared" si="273"/>
        <v>0.39000000000000018</v>
      </c>
    </row>
    <row r="1013" spans="1:13">
      <c r="A1013" s="1749">
        <f t="shared" ref="A1013:A1062" si="333">DATE(YEAR(D1013),MONTH(D1013),1)</f>
        <v>43586</v>
      </c>
      <c r="B1013" s="1749" t="str">
        <f t="shared" ref="B1013:B1062" si="334">VLOOKUP(MONTH(A1013),$AB$4:$AC$17,2,FALSE) &amp; "Q" &amp; RIGHT(YEAR(A1013),2)</f>
        <v>2Q19</v>
      </c>
      <c r="C1013" s="1749" t="str">
        <f t="shared" ref="C1013:C1062" si="335">VLOOKUP(MONTH(E1013),$AB$4:$AC$17,2,FALSE) &amp; "Q" &amp; RIGHT(YEAR(E1013),2)</f>
        <v>2Q19</v>
      </c>
      <c r="D1013" s="1750">
        <f t="shared" ref="D1013:E1013" si="336">D1012+7</f>
        <v>43591</v>
      </c>
      <c r="E1013" s="1750">
        <f t="shared" si="336"/>
        <v>43584</v>
      </c>
      <c r="F1013" s="1789">
        <f t="shared" si="313"/>
        <v>3.01</v>
      </c>
      <c r="H1013" s="1762">
        <f t="shared" si="268"/>
        <v>0.47399999999999998</v>
      </c>
      <c r="I1013" s="1763">
        <f t="shared" si="269"/>
        <v>0.47399999999999998</v>
      </c>
      <c r="J1013" s="1762">
        <f t="shared" si="270"/>
        <v>0.23699999999999999</v>
      </c>
      <c r="K1013" s="1763">
        <f t="shared" si="271"/>
        <v>0.23699999999999999</v>
      </c>
      <c r="L1013" s="1764">
        <f t="shared" si="272"/>
        <v>0.39000000000000018</v>
      </c>
      <c r="M1013" s="1765">
        <f t="shared" si="273"/>
        <v>0.39000000000000018</v>
      </c>
    </row>
    <row r="1014" spans="1:13">
      <c r="A1014" s="1749">
        <f t="shared" si="333"/>
        <v>43586</v>
      </c>
      <c r="B1014" s="1749" t="str">
        <f t="shared" si="334"/>
        <v>2Q19</v>
      </c>
      <c r="C1014" s="1749" t="str">
        <f t="shared" si="335"/>
        <v>2Q19</v>
      </c>
      <c r="D1014" s="1750">
        <f t="shared" ref="D1014:E1014" si="337">D1013+7</f>
        <v>43598</v>
      </c>
      <c r="E1014" s="1750">
        <f t="shared" si="337"/>
        <v>43591</v>
      </c>
      <c r="F1014" s="1789">
        <f t="shared" si="313"/>
        <v>3.01</v>
      </c>
      <c r="H1014" s="1762">
        <f t="shared" si="268"/>
        <v>0.47399999999999998</v>
      </c>
      <c r="I1014" s="1763">
        <f t="shared" si="269"/>
        <v>0.47399999999999998</v>
      </c>
      <c r="J1014" s="1762">
        <f t="shared" si="270"/>
        <v>0.23699999999999999</v>
      </c>
      <c r="K1014" s="1763">
        <f t="shared" si="271"/>
        <v>0.23699999999999999</v>
      </c>
      <c r="L1014" s="1764">
        <f t="shared" si="272"/>
        <v>0.39000000000000018</v>
      </c>
      <c r="M1014" s="1765">
        <f t="shared" si="273"/>
        <v>0.39000000000000018</v>
      </c>
    </row>
    <row r="1015" spans="1:13">
      <c r="A1015" s="1749">
        <f t="shared" si="333"/>
        <v>43586</v>
      </c>
      <c r="B1015" s="1749" t="str">
        <f t="shared" si="334"/>
        <v>2Q19</v>
      </c>
      <c r="C1015" s="1749" t="str">
        <f t="shared" si="335"/>
        <v>2Q19</v>
      </c>
      <c r="D1015" s="1750">
        <f t="shared" ref="D1015:E1015" si="338">D1014+7</f>
        <v>43605</v>
      </c>
      <c r="E1015" s="1750">
        <f t="shared" si="338"/>
        <v>43598</v>
      </c>
      <c r="F1015" s="1789">
        <f t="shared" si="313"/>
        <v>3.01</v>
      </c>
      <c r="H1015" s="1762">
        <f t="shared" ref="H1015:H1078" si="339">INDEX($O$4:$R$440,MATCH(F1015,$O$4:$O$440,1),3)</f>
        <v>0.47399999999999998</v>
      </c>
      <c r="I1015" s="1763">
        <f t="shared" ref="I1015:I1078" si="340">H1016</f>
        <v>0.47399999999999998</v>
      </c>
      <c r="J1015" s="1762">
        <f t="shared" ref="J1015:J1078" si="341">INDEX($O$4:$R$440,MATCH(F1015,$O$4:$O$440,1),4)</f>
        <v>0.23699999999999999</v>
      </c>
      <c r="K1015" s="1763">
        <f t="shared" ref="K1015:K1078" si="342">J1016</f>
        <v>0.23699999999999999</v>
      </c>
      <c r="L1015" s="1764">
        <f t="shared" ref="L1015:L1078" si="343">INDEX($T$4:$V$100,MATCH(F1015,$T$4:$T$100,1),3)</f>
        <v>0.39000000000000018</v>
      </c>
      <c r="M1015" s="1765">
        <f t="shared" ref="M1015:M1078" si="344">L1016</f>
        <v>0.39000000000000018</v>
      </c>
    </row>
    <row r="1016" spans="1:13">
      <c r="A1016" s="1749">
        <f t="shared" si="333"/>
        <v>43586</v>
      </c>
      <c r="B1016" s="1749" t="str">
        <f t="shared" si="334"/>
        <v>2Q19</v>
      </c>
      <c r="C1016" s="1749" t="str">
        <f t="shared" si="335"/>
        <v>2Q19</v>
      </c>
      <c r="D1016" s="1750">
        <f t="shared" ref="D1016:E1016" si="345">D1015+7</f>
        <v>43612</v>
      </c>
      <c r="E1016" s="1750">
        <f t="shared" si="345"/>
        <v>43605</v>
      </c>
      <c r="F1016" s="1789">
        <f t="shared" si="313"/>
        <v>3.01</v>
      </c>
      <c r="H1016" s="1762">
        <f t="shared" si="339"/>
        <v>0.47399999999999998</v>
      </c>
      <c r="I1016" s="1763">
        <f t="shared" si="340"/>
        <v>0.47399999999999998</v>
      </c>
      <c r="J1016" s="1762">
        <f t="shared" si="341"/>
        <v>0.23699999999999999</v>
      </c>
      <c r="K1016" s="1763">
        <f t="shared" si="342"/>
        <v>0.23699999999999999</v>
      </c>
      <c r="L1016" s="1764">
        <f t="shared" si="343"/>
        <v>0.39000000000000018</v>
      </c>
      <c r="M1016" s="1765">
        <f t="shared" si="344"/>
        <v>0.39000000000000018</v>
      </c>
    </row>
    <row r="1017" spans="1:13">
      <c r="A1017" s="1749">
        <f t="shared" si="333"/>
        <v>43617</v>
      </c>
      <c r="B1017" s="1749" t="str">
        <f t="shared" si="334"/>
        <v>2Q19</v>
      </c>
      <c r="C1017" s="1749" t="str">
        <f t="shared" si="335"/>
        <v>2Q19</v>
      </c>
      <c r="D1017" s="1750">
        <f t="shared" ref="D1017:E1017" si="346">D1016+7</f>
        <v>43619</v>
      </c>
      <c r="E1017" s="1750">
        <f t="shared" si="346"/>
        <v>43612</v>
      </c>
      <c r="F1017" s="1789">
        <f t="shared" si="313"/>
        <v>3.01</v>
      </c>
      <c r="H1017" s="1762">
        <f t="shared" si="339"/>
        <v>0.47399999999999998</v>
      </c>
      <c r="I1017" s="1763">
        <f t="shared" si="340"/>
        <v>0.47399999999999998</v>
      </c>
      <c r="J1017" s="1762">
        <f t="shared" si="341"/>
        <v>0.23699999999999999</v>
      </c>
      <c r="K1017" s="1763">
        <f t="shared" si="342"/>
        <v>0.23699999999999999</v>
      </c>
      <c r="L1017" s="1764">
        <f t="shared" si="343"/>
        <v>0.39000000000000018</v>
      </c>
      <c r="M1017" s="1765">
        <f t="shared" si="344"/>
        <v>0.39000000000000018</v>
      </c>
    </row>
    <row r="1018" spans="1:13">
      <c r="A1018" s="1749">
        <f t="shared" si="333"/>
        <v>43617</v>
      </c>
      <c r="B1018" s="1749" t="str">
        <f t="shared" si="334"/>
        <v>2Q19</v>
      </c>
      <c r="C1018" s="1749" t="str">
        <f t="shared" si="335"/>
        <v>2Q19</v>
      </c>
      <c r="D1018" s="1750">
        <f t="shared" ref="D1018:E1018" si="347">D1017+7</f>
        <v>43626</v>
      </c>
      <c r="E1018" s="1750">
        <f t="shared" si="347"/>
        <v>43619</v>
      </c>
      <c r="F1018" s="1789">
        <f t="shared" si="313"/>
        <v>3.01</v>
      </c>
      <c r="H1018" s="1762">
        <f t="shared" si="339"/>
        <v>0.47399999999999998</v>
      </c>
      <c r="I1018" s="1763">
        <f t="shared" si="340"/>
        <v>0.47399999999999998</v>
      </c>
      <c r="J1018" s="1762">
        <f t="shared" si="341"/>
        <v>0.23699999999999999</v>
      </c>
      <c r="K1018" s="1763">
        <f t="shared" si="342"/>
        <v>0.23699999999999999</v>
      </c>
      <c r="L1018" s="1764">
        <f t="shared" si="343"/>
        <v>0.39000000000000018</v>
      </c>
      <c r="M1018" s="1765">
        <f t="shared" si="344"/>
        <v>0.39000000000000018</v>
      </c>
    </row>
    <row r="1019" spans="1:13">
      <c r="A1019" s="1749">
        <f t="shared" si="333"/>
        <v>43617</v>
      </c>
      <c r="B1019" s="1749" t="str">
        <f t="shared" si="334"/>
        <v>2Q19</v>
      </c>
      <c r="C1019" s="1749" t="str">
        <f t="shared" si="335"/>
        <v>2Q19</v>
      </c>
      <c r="D1019" s="1750">
        <f t="shared" ref="D1019:E1019" si="348">D1018+7</f>
        <v>43633</v>
      </c>
      <c r="E1019" s="1750">
        <f t="shared" si="348"/>
        <v>43626</v>
      </c>
      <c r="F1019" s="1789">
        <f t="shared" si="313"/>
        <v>3.01</v>
      </c>
      <c r="H1019" s="1762">
        <f t="shared" si="339"/>
        <v>0.47399999999999998</v>
      </c>
      <c r="I1019" s="1763">
        <f t="shared" si="340"/>
        <v>0.47399999999999998</v>
      </c>
      <c r="J1019" s="1762">
        <f t="shared" si="341"/>
        <v>0.23699999999999999</v>
      </c>
      <c r="K1019" s="1763">
        <f t="shared" si="342"/>
        <v>0.23699999999999999</v>
      </c>
      <c r="L1019" s="1764">
        <f t="shared" si="343"/>
        <v>0.39000000000000018</v>
      </c>
      <c r="M1019" s="1765">
        <f t="shared" si="344"/>
        <v>0.39000000000000018</v>
      </c>
    </row>
    <row r="1020" spans="1:13">
      <c r="A1020" s="1749">
        <f t="shared" si="333"/>
        <v>43617</v>
      </c>
      <c r="B1020" s="1749" t="str">
        <f t="shared" si="334"/>
        <v>2Q19</v>
      </c>
      <c r="C1020" s="1749" t="str">
        <f t="shared" si="335"/>
        <v>2Q19</v>
      </c>
      <c r="D1020" s="1750">
        <f t="shared" ref="D1020:E1020" si="349">D1019+7</f>
        <v>43640</v>
      </c>
      <c r="E1020" s="1750">
        <f t="shared" si="349"/>
        <v>43633</v>
      </c>
      <c r="F1020" s="1789">
        <f t="shared" si="313"/>
        <v>3.01</v>
      </c>
      <c r="H1020" s="1762">
        <f t="shared" si="339"/>
        <v>0.47399999999999998</v>
      </c>
      <c r="I1020" s="1763">
        <f t="shared" si="340"/>
        <v>0.47399999999999998</v>
      </c>
      <c r="J1020" s="1762">
        <f t="shared" si="341"/>
        <v>0.23699999999999999</v>
      </c>
      <c r="K1020" s="1763">
        <f t="shared" si="342"/>
        <v>0.23699999999999999</v>
      </c>
      <c r="L1020" s="1764">
        <f t="shared" si="343"/>
        <v>0.39000000000000018</v>
      </c>
      <c r="M1020" s="1765">
        <f t="shared" si="344"/>
        <v>0.39000000000000018</v>
      </c>
    </row>
    <row r="1021" spans="1:13">
      <c r="A1021" s="1749">
        <f t="shared" si="333"/>
        <v>43647</v>
      </c>
      <c r="B1021" s="1749" t="str">
        <f t="shared" si="334"/>
        <v>3Q19</v>
      </c>
      <c r="C1021" s="1749" t="str">
        <f t="shared" si="335"/>
        <v>2Q19</v>
      </c>
      <c r="D1021" s="1750">
        <f t="shared" ref="D1021:E1021" si="350">D1020+7</f>
        <v>43647</v>
      </c>
      <c r="E1021" s="1750">
        <f t="shared" si="350"/>
        <v>43640</v>
      </c>
      <c r="F1021" s="1789">
        <f t="shared" si="313"/>
        <v>3.01</v>
      </c>
      <c r="H1021" s="1762">
        <f t="shared" si="339"/>
        <v>0.47399999999999998</v>
      </c>
      <c r="I1021" s="1763">
        <f t="shared" si="340"/>
        <v>0.47399999999999998</v>
      </c>
      <c r="J1021" s="1762">
        <f t="shared" si="341"/>
        <v>0.23699999999999999</v>
      </c>
      <c r="K1021" s="1763">
        <f t="shared" si="342"/>
        <v>0.23699999999999999</v>
      </c>
      <c r="L1021" s="1764">
        <f t="shared" si="343"/>
        <v>0.39000000000000018</v>
      </c>
      <c r="M1021" s="1765">
        <f t="shared" si="344"/>
        <v>0.39000000000000018</v>
      </c>
    </row>
    <row r="1022" spans="1:13">
      <c r="A1022" s="1749">
        <f t="shared" si="333"/>
        <v>43647</v>
      </c>
      <c r="B1022" s="1749" t="str">
        <f t="shared" si="334"/>
        <v>3Q19</v>
      </c>
      <c r="C1022" s="1749" t="str">
        <f t="shared" si="335"/>
        <v>3Q19</v>
      </c>
      <c r="D1022" s="1750">
        <f t="shared" ref="D1022:E1022" si="351">D1021+7</f>
        <v>43654</v>
      </c>
      <c r="E1022" s="1750">
        <f t="shared" si="351"/>
        <v>43647</v>
      </c>
      <c r="F1022" s="1789">
        <f t="shared" si="313"/>
        <v>3.01</v>
      </c>
      <c r="H1022" s="1762">
        <f t="shared" si="339"/>
        <v>0.47399999999999998</v>
      </c>
      <c r="I1022" s="1763">
        <f t="shared" si="340"/>
        <v>0.47399999999999998</v>
      </c>
      <c r="J1022" s="1762">
        <f t="shared" si="341"/>
        <v>0.23699999999999999</v>
      </c>
      <c r="K1022" s="1763">
        <f t="shared" si="342"/>
        <v>0.23699999999999999</v>
      </c>
      <c r="L1022" s="1764">
        <f t="shared" si="343"/>
        <v>0.39000000000000018</v>
      </c>
      <c r="M1022" s="1765">
        <f t="shared" si="344"/>
        <v>0.39000000000000018</v>
      </c>
    </row>
    <row r="1023" spans="1:13">
      <c r="A1023" s="1749">
        <f t="shared" si="333"/>
        <v>43647</v>
      </c>
      <c r="B1023" s="1749" t="str">
        <f t="shared" si="334"/>
        <v>3Q19</v>
      </c>
      <c r="C1023" s="1749" t="str">
        <f t="shared" si="335"/>
        <v>3Q19</v>
      </c>
      <c r="D1023" s="1750">
        <f t="shared" ref="D1023:E1023" si="352">D1022+7</f>
        <v>43661</v>
      </c>
      <c r="E1023" s="1750">
        <f t="shared" si="352"/>
        <v>43654</v>
      </c>
      <c r="F1023" s="1789">
        <f t="shared" si="313"/>
        <v>3.01</v>
      </c>
      <c r="H1023" s="1762">
        <f t="shared" si="339"/>
        <v>0.47399999999999998</v>
      </c>
      <c r="I1023" s="1763">
        <f t="shared" si="340"/>
        <v>0.47399999999999998</v>
      </c>
      <c r="J1023" s="1762">
        <f t="shared" si="341"/>
        <v>0.23699999999999999</v>
      </c>
      <c r="K1023" s="1763">
        <f t="shared" si="342"/>
        <v>0.23699999999999999</v>
      </c>
      <c r="L1023" s="1764">
        <f t="shared" si="343"/>
        <v>0.39000000000000018</v>
      </c>
      <c r="M1023" s="1765">
        <f t="shared" si="344"/>
        <v>0.39000000000000018</v>
      </c>
    </row>
    <row r="1024" spans="1:13">
      <c r="A1024" s="1749">
        <f t="shared" si="333"/>
        <v>43647</v>
      </c>
      <c r="B1024" s="1749" t="str">
        <f t="shared" si="334"/>
        <v>3Q19</v>
      </c>
      <c r="C1024" s="1749" t="str">
        <f t="shared" si="335"/>
        <v>3Q19</v>
      </c>
      <c r="D1024" s="1750">
        <f t="shared" ref="D1024:E1024" si="353">D1023+7</f>
        <v>43668</v>
      </c>
      <c r="E1024" s="1750">
        <f t="shared" si="353"/>
        <v>43661</v>
      </c>
      <c r="F1024" s="1789">
        <f t="shared" si="313"/>
        <v>3.01</v>
      </c>
      <c r="H1024" s="1762">
        <f t="shared" si="339"/>
        <v>0.47399999999999998</v>
      </c>
      <c r="I1024" s="1763">
        <f t="shared" si="340"/>
        <v>0.47399999999999998</v>
      </c>
      <c r="J1024" s="1762">
        <f t="shared" si="341"/>
        <v>0.23699999999999999</v>
      </c>
      <c r="K1024" s="1763">
        <f t="shared" si="342"/>
        <v>0.23699999999999999</v>
      </c>
      <c r="L1024" s="1764">
        <f t="shared" si="343"/>
        <v>0.39000000000000018</v>
      </c>
      <c r="M1024" s="1765">
        <f t="shared" si="344"/>
        <v>0.39000000000000018</v>
      </c>
    </row>
    <row r="1025" spans="1:13">
      <c r="A1025" s="1749">
        <f t="shared" si="333"/>
        <v>43647</v>
      </c>
      <c r="B1025" s="1749" t="str">
        <f t="shared" si="334"/>
        <v>3Q19</v>
      </c>
      <c r="C1025" s="1749" t="str">
        <f t="shared" si="335"/>
        <v>3Q19</v>
      </c>
      <c r="D1025" s="1750">
        <f t="shared" ref="D1025:E1025" si="354">D1024+7</f>
        <v>43675</v>
      </c>
      <c r="E1025" s="1750">
        <f t="shared" si="354"/>
        <v>43668</v>
      </c>
      <c r="F1025" s="1789">
        <f t="shared" si="313"/>
        <v>3.01</v>
      </c>
      <c r="H1025" s="1762">
        <f t="shared" si="339"/>
        <v>0.47399999999999998</v>
      </c>
      <c r="I1025" s="1763">
        <f t="shared" si="340"/>
        <v>0.47399999999999998</v>
      </c>
      <c r="J1025" s="1762">
        <f t="shared" si="341"/>
        <v>0.23699999999999999</v>
      </c>
      <c r="K1025" s="1763">
        <f t="shared" si="342"/>
        <v>0.23699999999999999</v>
      </c>
      <c r="L1025" s="1764">
        <f t="shared" si="343"/>
        <v>0.39000000000000018</v>
      </c>
      <c r="M1025" s="1765">
        <f t="shared" si="344"/>
        <v>0.39000000000000018</v>
      </c>
    </row>
    <row r="1026" spans="1:13">
      <c r="A1026" s="1749">
        <f t="shared" si="333"/>
        <v>43678</v>
      </c>
      <c r="B1026" s="1749" t="str">
        <f t="shared" si="334"/>
        <v>3Q19</v>
      </c>
      <c r="C1026" s="1749" t="str">
        <f t="shared" si="335"/>
        <v>3Q19</v>
      </c>
      <c r="D1026" s="1750">
        <f t="shared" ref="D1026:E1026" si="355">D1025+7</f>
        <v>43682</v>
      </c>
      <c r="E1026" s="1750">
        <f t="shared" si="355"/>
        <v>43675</v>
      </c>
      <c r="F1026" s="1789">
        <f t="shared" si="313"/>
        <v>3.01</v>
      </c>
      <c r="H1026" s="1762">
        <f t="shared" si="339"/>
        <v>0.47399999999999998</v>
      </c>
      <c r="I1026" s="1763">
        <f t="shared" si="340"/>
        <v>0.47399999999999998</v>
      </c>
      <c r="J1026" s="1762">
        <f t="shared" si="341"/>
        <v>0.23699999999999999</v>
      </c>
      <c r="K1026" s="1763">
        <f t="shared" si="342"/>
        <v>0.23699999999999999</v>
      </c>
      <c r="L1026" s="1764">
        <f t="shared" si="343"/>
        <v>0.39000000000000018</v>
      </c>
      <c r="M1026" s="1765">
        <f t="shared" si="344"/>
        <v>0.39000000000000018</v>
      </c>
    </row>
    <row r="1027" spans="1:13">
      <c r="A1027" s="1749">
        <f t="shared" si="333"/>
        <v>43678</v>
      </c>
      <c r="B1027" s="1749" t="str">
        <f t="shared" si="334"/>
        <v>3Q19</v>
      </c>
      <c r="C1027" s="1749" t="str">
        <f t="shared" si="335"/>
        <v>3Q19</v>
      </c>
      <c r="D1027" s="1750">
        <f t="shared" ref="D1027:E1027" si="356">D1026+7</f>
        <v>43689</v>
      </c>
      <c r="E1027" s="1750">
        <f t="shared" si="356"/>
        <v>43682</v>
      </c>
      <c r="F1027" s="1789">
        <f t="shared" si="313"/>
        <v>3.01</v>
      </c>
      <c r="H1027" s="1762">
        <f t="shared" si="339"/>
        <v>0.47399999999999998</v>
      </c>
      <c r="I1027" s="1763">
        <f t="shared" si="340"/>
        <v>0.47399999999999998</v>
      </c>
      <c r="J1027" s="1762">
        <f t="shared" si="341"/>
        <v>0.23699999999999999</v>
      </c>
      <c r="K1027" s="1763">
        <f t="shared" si="342"/>
        <v>0.23699999999999999</v>
      </c>
      <c r="L1027" s="1764">
        <f t="shared" si="343"/>
        <v>0.39000000000000018</v>
      </c>
      <c r="M1027" s="1765">
        <f t="shared" si="344"/>
        <v>0.39000000000000018</v>
      </c>
    </row>
    <row r="1028" spans="1:13">
      <c r="A1028" s="1749">
        <f t="shared" si="333"/>
        <v>43678</v>
      </c>
      <c r="B1028" s="1749" t="str">
        <f t="shared" si="334"/>
        <v>3Q19</v>
      </c>
      <c r="C1028" s="1749" t="str">
        <f t="shared" si="335"/>
        <v>3Q19</v>
      </c>
      <c r="D1028" s="1750">
        <f t="shared" ref="D1028:E1028" si="357">D1027+7</f>
        <v>43696</v>
      </c>
      <c r="E1028" s="1750">
        <f t="shared" si="357"/>
        <v>43689</v>
      </c>
      <c r="F1028" s="1789">
        <f t="shared" si="313"/>
        <v>3.01</v>
      </c>
      <c r="H1028" s="1762">
        <f t="shared" si="339"/>
        <v>0.47399999999999998</v>
      </c>
      <c r="I1028" s="1763">
        <f t="shared" si="340"/>
        <v>0.47399999999999998</v>
      </c>
      <c r="J1028" s="1762">
        <f t="shared" si="341"/>
        <v>0.23699999999999999</v>
      </c>
      <c r="K1028" s="1763">
        <f t="shared" si="342"/>
        <v>0.23699999999999999</v>
      </c>
      <c r="L1028" s="1764">
        <f t="shared" si="343"/>
        <v>0.39000000000000018</v>
      </c>
      <c r="M1028" s="1765">
        <f t="shared" si="344"/>
        <v>0.39000000000000018</v>
      </c>
    </row>
    <row r="1029" spans="1:13">
      <c r="A1029" s="1749">
        <f t="shared" si="333"/>
        <v>43678</v>
      </c>
      <c r="B1029" s="1749" t="str">
        <f t="shared" si="334"/>
        <v>3Q19</v>
      </c>
      <c r="C1029" s="1749" t="str">
        <f t="shared" si="335"/>
        <v>3Q19</v>
      </c>
      <c r="D1029" s="1750">
        <f t="shared" ref="D1029:E1029" si="358">D1028+7</f>
        <v>43703</v>
      </c>
      <c r="E1029" s="1750">
        <f t="shared" si="358"/>
        <v>43696</v>
      </c>
      <c r="F1029" s="1789">
        <f t="shared" si="313"/>
        <v>3.01</v>
      </c>
      <c r="H1029" s="1762">
        <f t="shared" si="339"/>
        <v>0.47399999999999998</v>
      </c>
      <c r="I1029" s="1763">
        <f t="shared" si="340"/>
        <v>0.47399999999999998</v>
      </c>
      <c r="J1029" s="1762">
        <f t="shared" si="341"/>
        <v>0.23699999999999999</v>
      </c>
      <c r="K1029" s="1763">
        <f t="shared" si="342"/>
        <v>0.23699999999999999</v>
      </c>
      <c r="L1029" s="1764">
        <f t="shared" si="343"/>
        <v>0.39000000000000018</v>
      </c>
      <c r="M1029" s="1765">
        <f t="shared" si="344"/>
        <v>0.39000000000000018</v>
      </c>
    </row>
    <row r="1030" spans="1:13">
      <c r="A1030" s="1749">
        <f t="shared" si="333"/>
        <v>43709</v>
      </c>
      <c r="B1030" s="1749" t="str">
        <f t="shared" si="334"/>
        <v>3Q19</v>
      </c>
      <c r="C1030" s="1749" t="str">
        <f t="shared" si="335"/>
        <v>3Q19</v>
      </c>
      <c r="D1030" s="1750">
        <f t="shared" ref="D1030:E1030" si="359">D1029+7</f>
        <v>43710</v>
      </c>
      <c r="E1030" s="1750">
        <f t="shared" si="359"/>
        <v>43703</v>
      </c>
      <c r="F1030" s="1789">
        <f t="shared" si="313"/>
        <v>3.01</v>
      </c>
      <c r="H1030" s="1762">
        <f t="shared" si="339"/>
        <v>0.47399999999999998</v>
      </c>
      <c r="I1030" s="1763">
        <f t="shared" si="340"/>
        <v>0.47399999999999998</v>
      </c>
      <c r="J1030" s="1762">
        <f t="shared" si="341"/>
        <v>0.23699999999999999</v>
      </c>
      <c r="K1030" s="1763">
        <f t="shared" si="342"/>
        <v>0.23699999999999999</v>
      </c>
      <c r="L1030" s="1764">
        <f t="shared" si="343"/>
        <v>0.39000000000000018</v>
      </c>
      <c r="M1030" s="1765">
        <f t="shared" si="344"/>
        <v>0.39000000000000018</v>
      </c>
    </row>
    <row r="1031" spans="1:13">
      <c r="A1031" s="1749">
        <f t="shared" si="333"/>
        <v>43709</v>
      </c>
      <c r="B1031" s="1749" t="str">
        <f t="shared" si="334"/>
        <v>3Q19</v>
      </c>
      <c r="C1031" s="1749" t="str">
        <f t="shared" si="335"/>
        <v>3Q19</v>
      </c>
      <c r="D1031" s="1750">
        <f t="shared" ref="D1031:E1031" si="360">D1030+7</f>
        <v>43717</v>
      </c>
      <c r="E1031" s="1750">
        <f t="shared" si="360"/>
        <v>43710</v>
      </c>
      <c r="F1031" s="1789">
        <f t="shared" si="313"/>
        <v>3.01</v>
      </c>
      <c r="H1031" s="1762">
        <f t="shared" si="339"/>
        <v>0.47399999999999998</v>
      </c>
      <c r="I1031" s="1763">
        <f t="shared" si="340"/>
        <v>0.47399999999999998</v>
      </c>
      <c r="J1031" s="1762">
        <f t="shared" si="341"/>
        <v>0.23699999999999999</v>
      </c>
      <c r="K1031" s="1763">
        <f t="shared" si="342"/>
        <v>0.23699999999999999</v>
      </c>
      <c r="L1031" s="1764">
        <f t="shared" si="343"/>
        <v>0.39000000000000018</v>
      </c>
      <c r="M1031" s="1765">
        <f t="shared" si="344"/>
        <v>0.39000000000000018</v>
      </c>
    </row>
    <row r="1032" spans="1:13">
      <c r="A1032" s="1749">
        <f t="shared" si="333"/>
        <v>43709</v>
      </c>
      <c r="B1032" s="1749" t="str">
        <f t="shared" si="334"/>
        <v>3Q19</v>
      </c>
      <c r="C1032" s="1749" t="str">
        <f t="shared" si="335"/>
        <v>3Q19</v>
      </c>
      <c r="D1032" s="1750">
        <f t="shared" ref="D1032:E1032" si="361">D1031+7</f>
        <v>43724</v>
      </c>
      <c r="E1032" s="1750">
        <f t="shared" si="361"/>
        <v>43717</v>
      </c>
      <c r="F1032" s="1789">
        <f t="shared" si="313"/>
        <v>3.01</v>
      </c>
      <c r="H1032" s="1762">
        <f t="shared" si="339"/>
        <v>0.47399999999999998</v>
      </c>
      <c r="I1032" s="1763">
        <f t="shared" si="340"/>
        <v>0.47399999999999998</v>
      </c>
      <c r="J1032" s="1762">
        <f t="shared" si="341"/>
        <v>0.23699999999999999</v>
      </c>
      <c r="K1032" s="1763">
        <f t="shared" si="342"/>
        <v>0.23699999999999999</v>
      </c>
      <c r="L1032" s="1764">
        <f t="shared" si="343"/>
        <v>0.39000000000000018</v>
      </c>
      <c r="M1032" s="1765">
        <f t="shared" si="344"/>
        <v>0.39000000000000018</v>
      </c>
    </row>
    <row r="1033" spans="1:13">
      <c r="A1033" s="1749">
        <f t="shared" si="333"/>
        <v>43709</v>
      </c>
      <c r="B1033" s="1749" t="str">
        <f t="shared" si="334"/>
        <v>3Q19</v>
      </c>
      <c r="C1033" s="1749" t="str">
        <f t="shared" si="335"/>
        <v>3Q19</v>
      </c>
      <c r="D1033" s="1750">
        <f t="shared" ref="D1033:E1033" si="362">D1032+7</f>
        <v>43731</v>
      </c>
      <c r="E1033" s="1750">
        <f t="shared" si="362"/>
        <v>43724</v>
      </c>
      <c r="F1033" s="1789">
        <f t="shared" si="313"/>
        <v>3.01</v>
      </c>
      <c r="H1033" s="1762">
        <f t="shared" si="339"/>
        <v>0.47399999999999998</v>
      </c>
      <c r="I1033" s="1763">
        <f t="shared" si="340"/>
        <v>0.47399999999999998</v>
      </c>
      <c r="J1033" s="1762">
        <f t="shared" si="341"/>
        <v>0.23699999999999999</v>
      </c>
      <c r="K1033" s="1763">
        <f t="shared" si="342"/>
        <v>0.23699999999999999</v>
      </c>
      <c r="L1033" s="1764">
        <f t="shared" si="343"/>
        <v>0.39000000000000018</v>
      </c>
      <c r="M1033" s="1765">
        <f t="shared" si="344"/>
        <v>0.39000000000000018</v>
      </c>
    </row>
    <row r="1034" spans="1:13">
      <c r="A1034" s="1749">
        <f t="shared" si="333"/>
        <v>43709</v>
      </c>
      <c r="B1034" s="1749" t="str">
        <f t="shared" si="334"/>
        <v>3Q19</v>
      </c>
      <c r="C1034" s="1749" t="str">
        <f t="shared" si="335"/>
        <v>3Q19</v>
      </c>
      <c r="D1034" s="1750">
        <f t="shared" ref="D1034:E1034" si="363">D1033+7</f>
        <v>43738</v>
      </c>
      <c r="E1034" s="1750">
        <f t="shared" si="363"/>
        <v>43731</v>
      </c>
      <c r="F1034" s="1789">
        <f t="shared" si="313"/>
        <v>3.01</v>
      </c>
      <c r="H1034" s="1762">
        <f t="shared" si="339"/>
        <v>0.47399999999999998</v>
      </c>
      <c r="I1034" s="1763">
        <f t="shared" si="340"/>
        <v>0.47399999999999998</v>
      </c>
      <c r="J1034" s="1762">
        <f t="shared" si="341"/>
        <v>0.23699999999999999</v>
      </c>
      <c r="K1034" s="1763">
        <f t="shared" si="342"/>
        <v>0.23699999999999999</v>
      </c>
      <c r="L1034" s="1764">
        <f t="shared" si="343"/>
        <v>0.39000000000000018</v>
      </c>
      <c r="M1034" s="1765">
        <f t="shared" si="344"/>
        <v>0.39000000000000018</v>
      </c>
    </row>
    <row r="1035" spans="1:13">
      <c r="A1035" s="1749">
        <f t="shared" si="333"/>
        <v>43739</v>
      </c>
      <c r="B1035" s="1749" t="str">
        <f t="shared" si="334"/>
        <v>4Q19</v>
      </c>
      <c r="C1035" s="1749" t="str">
        <f t="shared" si="335"/>
        <v>3Q19</v>
      </c>
      <c r="D1035" s="1750">
        <f t="shared" ref="D1035:E1035" si="364">D1034+7</f>
        <v>43745</v>
      </c>
      <c r="E1035" s="1750">
        <f t="shared" si="364"/>
        <v>43738</v>
      </c>
      <c r="F1035" s="1789">
        <f t="shared" si="313"/>
        <v>3.01</v>
      </c>
      <c r="H1035" s="1762">
        <f t="shared" si="339"/>
        <v>0.47399999999999998</v>
      </c>
      <c r="I1035" s="1763">
        <f t="shared" si="340"/>
        <v>0.47399999999999998</v>
      </c>
      <c r="J1035" s="1762">
        <f t="shared" si="341"/>
        <v>0.23699999999999999</v>
      </c>
      <c r="K1035" s="1763">
        <f t="shared" si="342"/>
        <v>0.23699999999999999</v>
      </c>
      <c r="L1035" s="1764">
        <f t="shared" si="343"/>
        <v>0.39000000000000018</v>
      </c>
      <c r="M1035" s="1765">
        <f t="shared" si="344"/>
        <v>0.39000000000000018</v>
      </c>
    </row>
    <row r="1036" spans="1:13">
      <c r="A1036" s="1749">
        <f t="shared" si="333"/>
        <v>43739</v>
      </c>
      <c r="B1036" s="1749" t="str">
        <f t="shared" si="334"/>
        <v>4Q19</v>
      </c>
      <c r="C1036" s="1749" t="str">
        <f t="shared" si="335"/>
        <v>4Q19</v>
      </c>
      <c r="D1036" s="1750">
        <f t="shared" ref="D1036:E1036" si="365">D1035+7</f>
        <v>43752</v>
      </c>
      <c r="E1036" s="1750">
        <f t="shared" si="365"/>
        <v>43745</v>
      </c>
      <c r="F1036" s="1789">
        <f t="shared" si="313"/>
        <v>3.01</v>
      </c>
      <c r="H1036" s="1762">
        <f t="shared" si="339"/>
        <v>0.47399999999999998</v>
      </c>
      <c r="I1036" s="1763">
        <f t="shared" si="340"/>
        <v>0.47399999999999998</v>
      </c>
      <c r="J1036" s="1762">
        <f t="shared" si="341"/>
        <v>0.23699999999999999</v>
      </c>
      <c r="K1036" s="1763">
        <f t="shared" si="342"/>
        <v>0.23699999999999999</v>
      </c>
      <c r="L1036" s="1764">
        <f t="shared" si="343"/>
        <v>0.39000000000000018</v>
      </c>
      <c r="M1036" s="1765">
        <f t="shared" si="344"/>
        <v>0.39000000000000018</v>
      </c>
    </row>
    <row r="1037" spans="1:13">
      <c r="A1037" s="1749">
        <f t="shared" si="333"/>
        <v>43739</v>
      </c>
      <c r="B1037" s="1749" t="str">
        <f t="shared" si="334"/>
        <v>4Q19</v>
      </c>
      <c r="C1037" s="1749" t="str">
        <f t="shared" si="335"/>
        <v>4Q19</v>
      </c>
      <c r="D1037" s="1750">
        <f t="shared" ref="D1037:E1037" si="366">D1036+7</f>
        <v>43759</v>
      </c>
      <c r="E1037" s="1750">
        <f t="shared" si="366"/>
        <v>43752</v>
      </c>
      <c r="F1037" s="1789">
        <f t="shared" si="313"/>
        <v>3.01</v>
      </c>
      <c r="H1037" s="1762">
        <f t="shared" si="339"/>
        <v>0.47399999999999998</v>
      </c>
      <c r="I1037" s="1763">
        <f t="shared" si="340"/>
        <v>0.47399999999999998</v>
      </c>
      <c r="J1037" s="1762">
        <f t="shared" si="341"/>
        <v>0.23699999999999999</v>
      </c>
      <c r="K1037" s="1763">
        <f t="shared" si="342"/>
        <v>0.23699999999999999</v>
      </c>
      <c r="L1037" s="1764">
        <f t="shared" si="343"/>
        <v>0.39000000000000018</v>
      </c>
      <c r="M1037" s="1765">
        <f t="shared" si="344"/>
        <v>0.39000000000000018</v>
      </c>
    </row>
    <row r="1038" spans="1:13">
      <c r="A1038" s="1749">
        <f t="shared" si="333"/>
        <v>43739</v>
      </c>
      <c r="B1038" s="1749" t="str">
        <f t="shared" si="334"/>
        <v>4Q19</v>
      </c>
      <c r="C1038" s="1749" t="str">
        <f t="shared" si="335"/>
        <v>4Q19</v>
      </c>
      <c r="D1038" s="1750">
        <f t="shared" ref="D1038:E1038" si="367">D1037+7</f>
        <v>43766</v>
      </c>
      <c r="E1038" s="1750">
        <f t="shared" si="367"/>
        <v>43759</v>
      </c>
      <c r="F1038" s="1789">
        <f t="shared" si="313"/>
        <v>3.01</v>
      </c>
      <c r="H1038" s="1762">
        <f t="shared" si="339"/>
        <v>0.47399999999999998</v>
      </c>
      <c r="I1038" s="1763">
        <f t="shared" si="340"/>
        <v>0.47399999999999998</v>
      </c>
      <c r="J1038" s="1762">
        <f t="shared" si="341"/>
        <v>0.23699999999999999</v>
      </c>
      <c r="K1038" s="1763">
        <f t="shared" si="342"/>
        <v>0.23699999999999999</v>
      </c>
      <c r="L1038" s="1764">
        <f t="shared" si="343"/>
        <v>0.39000000000000018</v>
      </c>
      <c r="M1038" s="1765">
        <f t="shared" si="344"/>
        <v>0.39000000000000018</v>
      </c>
    </row>
    <row r="1039" spans="1:13">
      <c r="A1039" s="1749">
        <f t="shared" si="333"/>
        <v>43770</v>
      </c>
      <c r="B1039" s="1749" t="str">
        <f t="shared" si="334"/>
        <v>4Q19</v>
      </c>
      <c r="C1039" s="1749" t="str">
        <f t="shared" si="335"/>
        <v>4Q19</v>
      </c>
      <c r="D1039" s="1750">
        <f t="shared" ref="D1039:E1039" si="368">D1038+7</f>
        <v>43773</v>
      </c>
      <c r="E1039" s="1750">
        <f t="shared" si="368"/>
        <v>43766</v>
      </c>
      <c r="F1039" s="1789">
        <f t="shared" si="313"/>
        <v>3.01</v>
      </c>
      <c r="H1039" s="1762">
        <f t="shared" si="339"/>
        <v>0.47399999999999998</v>
      </c>
      <c r="I1039" s="1763">
        <f t="shared" si="340"/>
        <v>0.47399999999999998</v>
      </c>
      <c r="J1039" s="1762">
        <f t="shared" si="341"/>
        <v>0.23699999999999999</v>
      </c>
      <c r="K1039" s="1763">
        <f t="shared" si="342"/>
        <v>0.23699999999999999</v>
      </c>
      <c r="L1039" s="1764">
        <f t="shared" si="343"/>
        <v>0.39000000000000018</v>
      </c>
      <c r="M1039" s="1765">
        <f t="shared" si="344"/>
        <v>0.39000000000000018</v>
      </c>
    </row>
    <row r="1040" spans="1:13">
      <c r="A1040" s="1749">
        <f t="shared" si="333"/>
        <v>43770</v>
      </c>
      <c r="B1040" s="1749" t="str">
        <f t="shared" si="334"/>
        <v>4Q19</v>
      </c>
      <c r="C1040" s="1749" t="str">
        <f t="shared" si="335"/>
        <v>4Q19</v>
      </c>
      <c r="D1040" s="1750">
        <f t="shared" ref="D1040:E1040" si="369">D1039+7</f>
        <v>43780</v>
      </c>
      <c r="E1040" s="1750">
        <f t="shared" si="369"/>
        <v>43773</v>
      </c>
      <c r="F1040" s="1789">
        <f t="shared" si="313"/>
        <v>3.01</v>
      </c>
      <c r="H1040" s="1762">
        <f t="shared" si="339"/>
        <v>0.47399999999999998</v>
      </c>
      <c r="I1040" s="1763">
        <f t="shared" si="340"/>
        <v>0.47399999999999998</v>
      </c>
      <c r="J1040" s="1762">
        <f t="shared" si="341"/>
        <v>0.23699999999999999</v>
      </c>
      <c r="K1040" s="1763">
        <f t="shared" si="342"/>
        <v>0.23699999999999999</v>
      </c>
      <c r="L1040" s="1764">
        <f t="shared" si="343"/>
        <v>0.39000000000000018</v>
      </c>
      <c r="M1040" s="1765">
        <f t="shared" si="344"/>
        <v>0.39000000000000018</v>
      </c>
    </row>
    <row r="1041" spans="1:13">
      <c r="A1041" s="1749">
        <f t="shared" si="333"/>
        <v>43770</v>
      </c>
      <c r="B1041" s="1749" t="str">
        <f t="shared" si="334"/>
        <v>4Q19</v>
      </c>
      <c r="C1041" s="1749" t="str">
        <f t="shared" si="335"/>
        <v>4Q19</v>
      </c>
      <c r="D1041" s="1750">
        <f t="shared" ref="D1041:E1041" si="370">D1040+7</f>
        <v>43787</v>
      </c>
      <c r="E1041" s="1750">
        <f t="shared" si="370"/>
        <v>43780</v>
      </c>
      <c r="F1041" s="1789">
        <f t="shared" si="313"/>
        <v>3.01</v>
      </c>
      <c r="H1041" s="1762">
        <f t="shared" si="339"/>
        <v>0.47399999999999998</v>
      </c>
      <c r="I1041" s="1763">
        <f t="shared" si="340"/>
        <v>0.47399999999999998</v>
      </c>
      <c r="J1041" s="1762">
        <f t="shared" si="341"/>
        <v>0.23699999999999999</v>
      </c>
      <c r="K1041" s="1763">
        <f t="shared" si="342"/>
        <v>0.23699999999999999</v>
      </c>
      <c r="L1041" s="1764">
        <f t="shared" si="343"/>
        <v>0.39000000000000018</v>
      </c>
      <c r="M1041" s="1765">
        <f t="shared" si="344"/>
        <v>0.39000000000000018</v>
      </c>
    </row>
    <row r="1042" spans="1:13">
      <c r="A1042" s="1749">
        <f t="shared" si="333"/>
        <v>43770</v>
      </c>
      <c r="B1042" s="1749" t="str">
        <f t="shared" si="334"/>
        <v>4Q19</v>
      </c>
      <c r="C1042" s="1749" t="str">
        <f t="shared" si="335"/>
        <v>4Q19</v>
      </c>
      <c r="D1042" s="1750">
        <f t="shared" ref="D1042:E1042" si="371">D1041+7</f>
        <v>43794</v>
      </c>
      <c r="E1042" s="1750">
        <f t="shared" si="371"/>
        <v>43787</v>
      </c>
      <c r="F1042" s="1789">
        <f t="shared" si="313"/>
        <v>3.01</v>
      </c>
      <c r="H1042" s="1762">
        <f t="shared" si="339"/>
        <v>0.47399999999999998</v>
      </c>
      <c r="I1042" s="1763">
        <f t="shared" si="340"/>
        <v>0.47399999999999998</v>
      </c>
      <c r="J1042" s="1762">
        <f t="shared" si="341"/>
        <v>0.23699999999999999</v>
      </c>
      <c r="K1042" s="1763">
        <f t="shared" si="342"/>
        <v>0.23699999999999999</v>
      </c>
      <c r="L1042" s="1764">
        <f t="shared" si="343"/>
        <v>0.39000000000000018</v>
      </c>
      <c r="M1042" s="1765">
        <f t="shared" si="344"/>
        <v>0.39000000000000018</v>
      </c>
    </row>
    <row r="1043" spans="1:13">
      <c r="A1043" s="1749">
        <f t="shared" si="333"/>
        <v>43800</v>
      </c>
      <c r="B1043" s="1749" t="str">
        <f t="shared" si="334"/>
        <v>4Q19</v>
      </c>
      <c r="C1043" s="1749" t="str">
        <f t="shared" si="335"/>
        <v>4Q19</v>
      </c>
      <c r="D1043" s="1750">
        <f t="shared" ref="D1043:E1043" si="372">D1042+7</f>
        <v>43801</v>
      </c>
      <c r="E1043" s="1750">
        <f t="shared" si="372"/>
        <v>43794</v>
      </c>
      <c r="F1043" s="1789">
        <f t="shared" si="313"/>
        <v>3.01</v>
      </c>
      <c r="H1043" s="1762">
        <f t="shared" si="339"/>
        <v>0.47399999999999998</v>
      </c>
      <c r="I1043" s="1763">
        <f t="shared" si="340"/>
        <v>0.47399999999999998</v>
      </c>
      <c r="J1043" s="1762">
        <f t="shared" si="341"/>
        <v>0.23699999999999999</v>
      </c>
      <c r="K1043" s="1763">
        <f t="shared" si="342"/>
        <v>0.23699999999999999</v>
      </c>
      <c r="L1043" s="1764">
        <f t="shared" si="343"/>
        <v>0.39000000000000018</v>
      </c>
      <c r="M1043" s="1765">
        <f t="shared" si="344"/>
        <v>0.39000000000000018</v>
      </c>
    </row>
    <row r="1044" spans="1:13">
      <c r="A1044" s="1749">
        <f t="shared" si="333"/>
        <v>43800</v>
      </c>
      <c r="B1044" s="1749" t="str">
        <f t="shared" si="334"/>
        <v>4Q19</v>
      </c>
      <c r="C1044" s="1749" t="str">
        <f t="shared" si="335"/>
        <v>4Q19</v>
      </c>
      <c r="D1044" s="1750">
        <f t="shared" ref="D1044:E1044" si="373">D1043+7</f>
        <v>43808</v>
      </c>
      <c r="E1044" s="1750">
        <f t="shared" si="373"/>
        <v>43801</v>
      </c>
      <c r="F1044" s="1789">
        <f t="shared" si="313"/>
        <v>3.01</v>
      </c>
      <c r="H1044" s="1762">
        <f t="shared" si="339"/>
        <v>0.47399999999999998</v>
      </c>
      <c r="I1044" s="1763">
        <f t="shared" si="340"/>
        <v>0.47399999999999998</v>
      </c>
      <c r="J1044" s="1762">
        <f t="shared" si="341"/>
        <v>0.23699999999999999</v>
      </c>
      <c r="K1044" s="1763">
        <f t="shared" si="342"/>
        <v>0.23699999999999999</v>
      </c>
      <c r="L1044" s="1764">
        <f t="shared" si="343"/>
        <v>0.39000000000000018</v>
      </c>
      <c r="M1044" s="1765">
        <f t="shared" si="344"/>
        <v>0.39000000000000018</v>
      </c>
    </row>
    <row r="1045" spans="1:13">
      <c r="A1045" s="1749">
        <f t="shared" si="333"/>
        <v>43800</v>
      </c>
      <c r="B1045" s="1749" t="str">
        <f t="shared" si="334"/>
        <v>4Q19</v>
      </c>
      <c r="C1045" s="1749" t="str">
        <f t="shared" si="335"/>
        <v>4Q19</v>
      </c>
      <c r="D1045" s="1750">
        <f t="shared" ref="D1045:E1045" si="374">D1044+7</f>
        <v>43815</v>
      </c>
      <c r="E1045" s="1750">
        <f t="shared" si="374"/>
        <v>43808</v>
      </c>
      <c r="F1045" s="1789">
        <f t="shared" si="313"/>
        <v>3.01</v>
      </c>
      <c r="H1045" s="1762">
        <f t="shared" si="339"/>
        <v>0.47399999999999998</v>
      </c>
      <c r="I1045" s="1763">
        <f t="shared" si="340"/>
        <v>0.47399999999999998</v>
      </c>
      <c r="J1045" s="1762">
        <f t="shared" si="341"/>
        <v>0.23699999999999999</v>
      </c>
      <c r="K1045" s="1763">
        <f t="shared" si="342"/>
        <v>0.23699999999999999</v>
      </c>
      <c r="L1045" s="1764">
        <f t="shared" si="343"/>
        <v>0.39000000000000018</v>
      </c>
      <c r="M1045" s="1765">
        <f t="shared" si="344"/>
        <v>0.39000000000000018</v>
      </c>
    </row>
    <row r="1046" spans="1:13">
      <c r="A1046" s="1749">
        <f t="shared" si="333"/>
        <v>43800</v>
      </c>
      <c r="B1046" s="1749" t="str">
        <f t="shared" si="334"/>
        <v>4Q19</v>
      </c>
      <c r="C1046" s="1749" t="str">
        <f t="shared" si="335"/>
        <v>4Q19</v>
      </c>
      <c r="D1046" s="1750">
        <f t="shared" ref="D1046:E1046" si="375">D1045+7</f>
        <v>43822</v>
      </c>
      <c r="E1046" s="1750">
        <f t="shared" si="375"/>
        <v>43815</v>
      </c>
      <c r="F1046" s="1789">
        <f t="shared" si="313"/>
        <v>3.01</v>
      </c>
      <c r="H1046" s="1762">
        <f t="shared" si="339"/>
        <v>0.47399999999999998</v>
      </c>
      <c r="I1046" s="1763">
        <f t="shared" si="340"/>
        <v>0.47399999999999998</v>
      </c>
      <c r="J1046" s="1762">
        <f t="shared" si="341"/>
        <v>0.23699999999999999</v>
      </c>
      <c r="K1046" s="1763">
        <f t="shared" si="342"/>
        <v>0.23699999999999999</v>
      </c>
      <c r="L1046" s="1764">
        <f t="shared" si="343"/>
        <v>0.39000000000000018</v>
      </c>
      <c r="M1046" s="1765">
        <f t="shared" si="344"/>
        <v>0.39000000000000018</v>
      </c>
    </row>
    <row r="1047" spans="1:13">
      <c r="A1047" s="1749">
        <f t="shared" si="333"/>
        <v>43800</v>
      </c>
      <c r="B1047" s="1749" t="str">
        <f t="shared" si="334"/>
        <v>4Q19</v>
      </c>
      <c r="C1047" s="1749" t="str">
        <f t="shared" si="335"/>
        <v>4Q19</v>
      </c>
      <c r="D1047" s="1750">
        <f t="shared" ref="D1047:E1047" si="376">D1046+7</f>
        <v>43829</v>
      </c>
      <c r="E1047" s="1750">
        <f t="shared" si="376"/>
        <v>43822</v>
      </c>
      <c r="F1047" s="1789">
        <f t="shared" si="313"/>
        <v>3.01</v>
      </c>
      <c r="H1047" s="1762">
        <f t="shared" si="339"/>
        <v>0.47399999999999998</v>
      </c>
      <c r="I1047" s="1763">
        <f t="shared" si="340"/>
        <v>0.47399999999999998</v>
      </c>
      <c r="J1047" s="1762">
        <f t="shared" si="341"/>
        <v>0.23699999999999999</v>
      </c>
      <c r="K1047" s="1763">
        <f t="shared" si="342"/>
        <v>0.23699999999999999</v>
      </c>
      <c r="L1047" s="1764">
        <f t="shared" si="343"/>
        <v>0.39000000000000018</v>
      </c>
      <c r="M1047" s="1765">
        <f t="shared" si="344"/>
        <v>0.39000000000000018</v>
      </c>
    </row>
    <row r="1048" spans="1:13">
      <c r="A1048" s="1749">
        <f t="shared" si="333"/>
        <v>43831</v>
      </c>
      <c r="B1048" s="1749" t="str">
        <f t="shared" si="334"/>
        <v>1Q20</v>
      </c>
      <c r="C1048" s="1749" t="str">
        <f t="shared" si="335"/>
        <v>4Q19</v>
      </c>
      <c r="D1048" s="1750">
        <f t="shared" ref="D1048:E1048" si="377">D1047+7</f>
        <v>43836</v>
      </c>
      <c r="E1048" s="1750">
        <f t="shared" si="377"/>
        <v>43829</v>
      </c>
      <c r="F1048" s="1789">
        <f t="shared" si="313"/>
        <v>3.01</v>
      </c>
      <c r="H1048" s="1762">
        <f t="shared" si="339"/>
        <v>0.47399999999999998</v>
      </c>
      <c r="I1048" s="1763">
        <f t="shared" si="340"/>
        <v>0.47399999999999998</v>
      </c>
      <c r="J1048" s="1762">
        <f t="shared" si="341"/>
        <v>0.23699999999999999</v>
      </c>
      <c r="K1048" s="1763">
        <f t="shared" si="342"/>
        <v>0.23699999999999999</v>
      </c>
      <c r="L1048" s="1764">
        <f t="shared" si="343"/>
        <v>0.39000000000000018</v>
      </c>
      <c r="M1048" s="1765">
        <f t="shared" si="344"/>
        <v>0.39000000000000018</v>
      </c>
    </row>
    <row r="1049" spans="1:13">
      <c r="A1049" s="1749">
        <f t="shared" si="333"/>
        <v>43831</v>
      </c>
      <c r="B1049" s="1749" t="str">
        <f t="shared" si="334"/>
        <v>1Q20</v>
      </c>
      <c r="C1049" s="1749" t="str">
        <f t="shared" si="335"/>
        <v>1Q20</v>
      </c>
      <c r="D1049" s="1750">
        <f t="shared" ref="D1049:E1049" si="378">D1048+7</f>
        <v>43843</v>
      </c>
      <c r="E1049" s="1750">
        <f t="shared" si="378"/>
        <v>43836</v>
      </c>
      <c r="F1049" s="1789">
        <f t="shared" si="313"/>
        <v>3.01</v>
      </c>
      <c r="H1049" s="1762">
        <f t="shared" si="339"/>
        <v>0.47399999999999998</v>
      </c>
      <c r="I1049" s="1763">
        <f t="shared" si="340"/>
        <v>0.47399999999999998</v>
      </c>
      <c r="J1049" s="1762">
        <f t="shared" si="341"/>
        <v>0.23699999999999999</v>
      </c>
      <c r="K1049" s="1763">
        <f t="shared" si="342"/>
        <v>0.23699999999999999</v>
      </c>
      <c r="L1049" s="1764">
        <f t="shared" si="343"/>
        <v>0.39000000000000018</v>
      </c>
      <c r="M1049" s="1765">
        <f t="shared" si="344"/>
        <v>0.39000000000000018</v>
      </c>
    </row>
    <row r="1050" spans="1:13">
      <c r="A1050" s="1749">
        <f t="shared" si="333"/>
        <v>43831</v>
      </c>
      <c r="B1050" s="1749" t="str">
        <f t="shared" si="334"/>
        <v>1Q20</v>
      </c>
      <c r="C1050" s="1749" t="str">
        <f t="shared" si="335"/>
        <v>1Q20</v>
      </c>
      <c r="D1050" s="1750">
        <f t="shared" ref="D1050:E1050" si="379">D1049+7</f>
        <v>43850</v>
      </c>
      <c r="E1050" s="1750">
        <f t="shared" si="379"/>
        <v>43843</v>
      </c>
      <c r="F1050" s="1789">
        <f t="shared" si="313"/>
        <v>3.01</v>
      </c>
      <c r="H1050" s="1762">
        <f t="shared" si="339"/>
        <v>0.47399999999999998</v>
      </c>
      <c r="I1050" s="1763">
        <f t="shared" si="340"/>
        <v>0.47399999999999998</v>
      </c>
      <c r="J1050" s="1762">
        <f t="shared" si="341"/>
        <v>0.23699999999999999</v>
      </c>
      <c r="K1050" s="1763">
        <f t="shared" si="342"/>
        <v>0.23699999999999999</v>
      </c>
      <c r="L1050" s="1764">
        <f t="shared" si="343"/>
        <v>0.39000000000000018</v>
      </c>
      <c r="M1050" s="1765">
        <f t="shared" si="344"/>
        <v>0.39000000000000018</v>
      </c>
    </row>
    <row r="1051" spans="1:13">
      <c r="A1051" s="1749">
        <f t="shared" si="333"/>
        <v>43831</v>
      </c>
      <c r="B1051" s="1749" t="str">
        <f t="shared" si="334"/>
        <v>1Q20</v>
      </c>
      <c r="C1051" s="1749" t="str">
        <f t="shared" si="335"/>
        <v>1Q20</v>
      </c>
      <c r="D1051" s="1750">
        <f t="shared" ref="D1051:E1051" si="380">D1050+7</f>
        <v>43857</v>
      </c>
      <c r="E1051" s="1750">
        <f t="shared" si="380"/>
        <v>43850</v>
      </c>
      <c r="F1051" s="1789">
        <f t="shared" si="313"/>
        <v>3.01</v>
      </c>
      <c r="H1051" s="1762">
        <f t="shared" si="339"/>
        <v>0.47399999999999998</v>
      </c>
      <c r="I1051" s="1763">
        <f t="shared" si="340"/>
        <v>0.47399999999999998</v>
      </c>
      <c r="J1051" s="1762">
        <f t="shared" si="341"/>
        <v>0.23699999999999999</v>
      </c>
      <c r="K1051" s="1763">
        <f t="shared" si="342"/>
        <v>0.23699999999999999</v>
      </c>
      <c r="L1051" s="1764">
        <f t="shared" si="343"/>
        <v>0.39000000000000018</v>
      </c>
      <c r="M1051" s="1765">
        <f t="shared" si="344"/>
        <v>0.39000000000000018</v>
      </c>
    </row>
    <row r="1052" spans="1:13">
      <c r="A1052" s="1749">
        <f t="shared" si="333"/>
        <v>43862</v>
      </c>
      <c r="B1052" s="1749" t="str">
        <f t="shared" si="334"/>
        <v>1Q20</v>
      </c>
      <c r="C1052" s="1749" t="str">
        <f t="shared" si="335"/>
        <v>1Q20</v>
      </c>
      <c r="D1052" s="1750">
        <f t="shared" ref="D1052:E1052" si="381">D1051+7</f>
        <v>43864</v>
      </c>
      <c r="E1052" s="1750">
        <f t="shared" si="381"/>
        <v>43857</v>
      </c>
      <c r="F1052" s="1789">
        <f t="shared" si="313"/>
        <v>3.01</v>
      </c>
      <c r="H1052" s="1762">
        <f t="shared" si="339"/>
        <v>0.47399999999999998</v>
      </c>
      <c r="I1052" s="1763">
        <f t="shared" si="340"/>
        <v>0.47399999999999998</v>
      </c>
      <c r="J1052" s="1762">
        <f t="shared" si="341"/>
        <v>0.23699999999999999</v>
      </c>
      <c r="K1052" s="1763">
        <f t="shared" si="342"/>
        <v>0.23699999999999999</v>
      </c>
      <c r="L1052" s="1764">
        <f t="shared" si="343"/>
        <v>0.39000000000000018</v>
      </c>
      <c r="M1052" s="1765">
        <f t="shared" si="344"/>
        <v>0.39000000000000018</v>
      </c>
    </row>
    <row r="1053" spans="1:13">
      <c r="A1053" s="1749">
        <f t="shared" si="333"/>
        <v>43862</v>
      </c>
      <c r="B1053" s="1749" t="str">
        <f t="shared" si="334"/>
        <v>1Q20</v>
      </c>
      <c r="C1053" s="1749" t="str">
        <f t="shared" si="335"/>
        <v>1Q20</v>
      </c>
      <c r="D1053" s="1750">
        <f t="shared" ref="D1053:E1053" si="382">D1052+7</f>
        <v>43871</v>
      </c>
      <c r="E1053" s="1750">
        <f t="shared" si="382"/>
        <v>43864</v>
      </c>
      <c r="F1053" s="1789">
        <f t="shared" si="313"/>
        <v>3.01</v>
      </c>
      <c r="H1053" s="1762">
        <f t="shared" si="339"/>
        <v>0.47399999999999998</v>
      </c>
      <c r="I1053" s="1763">
        <f t="shared" si="340"/>
        <v>0.47399999999999998</v>
      </c>
      <c r="J1053" s="1762">
        <f t="shared" si="341"/>
        <v>0.23699999999999999</v>
      </c>
      <c r="K1053" s="1763">
        <f t="shared" si="342"/>
        <v>0.23699999999999999</v>
      </c>
      <c r="L1053" s="1764">
        <f t="shared" si="343"/>
        <v>0.39000000000000018</v>
      </c>
      <c r="M1053" s="1765">
        <f t="shared" si="344"/>
        <v>0.39000000000000018</v>
      </c>
    </row>
    <row r="1054" spans="1:13">
      <c r="A1054" s="1749">
        <f t="shared" si="333"/>
        <v>43862</v>
      </c>
      <c r="B1054" s="1749" t="str">
        <f t="shared" si="334"/>
        <v>1Q20</v>
      </c>
      <c r="C1054" s="1749" t="str">
        <f t="shared" si="335"/>
        <v>1Q20</v>
      </c>
      <c r="D1054" s="1750">
        <f t="shared" ref="D1054:E1054" si="383">D1053+7</f>
        <v>43878</v>
      </c>
      <c r="E1054" s="1750">
        <f t="shared" si="383"/>
        <v>43871</v>
      </c>
      <c r="F1054" s="1789">
        <f t="shared" si="313"/>
        <v>3.01</v>
      </c>
      <c r="H1054" s="1762">
        <f t="shared" si="339"/>
        <v>0.47399999999999998</v>
      </c>
      <c r="I1054" s="1763">
        <f t="shared" si="340"/>
        <v>0.47399999999999998</v>
      </c>
      <c r="J1054" s="1762">
        <f t="shared" si="341"/>
        <v>0.23699999999999999</v>
      </c>
      <c r="K1054" s="1763">
        <f t="shared" si="342"/>
        <v>0.23699999999999999</v>
      </c>
      <c r="L1054" s="1764">
        <f t="shared" si="343"/>
        <v>0.39000000000000018</v>
      </c>
      <c r="M1054" s="1765">
        <f t="shared" si="344"/>
        <v>0.39000000000000018</v>
      </c>
    </row>
    <row r="1055" spans="1:13">
      <c r="A1055" s="1749">
        <f t="shared" si="333"/>
        <v>43862</v>
      </c>
      <c r="B1055" s="1749" t="str">
        <f t="shared" si="334"/>
        <v>1Q20</v>
      </c>
      <c r="C1055" s="1749" t="str">
        <f t="shared" si="335"/>
        <v>1Q20</v>
      </c>
      <c r="D1055" s="1750">
        <f t="shared" ref="D1055:E1055" si="384">D1054+7</f>
        <v>43885</v>
      </c>
      <c r="E1055" s="1750">
        <f t="shared" si="384"/>
        <v>43878</v>
      </c>
      <c r="F1055" s="1789">
        <f t="shared" si="313"/>
        <v>3.01</v>
      </c>
      <c r="H1055" s="1762">
        <f t="shared" si="339"/>
        <v>0.47399999999999998</v>
      </c>
      <c r="I1055" s="1763">
        <f t="shared" si="340"/>
        <v>0.47399999999999998</v>
      </c>
      <c r="J1055" s="1762">
        <f t="shared" si="341"/>
        <v>0.23699999999999999</v>
      </c>
      <c r="K1055" s="1763">
        <f t="shared" si="342"/>
        <v>0.23699999999999999</v>
      </c>
      <c r="L1055" s="1764">
        <f t="shared" si="343"/>
        <v>0.39000000000000018</v>
      </c>
      <c r="M1055" s="1765">
        <f t="shared" si="344"/>
        <v>0.39000000000000018</v>
      </c>
    </row>
    <row r="1056" spans="1:13">
      <c r="A1056" s="1749">
        <f t="shared" si="333"/>
        <v>43891</v>
      </c>
      <c r="B1056" s="1749" t="str">
        <f t="shared" si="334"/>
        <v>1Q20</v>
      </c>
      <c r="C1056" s="1749" t="str">
        <f t="shared" si="335"/>
        <v>1Q20</v>
      </c>
      <c r="D1056" s="1750">
        <f t="shared" ref="D1056:E1056" si="385">D1055+7</f>
        <v>43892</v>
      </c>
      <c r="E1056" s="1750">
        <f t="shared" si="385"/>
        <v>43885</v>
      </c>
      <c r="F1056" s="1789">
        <f t="shared" si="313"/>
        <v>3.01</v>
      </c>
      <c r="H1056" s="1762">
        <f t="shared" si="339"/>
        <v>0.47399999999999998</v>
      </c>
      <c r="I1056" s="1763">
        <f t="shared" si="340"/>
        <v>0.47399999999999998</v>
      </c>
      <c r="J1056" s="1762">
        <f t="shared" si="341"/>
        <v>0.23699999999999999</v>
      </c>
      <c r="K1056" s="1763">
        <f t="shared" si="342"/>
        <v>0.23699999999999999</v>
      </c>
      <c r="L1056" s="1764">
        <f t="shared" si="343"/>
        <v>0.39000000000000018</v>
      </c>
      <c r="M1056" s="1765">
        <f t="shared" si="344"/>
        <v>0.39000000000000018</v>
      </c>
    </row>
    <row r="1057" spans="1:13">
      <c r="A1057" s="1749">
        <f t="shared" si="333"/>
        <v>43891</v>
      </c>
      <c r="B1057" s="1749" t="str">
        <f t="shared" si="334"/>
        <v>1Q20</v>
      </c>
      <c r="C1057" s="1749" t="str">
        <f t="shared" si="335"/>
        <v>1Q20</v>
      </c>
      <c r="D1057" s="1750">
        <f t="shared" ref="D1057:E1057" si="386">D1056+7</f>
        <v>43899</v>
      </c>
      <c r="E1057" s="1750">
        <f t="shared" si="386"/>
        <v>43892</v>
      </c>
      <c r="F1057" s="1789">
        <f t="shared" ref="F1057:F1101" si="387">F1056</f>
        <v>3.01</v>
      </c>
      <c r="H1057" s="1762">
        <f t="shared" si="339"/>
        <v>0.47399999999999998</v>
      </c>
      <c r="I1057" s="1763">
        <f t="shared" si="340"/>
        <v>0.47399999999999998</v>
      </c>
      <c r="J1057" s="1762">
        <f t="shared" si="341"/>
        <v>0.23699999999999999</v>
      </c>
      <c r="K1057" s="1763">
        <f t="shared" si="342"/>
        <v>0.23699999999999999</v>
      </c>
      <c r="L1057" s="1764">
        <f t="shared" si="343"/>
        <v>0.39000000000000018</v>
      </c>
      <c r="M1057" s="1765">
        <f t="shared" si="344"/>
        <v>0.39000000000000018</v>
      </c>
    </row>
    <row r="1058" spans="1:13">
      <c r="A1058" s="1749">
        <f t="shared" si="333"/>
        <v>43891</v>
      </c>
      <c r="B1058" s="1749" t="str">
        <f t="shared" si="334"/>
        <v>1Q20</v>
      </c>
      <c r="C1058" s="1749" t="str">
        <f t="shared" si="335"/>
        <v>1Q20</v>
      </c>
      <c r="D1058" s="1750">
        <f t="shared" ref="D1058:E1058" si="388">D1057+7</f>
        <v>43906</v>
      </c>
      <c r="E1058" s="1750">
        <f t="shared" si="388"/>
        <v>43899</v>
      </c>
      <c r="F1058" s="1789">
        <f t="shared" si="387"/>
        <v>3.01</v>
      </c>
      <c r="H1058" s="1762">
        <f t="shared" si="339"/>
        <v>0.47399999999999998</v>
      </c>
      <c r="I1058" s="1763">
        <f t="shared" si="340"/>
        <v>0.47399999999999998</v>
      </c>
      <c r="J1058" s="1762">
        <f t="shared" si="341"/>
        <v>0.23699999999999999</v>
      </c>
      <c r="K1058" s="1763">
        <f t="shared" si="342"/>
        <v>0.23699999999999999</v>
      </c>
      <c r="L1058" s="1764">
        <f t="shared" si="343"/>
        <v>0.39000000000000018</v>
      </c>
      <c r="M1058" s="1765">
        <f t="shared" si="344"/>
        <v>0.39000000000000018</v>
      </c>
    </row>
    <row r="1059" spans="1:13">
      <c r="A1059" s="1749">
        <f t="shared" si="333"/>
        <v>43891</v>
      </c>
      <c r="B1059" s="1749" t="str">
        <f t="shared" si="334"/>
        <v>1Q20</v>
      </c>
      <c r="C1059" s="1749" t="str">
        <f t="shared" si="335"/>
        <v>1Q20</v>
      </c>
      <c r="D1059" s="1750">
        <f t="shared" ref="D1059:E1059" si="389">D1058+7</f>
        <v>43913</v>
      </c>
      <c r="E1059" s="1750">
        <f t="shared" si="389"/>
        <v>43906</v>
      </c>
      <c r="F1059" s="1789">
        <f t="shared" si="387"/>
        <v>3.01</v>
      </c>
      <c r="H1059" s="1762">
        <f t="shared" si="339"/>
        <v>0.47399999999999998</v>
      </c>
      <c r="I1059" s="1763">
        <f t="shared" si="340"/>
        <v>0.47399999999999998</v>
      </c>
      <c r="J1059" s="1762">
        <f t="shared" si="341"/>
        <v>0.23699999999999999</v>
      </c>
      <c r="K1059" s="1763">
        <f t="shared" si="342"/>
        <v>0.23699999999999999</v>
      </c>
      <c r="L1059" s="1764">
        <f t="shared" si="343"/>
        <v>0.39000000000000018</v>
      </c>
      <c r="M1059" s="1765">
        <f t="shared" si="344"/>
        <v>0.39000000000000018</v>
      </c>
    </row>
    <row r="1060" spans="1:13">
      <c r="A1060" s="1749">
        <f t="shared" si="333"/>
        <v>43891</v>
      </c>
      <c r="B1060" s="1749" t="str">
        <f t="shared" si="334"/>
        <v>1Q20</v>
      </c>
      <c r="C1060" s="1749" t="str">
        <f t="shared" si="335"/>
        <v>1Q20</v>
      </c>
      <c r="D1060" s="1750">
        <f t="shared" ref="D1060:E1060" si="390">D1059+7</f>
        <v>43920</v>
      </c>
      <c r="E1060" s="1750">
        <f t="shared" si="390"/>
        <v>43913</v>
      </c>
      <c r="F1060" s="1789">
        <f t="shared" si="387"/>
        <v>3.01</v>
      </c>
      <c r="H1060" s="1762">
        <f t="shared" si="339"/>
        <v>0.47399999999999998</v>
      </c>
      <c r="I1060" s="1763">
        <f t="shared" si="340"/>
        <v>0.47399999999999998</v>
      </c>
      <c r="J1060" s="1762">
        <f t="shared" si="341"/>
        <v>0.23699999999999999</v>
      </c>
      <c r="K1060" s="1763">
        <f t="shared" si="342"/>
        <v>0.23699999999999999</v>
      </c>
      <c r="L1060" s="1764">
        <f t="shared" si="343"/>
        <v>0.39000000000000018</v>
      </c>
      <c r="M1060" s="1765">
        <f t="shared" si="344"/>
        <v>0.39000000000000018</v>
      </c>
    </row>
    <row r="1061" spans="1:13">
      <c r="A1061" s="1749">
        <f t="shared" si="333"/>
        <v>43922</v>
      </c>
      <c r="B1061" s="1749" t="str">
        <f t="shared" si="334"/>
        <v>2Q20</v>
      </c>
      <c r="C1061" s="1749" t="str">
        <f t="shared" si="335"/>
        <v>1Q20</v>
      </c>
      <c r="D1061" s="1750">
        <f t="shared" ref="D1061:E1061" si="391">D1060+7</f>
        <v>43927</v>
      </c>
      <c r="E1061" s="1750">
        <f t="shared" si="391"/>
        <v>43920</v>
      </c>
      <c r="F1061" s="1789">
        <f t="shared" si="387"/>
        <v>3.01</v>
      </c>
      <c r="H1061" s="1762">
        <f t="shared" si="339"/>
        <v>0.47399999999999998</v>
      </c>
      <c r="I1061" s="1763">
        <f t="shared" si="340"/>
        <v>0.47399999999999998</v>
      </c>
      <c r="J1061" s="1762">
        <f t="shared" si="341"/>
        <v>0.23699999999999999</v>
      </c>
      <c r="K1061" s="1763">
        <f t="shared" si="342"/>
        <v>0.23699999999999999</v>
      </c>
      <c r="L1061" s="1764">
        <f t="shared" si="343"/>
        <v>0.39000000000000018</v>
      </c>
      <c r="M1061" s="1765">
        <f t="shared" si="344"/>
        <v>0.39000000000000018</v>
      </c>
    </row>
    <row r="1062" spans="1:13">
      <c r="A1062" s="1749">
        <f t="shared" si="333"/>
        <v>43922</v>
      </c>
      <c r="B1062" s="1749" t="str">
        <f t="shared" si="334"/>
        <v>2Q20</v>
      </c>
      <c r="C1062" s="1749" t="str">
        <f t="shared" si="335"/>
        <v>2Q20</v>
      </c>
      <c r="D1062" s="1750">
        <f t="shared" ref="D1062:E1062" si="392">D1061+7</f>
        <v>43934</v>
      </c>
      <c r="E1062" s="1750">
        <f t="shared" si="392"/>
        <v>43927</v>
      </c>
      <c r="F1062" s="1789">
        <f t="shared" si="387"/>
        <v>3.01</v>
      </c>
      <c r="H1062" s="1762">
        <f t="shared" si="339"/>
        <v>0.47399999999999998</v>
      </c>
      <c r="I1062" s="1763">
        <f t="shared" si="340"/>
        <v>0.47399999999999998</v>
      </c>
      <c r="J1062" s="1762">
        <f t="shared" si="341"/>
        <v>0.23699999999999999</v>
      </c>
      <c r="K1062" s="1763">
        <f t="shared" si="342"/>
        <v>0.23699999999999999</v>
      </c>
      <c r="L1062" s="1764">
        <f t="shared" si="343"/>
        <v>0.39000000000000018</v>
      </c>
      <c r="M1062" s="1765">
        <f t="shared" si="344"/>
        <v>0.39000000000000018</v>
      </c>
    </row>
    <row r="1063" spans="1:13">
      <c r="A1063" s="1749">
        <f t="shared" ref="A1063:A1087" si="393">DATE(YEAR(D1063),MONTH(D1063),1)</f>
        <v>43922</v>
      </c>
      <c r="B1063" s="1749" t="str">
        <f t="shared" ref="B1063:B1087" si="394">VLOOKUP(MONTH(A1063),$AB$4:$AC$17,2,FALSE) &amp; "Q" &amp; RIGHT(YEAR(A1063),2)</f>
        <v>2Q20</v>
      </c>
      <c r="C1063" s="1749" t="str">
        <f t="shared" ref="C1063:C1087" si="395">VLOOKUP(MONTH(E1063),$AB$4:$AC$17,2,FALSE) &amp; "Q" &amp; RIGHT(YEAR(E1063),2)</f>
        <v>2Q20</v>
      </c>
      <c r="D1063" s="1750">
        <f t="shared" ref="D1063:E1063" si="396">D1062+7</f>
        <v>43941</v>
      </c>
      <c r="E1063" s="1750">
        <f t="shared" si="396"/>
        <v>43934</v>
      </c>
      <c r="F1063" s="1789">
        <f t="shared" si="387"/>
        <v>3.01</v>
      </c>
      <c r="H1063" s="1762">
        <f t="shared" si="339"/>
        <v>0.47399999999999998</v>
      </c>
      <c r="I1063" s="1763">
        <f t="shared" si="340"/>
        <v>0.47399999999999998</v>
      </c>
      <c r="J1063" s="1762">
        <f t="shared" si="341"/>
        <v>0.23699999999999999</v>
      </c>
      <c r="K1063" s="1763">
        <f t="shared" si="342"/>
        <v>0.23699999999999999</v>
      </c>
      <c r="L1063" s="1764">
        <f t="shared" si="343"/>
        <v>0.39000000000000018</v>
      </c>
      <c r="M1063" s="1765">
        <f t="shared" si="344"/>
        <v>0.39000000000000018</v>
      </c>
    </row>
    <row r="1064" spans="1:13">
      <c r="A1064" s="1749">
        <f t="shared" si="393"/>
        <v>43922</v>
      </c>
      <c r="B1064" s="1749" t="str">
        <f t="shared" si="394"/>
        <v>2Q20</v>
      </c>
      <c r="C1064" s="1749" t="str">
        <f t="shared" si="395"/>
        <v>2Q20</v>
      </c>
      <c r="D1064" s="1750">
        <f t="shared" ref="D1064:E1064" si="397">D1063+7</f>
        <v>43948</v>
      </c>
      <c r="E1064" s="1750">
        <f t="shared" si="397"/>
        <v>43941</v>
      </c>
      <c r="F1064" s="1789">
        <f t="shared" si="387"/>
        <v>3.01</v>
      </c>
      <c r="H1064" s="1762">
        <f t="shared" si="339"/>
        <v>0.47399999999999998</v>
      </c>
      <c r="I1064" s="1763">
        <f t="shared" si="340"/>
        <v>0.47399999999999998</v>
      </c>
      <c r="J1064" s="1762">
        <f t="shared" si="341"/>
        <v>0.23699999999999999</v>
      </c>
      <c r="K1064" s="1763">
        <f t="shared" si="342"/>
        <v>0.23699999999999999</v>
      </c>
      <c r="L1064" s="1764">
        <f t="shared" si="343"/>
        <v>0.39000000000000018</v>
      </c>
      <c r="M1064" s="1765">
        <f t="shared" si="344"/>
        <v>0.39000000000000018</v>
      </c>
    </row>
    <row r="1065" spans="1:13">
      <c r="A1065" s="1749">
        <f t="shared" si="393"/>
        <v>43952</v>
      </c>
      <c r="B1065" s="1749" t="str">
        <f t="shared" si="394"/>
        <v>2Q20</v>
      </c>
      <c r="C1065" s="1749" t="str">
        <f t="shared" si="395"/>
        <v>2Q20</v>
      </c>
      <c r="D1065" s="1750">
        <f t="shared" ref="D1065:E1065" si="398">D1064+7</f>
        <v>43955</v>
      </c>
      <c r="E1065" s="1750">
        <f t="shared" si="398"/>
        <v>43948</v>
      </c>
      <c r="F1065" s="1789">
        <f t="shared" si="387"/>
        <v>3.01</v>
      </c>
      <c r="H1065" s="1762">
        <f t="shared" si="339"/>
        <v>0.47399999999999998</v>
      </c>
      <c r="I1065" s="1763">
        <f t="shared" si="340"/>
        <v>0.47399999999999998</v>
      </c>
      <c r="J1065" s="1762">
        <f t="shared" si="341"/>
        <v>0.23699999999999999</v>
      </c>
      <c r="K1065" s="1763">
        <f t="shared" si="342"/>
        <v>0.23699999999999999</v>
      </c>
      <c r="L1065" s="1764">
        <f t="shared" si="343"/>
        <v>0.39000000000000018</v>
      </c>
      <c r="M1065" s="1765">
        <f t="shared" si="344"/>
        <v>0.39000000000000018</v>
      </c>
    </row>
    <row r="1066" spans="1:13">
      <c r="A1066" s="1749">
        <f t="shared" si="393"/>
        <v>43952</v>
      </c>
      <c r="B1066" s="1749" t="str">
        <f t="shared" si="394"/>
        <v>2Q20</v>
      </c>
      <c r="C1066" s="1749" t="str">
        <f t="shared" si="395"/>
        <v>2Q20</v>
      </c>
      <c r="D1066" s="1750">
        <f t="shared" ref="D1066:E1066" si="399">D1065+7</f>
        <v>43962</v>
      </c>
      <c r="E1066" s="1750">
        <f t="shared" si="399"/>
        <v>43955</v>
      </c>
      <c r="F1066" s="1789">
        <f t="shared" si="387"/>
        <v>3.01</v>
      </c>
      <c r="H1066" s="1762">
        <f t="shared" si="339"/>
        <v>0.47399999999999998</v>
      </c>
      <c r="I1066" s="1763">
        <f t="shared" si="340"/>
        <v>0.47399999999999998</v>
      </c>
      <c r="J1066" s="1762">
        <f t="shared" si="341"/>
        <v>0.23699999999999999</v>
      </c>
      <c r="K1066" s="1763">
        <f t="shared" si="342"/>
        <v>0.23699999999999999</v>
      </c>
      <c r="L1066" s="1764">
        <f t="shared" si="343"/>
        <v>0.39000000000000018</v>
      </c>
      <c r="M1066" s="1765">
        <f t="shared" si="344"/>
        <v>0.39000000000000018</v>
      </c>
    </row>
    <row r="1067" spans="1:13">
      <c r="A1067" s="1749">
        <f t="shared" si="393"/>
        <v>43952</v>
      </c>
      <c r="B1067" s="1749" t="str">
        <f t="shared" si="394"/>
        <v>2Q20</v>
      </c>
      <c r="C1067" s="1749" t="str">
        <f t="shared" si="395"/>
        <v>2Q20</v>
      </c>
      <c r="D1067" s="1750">
        <f t="shared" ref="D1067:E1067" si="400">D1066+7</f>
        <v>43969</v>
      </c>
      <c r="E1067" s="1750">
        <f t="shared" si="400"/>
        <v>43962</v>
      </c>
      <c r="F1067" s="1789">
        <f t="shared" si="387"/>
        <v>3.01</v>
      </c>
      <c r="H1067" s="1762">
        <f t="shared" si="339"/>
        <v>0.47399999999999998</v>
      </c>
      <c r="I1067" s="1763">
        <f t="shared" si="340"/>
        <v>0.47399999999999998</v>
      </c>
      <c r="J1067" s="1762">
        <f t="shared" si="341"/>
        <v>0.23699999999999999</v>
      </c>
      <c r="K1067" s="1763">
        <f t="shared" si="342"/>
        <v>0.23699999999999999</v>
      </c>
      <c r="L1067" s="1764">
        <f t="shared" si="343"/>
        <v>0.39000000000000018</v>
      </c>
      <c r="M1067" s="1765">
        <f t="shared" si="344"/>
        <v>0.39000000000000018</v>
      </c>
    </row>
    <row r="1068" spans="1:13">
      <c r="A1068" s="1749">
        <f t="shared" si="393"/>
        <v>43952</v>
      </c>
      <c r="B1068" s="1749" t="str">
        <f t="shared" si="394"/>
        <v>2Q20</v>
      </c>
      <c r="C1068" s="1749" t="str">
        <f t="shared" si="395"/>
        <v>2Q20</v>
      </c>
      <c r="D1068" s="1750">
        <f t="shared" ref="D1068:E1068" si="401">D1067+7</f>
        <v>43976</v>
      </c>
      <c r="E1068" s="1750">
        <f t="shared" si="401"/>
        <v>43969</v>
      </c>
      <c r="F1068" s="1789">
        <f t="shared" si="387"/>
        <v>3.01</v>
      </c>
      <c r="H1068" s="1762">
        <f t="shared" si="339"/>
        <v>0.47399999999999998</v>
      </c>
      <c r="I1068" s="1763">
        <f t="shared" si="340"/>
        <v>0.47399999999999998</v>
      </c>
      <c r="J1068" s="1762">
        <f t="shared" si="341"/>
        <v>0.23699999999999999</v>
      </c>
      <c r="K1068" s="1763">
        <f t="shared" si="342"/>
        <v>0.23699999999999999</v>
      </c>
      <c r="L1068" s="1764">
        <f t="shared" si="343"/>
        <v>0.39000000000000018</v>
      </c>
      <c r="M1068" s="1765">
        <f t="shared" si="344"/>
        <v>0.39000000000000018</v>
      </c>
    </row>
    <row r="1069" spans="1:13">
      <c r="A1069" s="1749">
        <f t="shared" si="393"/>
        <v>43983</v>
      </c>
      <c r="B1069" s="1749" t="str">
        <f t="shared" si="394"/>
        <v>2Q20</v>
      </c>
      <c r="C1069" s="1749" t="str">
        <f t="shared" si="395"/>
        <v>2Q20</v>
      </c>
      <c r="D1069" s="1750">
        <f t="shared" ref="D1069:E1069" si="402">D1068+7</f>
        <v>43983</v>
      </c>
      <c r="E1069" s="1750">
        <f t="shared" si="402"/>
        <v>43976</v>
      </c>
      <c r="F1069" s="1789">
        <f t="shared" si="387"/>
        <v>3.01</v>
      </c>
      <c r="H1069" s="1762">
        <f t="shared" si="339"/>
        <v>0.47399999999999998</v>
      </c>
      <c r="I1069" s="1763">
        <f t="shared" si="340"/>
        <v>0.47399999999999998</v>
      </c>
      <c r="J1069" s="1762">
        <f t="shared" si="341"/>
        <v>0.23699999999999999</v>
      </c>
      <c r="K1069" s="1763">
        <f t="shared" si="342"/>
        <v>0.23699999999999999</v>
      </c>
      <c r="L1069" s="1764">
        <f t="shared" si="343"/>
        <v>0.39000000000000018</v>
      </c>
      <c r="M1069" s="1765">
        <f t="shared" si="344"/>
        <v>0.39000000000000018</v>
      </c>
    </row>
    <row r="1070" spans="1:13">
      <c r="A1070" s="1749">
        <f t="shared" si="393"/>
        <v>43983</v>
      </c>
      <c r="B1070" s="1749" t="str">
        <f t="shared" si="394"/>
        <v>2Q20</v>
      </c>
      <c r="C1070" s="1749" t="str">
        <f t="shared" si="395"/>
        <v>2Q20</v>
      </c>
      <c r="D1070" s="1750">
        <f t="shared" ref="D1070:E1070" si="403">D1069+7</f>
        <v>43990</v>
      </c>
      <c r="E1070" s="1750">
        <f t="shared" si="403"/>
        <v>43983</v>
      </c>
      <c r="F1070" s="1789">
        <f t="shared" si="387"/>
        <v>3.01</v>
      </c>
      <c r="H1070" s="1762">
        <f t="shared" si="339"/>
        <v>0.47399999999999998</v>
      </c>
      <c r="I1070" s="1763">
        <f t="shared" si="340"/>
        <v>0.47399999999999998</v>
      </c>
      <c r="J1070" s="1762">
        <f t="shared" si="341"/>
        <v>0.23699999999999999</v>
      </c>
      <c r="K1070" s="1763">
        <f t="shared" si="342"/>
        <v>0.23699999999999999</v>
      </c>
      <c r="L1070" s="1764">
        <f t="shared" si="343"/>
        <v>0.39000000000000018</v>
      </c>
      <c r="M1070" s="1765">
        <f t="shared" si="344"/>
        <v>0.39000000000000018</v>
      </c>
    </row>
    <row r="1071" spans="1:13">
      <c r="A1071" s="1749">
        <f t="shared" si="393"/>
        <v>43983</v>
      </c>
      <c r="B1071" s="1749" t="str">
        <f t="shared" si="394"/>
        <v>2Q20</v>
      </c>
      <c r="C1071" s="1749" t="str">
        <f t="shared" si="395"/>
        <v>2Q20</v>
      </c>
      <c r="D1071" s="1750">
        <f t="shared" ref="D1071:E1071" si="404">D1070+7</f>
        <v>43997</v>
      </c>
      <c r="E1071" s="1750">
        <f t="shared" si="404"/>
        <v>43990</v>
      </c>
      <c r="F1071" s="1789">
        <f t="shared" si="387"/>
        <v>3.01</v>
      </c>
      <c r="H1071" s="1762">
        <f t="shared" si="339"/>
        <v>0.47399999999999998</v>
      </c>
      <c r="I1071" s="1763">
        <f t="shared" si="340"/>
        <v>0.47399999999999998</v>
      </c>
      <c r="J1071" s="1762">
        <f t="shared" si="341"/>
        <v>0.23699999999999999</v>
      </c>
      <c r="K1071" s="1763">
        <f t="shared" si="342"/>
        <v>0.23699999999999999</v>
      </c>
      <c r="L1071" s="1764">
        <f t="shared" si="343"/>
        <v>0.39000000000000018</v>
      </c>
      <c r="M1071" s="1765">
        <f t="shared" si="344"/>
        <v>0.39000000000000018</v>
      </c>
    </row>
    <row r="1072" spans="1:13">
      <c r="A1072" s="1749">
        <f t="shared" si="393"/>
        <v>43983</v>
      </c>
      <c r="B1072" s="1749" t="str">
        <f t="shared" si="394"/>
        <v>2Q20</v>
      </c>
      <c r="C1072" s="1749" t="str">
        <f t="shared" si="395"/>
        <v>2Q20</v>
      </c>
      <c r="D1072" s="1750">
        <f t="shared" ref="D1072:E1072" si="405">D1071+7</f>
        <v>44004</v>
      </c>
      <c r="E1072" s="1750">
        <f t="shared" si="405"/>
        <v>43997</v>
      </c>
      <c r="F1072" s="1789">
        <f t="shared" si="387"/>
        <v>3.01</v>
      </c>
      <c r="H1072" s="1762">
        <f t="shared" si="339"/>
        <v>0.47399999999999998</v>
      </c>
      <c r="I1072" s="1763">
        <f t="shared" si="340"/>
        <v>0.47399999999999998</v>
      </c>
      <c r="J1072" s="1762">
        <f t="shared" si="341"/>
        <v>0.23699999999999999</v>
      </c>
      <c r="K1072" s="1763">
        <f t="shared" si="342"/>
        <v>0.23699999999999999</v>
      </c>
      <c r="L1072" s="1764">
        <f t="shared" si="343"/>
        <v>0.39000000000000018</v>
      </c>
      <c r="M1072" s="1765">
        <f t="shared" si="344"/>
        <v>0.39000000000000018</v>
      </c>
    </row>
    <row r="1073" spans="1:13">
      <c r="A1073" s="1749">
        <f t="shared" si="393"/>
        <v>43983</v>
      </c>
      <c r="B1073" s="1749" t="str">
        <f t="shared" si="394"/>
        <v>2Q20</v>
      </c>
      <c r="C1073" s="1749" t="str">
        <f t="shared" si="395"/>
        <v>2Q20</v>
      </c>
      <c r="D1073" s="1750">
        <f t="shared" ref="D1073:E1073" si="406">D1072+7</f>
        <v>44011</v>
      </c>
      <c r="E1073" s="1750">
        <f t="shared" si="406"/>
        <v>44004</v>
      </c>
      <c r="F1073" s="1789">
        <f t="shared" si="387"/>
        <v>3.01</v>
      </c>
      <c r="H1073" s="1762">
        <f t="shared" si="339"/>
        <v>0.47399999999999998</v>
      </c>
      <c r="I1073" s="1763">
        <f t="shared" si="340"/>
        <v>0.47399999999999998</v>
      </c>
      <c r="J1073" s="1762">
        <f t="shared" si="341"/>
        <v>0.23699999999999999</v>
      </c>
      <c r="K1073" s="1763">
        <f t="shared" si="342"/>
        <v>0.23699999999999999</v>
      </c>
      <c r="L1073" s="1764">
        <f t="shared" si="343"/>
        <v>0.39000000000000018</v>
      </c>
      <c r="M1073" s="1765">
        <f t="shared" si="344"/>
        <v>0.39000000000000018</v>
      </c>
    </row>
    <row r="1074" spans="1:13">
      <c r="A1074" s="1749">
        <f t="shared" si="393"/>
        <v>44013</v>
      </c>
      <c r="B1074" s="1749" t="str">
        <f t="shared" si="394"/>
        <v>3Q20</v>
      </c>
      <c r="C1074" s="1749" t="str">
        <f t="shared" si="395"/>
        <v>2Q20</v>
      </c>
      <c r="D1074" s="1750">
        <f t="shared" ref="D1074:E1074" si="407">D1073+7</f>
        <v>44018</v>
      </c>
      <c r="E1074" s="1750">
        <f t="shared" si="407"/>
        <v>44011</v>
      </c>
      <c r="F1074" s="1789">
        <f t="shared" si="387"/>
        <v>3.01</v>
      </c>
      <c r="H1074" s="1762">
        <f t="shared" si="339"/>
        <v>0.47399999999999998</v>
      </c>
      <c r="I1074" s="1763">
        <f t="shared" si="340"/>
        <v>0.47399999999999998</v>
      </c>
      <c r="J1074" s="1762">
        <f t="shared" si="341"/>
        <v>0.23699999999999999</v>
      </c>
      <c r="K1074" s="1763">
        <f t="shared" si="342"/>
        <v>0.23699999999999999</v>
      </c>
      <c r="L1074" s="1764">
        <f t="shared" si="343"/>
        <v>0.39000000000000018</v>
      </c>
      <c r="M1074" s="1765">
        <f t="shared" si="344"/>
        <v>0.39000000000000018</v>
      </c>
    </row>
    <row r="1075" spans="1:13">
      <c r="A1075" s="1749">
        <f t="shared" si="393"/>
        <v>44013</v>
      </c>
      <c r="B1075" s="1749" t="str">
        <f t="shared" si="394"/>
        <v>3Q20</v>
      </c>
      <c r="C1075" s="1749" t="str">
        <f t="shared" si="395"/>
        <v>3Q20</v>
      </c>
      <c r="D1075" s="1750">
        <f t="shared" ref="D1075:E1075" si="408">D1074+7</f>
        <v>44025</v>
      </c>
      <c r="E1075" s="1750">
        <f t="shared" si="408"/>
        <v>44018</v>
      </c>
      <c r="F1075" s="1789">
        <f t="shared" si="387"/>
        <v>3.01</v>
      </c>
      <c r="H1075" s="1762">
        <f t="shared" si="339"/>
        <v>0.47399999999999998</v>
      </c>
      <c r="I1075" s="1763">
        <f t="shared" si="340"/>
        <v>0.47399999999999998</v>
      </c>
      <c r="J1075" s="1762">
        <f t="shared" si="341"/>
        <v>0.23699999999999999</v>
      </c>
      <c r="K1075" s="1763">
        <f t="shared" si="342"/>
        <v>0.23699999999999999</v>
      </c>
      <c r="L1075" s="1764">
        <f t="shared" si="343"/>
        <v>0.39000000000000018</v>
      </c>
      <c r="M1075" s="1765">
        <f t="shared" si="344"/>
        <v>0.39000000000000018</v>
      </c>
    </row>
    <row r="1076" spans="1:13">
      <c r="A1076" s="1749">
        <f t="shared" si="393"/>
        <v>44013</v>
      </c>
      <c r="B1076" s="1749" t="str">
        <f t="shared" si="394"/>
        <v>3Q20</v>
      </c>
      <c r="C1076" s="1749" t="str">
        <f t="shared" si="395"/>
        <v>3Q20</v>
      </c>
      <c r="D1076" s="1750">
        <f t="shared" ref="D1076:E1076" si="409">D1075+7</f>
        <v>44032</v>
      </c>
      <c r="E1076" s="1750">
        <f t="shared" si="409"/>
        <v>44025</v>
      </c>
      <c r="F1076" s="1789">
        <f t="shared" si="387"/>
        <v>3.01</v>
      </c>
      <c r="H1076" s="1762">
        <f t="shared" si="339"/>
        <v>0.47399999999999998</v>
      </c>
      <c r="I1076" s="1763">
        <f t="shared" si="340"/>
        <v>0.47399999999999998</v>
      </c>
      <c r="J1076" s="1762">
        <f t="shared" si="341"/>
        <v>0.23699999999999999</v>
      </c>
      <c r="K1076" s="1763">
        <f t="shared" si="342"/>
        <v>0.23699999999999999</v>
      </c>
      <c r="L1076" s="1764">
        <f t="shared" si="343"/>
        <v>0.39000000000000018</v>
      </c>
      <c r="M1076" s="1765">
        <f t="shared" si="344"/>
        <v>0.39000000000000018</v>
      </c>
    </row>
    <row r="1077" spans="1:13">
      <c r="A1077" s="1749">
        <f t="shared" si="393"/>
        <v>44013</v>
      </c>
      <c r="B1077" s="1749" t="str">
        <f t="shared" si="394"/>
        <v>3Q20</v>
      </c>
      <c r="C1077" s="1749" t="str">
        <f t="shared" si="395"/>
        <v>3Q20</v>
      </c>
      <c r="D1077" s="1750">
        <f t="shared" ref="D1077:E1077" si="410">D1076+7</f>
        <v>44039</v>
      </c>
      <c r="E1077" s="1750">
        <f t="shared" si="410"/>
        <v>44032</v>
      </c>
      <c r="F1077" s="1789">
        <f t="shared" si="387"/>
        <v>3.01</v>
      </c>
      <c r="H1077" s="1762">
        <f t="shared" si="339"/>
        <v>0.47399999999999998</v>
      </c>
      <c r="I1077" s="1763">
        <f t="shared" si="340"/>
        <v>0.47399999999999998</v>
      </c>
      <c r="J1077" s="1762">
        <f t="shared" si="341"/>
        <v>0.23699999999999999</v>
      </c>
      <c r="K1077" s="1763">
        <f t="shared" si="342"/>
        <v>0.23699999999999999</v>
      </c>
      <c r="L1077" s="1764">
        <f t="shared" si="343"/>
        <v>0.39000000000000018</v>
      </c>
      <c r="M1077" s="1765">
        <f t="shared" si="344"/>
        <v>0.39000000000000018</v>
      </c>
    </row>
    <row r="1078" spans="1:13">
      <c r="A1078" s="1749">
        <f t="shared" si="393"/>
        <v>44044</v>
      </c>
      <c r="B1078" s="1749" t="str">
        <f t="shared" si="394"/>
        <v>3Q20</v>
      </c>
      <c r="C1078" s="1749" t="str">
        <f t="shared" si="395"/>
        <v>3Q20</v>
      </c>
      <c r="D1078" s="1750">
        <f t="shared" ref="D1078:E1078" si="411">D1077+7</f>
        <v>44046</v>
      </c>
      <c r="E1078" s="1750">
        <f t="shared" si="411"/>
        <v>44039</v>
      </c>
      <c r="F1078" s="1789">
        <f t="shared" si="387"/>
        <v>3.01</v>
      </c>
      <c r="H1078" s="1762">
        <f t="shared" si="339"/>
        <v>0.47399999999999998</v>
      </c>
      <c r="I1078" s="1763">
        <f t="shared" si="340"/>
        <v>0.47399999999999998</v>
      </c>
      <c r="J1078" s="1762">
        <f t="shared" si="341"/>
        <v>0.23699999999999999</v>
      </c>
      <c r="K1078" s="1763">
        <f t="shared" si="342"/>
        <v>0.23699999999999999</v>
      </c>
      <c r="L1078" s="1764">
        <f t="shared" si="343"/>
        <v>0.39000000000000018</v>
      </c>
      <c r="M1078" s="1765">
        <f t="shared" si="344"/>
        <v>0.39000000000000018</v>
      </c>
    </row>
    <row r="1079" spans="1:13">
      <c r="A1079" s="1749">
        <f t="shared" si="393"/>
        <v>44044</v>
      </c>
      <c r="B1079" s="1749" t="str">
        <f t="shared" si="394"/>
        <v>3Q20</v>
      </c>
      <c r="C1079" s="1749" t="str">
        <f t="shared" si="395"/>
        <v>3Q20</v>
      </c>
      <c r="D1079" s="1750">
        <f t="shared" ref="D1079:E1079" si="412">D1078+7</f>
        <v>44053</v>
      </c>
      <c r="E1079" s="1750">
        <f t="shared" si="412"/>
        <v>44046</v>
      </c>
      <c r="F1079" s="1789">
        <f t="shared" si="387"/>
        <v>3.01</v>
      </c>
      <c r="H1079" s="1762">
        <f t="shared" ref="H1079:H1101" si="413">INDEX($O$4:$R$440,MATCH(F1079,$O$4:$O$440,1),3)</f>
        <v>0.47399999999999998</v>
      </c>
      <c r="I1079" s="1763">
        <f t="shared" ref="I1079:I1101" si="414">H1080</f>
        <v>0.47399999999999998</v>
      </c>
      <c r="J1079" s="1762">
        <f t="shared" ref="J1079:J1101" si="415">INDEX($O$4:$R$440,MATCH(F1079,$O$4:$O$440,1),4)</f>
        <v>0.23699999999999999</v>
      </c>
      <c r="K1079" s="1763">
        <f t="shared" ref="K1079:K1101" si="416">J1080</f>
        <v>0.23699999999999999</v>
      </c>
      <c r="L1079" s="1764">
        <f t="shared" ref="L1079:L1101" si="417">INDEX($T$4:$V$100,MATCH(F1079,$T$4:$T$100,1),3)</f>
        <v>0.39000000000000018</v>
      </c>
      <c r="M1079" s="1765">
        <f t="shared" ref="M1079:M1101" si="418">L1080</f>
        <v>0.39000000000000018</v>
      </c>
    </row>
    <row r="1080" spans="1:13">
      <c r="A1080" s="1749">
        <f t="shared" si="393"/>
        <v>44044</v>
      </c>
      <c r="B1080" s="1749" t="str">
        <f t="shared" si="394"/>
        <v>3Q20</v>
      </c>
      <c r="C1080" s="1749" t="str">
        <f t="shared" si="395"/>
        <v>3Q20</v>
      </c>
      <c r="D1080" s="1750">
        <f t="shared" ref="D1080:E1080" si="419">D1079+7</f>
        <v>44060</v>
      </c>
      <c r="E1080" s="1750">
        <f t="shared" si="419"/>
        <v>44053</v>
      </c>
      <c r="F1080" s="1789">
        <f t="shared" si="387"/>
        <v>3.01</v>
      </c>
      <c r="H1080" s="1762">
        <f t="shared" si="413"/>
        <v>0.47399999999999998</v>
      </c>
      <c r="I1080" s="1763">
        <f t="shared" si="414"/>
        <v>0.47399999999999998</v>
      </c>
      <c r="J1080" s="1762">
        <f t="shared" si="415"/>
        <v>0.23699999999999999</v>
      </c>
      <c r="K1080" s="1763">
        <f t="shared" si="416"/>
        <v>0.23699999999999999</v>
      </c>
      <c r="L1080" s="1764">
        <f t="shared" si="417"/>
        <v>0.39000000000000018</v>
      </c>
      <c r="M1080" s="1765">
        <f t="shared" si="418"/>
        <v>0.39000000000000018</v>
      </c>
    </row>
    <row r="1081" spans="1:13">
      <c r="A1081" s="1749">
        <f t="shared" si="393"/>
        <v>44044</v>
      </c>
      <c r="B1081" s="1749" t="str">
        <f t="shared" si="394"/>
        <v>3Q20</v>
      </c>
      <c r="C1081" s="1749" t="str">
        <f t="shared" si="395"/>
        <v>3Q20</v>
      </c>
      <c r="D1081" s="1750">
        <f t="shared" ref="D1081:E1081" si="420">D1080+7</f>
        <v>44067</v>
      </c>
      <c r="E1081" s="1750">
        <f t="shared" si="420"/>
        <v>44060</v>
      </c>
      <c r="F1081" s="1789">
        <f t="shared" si="387"/>
        <v>3.01</v>
      </c>
      <c r="H1081" s="1762">
        <f t="shared" si="413"/>
        <v>0.47399999999999998</v>
      </c>
      <c r="I1081" s="1763">
        <f t="shared" si="414"/>
        <v>0.47399999999999998</v>
      </c>
      <c r="J1081" s="1762">
        <f t="shared" si="415"/>
        <v>0.23699999999999999</v>
      </c>
      <c r="K1081" s="1763">
        <f t="shared" si="416"/>
        <v>0.23699999999999999</v>
      </c>
      <c r="L1081" s="1764">
        <f t="shared" si="417"/>
        <v>0.39000000000000018</v>
      </c>
      <c r="M1081" s="1765">
        <f t="shared" si="418"/>
        <v>0.39000000000000018</v>
      </c>
    </row>
    <row r="1082" spans="1:13">
      <c r="A1082" s="1749">
        <f t="shared" si="393"/>
        <v>44044</v>
      </c>
      <c r="B1082" s="1749" t="str">
        <f t="shared" si="394"/>
        <v>3Q20</v>
      </c>
      <c r="C1082" s="1749" t="str">
        <f t="shared" si="395"/>
        <v>3Q20</v>
      </c>
      <c r="D1082" s="1750">
        <f t="shared" ref="D1082:E1082" si="421">D1081+7</f>
        <v>44074</v>
      </c>
      <c r="E1082" s="1750">
        <f t="shared" si="421"/>
        <v>44067</v>
      </c>
      <c r="F1082" s="1789">
        <f t="shared" si="387"/>
        <v>3.01</v>
      </c>
      <c r="H1082" s="1762">
        <f t="shared" si="413"/>
        <v>0.47399999999999998</v>
      </c>
      <c r="I1082" s="1763">
        <f t="shared" si="414"/>
        <v>0.47399999999999998</v>
      </c>
      <c r="J1082" s="1762">
        <f t="shared" si="415"/>
        <v>0.23699999999999999</v>
      </c>
      <c r="K1082" s="1763">
        <f t="shared" si="416"/>
        <v>0.23699999999999999</v>
      </c>
      <c r="L1082" s="1764">
        <f t="shared" si="417"/>
        <v>0.39000000000000018</v>
      </c>
      <c r="M1082" s="1765">
        <f t="shared" si="418"/>
        <v>0.39000000000000018</v>
      </c>
    </row>
    <row r="1083" spans="1:13">
      <c r="A1083" s="1749">
        <f t="shared" si="393"/>
        <v>44075</v>
      </c>
      <c r="B1083" s="1749" t="str">
        <f t="shared" si="394"/>
        <v>3Q20</v>
      </c>
      <c r="C1083" s="1749" t="str">
        <f t="shared" si="395"/>
        <v>3Q20</v>
      </c>
      <c r="D1083" s="1750">
        <f t="shared" ref="D1083:E1083" si="422">D1082+7</f>
        <v>44081</v>
      </c>
      <c r="E1083" s="1750">
        <f t="shared" si="422"/>
        <v>44074</v>
      </c>
      <c r="F1083" s="1789">
        <f t="shared" si="387"/>
        <v>3.01</v>
      </c>
      <c r="H1083" s="1762">
        <f t="shared" si="413"/>
        <v>0.47399999999999998</v>
      </c>
      <c r="I1083" s="1763">
        <f t="shared" si="414"/>
        <v>0.47399999999999998</v>
      </c>
      <c r="J1083" s="1762">
        <f t="shared" si="415"/>
        <v>0.23699999999999999</v>
      </c>
      <c r="K1083" s="1763">
        <f t="shared" si="416"/>
        <v>0.23699999999999999</v>
      </c>
      <c r="L1083" s="1764">
        <f t="shared" si="417"/>
        <v>0.39000000000000018</v>
      </c>
      <c r="M1083" s="1765">
        <f t="shared" si="418"/>
        <v>0.39000000000000018</v>
      </c>
    </row>
    <row r="1084" spans="1:13">
      <c r="A1084" s="1749">
        <f t="shared" si="393"/>
        <v>44075</v>
      </c>
      <c r="B1084" s="1749" t="str">
        <f t="shared" si="394"/>
        <v>3Q20</v>
      </c>
      <c r="C1084" s="1749" t="str">
        <f t="shared" si="395"/>
        <v>3Q20</v>
      </c>
      <c r="D1084" s="1750">
        <f t="shared" ref="D1084:E1084" si="423">D1083+7</f>
        <v>44088</v>
      </c>
      <c r="E1084" s="1750">
        <f t="shared" si="423"/>
        <v>44081</v>
      </c>
      <c r="F1084" s="1789">
        <f t="shared" si="387"/>
        <v>3.01</v>
      </c>
      <c r="H1084" s="1762">
        <f t="shared" si="413"/>
        <v>0.47399999999999998</v>
      </c>
      <c r="I1084" s="1763">
        <f t="shared" si="414"/>
        <v>0.47399999999999998</v>
      </c>
      <c r="J1084" s="1762">
        <f t="shared" si="415"/>
        <v>0.23699999999999999</v>
      </c>
      <c r="K1084" s="1763">
        <f t="shared" si="416"/>
        <v>0.23699999999999999</v>
      </c>
      <c r="L1084" s="1764">
        <f t="shared" si="417"/>
        <v>0.39000000000000018</v>
      </c>
      <c r="M1084" s="1765">
        <f t="shared" si="418"/>
        <v>0.39000000000000018</v>
      </c>
    </row>
    <row r="1085" spans="1:13">
      <c r="A1085" s="1749">
        <f t="shared" si="393"/>
        <v>44075</v>
      </c>
      <c r="B1085" s="1749" t="str">
        <f t="shared" si="394"/>
        <v>3Q20</v>
      </c>
      <c r="C1085" s="1749" t="str">
        <f t="shared" si="395"/>
        <v>3Q20</v>
      </c>
      <c r="D1085" s="1750">
        <f t="shared" ref="D1085:E1085" si="424">D1084+7</f>
        <v>44095</v>
      </c>
      <c r="E1085" s="1750">
        <f t="shared" si="424"/>
        <v>44088</v>
      </c>
      <c r="F1085" s="1789">
        <f t="shared" si="387"/>
        <v>3.01</v>
      </c>
      <c r="H1085" s="1762">
        <f t="shared" si="413"/>
        <v>0.47399999999999998</v>
      </c>
      <c r="I1085" s="1763">
        <f t="shared" si="414"/>
        <v>0.47399999999999998</v>
      </c>
      <c r="J1085" s="1762">
        <f t="shared" si="415"/>
        <v>0.23699999999999999</v>
      </c>
      <c r="K1085" s="1763">
        <f t="shared" si="416"/>
        <v>0.23699999999999999</v>
      </c>
      <c r="L1085" s="1764">
        <f t="shared" si="417"/>
        <v>0.39000000000000018</v>
      </c>
      <c r="M1085" s="1765">
        <f t="shared" si="418"/>
        <v>0.39000000000000018</v>
      </c>
    </row>
    <row r="1086" spans="1:13">
      <c r="A1086" s="1749">
        <f t="shared" si="393"/>
        <v>44075</v>
      </c>
      <c r="B1086" s="1749" t="str">
        <f t="shared" si="394"/>
        <v>3Q20</v>
      </c>
      <c r="C1086" s="1749" t="str">
        <f t="shared" si="395"/>
        <v>3Q20</v>
      </c>
      <c r="D1086" s="1750">
        <f t="shared" ref="D1086:E1086" si="425">D1085+7</f>
        <v>44102</v>
      </c>
      <c r="E1086" s="1750">
        <f t="shared" si="425"/>
        <v>44095</v>
      </c>
      <c r="F1086" s="1789">
        <f t="shared" si="387"/>
        <v>3.01</v>
      </c>
      <c r="H1086" s="1762">
        <f t="shared" si="413"/>
        <v>0.47399999999999998</v>
      </c>
      <c r="I1086" s="1763">
        <f t="shared" si="414"/>
        <v>0.47399999999999998</v>
      </c>
      <c r="J1086" s="1762">
        <f t="shared" si="415"/>
        <v>0.23699999999999999</v>
      </c>
      <c r="K1086" s="1763">
        <f t="shared" si="416"/>
        <v>0.23699999999999999</v>
      </c>
      <c r="L1086" s="1764">
        <f t="shared" si="417"/>
        <v>0.39000000000000018</v>
      </c>
      <c r="M1086" s="1765">
        <f t="shared" si="418"/>
        <v>0.39000000000000018</v>
      </c>
    </row>
    <row r="1087" spans="1:13">
      <c r="A1087" s="1749">
        <f t="shared" si="393"/>
        <v>44105</v>
      </c>
      <c r="B1087" s="1749" t="str">
        <f t="shared" si="394"/>
        <v>4Q20</v>
      </c>
      <c r="C1087" s="1749" t="str">
        <f t="shared" si="395"/>
        <v>3Q20</v>
      </c>
      <c r="D1087" s="1750">
        <f t="shared" ref="D1087:E1087" si="426">D1086+7</f>
        <v>44109</v>
      </c>
      <c r="E1087" s="1750">
        <f t="shared" si="426"/>
        <v>44102</v>
      </c>
      <c r="F1087" s="1789">
        <f t="shared" si="387"/>
        <v>3.01</v>
      </c>
      <c r="H1087" s="1762">
        <f t="shared" si="413"/>
        <v>0.47399999999999998</v>
      </c>
      <c r="I1087" s="1763">
        <f t="shared" si="414"/>
        <v>0.47399999999999998</v>
      </c>
      <c r="J1087" s="1762">
        <f t="shared" si="415"/>
        <v>0.23699999999999999</v>
      </c>
      <c r="K1087" s="1763">
        <f t="shared" si="416"/>
        <v>0.23699999999999999</v>
      </c>
      <c r="L1087" s="1764">
        <f t="shared" si="417"/>
        <v>0.39000000000000018</v>
      </c>
      <c r="M1087" s="1765">
        <f t="shared" si="418"/>
        <v>0.39000000000000018</v>
      </c>
    </row>
    <row r="1088" spans="1:13">
      <c r="A1088" s="1749">
        <f t="shared" ref="A1088:A1101" si="427">DATE(YEAR(D1088),MONTH(D1088),1)</f>
        <v>44105</v>
      </c>
      <c r="B1088" s="1749" t="str">
        <f t="shared" ref="B1088:B1101" si="428">VLOOKUP(MONTH(A1088),$AB$4:$AC$17,2,FALSE) &amp; "Q" &amp; RIGHT(YEAR(A1088),2)</f>
        <v>4Q20</v>
      </c>
      <c r="C1088" s="1749" t="str">
        <f t="shared" ref="C1088:C1101" si="429">VLOOKUP(MONTH(E1088),$AB$4:$AC$17,2,FALSE) &amp; "Q" &amp; RIGHT(YEAR(E1088),2)</f>
        <v>4Q20</v>
      </c>
      <c r="D1088" s="1750">
        <f t="shared" ref="D1088:E1088" si="430">D1087+7</f>
        <v>44116</v>
      </c>
      <c r="E1088" s="1750">
        <f t="shared" si="430"/>
        <v>44109</v>
      </c>
      <c r="F1088" s="1789">
        <f t="shared" si="387"/>
        <v>3.01</v>
      </c>
      <c r="H1088" s="1762">
        <f t="shared" si="413"/>
        <v>0.47399999999999998</v>
      </c>
      <c r="I1088" s="1763">
        <f t="shared" si="414"/>
        <v>0.47399999999999998</v>
      </c>
      <c r="J1088" s="1762">
        <f t="shared" si="415"/>
        <v>0.23699999999999999</v>
      </c>
      <c r="K1088" s="1763">
        <f t="shared" si="416"/>
        <v>0.23699999999999999</v>
      </c>
      <c r="L1088" s="1764">
        <f t="shared" si="417"/>
        <v>0.39000000000000018</v>
      </c>
      <c r="M1088" s="1765">
        <f t="shared" si="418"/>
        <v>0.39000000000000018</v>
      </c>
    </row>
    <row r="1089" spans="1:13">
      <c r="A1089" s="1749">
        <f t="shared" si="427"/>
        <v>44105</v>
      </c>
      <c r="B1089" s="1749" t="str">
        <f t="shared" si="428"/>
        <v>4Q20</v>
      </c>
      <c r="C1089" s="1749" t="str">
        <f t="shared" si="429"/>
        <v>4Q20</v>
      </c>
      <c r="D1089" s="1750">
        <f t="shared" ref="D1089:E1089" si="431">D1088+7</f>
        <v>44123</v>
      </c>
      <c r="E1089" s="1750">
        <f t="shared" si="431"/>
        <v>44116</v>
      </c>
      <c r="F1089" s="1789">
        <f t="shared" si="387"/>
        <v>3.01</v>
      </c>
      <c r="H1089" s="1762">
        <f t="shared" si="413"/>
        <v>0.47399999999999998</v>
      </c>
      <c r="I1089" s="1763">
        <f t="shared" si="414"/>
        <v>0.47399999999999998</v>
      </c>
      <c r="J1089" s="1762">
        <f t="shared" si="415"/>
        <v>0.23699999999999999</v>
      </c>
      <c r="K1089" s="1763">
        <f t="shared" si="416"/>
        <v>0.23699999999999999</v>
      </c>
      <c r="L1089" s="1764">
        <f t="shared" si="417"/>
        <v>0.39000000000000018</v>
      </c>
      <c r="M1089" s="1765">
        <f t="shared" si="418"/>
        <v>0.39000000000000018</v>
      </c>
    </row>
    <row r="1090" spans="1:13">
      <c r="A1090" s="1749">
        <f t="shared" si="427"/>
        <v>44105</v>
      </c>
      <c r="B1090" s="1749" t="str">
        <f t="shared" si="428"/>
        <v>4Q20</v>
      </c>
      <c r="C1090" s="1749" t="str">
        <f t="shared" si="429"/>
        <v>4Q20</v>
      </c>
      <c r="D1090" s="1750">
        <f t="shared" ref="D1090:E1090" si="432">D1089+7</f>
        <v>44130</v>
      </c>
      <c r="E1090" s="1750">
        <f t="shared" si="432"/>
        <v>44123</v>
      </c>
      <c r="F1090" s="1789">
        <f t="shared" si="387"/>
        <v>3.01</v>
      </c>
      <c r="H1090" s="1762">
        <f t="shared" si="413"/>
        <v>0.47399999999999998</v>
      </c>
      <c r="I1090" s="1763">
        <f t="shared" si="414"/>
        <v>0.47399999999999998</v>
      </c>
      <c r="J1090" s="1762">
        <f t="shared" si="415"/>
        <v>0.23699999999999999</v>
      </c>
      <c r="K1090" s="1763">
        <f t="shared" si="416"/>
        <v>0.23699999999999999</v>
      </c>
      <c r="L1090" s="1764">
        <f t="shared" si="417"/>
        <v>0.39000000000000018</v>
      </c>
      <c r="M1090" s="1765">
        <f t="shared" si="418"/>
        <v>0.39000000000000018</v>
      </c>
    </row>
    <row r="1091" spans="1:13">
      <c r="A1091" s="1749">
        <f t="shared" si="427"/>
        <v>44136</v>
      </c>
      <c r="B1091" s="1749" t="str">
        <f t="shared" si="428"/>
        <v>4Q20</v>
      </c>
      <c r="C1091" s="1749" t="str">
        <f t="shared" si="429"/>
        <v>4Q20</v>
      </c>
      <c r="D1091" s="1750">
        <f t="shared" ref="D1091:E1091" si="433">D1090+7</f>
        <v>44137</v>
      </c>
      <c r="E1091" s="1750">
        <f t="shared" si="433"/>
        <v>44130</v>
      </c>
      <c r="F1091" s="1789">
        <f t="shared" si="387"/>
        <v>3.01</v>
      </c>
      <c r="H1091" s="1762">
        <f t="shared" si="413"/>
        <v>0.47399999999999998</v>
      </c>
      <c r="I1091" s="1763">
        <f t="shared" si="414"/>
        <v>0.47399999999999998</v>
      </c>
      <c r="J1091" s="1762">
        <f t="shared" si="415"/>
        <v>0.23699999999999999</v>
      </c>
      <c r="K1091" s="1763">
        <f t="shared" si="416"/>
        <v>0.23699999999999999</v>
      </c>
      <c r="L1091" s="1764">
        <f t="shared" si="417"/>
        <v>0.39000000000000018</v>
      </c>
      <c r="M1091" s="1765">
        <f t="shared" si="418"/>
        <v>0.39000000000000018</v>
      </c>
    </row>
    <row r="1092" spans="1:13">
      <c r="A1092" s="1749">
        <f t="shared" si="427"/>
        <v>44136</v>
      </c>
      <c r="B1092" s="1749" t="str">
        <f t="shared" si="428"/>
        <v>4Q20</v>
      </c>
      <c r="C1092" s="1749" t="str">
        <f t="shared" si="429"/>
        <v>4Q20</v>
      </c>
      <c r="D1092" s="1750">
        <f t="shared" ref="D1092:E1092" si="434">D1091+7</f>
        <v>44144</v>
      </c>
      <c r="E1092" s="1750">
        <f t="shared" si="434"/>
        <v>44137</v>
      </c>
      <c r="F1092" s="1789">
        <f t="shared" si="387"/>
        <v>3.01</v>
      </c>
      <c r="H1092" s="1762">
        <f t="shared" si="413"/>
        <v>0.47399999999999998</v>
      </c>
      <c r="I1092" s="1763">
        <f t="shared" si="414"/>
        <v>0.47399999999999998</v>
      </c>
      <c r="J1092" s="1762">
        <f t="shared" si="415"/>
        <v>0.23699999999999999</v>
      </c>
      <c r="K1092" s="1763">
        <f t="shared" si="416"/>
        <v>0.23699999999999999</v>
      </c>
      <c r="L1092" s="1764">
        <f t="shared" si="417"/>
        <v>0.39000000000000018</v>
      </c>
      <c r="M1092" s="1765">
        <f t="shared" si="418"/>
        <v>0.39000000000000018</v>
      </c>
    </row>
    <row r="1093" spans="1:13">
      <c r="A1093" s="1749">
        <f t="shared" si="427"/>
        <v>44136</v>
      </c>
      <c r="B1093" s="1749" t="str">
        <f t="shared" si="428"/>
        <v>4Q20</v>
      </c>
      <c r="C1093" s="1749" t="str">
        <f t="shared" si="429"/>
        <v>4Q20</v>
      </c>
      <c r="D1093" s="1750">
        <f t="shared" ref="D1093:E1093" si="435">D1092+7</f>
        <v>44151</v>
      </c>
      <c r="E1093" s="1750">
        <f t="shared" si="435"/>
        <v>44144</v>
      </c>
      <c r="F1093" s="1789">
        <f t="shared" si="387"/>
        <v>3.01</v>
      </c>
      <c r="H1093" s="1762">
        <f t="shared" si="413"/>
        <v>0.47399999999999998</v>
      </c>
      <c r="I1093" s="1763">
        <f t="shared" si="414"/>
        <v>0.47399999999999998</v>
      </c>
      <c r="J1093" s="1762">
        <f t="shared" si="415"/>
        <v>0.23699999999999999</v>
      </c>
      <c r="K1093" s="1763">
        <f t="shared" si="416"/>
        <v>0.23699999999999999</v>
      </c>
      <c r="L1093" s="1764">
        <f t="shared" si="417"/>
        <v>0.39000000000000018</v>
      </c>
      <c r="M1093" s="1765">
        <f t="shared" si="418"/>
        <v>0.39000000000000018</v>
      </c>
    </row>
    <row r="1094" spans="1:13">
      <c r="A1094" s="1749">
        <f t="shared" si="427"/>
        <v>44136</v>
      </c>
      <c r="B1094" s="1749" t="str">
        <f t="shared" si="428"/>
        <v>4Q20</v>
      </c>
      <c r="C1094" s="1749" t="str">
        <f t="shared" si="429"/>
        <v>4Q20</v>
      </c>
      <c r="D1094" s="1750">
        <f t="shared" ref="D1094:E1094" si="436">D1093+7</f>
        <v>44158</v>
      </c>
      <c r="E1094" s="1750">
        <f t="shared" si="436"/>
        <v>44151</v>
      </c>
      <c r="F1094" s="1789">
        <f t="shared" si="387"/>
        <v>3.01</v>
      </c>
      <c r="H1094" s="1762">
        <f t="shared" si="413"/>
        <v>0.47399999999999998</v>
      </c>
      <c r="I1094" s="1763">
        <f t="shared" si="414"/>
        <v>0.47399999999999998</v>
      </c>
      <c r="J1094" s="1762">
        <f t="shared" si="415"/>
        <v>0.23699999999999999</v>
      </c>
      <c r="K1094" s="1763">
        <f t="shared" si="416"/>
        <v>0.23699999999999999</v>
      </c>
      <c r="L1094" s="1764">
        <f t="shared" si="417"/>
        <v>0.39000000000000018</v>
      </c>
      <c r="M1094" s="1765">
        <f t="shared" si="418"/>
        <v>0.39000000000000018</v>
      </c>
    </row>
    <row r="1095" spans="1:13">
      <c r="A1095" s="1749">
        <f t="shared" si="427"/>
        <v>44136</v>
      </c>
      <c r="B1095" s="1749" t="str">
        <f t="shared" si="428"/>
        <v>4Q20</v>
      </c>
      <c r="C1095" s="1749" t="str">
        <f t="shared" si="429"/>
        <v>4Q20</v>
      </c>
      <c r="D1095" s="1750">
        <f t="shared" ref="D1095:E1095" si="437">D1094+7</f>
        <v>44165</v>
      </c>
      <c r="E1095" s="1750">
        <f t="shared" si="437"/>
        <v>44158</v>
      </c>
      <c r="F1095" s="1789">
        <f t="shared" si="387"/>
        <v>3.01</v>
      </c>
      <c r="H1095" s="1762">
        <f t="shared" si="413"/>
        <v>0.47399999999999998</v>
      </c>
      <c r="I1095" s="1763">
        <f t="shared" si="414"/>
        <v>0.47399999999999998</v>
      </c>
      <c r="J1095" s="1762">
        <f t="shared" si="415"/>
        <v>0.23699999999999999</v>
      </c>
      <c r="K1095" s="1763">
        <f t="shared" si="416"/>
        <v>0.23699999999999999</v>
      </c>
      <c r="L1095" s="1764">
        <f t="shared" si="417"/>
        <v>0.39000000000000018</v>
      </c>
      <c r="M1095" s="1765">
        <f t="shared" si="418"/>
        <v>0.39000000000000018</v>
      </c>
    </row>
    <row r="1096" spans="1:13">
      <c r="A1096" s="1749">
        <f t="shared" si="427"/>
        <v>44166</v>
      </c>
      <c r="B1096" s="1749" t="str">
        <f t="shared" si="428"/>
        <v>4Q20</v>
      </c>
      <c r="C1096" s="1749" t="str">
        <f t="shared" si="429"/>
        <v>4Q20</v>
      </c>
      <c r="D1096" s="1750">
        <f t="shared" ref="D1096:E1096" si="438">D1095+7</f>
        <v>44172</v>
      </c>
      <c r="E1096" s="1750">
        <f t="shared" si="438"/>
        <v>44165</v>
      </c>
      <c r="F1096" s="1789">
        <f t="shared" si="387"/>
        <v>3.01</v>
      </c>
      <c r="H1096" s="1762">
        <f t="shared" si="413"/>
        <v>0.47399999999999998</v>
      </c>
      <c r="I1096" s="1763">
        <f t="shared" si="414"/>
        <v>0.47399999999999998</v>
      </c>
      <c r="J1096" s="1762">
        <f t="shared" si="415"/>
        <v>0.23699999999999999</v>
      </c>
      <c r="K1096" s="1763">
        <f t="shared" si="416"/>
        <v>0.23699999999999999</v>
      </c>
      <c r="L1096" s="1764">
        <f t="shared" si="417"/>
        <v>0.39000000000000018</v>
      </c>
      <c r="M1096" s="1765">
        <f t="shared" si="418"/>
        <v>0.39000000000000018</v>
      </c>
    </row>
    <row r="1097" spans="1:13">
      <c r="A1097" s="1749">
        <f t="shared" si="427"/>
        <v>44166</v>
      </c>
      <c r="B1097" s="1749" t="str">
        <f t="shared" si="428"/>
        <v>4Q20</v>
      </c>
      <c r="C1097" s="1749" t="str">
        <f t="shared" si="429"/>
        <v>4Q20</v>
      </c>
      <c r="D1097" s="1750">
        <f t="shared" ref="D1097:E1097" si="439">D1096+7</f>
        <v>44179</v>
      </c>
      <c r="E1097" s="1750">
        <f t="shared" si="439"/>
        <v>44172</v>
      </c>
      <c r="F1097" s="1789">
        <f t="shared" si="387"/>
        <v>3.01</v>
      </c>
      <c r="H1097" s="1762">
        <f t="shared" si="413"/>
        <v>0.47399999999999998</v>
      </c>
      <c r="I1097" s="1763">
        <f t="shared" si="414"/>
        <v>0.47399999999999998</v>
      </c>
      <c r="J1097" s="1762">
        <f t="shared" si="415"/>
        <v>0.23699999999999999</v>
      </c>
      <c r="K1097" s="1763">
        <f t="shared" si="416"/>
        <v>0.23699999999999999</v>
      </c>
      <c r="L1097" s="1764">
        <f t="shared" si="417"/>
        <v>0.39000000000000018</v>
      </c>
      <c r="M1097" s="1765">
        <f t="shared" si="418"/>
        <v>0.39000000000000018</v>
      </c>
    </row>
    <row r="1098" spans="1:13">
      <c r="A1098" s="1749">
        <f t="shared" si="427"/>
        <v>44166</v>
      </c>
      <c r="B1098" s="1749" t="str">
        <f t="shared" si="428"/>
        <v>4Q20</v>
      </c>
      <c r="C1098" s="1749" t="str">
        <f t="shared" si="429"/>
        <v>4Q20</v>
      </c>
      <c r="D1098" s="1750">
        <f t="shared" ref="D1098:E1098" si="440">D1097+7</f>
        <v>44186</v>
      </c>
      <c r="E1098" s="1750">
        <f t="shared" si="440"/>
        <v>44179</v>
      </c>
      <c r="F1098" s="1789">
        <f t="shared" si="387"/>
        <v>3.01</v>
      </c>
      <c r="H1098" s="1762">
        <f t="shared" si="413"/>
        <v>0.47399999999999998</v>
      </c>
      <c r="I1098" s="1763">
        <f t="shared" si="414"/>
        <v>0.47399999999999998</v>
      </c>
      <c r="J1098" s="1762">
        <f t="shared" si="415"/>
        <v>0.23699999999999999</v>
      </c>
      <c r="K1098" s="1763">
        <f t="shared" si="416"/>
        <v>0.23699999999999999</v>
      </c>
      <c r="L1098" s="1764">
        <f t="shared" si="417"/>
        <v>0.39000000000000018</v>
      </c>
      <c r="M1098" s="1765">
        <f t="shared" si="418"/>
        <v>0.39000000000000018</v>
      </c>
    </row>
    <row r="1099" spans="1:13">
      <c r="A1099" s="1749">
        <f t="shared" si="427"/>
        <v>44166</v>
      </c>
      <c r="B1099" s="1749" t="str">
        <f t="shared" si="428"/>
        <v>4Q20</v>
      </c>
      <c r="C1099" s="1749" t="str">
        <f t="shared" si="429"/>
        <v>4Q20</v>
      </c>
      <c r="D1099" s="1750">
        <f t="shared" ref="D1099:E1099" si="441">D1098+7</f>
        <v>44193</v>
      </c>
      <c r="E1099" s="1750">
        <f t="shared" si="441"/>
        <v>44186</v>
      </c>
      <c r="F1099" s="1789">
        <f t="shared" si="387"/>
        <v>3.01</v>
      </c>
      <c r="H1099" s="1762">
        <f t="shared" si="413"/>
        <v>0.47399999999999998</v>
      </c>
      <c r="I1099" s="1763">
        <f t="shared" si="414"/>
        <v>0.47399999999999998</v>
      </c>
      <c r="J1099" s="1762">
        <f t="shared" si="415"/>
        <v>0.23699999999999999</v>
      </c>
      <c r="K1099" s="1763">
        <f t="shared" si="416"/>
        <v>0.23699999999999999</v>
      </c>
      <c r="L1099" s="1764">
        <f t="shared" si="417"/>
        <v>0.39000000000000018</v>
      </c>
      <c r="M1099" s="1765">
        <f t="shared" si="418"/>
        <v>0.39000000000000018</v>
      </c>
    </row>
    <row r="1100" spans="1:13">
      <c r="A1100" s="1749">
        <f t="shared" si="427"/>
        <v>44197</v>
      </c>
      <c r="B1100" s="1749" t="str">
        <f t="shared" si="428"/>
        <v>1Q21</v>
      </c>
      <c r="C1100" s="1749" t="str">
        <f t="shared" si="429"/>
        <v>4Q20</v>
      </c>
      <c r="D1100" s="1750">
        <f t="shared" ref="D1100:E1100" si="442">D1099+7</f>
        <v>44200</v>
      </c>
      <c r="E1100" s="1750">
        <f t="shared" si="442"/>
        <v>44193</v>
      </c>
      <c r="F1100" s="1789">
        <f t="shared" si="387"/>
        <v>3.01</v>
      </c>
      <c r="H1100" s="1762">
        <f t="shared" si="413"/>
        <v>0.47399999999999998</v>
      </c>
      <c r="I1100" s="1763">
        <f t="shared" si="414"/>
        <v>0.47399999999999998</v>
      </c>
      <c r="J1100" s="1762">
        <f t="shared" si="415"/>
        <v>0.23699999999999999</v>
      </c>
      <c r="K1100" s="1763">
        <f t="shared" si="416"/>
        <v>0.23699999999999999</v>
      </c>
      <c r="L1100" s="1764">
        <f t="shared" si="417"/>
        <v>0.39000000000000018</v>
      </c>
      <c r="M1100" s="1765">
        <f t="shared" si="418"/>
        <v>0.39000000000000018</v>
      </c>
    </row>
    <row r="1101" spans="1:13">
      <c r="A1101" s="1749">
        <f t="shared" si="427"/>
        <v>44197</v>
      </c>
      <c r="B1101" s="1749" t="str">
        <f t="shared" si="428"/>
        <v>1Q21</v>
      </c>
      <c r="C1101" s="1749" t="str">
        <f t="shared" si="429"/>
        <v>1Q21</v>
      </c>
      <c r="D1101" s="1750">
        <f t="shared" ref="D1101:E1101" si="443">D1100+7</f>
        <v>44207</v>
      </c>
      <c r="E1101" s="1750">
        <f t="shared" si="443"/>
        <v>44200</v>
      </c>
      <c r="F1101" s="1789">
        <f t="shared" si="387"/>
        <v>3.01</v>
      </c>
      <c r="H1101" s="1762">
        <f t="shared" si="413"/>
        <v>0.47399999999999998</v>
      </c>
      <c r="I1101" s="1763">
        <f t="shared" si="414"/>
        <v>0</v>
      </c>
      <c r="J1101" s="1762">
        <f t="shared" si="415"/>
        <v>0.23699999999999999</v>
      </c>
      <c r="K1101" s="1763">
        <f t="shared" si="416"/>
        <v>0</v>
      </c>
      <c r="L1101" s="1764">
        <f t="shared" si="417"/>
        <v>0.39000000000000018</v>
      </c>
      <c r="M1101" s="1765">
        <f t="shared" si="418"/>
        <v>0</v>
      </c>
    </row>
    <row r="1102" spans="1:13">
      <c r="A1102" s="1749"/>
      <c r="B1102" s="1749"/>
      <c r="C1102" s="1749"/>
      <c r="D1102" s="1750"/>
      <c r="E1102" s="1750"/>
      <c r="F1102" s="1789"/>
    </row>
    <row r="1103" spans="1:13">
      <c r="A1103" s="1749"/>
      <c r="B1103" s="1749"/>
      <c r="C1103" s="1749"/>
      <c r="D1103" s="1750"/>
      <c r="E1103" s="1750"/>
      <c r="F1103" s="1789"/>
    </row>
    <row r="1104" spans="1:13">
      <c r="A1104" s="1749"/>
      <c r="B1104" s="1749"/>
      <c r="C1104" s="1749"/>
      <c r="D1104" s="1750"/>
      <c r="E1104" s="1750"/>
      <c r="F1104" s="1789"/>
    </row>
    <row r="1105" spans="1:6">
      <c r="A1105" s="1749"/>
      <c r="B1105" s="1749"/>
      <c r="C1105" s="1749"/>
      <c r="D1105" s="1750"/>
      <c r="E1105" s="1750"/>
      <c r="F1105" s="1789"/>
    </row>
    <row r="1106" spans="1:6">
      <c r="A1106" s="1749"/>
      <c r="B1106" s="1749"/>
      <c r="C1106" s="1749"/>
      <c r="D1106" s="1750"/>
      <c r="E1106" s="1750"/>
      <c r="F1106" s="1789"/>
    </row>
    <row r="1107" spans="1:6">
      <c r="A1107" s="1749"/>
      <c r="B1107" s="1749"/>
      <c r="C1107" s="1749"/>
      <c r="D1107" s="1750"/>
      <c r="E1107" s="1750"/>
      <c r="F1107" s="1789"/>
    </row>
    <row r="1108" spans="1:6">
      <c r="A1108" s="1749"/>
      <c r="B1108" s="1749"/>
      <c r="C1108" s="1749"/>
      <c r="D1108" s="1750"/>
      <c r="E1108" s="1750"/>
      <c r="F1108" s="1789"/>
    </row>
    <row r="1109" spans="1:6">
      <c r="A1109" s="1749"/>
      <c r="B1109" s="1749"/>
      <c r="C1109" s="1749"/>
      <c r="D1109" s="1750"/>
      <c r="E1109" s="1750"/>
      <c r="F1109" s="1789"/>
    </row>
    <row r="1110" spans="1:6">
      <c r="A1110" s="1749"/>
      <c r="B1110" s="1749"/>
      <c r="C1110" s="1749"/>
      <c r="D1110" s="1750"/>
      <c r="E1110" s="1750"/>
      <c r="F1110" s="1789"/>
    </row>
    <row r="1111" spans="1:6">
      <c r="A1111" s="1749"/>
      <c r="B1111" s="1749"/>
      <c r="C1111" s="1749"/>
      <c r="D1111" s="1750"/>
      <c r="E1111" s="1750"/>
      <c r="F1111" s="1789"/>
    </row>
    <row r="1112" spans="1:6">
      <c r="A1112" s="1749"/>
      <c r="B1112" s="1749"/>
      <c r="C1112" s="1749"/>
      <c r="D1112" s="1750"/>
      <c r="E1112" s="1750"/>
      <c r="F1112" s="1789"/>
    </row>
  </sheetData>
  <mergeCells count="5">
    <mergeCell ref="H2:I2"/>
    <mergeCell ref="J2:K2"/>
    <mergeCell ref="L2:M2"/>
    <mergeCell ref="O2:R2"/>
    <mergeCell ref="T2:V2"/>
  </mergeCell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43"/>
  <sheetViews>
    <sheetView workbookViewId="0">
      <selection activeCell="B42" sqref="B42"/>
    </sheetView>
  </sheetViews>
  <sheetFormatPr defaultRowHeight="12.75"/>
  <cols>
    <col min="1" max="1" width="29.5703125" style="531" bestFit="1" customWidth="1"/>
    <col min="2" max="2" width="19.85546875" style="2456" customWidth="1"/>
    <col min="3" max="3" width="12" style="531" bestFit="1" customWidth="1"/>
    <col min="4" max="256" width="9.140625" style="531"/>
    <col min="257" max="257" width="29.5703125" style="531" bestFit="1" customWidth="1"/>
    <col min="258" max="258" width="19.85546875" style="531" customWidth="1"/>
    <col min="259" max="259" width="12" style="531" bestFit="1" customWidth="1"/>
    <col min="260" max="512" width="9.140625" style="531"/>
    <col min="513" max="513" width="29.5703125" style="531" bestFit="1" customWidth="1"/>
    <col min="514" max="514" width="19.85546875" style="531" customWidth="1"/>
    <col min="515" max="515" width="12" style="531" bestFit="1" customWidth="1"/>
    <col min="516" max="768" width="9.140625" style="531"/>
    <col min="769" max="769" width="29.5703125" style="531" bestFit="1" customWidth="1"/>
    <col min="770" max="770" width="19.85546875" style="531" customWidth="1"/>
    <col min="771" max="771" width="12" style="531" bestFit="1" customWidth="1"/>
    <col min="772" max="1024" width="9.140625" style="531"/>
    <col min="1025" max="1025" width="29.5703125" style="531" bestFit="1" customWidth="1"/>
    <col min="1026" max="1026" width="19.85546875" style="531" customWidth="1"/>
    <col min="1027" max="1027" width="12" style="531" bestFit="1" customWidth="1"/>
    <col min="1028" max="1280" width="9.140625" style="531"/>
    <col min="1281" max="1281" width="29.5703125" style="531" bestFit="1" customWidth="1"/>
    <col min="1282" max="1282" width="19.85546875" style="531" customWidth="1"/>
    <col min="1283" max="1283" width="12" style="531" bestFit="1" customWidth="1"/>
    <col min="1284" max="1536" width="9.140625" style="531"/>
    <col min="1537" max="1537" width="29.5703125" style="531" bestFit="1" customWidth="1"/>
    <col min="1538" max="1538" width="19.85546875" style="531" customWidth="1"/>
    <col min="1539" max="1539" width="12" style="531" bestFit="1" customWidth="1"/>
    <col min="1540" max="1792" width="9.140625" style="531"/>
    <col min="1793" max="1793" width="29.5703125" style="531" bestFit="1" customWidth="1"/>
    <col min="1794" max="1794" width="19.85546875" style="531" customWidth="1"/>
    <col min="1795" max="1795" width="12" style="531" bestFit="1" customWidth="1"/>
    <col min="1796" max="2048" width="9.140625" style="531"/>
    <col min="2049" max="2049" width="29.5703125" style="531" bestFit="1" customWidth="1"/>
    <col min="2050" max="2050" width="19.85546875" style="531" customWidth="1"/>
    <col min="2051" max="2051" width="12" style="531" bestFit="1" customWidth="1"/>
    <col min="2052" max="2304" width="9.140625" style="531"/>
    <col min="2305" max="2305" width="29.5703125" style="531" bestFit="1" customWidth="1"/>
    <col min="2306" max="2306" width="19.85546875" style="531" customWidth="1"/>
    <col min="2307" max="2307" width="12" style="531" bestFit="1" customWidth="1"/>
    <col min="2308" max="2560" width="9.140625" style="531"/>
    <col min="2561" max="2561" width="29.5703125" style="531" bestFit="1" customWidth="1"/>
    <col min="2562" max="2562" width="19.85546875" style="531" customWidth="1"/>
    <col min="2563" max="2563" width="12" style="531" bestFit="1" customWidth="1"/>
    <col min="2564" max="2816" width="9.140625" style="531"/>
    <col min="2817" max="2817" width="29.5703125" style="531" bestFit="1" customWidth="1"/>
    <col min="2818" max="2818" width="19.85546875" style="531" customWidth="1"/>
    <col min="2819" max="2819" width="12" style="531" bestFit="1" customWidth="1"/>
    <col min="2820" max="3072" width="9.140625" style="531"/>
    <col min="3073" max="3073" width="29.5703125" style="531" bestFit="1" customWidth="1"/>
    <col min="3074" max="3074" width="19.85546875" style="531" customWidth="1"/>
    <col min="3075" max="3075" width="12" style="531" bestFit="1" customWidth="1"/>
    <col min="3076" max="3328" width="9.140625" style="531"/>
    <col min="3329" max="3329" width="29.5703125" style="531" bestFit="1" customWidth="1"/>
    <col min="3330" max="3330" width="19.85546875" style="531" customWidth="1"/>
    <col min="3331" max="3331" width="12" style="531" bestFit="1" customWidth="1"/>
    <col min="3332" max="3584" width="9.140625" style="531"/>
    <col min="3585" max="3585" width="29.5703125" style="531" bestFit="1" customWidth="1"/>
    <col min="3586" max="3586" width="19.85546875" style="531" customWidth="1"/>
    <col min="3587" max="3587" width="12" style="531" bestFit="1" customWidth="1"/>
    <col min="3588" max="3840" width="9.140625" style="531"/>
    <col min="3841" max="3841" width="29.5703125" style="531" bestFit="1" customWidth="1"/>
    <col min="3842" max="3842" width="19.85546875" style="531" customWidth="1"/>
    <col min="3843" max="3843" width="12" style="531" bestFit="1" customWidth="1"/>
    <col min="3844" max="4096" width="9.140625" style="531"/>
    <col min="4097" max="4097" width="29.5703125" style="531" bestFit="1" customWidth="1"/>
    <col min="4098" max="4098" width="19.85546875" style="531" customWidth="1"/>
    <col min="4099" max="4099" width="12" style="531" bestFit="1" customWidth="1"/>
    <col min="4100" max="4352" width="9.140625" style="531"/>
    <col min="4353" max="4353" width="29.5703125" style="531" bestFit="1" customWidth="1"/>
    <col min="4354" max="4354" width="19.85546875" style="531" customWidth="1"/>
    <col min="4355" max="4355" width="12" style="531" bestFit="1" customWidth="1"/>
    <col min="4356" max="4608" width="9.140625" style="531"/>
    <col min="4609" max="4609" width="29.5703125" style="531" bestFit="1" customWidth="1"/>
    <col min="4610" max="4610" width="19.85546875" style="531" customWidth="1"/>
    <col min="4611" max="4611" width="12" style="531" bestFit="1" customWidth="1"/>
    <col min="4612" max="4864" width="9.140625" style="531"/>
    <col min="4865" max="4865" width="29.5703125" style="531" bestFit="1" customWidth="1"/>
    <col min="4866" max="4866" width="19.85546875" style="531" customWidth="1"/>
    <col min="4867" max="4867" width="12" style="531" bestFit="1" customWidth="1"/>
    <col min="4868" max="5120" width="9.140625" style="531"/>
    <col min="5121" max="5121" width="29.5703125" style="531" bestFit="1" customWidth="1"/>
    <col min="5122" max="5122" width="19.85546875" style="531" customWidth="1"/>
    <col min="5123" max="5123" width="12" style="531" bestFit="1" customWidth="1"/>
    <col min="5124" max="5376" width="9.140625" style="531"/>
    <col min="5377" max="5377" width="29.5703125" style="531" bestFit="1" customWidth="1"/>
    <col min="5378" max="5378" width="19.85546875" style="531" customWidth="1"/>
    <col min="5379" max="5379" width="12" style="531" bestFit="1" customWidth="1"/>
    <col min="5380" max="5632" width="9.140625" style="531"/>
    <col min="5633" max="5633" width="29.5703125" style="531" bestFit="1" customWidth="1"/>
    <col min="5634" max="5634" width="19.85546875" style="531" customWidth="1"/>
    <col min="5635" max="5635" width="12" style="531" bestFit="1" customWidth="1"/>
    <col min="5636" max="5888" width="9.140625" style="531"/>
    <col min="5889" max="5889" width="29.5703125" style="531" bestFit="1" customWidth="1"/>
    <col min="5890" max="5890" width="19.85546875" style="531" customWidth="1"/>
    <col min="5891" max="5891" width="12" style="531" bestFit="1" customWidth="1"/>
    <col min="5892" max="6144" width="9.140625" style="531"/>
    <col min="6145" max="6145" width="29.5703125" style="531" bestFit="1" customWidth="1"/>
    <col min="6146" max="6146" width="19.85546875" style="531" customWidth="1"/>
    <col min="6147" max="6147" width="12" style="531" bestFit="1" customWidth="1"/>
    <col min="6148" max="6400" width="9.140625" style="531"/>
    <col min="6401" max="6401" width="29.5703125" style="531" bestFit="1" customWidth="1"/>
    <col min="6402" max="6402" width="19.85546875" style="531" customWidth="1"/>
    <col min="6403" max="6403" width="12" style="531" bestFit="1" customWidth="1"/>
    <col min="6404" max="6656" width="9.140625" style="531"/>
    <col min="6657" max="6657" width="29.5703125" style="531" bestFit="1" customWidth="1"/>
    <col min="6658" max="6658" width="19.85546875" style="531" customWidth="1"/>
    <col min="6659" max="6659" width="12" style="531" bestFit="1" customWidth="1"/>
    <col min="6660" max="6912" width="9.140625" style="531"/>
    <col min="6913" max="6913" width="29.5703125" style="531" bestFit="1" customWidth="1"/>
    <col min="6914" max="6914" width="19.85546875" style="531" customWidth="1"/>
    <col min="6915" max="6915" width="12" style="531" bestFit="1" customWidth="1"/>
    <col min="6916" max="7168" width="9.140625" style="531"/>
    <col min="7169" max="7169" width="29.5703125" style="531" bestFit="1" customWidth="1"/>
    <col min="7170" max="7170" width="19.85546875" style="531" customWidth="1"/>
    <col min="7171" max="7171" width="12" style="531" bestFit="1" customWidth="1"/>
    <col min="7172" max="7424" width="9.140625" style="531"/>
    <col min="7425" max="7425" width="29.5703125" style="531" bestFit="1" customWidth="1"/>
    <col min="7426" max="7426" width="19.85546875" style="531" customWidth="1"/>
    <col min="7427" max="7427" width="12" style="531" bestFit="1" customWidth="1"/>
    <col min="7428" max="7680" width="9.140625" style="531"/>
    <col min="7681" max="7681" width="29.5703125" style="531" bestFit="1" customWidth="1"/>
    <col min="7682" max="7682" width="19.85546875" style="531" customWidth="1"/>
    <col min="7683" max="7683" width="12" style="531" bestFit="1" customWidth="1"/>
    <col min="7684" max="7936" width="9.140625" style="531"/>
    <col min="7937" max="7937" width="29.5703125" style="531" bestFit="1" customWidth="1"/>
    <col min="7938" max="7938" width="19.85546875" style="531" customWidth="1"/>
    <col min="7939" max="7939" width="12" style="531" bestFit="1" customWidth="1"/>
    <col min="7940" max="8192" width="9.140625" style="531"/>
    <col min="8193" max="8193" width="29.5703125" style="531" bestFit="1" customWidth="1"/>
    <col min="8194" max="8194" width="19.85546875" style="531" customWidth="1"/>
    <col min="8195" max="8195" width="12" style="531" bestFit="1" customWidth="1"/>
    <col min="8196" max="8448" width="9.140625" style="531"/>
    <col min="8449" max="8449" width="29.5703125" style="531" bestFit="1" customWidth="1"/>
    <col min="8450" max="8450" width="19.85546875" style="531" customWidth="1"/>
    <col min="8451" max="8451" width="12" style="531" bestFit="1" customWidth="1"/>
    <col min="8452" max="8704" width="9.140625" style="531"/>
    <col min="8705" max="8705" width="29.5703125" style="531" bestFit="1" customWidth="1"/>
    <col min="8706" max="8706" width="19.85546875" style="531" customWidth="1"/>
    <col min="8707" max="8707" width="12" style="531" bestFit="1" customWidth="1"/>
    <col min="8708" max="8960" width="9.140625" style="531"/>
    <col min="8961" max="8961" width="29.5703125" style="531" bestFit="1" customWidth="1"/>
    <col min="8962" max="8962" width="19.85546875" style="531" customWidth="1"/>
    <col min="8963" max="8963" width="12" style="531" bestFit="1" customWidth="1"/>
    <col min="8964" max="9216" width="9.140625" style="531"/>
    <col min="9217" max="9217" width="29.5703125" style="531" bestFit="1" customWidth="1"/>
    <col min="9218" max="9218" width="19.85546875" style="531" customWidth="1"/>
    <col min="9219" max="9219" width="12" style="531" bestFit="1" customWidth="1"/>
    <col min="9220" max="9472" width="9.140625" style="531"/>
    <col min="9473" max="9473" width="29.5703125" style="531" bestFit="1" customWidth="1"/>
    <col min="9474" max="9474" width="19.85546875" style="531" customWidth="1"/>
    <col min="9475" max="9475" width="12" style="531" bestFit="1" customWidth="1"/>
    <col min="9476" max="9728" width="9.140625" style="531"/>
    <col min="9729" max="9729" width="29.5703125" style="531" bestFit="1" customWidth="1"/>
    <col min="9730" max="9730" width="19.85546875" style="531" customWidth="1"/>
    <col min="9731" max="9731" width="12" style="531" bestFit="1" customWidth="1"/>
    <col min="9732" max="9984" width="9.140625" style="531"/>
    <col min="9985" max="9985" width="29.5703125" style="531" bestFit="1" customWidth="1"/>
    <col min="9986" max="9986" width="19.85546875" style="531" customWidth="1"/>
    <col min="9987" max="9987" width="12" style="531" bestFit="1" customWidth="1"/>
    <col min="9988" max="10240" width="9.140625" style="531"/>
    <col min="10241" max="10241" width="29.5703125" style="531" bestFit="1" customWidth="1"/>
    <col min="10242" max="10242" width="19.85546875" style="531" customWidth="1"/>
    <col min="10243" max="10243" width="12" style="531" bestFit="1" customWidth="1"/>
    <col min="10244" max="10496" width="9.140625" style="531"/>
    <col min="10497" max="10497" width="29.5703125" style="531" bestFit="1" customWidth="1"/>
    <col min="10498" max="10498" width="19.85546875" style="531" customWidth="1"/>
    <col min="10499" max="10499" width="12" style="531" bestFit="1" customWidth="1"/>
    <col min="10500" max="10752" width="9.140625" style="531"/>
    <col min="10753" max="10753" width="29.5703125" style="531" bestFit="1" customWidth="1"/>
    <col min="10754" max="10754" width="19.85546875" style="531" customWidth="1"/>
    <col min="10755" max="10755" width="12" style="531" bestFit="1" customWidth="1"/>
    <col min="10756" max="11008" width="9.140625" style="531"/>
    <col min="11009" max="11009" width="29.5703125" style="531" bestFit="1" customWidth="1"/>
    <col min="11010" max="11010" width="19.85546875" style="531" customWidth="1"/>
    <col min="11011" max="11011" width="12" style="531" bestFit="1" customWidth="1"/>
    <col min="11012" max="11264" width="9.140625" style="531"/>
    <col min="11265" max="11265" width="29.5703125" style="531" bestFit="1" customWidth="1"/>
    <col min="11266" max="11266" width="19.85546875" style="531" customWidth="1"/>
    <col min="11267" max="11267" width="12" style="531" bestFit="1" customWidth="1"/>
    <col min="11268" max="11520" width="9.140625" style="531"/>
    <col min="11521" max="11521" width="29.5703125" style="531" bestFit="1" customWidth="1"/>
    <col min="11522" max="11522" width="19.85546875" style="531" customWidth="1"/>
    <col min="11523" max="11523" width="12" style="531" bestFit="1" customWidth="1"/>
    <col min="11524" max="11776" width="9.140625" style="531"/>
    <col min="11777" max="11777" width="29.5703125" style="531" bestFit="1" customWidth="1"/>
    <col min="11778" max="11778" width="19.85546875" style="531" customWidth="1"/>
    <col min="11779" max="11779" width="12" style="531" bestFit="1" customWidth="1"/>
    <col min="11780" max="12032" width="9.140625" style="531"/>
    <col min="12033" max="12033" width="29.5703125" style="531" bestFit="1" customWidth="1"/>
    <col min="12034" max="12034" width="19.85546875" style="531" customWidth="1"/>
    <col min="12035" max="12035" width="12" style="531" bestFit="1" customWidth="1"/>
    <col min="12036" max="12288" width="9.140625" style="531"/>
    <col min="12289" max="12289" width="29.5703125" style="531" bestFit="1" customWidth="1"/>
    <col min="12290" max="12290" width="19.85546875" style="531" customWidth="1"/>
    <col min="12291" max="12291" width="12" style="531" bestFit="1" customWidth="1"/>
    <col min="12292" max="12544" width="9.140625" style="531"/>
    <col min="12545" max="12545" width="29.5703125" style="531" bestFit="1" customWidth="1"/>
    <col min="12546" max="12546" width="19.85546875" style="531" customWidth="1"/>
    <col min="12547" max="12547" width="12" style="531" bestFit="1" customWidth="1"/>
    <col min="12548" max="12800" width="9.140625" style="531"/>
    <col min="12801" max="12801" width="29.5703125" style="531" bestFit="1" customWidth="1"/>
    <col min="12802" max="12802" width="19.85546875" style="531" customWidth="1"/>
    <col min="12803" max="12803" width="12" style="531" bestFit="1" customWidth="1"/>
    <col min="12804" max="13056" width="9.140625" style="531"/>
    <col min="13057" max="13057" width="29.5703125" style="531" bestFit="1" customWidth="1"/>
    <col min="13058" max="13058" width="19.85546875" style="531" customWidth="1"/>
    <col min="13059" max="13059" width="12" style="531" bestFit="1" customWidth="1"/>
    <col min="13060" max="13312" width="9.140625" style="531"/>
    <col min="13313" max="13313" width="29.5703125" style="531" bestFit="1" customWidth="1"/>
    <col min="13314" max="13314" width="19.85546875" style="531" customWidth="1"/>
    <col min="13315" max="13315" width="12" style="531" bestFit="1" customWidth="1"/>
    <col min="13316" max="13568" width="9.140625" style="531"/>
    <col min="13569" max="13569" width="29.5703125" style="531" bestFit="1" customWidth="1"/>
    <col min="13570" max="13570" width="19.85546875" style="531" customWidth="1"/>
    <col min="13571" max="13571" width="12" style="531" bestFit="1" customWidth="1"/>
    <col min="13572" max="13824" width="9.140625" style="531"/>
    <col min="13825" max="13825" width="29.5703125" style="531" bestFit="1" customWidth="1"/>
    <col min="13826" max="13826" width="19.85546875" style="531" customWidth="1"/>
    <col min="13827" max="13827" width="12" style="531" bestFit="1" customWidth="1"/>
    <col min="13828" max="14080" width="9.140625" style="531"/>
    <col min="14081" max="14081" width="29.5703125" style="531" bestFit="1" customWidth="1"/>
    <col min="14082" max="14082" width="19.85546875" style="531" customWidth="1"/>
    <col min="14083" max="14083" width="12" style="531" bestFit="1" customWidth="1"/>
    <col min="14084" max="14336" width="9.140625" style="531"/>
    <col min="14337" max="14337" width="29.5703125" style="531" bestFit="1" customWidth="1"/>
    <col min="14338" max="14338" width="19.85546875" style="531" customWidth="1"/>
    <col min="14339" max="14339" width="12" style="531" bestFit="1" customWidth="1"/>
    <col min="14340" max="14592" width="9.140625" style="531"/>
    <col min="14593" max="14593" width="29.5703125" style="531" bestFit="1" customWidth="1"/>
    <col min="14594" max="14594" width="19.85546875" style="531" customWidth="1"/>
    <col min="14595" max="14595" width="12" style="531" bestFit="1" customWidth="1"/>
    <col min="14596" max="14848" width="9.140625" style="531"/>
    <col min="14849" max="14849" width="29.5703125" style="531" bestFit="1" customWidth="1"/>
    <col min="14850" max="14850" width="19.85546875" style="531" customWidth="1"/>
    <col min="14851" max="14851" width="12" style="531" bestFit="1" customWidth="1"/>
    <col min="14852" max="15104" width="9.140625" style="531"/>
    <col min="15105" max="15105" width="29.5703125" style="531" bestFit="1" customWidth="1"/>
    <col min="15106" max="15106" width="19.85546875" style="531" customWidth="1"/>
    <col min="15107" max="15107" width="12" style="531" bestFit="1" customWidth="1"/>
    <col min="15108" max="15360" width="9.140625" style="531"/>
    <col min="15361" max="15361" width="29.5703125" style="531" bestFit="1" customWidth="1"/>
    <col min="15362" max="15362" width="19.85546875" style="531" customWidth="1"/>
    <col min="15363" max="15363" width="12" style="531" bestFit="1" customWidth="1"/>
    <col min="15364" max="15616" width="9.140625" style="531"/>
    <col min="15617" max="15617" width="29.5703125" style="531" bestFit="1" customWidth="1"/>
    <col min="15618" max="15618" width="19.85546875" style="531" customWidth="1"/>
    <col min="15619" max="15619" width="12" style="531" bestFit="1" customWidth="1"/>
    <col min="15620" max="15872" width="9.140625" style="531"/>
    <col min="15873" max="15873" width="29.5703125" style="531" bestFit="1" customWidth="1"/>
    <col min="15874" max="15874" width="19.85546875" style="531" customWidth="1"/>
    <col min="15875" max="15875" width="12" style="531" bestFit="1" customWidth="1"/>
    <col min="15876" max="16128" width="9.140625" style="531"/>
    <col min="16129" max="16129" width="29.5703125" style="531" bestFit="1" customWidth="1"/>
    <col min="16130" max="16130" width="19.85546875" style="531" customWidth="1"/>
    <col min="16131" max="16131" width="12" style="531" bestFit="1" customWidth="1"/>
    <col min="16132" max="16384" width="9.140625" style="531"/>
  </cols>
  <sheetData>
    <row r="1" spans="1:2">
      <c r="A1" s="531" t="s">
        <v>959</v>
      </c>
      <c r="B1" s="2455">
        <v>6.1</v>
      </c>
    </row>
    <row r="2" spans="1:2">
      <c r="A2" s="531" t="s">
        <v>960</v>
      </c>
      <c r="B2" s="2459">
        <v>43195.337488425925</v>
      </c>
    </row>
    <row r="3" spans="1:2">
      <c r="A3" s="531" t="s">
        <v>961</v>
      </c>
      <c r="B3" s="2456" t="s">
        <v>656</v>
      </c>
    </row>
    <row r="4" spans="1:2">
      <c r="A4" s="531" t="s">
        <v>962</v>
      </c>
      <c r="B4" s="2456" t="s">
        <v>963</v>
      </c>
    </row>
    <row r="5" spans="1:2">
      <c r="A5" s="531" t="s">
        <v>964</v>
      </c>
      <c r="B5" s="2456" t="s">
        <v>965</v>
      </c>
    </row>
    <row r="6" spans="1:2">
      <c r="A6" s="531" t="s">
        <v>966</v>
      </c>
    </row>
    <row r="7" spans="1:2">
      <c r="A7" s="531" t="s">
        <v>967</v>
      </c>
      <c r="B7" s="2456" t="s">
        <v>1011</v>
      </c>
    </row>
    <row r="8" spans="1:2">
      <c r="A8" s="531" t="s">
        <v>968</v>
      </c>
      <c r="B8" s="2456" t="s">
        <v>969</v>
      </c>
    </row>
    <row r="9" spans="1:2">
      <c r="A9" s="531" t="s">
        <v>970</v>
      </c>
      <c r="B9" s="2456" t="s">
        <v>1007</v>
      </c>
    </row>
    <row r="10" spans="1:2">
      <c r="A10" s="531" t="s">
        <v>971</v>
      </c>
    </row>
    <row r="11" spans="1:2">
      <c r="A11" s="531" t="s">
        <v>972</v>
      </c>
    </row>
    <row r="12" spans="1:2">
      <c r="A12" s="531" t="s">
        <v>973</v>
      </c>
    </row>
    <row r="13" spans="1:2">
      <c r="A13" s="531" t="s">
        <v>974</v>
      </c>
    </row>
    <row r="14" spans="1:2">
      <c r="A14" s="531" t="s">
        <v>975</v>
      </c>
    </row>
    <row r="15" spans="1:2">
      <c r="A15" s="531" t="s">
        <v>976</v>
      </c>
    </row>
    <row r="16" spans="1:2">
      <c r="A16" s="531" t="s">
        <v>977</v>
      </c>
    </row>
    <row r="17" spans="1:4">
      <c r="A17" s="531" t="s">
        <v>978</v>
      </c>
      <c r="B17" s="2456" t="s">
        <v>1008</v>
      </c>
    </row>
    <row r="18" spans="1:4">
      <c r="A18" s="531" t="s">
        <v>979</v>
      </c>
      <c r="B18" s="2456" t="s">
        <v>657</v>
      </c>
    </row>
    <row r="19" spans="1:4">
      <c r="A19" s="531" t="s">
        <v>980</v>
      </c>
      <c r="B19" s="2456" t="s">
        <v>161</v>
      </c>
    </row>
    <row r="20" spans="1:4">
      <c r="A20" s="531" t="s">
        <v>981</v>
      </c>
      <c r="B20" s="2457">
        <v>983793100</v>
      </c>
    </row>
    <row r="21" spans="1:4">
      <c r="A21" s="531" t="s">
        <v>982</v>
      </c>
      <c r="B21" s="2456" t="s">
        <v>161</v>
      </c>
    </row>
    <row r="22" spans="1:4">
      <c r="A22" s="531" t="s">
        <v>983</v>
      </c>
      <c r="B22" s="2457" t="s">
        <v>125</v>
      </c>
    </row>
    <row r="23" spans="1:4">
      <c r="A23" s="531" t="s">
        <v>76</v>
      </c>
      <c r="B23" s="2455">
        <v>99.3</v>
      </c>
    </row>
    <row r="24" spans="1:4">
      <c r="A24" s="531" t="s">
        <v>58</v>
      </c>
      <c r="B24" s="2456" t="s">
        <v>67</v>
      </c>
      <c r="D24" s="531" t="s">
        <v>286</v>
      </c>
    </row>
    <row r="25" spans="1:4">
      <c r="A25" s="531" t="s">
        <v>984</v>
      </c>
      <c r="B25" s="2456" t="s">
        <v>1012</v>
      </c>
    </row>
    <row r="26" spans="1:4">
      <c r="A26" s="531" t="s">
        <v>985</v>
      </c>
      <c r="B26" s="2456">
        <v>0</v>
      </c>
    </row>
    <row r="27" spans="1:4">
      <c r="A27" s="531" t="s">
        <v>986</v>
      </c>
      <c r="B27" s="2456" t="s">
        <v>987</v>
      </c>
    </row>
    <row r="28" spans="1:4">
      <c r="A28" s="531" t="s">
        <v>988</v>
      </c>
      <c r="B28" s="2456" t="s">
        <v>989</v>
      </c>
    </row>
    <row r="29" spans="1:4">
      <c r="A29" s="531" t="s">
        <v>990</v>
      </c>
    </row>
    <row r="30" spans="1:4">
      <c r="A30" s="531" t="s">
        <v>991</v>
      </c>
    </row>
    <row r="31" spans="1:4">
      <c r="A31" s="531" t="s">
        <v>992</v>
      </c>
    </row>
    <row r="32" spans="1:4">
      <c r="A32" s="531" t="s">
        <v>993</v>
      </c>
      <c r="B32" s="2455"/>
    </row>
    <row r="33" spans="1:2">
      <c r="A33" s="531" t="s">
        <v>994</v>
      </c>
      <c r="B33" s="2455"/>
    </row>
    <row r="34" spans="1:2">
      <c r="A34" s="531" t="s">
        <v>995</v>
      </c>
      <c r="B34" s="2455"/>
    </row>
    <row r="35" spans="1:2">
      <c r="A35" s="531" t="s">
        <v>996</v>
      </c>
      <c r="B35" s="2456">
        <v>1000000</v>
      </c>
    </row>
    <row r="36" spans="1:2">
      <c r="A36" s="531" t="s">
        <v>997</v>
      </c>
      <c r="B36" s="2456" t="s">
        <v>1009</v>
      </c>
    </row>
    <row r="37" spans="1:2">
      <c r="A37" s="531" t="s">
        <v>998</v>
      </c>
      <c r="B37" s="2456" t="s">
        <v>999</v>
      </c>
    </row>
    <row r="38" spans="1:2">
      <c r="A38" s="531" t="s">
        <v>1000</v>
      </c>
      <c r="B38" s="2456" t="s">
        <v>1001</v>
      </c>
    </row>
    <row r="39" spans="1:2">
      <c r="A39" s="531" t="s">
        <v>1002</v>
      </c>
      <c r="B39" s="2456" t="s">
        <v>1010</v>
      </c>
    </row>
    <row r="40" spans="1:2">
      <c r="A40" s="531" t="s">
        <v>1003</v>
      </c>
      <c r="B40" s="2456">
        <v>1500005431</v>
      </c>
    </row>
    <row r="41" spans="1:2">
      <c r="A41" s="531" t="s">
        <v>1004</v>
      </c>
      <c r="B41" s="2456">
        <v>1</v>
      </c>
    </row>
    <row r="42" spans="1:2">
      <c r="A42" s="2458" t="s">
        <v>1005</v>
      </c>
    </row>
    <row r="43" spans="1:2">
      <c r="A43" s="531" t="s">
        <v>1006</v>
      </c>
    </row>
  </sheetData>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cols>
    <col min="1" max="1" width="28.5703125" style="531" bestFit="1" customWidth="1"/>
    <col min="2" max="256" width="9.140625" style="531"/>
    <col min="257" max="257" width="28.5703125" style="531" bestFit="1" customWidth="1"/>
    <col min="258" max="512" width="9.140625" style="531"/>
    <col min="513" max="513" width="28.5703125" style="531" bestFit="1" customWidth="1"/>
    <col min="514" max="768" width="9.140625" style="531"/>
    <col min="769" max="769" width="28.5703125" style="531" bestFit="1" customWidth="1"/>
    <col min="770" max="1024" width="9.140625" style="531"/>
    <col min="1025" max="1025" width="28.5703125" style="531" bestFit="1" customWidth="1"/>
    <col min="1026" max="1280" width="9.140625" style="531"/>
    <col min="1281" max="1281" width="28.5703125" style="531" bestFit="1" customWidth="1"/>
    <col min="1282" max="1536" width="9.140625" style="531"/>
    <col min="1537" max="1537" width="28.5703125" style="531" bestFit="1" customWidth="1"/>
    <col min="1538" max="1792" width="9.140625" style="531"/>
    <col min="1793" max="1793" width="28.5703125" style="531" bestFit="1" customWidth="1"/>
    <col min="1794" max="2048" width="9.140625" style="531"/>
    <col min="2049" max="2049" width="28.5703125" style="531" bestFit="1" customWidth="1"/>
    <col min="2050" max="2304" width="9.140625" style="531"/>
    <col min="2305" max="2305" width="28.5703125" style="531" bestFit="1" customWidth="1"/>
    <col min="2306" max="2560" width="9.140625" style="531"/>
    <col min="2561" max="2561" width="28.5703125" style="531" bestFit="1" customWidth="1"/>
    <col min="2562" max="2816" width="9.140625" style="531"/>
    <col min="2817" max="2817" width="28.5703125" style="531" bestFit="1" customWidth="1"/>
    <col min="2818" max="3072" width="9.140625" style="531"/>
    <col min="3073" max="3073" width="28.5703125" style="531" bestFit="1" customWidth="1"/>
    <col min="3074" max="3328" width="9.140625" style="531"/>
    <col min="3329" max="3329" width="28.5703125" style="531" bestFit="1" customWidth="1"/>
    <col min="3330" max="3584" width="9.140625" style="531"/>
    <col min="3585" max="3585" width="28.5703125" style="531" bestFit="1" customWidth="1"/>
    <col min="3586" max="3840" width="9.140625" style="531"/>
    <col min="3841" max="3841" width="28.5703125" style="531" bestFit="1" customWidth="1"/>
    <col min="3842" max="4096" width="9.140625" style="531"/>
    <col min="4097" max="4097" width="28.5703125" style="531" bestFit="1" customWidth="1"/>
    <col min="4098" max="4352" width="9.140625" style="531"/>
    <col min="4353" max="4353" width="28.5703125" style="531" bestFit="1" customWidth="1"/>
    <col min="4354" max="4608" width="9.140625" style="531"/>
    <col min="4609" max="4609" width="28.5703125" style="531" bestFit="1" customWidth="1"/>
    <col min="4610" max="4864" width="9.140625" style="531"/>
    <col min="4865" max="4865" width="28.5703125" style="531" bestFit="1" customWidth="1"/>
    <col min="4866" max="5120" width="9.140625" style="531"/>
    <col min="5121" max="5121" width="28.5703125" style="531" bestFit="1" customWidth="1"/>
    <col min="5122" max="5376" width="9.140625" style="531"/>
    <col min="5377" max="5377" width="28.5703125" style="531" bestFit="1" customWidth="1"/>
    <col min="5378" max="5632" width="9.140625" style="531"/>
    <col min="5633" max="5633" width="28.5703125" style="531" bestFit="1" customWidth="1"/>
    <col min="5634" max="5888" width="9.140625" style="531"/>
    <col min="5889" max="5889" width="28.5703125" style="531" bestFit="1" customWidth="1"/>
    <col min="5890" max="6144" width="9.140625" style="531"/>
    <col min="6145" max="6145" width="28.5703125" style="531" bestFit="1" customWidth="1"/>
    <col min="6146" max="6400" width="9.140625" style="531"/>
    <col min="6401" max="6401" width="28.5703125" style="531" bestFit="1" customWidth="1"/>
    <col min="6402" max="6656" width="9.140625" style="531"/>
    <col min="6657" max="6657" width="28.5703125" style="531" bestFit="1" customWidth="1"/>
    <col min="6658" max="6912" width="9.140625" style="531"/>
    <col min="6913" max="6913" width="28.5703125" style="531" bestFit="1" customWidth="1"/>
    <col min="6914" max="7168" width="9.140625" style="531"/>
    <col min="7169" max="7169" width="28.5703125" style="531" bestFit="1" customWidth="1"/>
    <col min="7170" max="7424" width="9.140625" style="531"/>
    <col min="7425" max="7425" width="28.5703125" style="531" bestFit="1" customWidth="1"/>
    <col min="7426" max="7680" width="9.140625" style="531"/>
    <col min="7681" max="7681" width="28.5703125" style="531" bestFit="1" customWidth="1"/>
    <col min="7682" max="7936" width="9.140625" style="531"/>
    <col min="7937" max="7937" width="28.5703125" style="531" bestFit="1" customWidth="1"/>
    <col min="7938" max="8192" width="9.140625" style="531"/>
    <col min="8193" max="8193" width="28.5703125" style="531" bestFit="1" customWidth="1"/>
    <col min="8194" max="8448" width="9.140625" style="531"/>
    <col min="8449" max="8449" width="28.5703125" style="531" bestFit="1" customWidth="1"/>
    <col min="8450" max="8704" width="9.140625" style="531"/>
    <col min="8705" max="8705" width="28.5703125" style="531" bestFit="1" customWidth="1"/>
    <col min="8706" max="8960" width="9.140625" style="531"/>
    <col min="8961" max="8961" width="28.5703125" style="531" bestFit="1" customWidth="1"/>
    <col min="8962" max="9216" width="9.140625" style="531"/>
    <col min="9217" max="9217" width="28.5703125" style="531" bestFit="1" customWidth="1"/>
    <col min="9218" max="9472" width="9.140625" style="531"/>
    <col min="9473" max="9473" width="28.5703125" style="531" bestFit="1" customWidth="1"/>
    <col min="9474" max="9728" width="9.140625" style="531"/>
    <col min="9729" max="9729" width="28.5703125" style="531" bestFit="1" customWidth="1"/>
    <col min="9730" max="9984" width="9.140625" style="531"/>
    <col min="9985" max="9985" width="28.5703125" style="531" bestFit="1" customWidth="1"/>
    <col min="9986" max="10240" width="9.140625" style="531"/>
    <col min="10241" max="10241" width="28.5703125" style="531" bestFit="1" customWidth="1"/>
    <col min="10242" max="10496" width="9.140625" style="531"/>
    <col min="10497" max="10497" width="28.5703125" style="531" bestFit="1" customWidth="1"/>
    <col min="10498" max="10752" width="9.140625" style="531"/>
    <col min="10753" max="10753" width="28.5703125" style="531" bestFit="1" customWidth="1"/>
    <col min="10754" max="11008" width="9.140625" style="531"/>
    <col min="11009" max="11009" width="28.5703125" style="531" bestFit="1" customWidth="1"/>
    <col min="11010" max="11264" width="9.140625" style="531"/>
    <col min="11265" max="11265" width="28.5703125" style="531" bestFit="1" customWidth="1"/>
    <col min="11266" max="11520" width="9.140625" style="531"/>
    <col min="11521" max="11521" width="28.5703125" style="531" bestFit="1" customWidth="1"/>
    <col min="11522" max="11776" width="9.140625" style="531"/>
    <col min="11777" max="11777" width="28.5703125" style="531" bestFit="1" customWidth="1"/>
    <col min="11778" max="12032" width="9.140625" style="531"/>
    <col min="12033" max="12033" width="28.5703125" style="531" bestFit="1" customWidth="1"/>
    <col min="12034" max="12288" width="9.140625" style="531"/>
    <col min="12289" max="12289" width="28.5703125" style="531" bestFit="1" customWidth="1"/>
    <col min="12290" max="12544" width="9.140625" style="531"/>
    <col min="12545" max="12545" width="28.5703125" style="531" bestFit="1" customWidth="1"/>
    <col min="12546" max="12800" width="9.140625" style="531"/>
    <col min="12801" max="12801" width="28.5703125" style="531" bestFit="1" customWidth="1"/>
    <col min="12802" max="13056" width="9.140625" style="531"/>
    <col min="13057" max="13057" width="28.5703125" style="531" bestFit="1" customWidth="1"/>
    <col min="13058" max="13312" width="9.140625" style="531"/>
    <col min="13313" max="13313" width="28.5703125" style="531" bestFit="1" customWidth="1"/>
    <col min="13314" max="13568" width="9.140625" style="531"/>
    <col min="13569" max="13569" width="28.5703125" style="531" bestFit="1" customWidth="1"/>
    <col min="13570" max="13824" width="9.140625" style="531"/>
    <col min="13825" max="13825" width="28.5703125" style="531" bestFit="1" customWidth="1"/>
    <col min="13826" max="14080" width="9.140625" style="531"/>
    <col min="14081" max="14081" width="28.5703125" style="531" bestFit="1" customWidth="1"/>
    <col min="14082" max="14336" width="9.140625" style="531"/>
    <col min="14337" max="14337" width="28.5703125" style="531" bestFit="1" customWidth="1"/>
    <col min="14338" max="14592" width="9.140625" style="531"/>
    <col min="14593" max="14593" width="28.5703125" style="531" bestFit="1" customWidth="1"/>
    <col min="14594" max="14848" width="9.140625" style="531"/>
    <col min="14849" max="14849" width="28.5703125" style="531" bestFit="1" customWidth="1"/>
    <col min="14850" max="15104" width="9.140625" style="531"/>
    <col min="15105" max="15105" width="28.5703125" style="531" bestFit="1" customWidth="1"/>
    <col min="15106" max="15360" width="9.140625" style="531"/>
    <col min="15361" max="15361" width="28.5703125" style="531" bestFit="1" customWidth="1"/>
    <col min="15362" max="15616" width="9.140625" style="531"/>
    <col min="15617" max="15617" width="28.5703125" style="531" bestFit="1" customWidth="1"/>
    <col min="15618" max="15872" width="9.140625" style="531"/>
    <col min="15873" max="15873" width="28.5703125" style="531" bestFit="1" customWidth="1"/>
    <col min="15874" max="16128" width="9.140625" style="531"/>
    <col min="16129" max="16129" width="28.5703125" style="531" bestFit="1" customWidth="1"/>
    <col min="16130" max="16384" width="9.140625" style="531"/>
  </cols>
  <sheetData>
    <row r="1" spans="1:1">
      <c r="A1" s="2460" t="s">
        <v>1013</v>
      </c>
    </row>
    <row r="2" spans="1:1">
      <c r="A2" s="2460" t="s">
        <v>1018</v>
      </c>
    </row>
    <row r="3" spans="1:1">
      <c r="A3" s="2460" t="s">
        <v>1019</v>
      </c>
    </row>
    <row r="4" spans="1:1">
      <c r="A4" s="2460" t="s">
        <v>1020</v>
      </c>
    </row>
    <row r="5" spans="1:1">
      <c r="A5" s="2460" t="s">
        <v>1021</v>
      </c>
    </row>
    <row r="6" spans="1:1">
      <c r="A6" s="2460" t="s">
        <v>1014</v>
      </c>
    </row>
    <row r="7" spans="1:1">
      <c r="A7" s="2460" t="s">
        <v>1022</v>
      </c>
    </row>
    <row r="8" spans="1:1">
      <c r="A8" s="2460" t="s">
        <v>1023</v>
      </c>
    </row>
    <row r="9" spans="1:1">
      <c r="A9" s="2460" t="s">
        <v>1024</v>
      </c>
    </row>
    <row r="10" spans="1:1">
      <c r="A10" s="2460" t="s">
        <v>1015</v>
      </c>
    </row>
    <row r="11" spans="1:1">
      <c r="A11" s="2460" t="s">
        <v>1025</v>
      </c>
    </row>
    <row r="12" spans="1:1">
      <c r="A12" s="2460" t="s">
        <v>1016</v>
      </c>
    </row>
    <row r="13" spans="1:1">
      <c r="A13" s="2460" t="s">
        <v>1017</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file>

<file path=customXml/itemProps1.xml><?xml version="1.0" encoding="utf-8"?>
<ds:datastoreItem xmlns:ds="http://schemas.openxmlformats.org/officeDocument/2006/customXml" ds:itemID="{6088DF7C-D707-483C-8C59-D6853F28E1C1}">
  <ds:schemaRefs>
    <ds:schemaRef ds:uri="thomsonreuters.linking.metadatachange"/>
  </ds:schemaRefs>
</ds:datastoreItem>
</file>

<file path=customXml/itemProps2.xml><?xml version="1.0" encoding="utf-8"?>
<ds:datastoreItem xmlns:ds="http://schemas.openxmlformats.org/officeDocument/2006/customXml" ds:itemID="{4C6A82F4-0719-42F1-8B47-51E30228844E}">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114</vt:i4>
      </vt:variant>
    </vt:vector>
  </HeadingPairs>
  <TitlesOfParts>
    <vt:vector size="121" baseType="lpstr">
      <vt:lpstr>ImportantDisclosures</vt:lpstr>
      <vt:lpstr>Model</vt:lpstr>
      <vt:lpstr>CNW</vt:lpstr>
      <vt:lpstr>DCF</vt:lpstr>
      <vt:lpstr>Fuel</vt:lpstr>
      <vt:lpstr>IndexInformation</vt:lpstr>
      <vt:lpstr>ModPubIndex</vt:lpstr>
      <vt:lpstr>AdditionalInstructions</vt:lpstr>
      <vt:lpstr>ImportantDisclosures!Address</vt:lpstr>
      <vt:lpstr>ModPubIndex!ANA</vt:lpstr>
      <vt:lpstr>CNW!Assets</vt:lpstr>
      <vt:lpstr>ImportantDisclosures!Authors</vt:lpstr>
      <vt:lpstr>IndexInformation!Authors</vt:lpstr>
      <vt:lpstr>Avg_Wt_Per_Total_Shipment</vt:lpstr>
      <vt:lpstr>ModPubIndex!BRO</vt:lpstr>
      <vt:lpstr>Cash</vt:lpstr>
      <vt:lpstr>ConversionAdjustment</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CNW!Depreciation</vt:lpstr>
      <vt:lpstr>IndexInformation!Description</vt:lpstr>
      <vt:lpstr>Diesel</vt:lpstr>
      <vt:lpstr>DilutedShares</vt:lpstr>
      <vt:lpstr>IndexInformation!Discipline</vt:lpstr>
      <vt:lpstr>ModPubIndex!DISCIPLINE</vt:lpstr>
      <vt:lpstr>DisclosuresText</vt:lpstr>
      <vt:lpstr>IndexInformation!Distribution</vt:lpstr>
      <vt:lpstr>CNW!Dividend</vt:lpstr>
      <vt:lpstr>ModPubIndex!DOCDAT</vt:lpstr>
      <vt:lpstr>ModPubIndex!DOCTIME</vt:lpstr>
      <vt:lpstr>IndexInformation!DocType</vt:lpstr>
      <vt:lpstr>ModPubIndex!EMAIL_ALERT</vt:lpstr>
      <vt:lpstr>IndexInformation!EmailAlert</vt:lpstr>
      <vt:lpstr>CNW!EPS</vt:lpstr>
      <vt:lpstr>CNW!EPS_Label</vt:lpstr>
      <vt:lpstr>CNW!Equity</vt:lpstr>
      <vt:lpstr>fair_value</vt:lpstr>
      <vt:lpstr>IndexInformation!FiveYearGrowthRate</vt:lpstr>
      <vt:lpstr>IndexInformation!FollowingYearEPS</vt:lpstr>
      <vt:lpstr>IndexInformation!FollowingYearTotalRevenue</vt:lpstr>
      <vt:lpstr>IndexInformation!FollowingYearTotalRevenueActual</vt:lpstr>
      <vt:lpstr>Gross_Capex</vt:lpstr>
      <vt:lpstr>ModPubIndex!HL</vt:lpstr>
      <vt:lpstr>ModPubIndex!IND</vt:lpstr>
      <vt:lpstr>ImportantDisclosures!Industry</vt:lpstr>
      <vt:lpstr>IndustryId</vt:lpstr>
      <vt:lpstr>ImportantDisclosures!IndustryRating</vt:lpstr>
      <vt:lpstr>Interest_Expense</vt:lpstr>
      <vt:lpstr>IndexInformation!KeepVersions</vt:lpstr>
      <vt:lpstr>LanguageCode</vt:lpstr>
      <vt:lpstr>ImportantDisclosures!LastCell</vt:lpstr>
      <vt:lpstr>CNW!Liabilities</vt:lpstr>
      <vt:lpstr>Linking_1</vt:lpstr>
      <vt:lpstr>Linking_10</vt:lpstr>
      <vt:lpstr>Linking_2</vt:lpstr>
      <vt:lpstr>Linking_3</vt:lpstr>
      <vt:lpstr>Linking_7</vt:lpstr>
      <vt:lpstr>Linking_8</vt:lpstr>
      <vt:lpstr>DCF!Linking_Range_10</vt:lpstr>
      <vt:lpstr>Linking_Range_17</vt:lpstr>
      <vt:lpstr>Linking_Range_2</vt:lpstr>
      <vt:lpstr>Linking_Range_29</vt:lpstr>
      <vt:lpstr>Linking_Range_3</vt:lpstr>
      <vt:lpstr>Linking_Range_4</vt:lpstr>
      <vt:lpstr>Load_Factor</vt:lpstr>
      <vt:lpstr>CNW!LOH</vt:lpstr>
      <vt:lpstr>CNW!LongTermDebt</vt:lpstr>
      <vt:lpstr>IndexInformation!MacroVersion</vt:lpstr>
      <vt:lpstr>ImportantDisclosures!ModelPrice</vt:lpstr>
      <vt:lpstr>IndexInformation!Multiplier</vt:lpstr>
      <vt:lpstr>CNW!Net_Capex</vt:lpstr>
      <vt:lpstr>IndexInformation!NextYearEPS</vt:lpstr>
      <vt:lpstr>IndexInformation!NextYearTotalRevenue</vt:lpstr>
      <vt:lpstr>IndexInformation!NextYearTotalRevenueActual</vt:lpstr>
      <vt:lpstr>ObjectType</vt:lpstr>
      <vt:lpstr>CNW!OperatingCashFlow</vt:lpstr>
      <vt:lpstr>ModPubIndex!PANA</vt:lpstr>
      <vt:lpstr>IndexInformation!PathName</vt:lpstr>
      <vt:lpstr>CNW!PreTaxIncome</vt:lpstr>
      <vt:lpstr>CNW!Print_Area</vt:lpstr>
      <vt:lpstr>DCF!Print_Area</vt:lpstr>
      <vt:lpstr>Model!Print_Area</vt:lpstr>
      <vt:lpstr>CNW!Print_Titles</vt:lpstr>
      <vt:lpstr>Model!Print_Titles</vt:lpstr>
      <vt:lpstr>CNW!Proceeds_from_Sales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CNW!ShortTermDebt</vt:lpstr>
      <vt:lpstr>ImportantDisclosures!SourceDefined</vt:lpstr>
      <vt:lpstr>ImportantDisclosures!StockRating</vt:lpstr>
      <vt:lpstr>IndexInformation!SubjectCode</vt:lpstr>
      <vt:lpstr>SubmitterUserId</vt:lpstr>
      <vt:lpstr>ModPubIndex!SUPPRESSED</vt:lpstr>
      <vt:lpstr>ImportantDisclosures!TargetPrice</vt:lpstr>
      <vt:lpstr>CNW!Tax_Rate</vt:lpstr>
      <vt:lpstr>Taxes</vt:lpstr>
      <vt:lpstr>TemplateRegion</vt:lpstr>
      <vt:lpstr>ImportantDisclosures!Ticker</vt:lpstr>
      <vt:lpstr>TickerRegion</vt:lpstr>
      <vt:lpstr>IndexInformation!Tickers</vt:lpstr>
      <vt:lpstr>CNW!Total_Current_Assets</vt:lpstr>
      <vt:lpstr>CNW!Total_Current_Liabilities</vt:lpstr>
      <vt:lpstr>Total_Shipments</vt:lpstr>
      <vt:lpstr>IndexInformation!UpdateReason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2002-06-17T15:34:22Z</dcterms:created>
  <dc:creator>Vecchio, Alexander (Research)</dc:creator>
  <cp:lastModifiedBy>Huang, Diane (Research)</cp:lastModifiedBy>
  <cp:lastPrinted>2018-02-08T19:13:06Z</cp:lastPrinted>
  <dcterms:modified xsi:type="dcterms:W3CDTF">2018-04-05T12:06:04Z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10</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759646</vt:lpwstr>
  </property>
  <property fmtid="{D5CDD505-2E9C-101B-9397-08002B2CF9AE}" name="ERModPubCompanyName" pid="6">
    <vt:lpwstr>XPO Logistics, Inc.</vt:lpwstr>
  </property>
  <property fmtid="{D5CDD505-2E9C-101B-9397-08002B2CF9AE}" name="MSDH34TAG" pid="7">
    <vt:lpwstr>.TEZUF76X5TAHATHESADREYAK-00-INB160+*94600-06=b8bd631c/-38c9/-11e8/-bf62/-2af41e5950fc,MD=20180405081708/-0400,ZZ=000Z-065d.</vt:lpwstr>
  </property>
</Properties>
</file>